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beaulieu.EMPLOYEES\Documents\MPP\Program Documents\New Construction\Version 5\Final NYSERDA Approval Docs\NC - Prescriptive Path Documents\"/>
    </mc:Choice>
  </mc:AlternateContent>
  <bookViews>
    <workbookView xWindow="6090" yWindow="-90" windowWidth="2760" windowHeight="8280" tabRatio="853" activeTab="2"/>
  </bookViews>
  <sheets>
    <sheet name="Instructions" sheetId="51" r:id="rId1"/>
    <sheet name="Version History" sheetId="52" r:id="rId2"/>
    <sheet name="Prescriptive Path" sheetId="14" r:id="rId3"/>
    <sheet name="Baseline" sheetId="13" state="hidden" r:id="rId4"/>
    <sheet name="Proposed" sheetId="3" state="hidden" r:id="rId5"/>
    <sheet name="ClimateZoneLookup" sheetId="15" state="hidden" r:id="rId6"/>
    <sheet name="Avoided Costs" sheetId="23" state="hidden" r:id="rId7"/>
    <sheet name="Gut Rehab Envelope" sheetId="50" state="hidden" r:id="rId8"/>
    <sheet name="Savings" sheetId="18" r:id="rId9"/>
    <sheet name="Funding Overview" sheetId="53" state="hidden" r:id="rId10"/>
    <sheet name="T&amp;V Instructions" sheetId="24" r:id="rId11"/>
    <sheet name="Project Info" sheetId="25" r:id="rId12"/>
    <sheet name="Table Of Contents" sheetId="26" r:id="rId13"/>
    <sheet name="ERMs" sheetId="27" r:id="rId14"/>
    <sheet name="Mod Prescriptive Path Checklist" sheetId="28" r:id="rId15"/>
    <sheet name="Prescriptive Tables 1, 2 &amp; 3" sheetId="29" state="hidden" r:id="rId16"/>
    <sheet name="Overview" sheetId="30" r:id="rId17"/>
    <sheet name="1.1 - APPLIANCES" sheetId="31" r:id="rId18"/>
    <sheet name="2.1-2.2 - DOMESTIC HOT WATER" sheetId="32" r:id="rId19"/>
    <sheet name="3.1 - ENV_BELOW GRADE WALLS" sheetId="33" r:id="rId20"/>
    <sheet name="3.1 - ENV_ABOVE GRADE WALLS" sheetId="34" r:id="rId21"/>
    <sheet name="3.2 - ENV_ROOF" sheetId="35" r:id="rId22"/>
    <sheet name="3.3 - ENV_FLOORS" sheetId="36" r:id="rId23"/>
    <sheet name="3.4 - ENV_WINDOWS" sheetId="37" r:id="rId24"/>
    <sheet name="3.5 - ENV_EXTERIOR DOORS" sheetId="38" r:id="rId25"/>
    <sheet name="4.1 - GARAGES_CMPTZ &amp; HEATING " sheetId="39" r:id="rId26"/>
    <sheet name="5.1, 5.3 - HEATING" sheetId="40" r:id="rId27"/>
    <sheet name="5.2, 5.4 - COOLING" sheetId="41" r:id="rId28"/>
    <sheet name="6.1, 6.2, 6.3 - LIGHTING" sheetId="42" r:id="rId29"/>
    <sheet name="7.1 - MOTORS" sheetId="43" r:id="rId30"/>
    <sheet name="8.1 - INF_EXT AIR BARRIER" sheetId="44" r:id="rId31"/>
    <sheet name="8.1-INF_COMPTZN VIS INSPECTION" sheetId="45" r:id="rId32"/>
    <sheet name="8.1 - INF_BLOWER DOOR TEST" sheetId="46" r:id="rId33"/>
    <sheet name="8.2 - VENT_SCHEDULE&amp;TAB REPORT" sheetId="47" r:id="rId34"/>
    <sheet name="8.2 - VENT_DUCT TIGHTNESS" sheetId="48" r:id="rId35"/>
    <sheet name="9.1 - METERS" sheetId="49" r:id="rId36"/>
  </sheets>
  <definedNames>
    <definedName name="_xlnm._FilterDatabase" localSheetId="19" hidden="1">'3.1 - ENV_BELOW GRADE WALLS'!$L$16:$L$24</definedName>
    <definedName name="_xlnm._FilterDatabase" localSheetId="25" hidden="1">'4.1 - GARAGES_CMPTZ &amp; HEATING '!$L$25:$L$27</definedName>
    <definedName name="_xlnm._FilterDatabase" localSheetId="30" hidden="1">'8.1 - INF_EXT AIR BARRIER'!$L$34:$L$46</definedName>
    <definedName name="_xlnm._FilterDatabase" localSheetId="14" hidden="1">'Mod Prescriptive Path Checklist'!$D$8:$F$8</definedName>
    <definedName name="AvoidCostTable">'Avoided Costs'!$B$20:$AZ$33</definedName>
    <definedName name="counties">ClimateZoneLookup!$A$4:$A$65</definedName>
    <definedName name="EEPS_Funding">ClimateZoneLookup!$AY$14:$AY$15</definedName>
    <definedName name="ElecUtility">'Prescriptive Path'!$D$5</definedName>
    <definedName name="FanType">ClimateZoneLookup!$BG$4:$BG$7</definedName>
    <definedName name="Funding_Source_Code">ClimateZoneLookup!$AY$14:$AY$15</definedName>
    <definedName name="GasList">ClimateZoneLookup!$BB$4:$BB$8</definedName>
    <definedName name="GasUtility">'Prescriptive Path'!$I$3</definedName>
    <definedName name="_xlnm.Print_Area" localSheetId="17">'1.1 - APPLIANCES'!$B$1:$P$33</definedName>
    <definedName name="_xlnm.Print_Area" localSheetId="18">'2.1-2.2 - DOMESTIC HOT WATER'!$B$1:$P$58</definedName>
    <definedName name="_xlnm.Print_Area" localSheetId="20">'3.1 - ENV_ABOVE GRADE WALLS'!$B$1:$J$68</definedName>
    <definedName name="_xlnm.Print_Area" localSheetId="19">'3.1 - ENV_BELOW GRADE WALLS'!$B$1:$J$53</definedName>
    <definedName name="_xlnm.Print_Area" localSheetId="21">'3.2 - ENV_ROOF'!$B$1:$J$52</definedName>
    <definedName name="_xlnm.Print_Area" localSheetId="22">'3.3 - ENV_FLOORS'!$B$1:$J$74</definedName>
    <definedName name="_xlnm.Print_Area" localSheetId="23">'3.4 - ENV_WINDOWS'!$B$1:$P$46</definedName>
    <definedName name="_xlnm.Print_Area" localSheetId="24">'3.5 - ENV_EXTERIOR DOORS'!$B$1:$N$40</definedName>
    <definedName name="_xlnm.Print_Area" localSheetId="25">'4.1 - GARAGES_CMPTZ &amp; HEATING '!$B$1:$J$27</definedName>
    <definedName name="_xlnm.Print_Area" localSheetId="26">'5.1, 5.3 - HEATING'!$B$1:$P$87</definedName>
    <definedName name="_xlnm.Print_Area" localSheetId="27">'5.2, 5.4 - COOLING'!$B$1:$Q$73</definedName>
    <definedName name="_xlnm.Print_Area" localSheetId="28">'6.1, 6.2, 6.3 - LIGHTING'!$B$1:$Q$95</definedName>
    <definedName name="_xlnm.Print_Area" localSheetId="29">'7.1 - MOTORS'!$B$1:$M$40</definedName>
    <definedName name="_xlnm.Print_Area" localSheetId="32">'8.1 - INF_BLOWER DOOR TEST'!$B$1:$M$57</definedName>
    <definedName name="_xlnm.Print_Area" localSheetId="30">'8.1 - INF_EXT AIR BARRIER'!$B$1:$J$71</definedName>
    <definedName name="_xlnm.Print_Area" localSheetId="31">'8.1-INF_COMPTZN VIS INSPECTION'!$B$1:$J$52</definedName>
    <definedName name="_xlnm.Print_Area" localSheetId="34">'8.2 - VENT_DUCT TIGHTNESS'!$B$1:$J$90</definedName>
    <definedName name="_xlnm.Print_Area" localSheetId="33">'8.2 - VENT_SCHEDULE&amp;TAB REPORT'!$B$1:$S$158</definedName>
    <definedName name="_xlnm.Print_Area" localSheetId="35">'9.1 - METERS'!$B$1:$N$33</definedName>
    <definedName name="_xlnm.Print_Area" localSheetId="13">ERMs!$A$6:$C$60</definedName>
    <definedName name="_xlnm.Print_Area" localSheetId="14">'Mod Prescriptive Path Checklist'!$B$1:$F$133</definedName>
    <definedName name="_xlnm.Print_Area" localSheetId="16">Overview!$A$6:$F$292</definedName>
    <definedName name="_xlnm.Print_Titles" localSheetId="13">ERMs!$6:$8</definedName>
    <definedName name="RoofRValue">ClimateZoneLookup!$BM$4:$BM$10</definedName>
    <definedName name="SplitType" localSheetId="9">ClimateZoneLookup!$BO$4:$BO$5</definedName>
    <definedName name="Utilities">ClimateZoneLookup!$AY$4:$AY$9</definedName>
    <definedName name="WallRValue">ClimateZoneLookup!$BL$4:$BL$10</definedName>
    <definedName name="WindowType">ClimateZoneLookup!$BN$4:$BN$8</definedName>
    <definedName name="YesNo">ClimateZoneLookup!$BE$4:$BE$6</definedName>
    <definedName name="YN">ClimateZoneLookup!$BE$4:$BE$6</definedName>
    <definedName name="Z_64EBBD8A_4566_42FC_86CE_DB7AB51EA8C6_.wvu.Cols" localSheetId="17" hidden="1">'1.1 - APPLIANCES'!$T:$T</definedName>
    <definedName name="Z_64EBBD8A_4566_42FC_86CE_DB7AB51EA8C6_.wvu.Cols" localSheetId="18" hidden="1">'2.1-2.2 - DOMESTIC HOT WATER'!$V:$V</definedName>
    <definedName name="Z_64EBBD8A_4566_42FC_86CE_DB7AB51EA8C6_.wvu.Cols" localSheetId="20" hidden="1">'3.1 - ENV_ABOVE GRADE WALLS'!$Q:$Q</definedName>
    <definedName name="Z_64EBBD8A_4566_42FC_86CE_DB7AB51EA8C6_.wvu.Cols" localSheetId="19" hidden="1">'3.1 - ENV_BELOW GRADE WALLS'!$R:$R</definedName>
    <definedName name="Z_64EBBD8A_4566_42FC_86CE_DB7AB51EA8C6_.wvu.Cols" localSheetId="21" hidden="1">'3.2 - ENV_ROOF'!$Q:$Q</definedName>
    <definedName name="Z_64EBBD8A_4566_42FC_86CE_DB7AB51EA8C6_.wvu.Cols" localSheetId="22" hidden="1">'3.3 - ENV_FLOORS'!$Q:$Q</definedName>
    <definedName name="Z_64EBBD8A_4566_42FC_86CE_DB7AB51EA8C6_.wvu.Cols" localSheetId="23" hidden="1">'3.4 - ENV_WINDOWS'!$T:$T</definedName>
    <definedName name="Z_64EBBD8A_4566_42FC_86CE_DB7AB51EA8C6_.wvu.Cols" localSheetId="24" hidden="1">'3.5 - ENV_EXTERIOR DOORS'!$Q:$Q</definedName>
    <definedName name="Z_64EBBD8A_4566_42FC_86CE_DB7AB51EA8C6_.wvu.Cols" localSheetId="25" hidden="1">'4.1 - GARAGES_CMPTZ &amp; HEATING '!$N:$N</definedName>
    <definedName name="Z_64EBBD8A_4566_42FC_86CE_DB7AB51EA8C6_.wvu.Cols" localSheetId="26" hidden="1">'5.1, 5.3 - HEATING'!$V:$V</definedName>
    <definedName name="Z_64EBBD8A_4566_42FC_86CE_DB7AB51EA8C6_.wvu.Cols" localSheetId="27" hidden="1">'5.2, 5.4 - COOLING'!$U:$U</definedName>
    <definedName name="Z_64EBBD8A_4566_42FC_86CE_DB7AB51EA8C6_.wvu.Cols" localSheetId="28" hidden="1">'6.1, 6.2, 6.3 - LIGHTING'!$U:$U</definedName>
    <definedName name="Z_64EBBD8A_4566_42FC_86CE_DB7AB51EA8C6_.wvu.Cols" localSheetId="29" hidden="1">'7.1 - MOTORS'!$Q:$Q</definedName>
    <definedName name="Z_64EBBD8A_4566_42FC_86CE_DB7AB51EA8C6_.wvu.Cols" localSheetId="32" hidden="1">'8.1 - INF_BLOWER DOOR TEST'!$P:$P</definedName>
    <definedName name="Z_64EBBD8A_4566_42FC_86CE_DB7AB51EA8C6_.wvu.Cols" localSheetId="30" hidden="1">'8.1 - INF_EXT AIR BARRIER'!$N:$N</definedName>
    <definedName name="Z_64EBBD8A_4566_42FC_86CE_DB7AB51EA8C6_.wvu.Cols" localSheetId="31" hidden="1">'8.1-INF_COMPTZN VIS INSPECTION'!$N:$N</definedName>
    <definedName name="Z_64EBBD8A_4566_42FC_86CE_DB7AB51EA8C6_.wvu.Cols" localSheetId="34" hidden="1">'8.2 - VENT_DUCT TIGHTNESS'!$N:$P</definedName>
    <definedName name="Z_64EBBD8A_4566_42FC_86CE_DB7AB51EA8C6_.wvu.Cols" localSheetId="33" hidden="1">'8.2 - VENT_SCHEDULE&amp;TAB REPORT'!$X:$X</definedName>
    <definedName name="Z_64EBBD8A_4566_42FC_86CE_DB7AB51EA8C6_.wvu.Cols" localSheetId="35" hidden="1">'9.1 - METERS'!$R:$R</definedName>
    <definedName name="Z_64EBBD8A_4566_42FC_86CE_DB7AB51EA8C6_.wvu.Cols" localSheetId="16" hidden="1">Overview!$C:$C</definedName>
    <definedName name="Z_64EBBD8A_4566_42FC_86CE_DB7AB51EA8C6_.wvu.FilterData" localSheetId="19" hidden="1">'3.1 - ENV_BELOW GRADE WALLS'!$L$16:$L$24</definedName>
    <definedName name="Z_64EBBD8A_4566_42FC_86CE_DB7AB51EA8C6_.wvu.FilterData" localSheetId="25" hidden="1">'4.1 - GARAGES_CMPTZ &amp; HEATING '!$L$25:$L$27</definedName>
    <definedName name="Z_64EBBD8A_4566_42FC_86CE_DB7AB51EA8C6_.wvu.FilterData" localSheetId="30" hidden="1">'8.1 - INF_EXT AIR BARRIER'!$L$34:$L$46</definedName>
    <definedName name="Z_64EBBD8A_4566_42FC_86CE_DB7AB51EA8C6_.wvu.PrintArea" localSheetId="17" hidden="1">'1.1 - APPLIANCES'!$B$1:$P$33</definedName>
    <definedName name="Z_64EBBD8A_4566_42FC_86CE_DB7AB51EA8C6_.wvu.PrintArea" localSheetId="18" hidden="1">'2.1-2.2 - DOMESTIC HOT WATER'!$B$1:$P$59</definedName>
    <definedName name="Z_64EBBD8A_4566_42FC_86CE_DB7AB51EA8C6_.wvu.PrintArea" localSheetId="20" hidden="1">'3.1 - ENV_ABOVE GRADE WALLS'!$B$1:$J$68</definedName>
    <definedName name="Z_64EBBD8A_4566_42FC_86CE_DB7AB51EA8C6_.wvu.PrintArea" localSheetId="19" hidden="1">'3.1 - ENV_BELOW GRADE WALLS'!$B$1:$J$53</definedName>
    <definedName name="Z_64EBBD8A_4566_42FC_86CE_DB7AB51EA8C6_.wvu.PrintArea" localSheetId="21" hidden="1">'3.2 - ENV_ROOF'!$B$1:$J$52</definedName>
    <definedName name="Z_64EBBD8A_4566_42FC_86CE_DB7AB51EA8C6_.wvu.PrintArea" localSheetId="22" hidden="1">'3.3 - ENV_FLOORS'!$B$1:$J$74</definedName>
    <definedName name="Z_64EBBD8A_4566_42FC_86CE_DB7AB51EA8C6_.wvu.PrintArea" localSheetId="23" hidden="1">'3.4 - ENV_WINDOWS'!$B$1:$P$46</definedName>
    <definedName name="Z_64EBBD8A_4566_42FC_86CE_DB7AB51EA8C6_.wvu.PrintArea" localSheetId="24" hidden="1">'3.5 - ENV_EXTERIOR DOORS'!$B$1:$N$40</definedName>
    <definedName name="Z_64EBBD8A_4566_42FC_86CE_DB7AB51EA8C6_.wvu.PrintArea" localSheetId="25" hidden="1">'4.1 - GARAGES_CMPTZ &amp; HEATING '!$B$1:$J$27</definedName>
    <definedName name="Z_64EBBD8A_4566_42FC_86CE_DB7AB51EA8C6_.wvu.PrintArea" localSheetId="26" hidden="1">'5.1, 5.3 - HEATING'!$B$1:$P$87</definedName>
    <definedName name="Z_64EBBD8A_4566_42FC_86CE_DB7AB51EA8C6_.wvu.PrintArea" localSheetId="27" hidden="1">'5.2, 5.4 - COOLING'!$B$1:$Q$73</definedName>
    <definedName name="Z_64EBBD8A_4566_42FC_86CE_DB7AB51EA8C6_.wvu.PrintArea" localSheetId="28" hidden="1">'6.1, 6.2, 6.3 - LIGHTING'!$B$1:$Q$95</definedName>
    <definedName name="Z_64EBBD8A_4566_42FC_86CE_DB7AB51EA8C6_.wvu.PrintArea" localSheetId="29" hidden="1">'7.1 - MOTORS'!$B$1:$M$40</definedName>
    <definedName name="Z_64EBBD8A_4566_42FC_86CE_DB7AB51EA8C6_.wvu.PrintArea" localSheetId="32" hidden="1">'8.1 - INF_BLOWER DOOR TEST'!$B$1:$M$57</definedName>
    <definedName name="Z_64EBBD8A_4566_42FC_86CE_DB7AB51EA8C6_.wvu.PrintArea" localSheetId="30" hidden="1">'8.1 - INF_EXT AIR BARRIER'!$B$1:$J$71</definedName>
    <definedName name="Z_64EBBD8A_4566_42FC_86CE_DB7AB51EA8C6_.wvu.PrintArea" localSheetId="31" hidden="1">'8.1-INF_COMPTZN VIS INSPECTION'!$B$1:$J$52</definedName>
    <definedName name="Z_64EBBD8A_4566_42FC_86CE_DB7AB51EA8C6_.wvu.PrintArea" localSheetId="34" hidden="1">'8.2 - VENT_DUCT TIGHTNESS'!$B$1:$J$90</definedName>
    <definedName name="Z_64EBBD8A_4566_42FC_86CE_DB7AB51EA8C6_.wvu.PrintArea" localSheetId="33" hidden="1">'8.2 - VENT_SCHEDULE&amp;TAB REPORT'!$B$1:$S$84</definedName>
    <definedName name="Z_64EBBD8A_4566_42FC_86CE_DB7AB51EA8C6_.wvu.PrintArea" localSheetId="35" hidden="1">'9.1 - METERS'!$B$1:$N$33</definedName>
    <definedName name="Z_64EBBD8A_4566_42FC_86CE_DB7AB51EA8C6_.wvu.PrintArea" localSheetId="13" hidden="1">ERMs!$A$6:$C$60</definedName>
    <definedName name="Z_64EBBD8A_4566_42FC_86CE_DB7AB51EA8C6_.wvu.PrintArea" localSheetId="14" hidden="1">'Mod Prescriptive Path Checklist'!$B$1:$F$133</definedName>
    <definedName name="Z_64EBBD8A_4566_42FC_86CE_DB7AB51EA8C6_.wvu.PrintArea" localSheetId="16" hidden="1">Overview!$A$6:$F$292</definedName>
    <definedName name="Z_64EBBD8A_4566_42FC_86CE_DB7AB51EA8C6_.wvu.PrintTitles" localSheetId="13" hidden="1">ERMs!$6:$8</definedName>
    <definedName name="Z_F9A20F36_B02B_42EA_9527_78282515A3BC_.wvu.Cols" localSheetId="17" hidden="1">'1.1 - APPLIANCES'!$T:$T</definedName>
    <definedName name="Z_F9A20F36_B02B_42EA_9527_78282515A3BC_.wvu.Cols" localSheetId="18" hidden="1">'2.1-2.2 - DOMESTIC HOT WATER'!$V:$V</definedName>
    <definedName name="Z_F9A20F36_B02B_42EA_9527_78282515A3BC_.wvu.Cols" localSheetId="20" hidden="1">'3.1 - ENV_ABOVE GRADE WALLS'!$Q:$Q</definedName>
    <definedName name="Z_F9A20F36_B02B_42EA_9527_78282515A3BC_.wvu.Cols" localSheetId="19" hidden="1">'3.1 - ENV_BELOW GRADE WALLS'!$R:$R</definedName>
    <definedName name="Z_F9A20F36_B02B_42EA_9527_78282515A3BC_.wvu.Cols" localSheetId="21" hidden="1">'3.2 - ENV_ROOF'!$Q:$Q</definedName>
    <definedName name="Z_F9A20F36_B02B_42EA_9527_78282515A3BC_.wvu.Cols" localSheetId="22" hidden="1">'3.3 - ENV_FLOORS'!$Q:$Q</definedName>
    <definedName name="Z_F9A20F36_B02B_42EA_9527_78282515A3BC_.wvu.Cols" localSheetId="23" hidden="1">'3.4 - ENV_WINDOWS'!$T:$T</definedName>
    <definedName name="Z_F9A20F36_B02B_42EA_9527_78282515A3BC_.wvu.Cols" localSheetId="24" hidden="1">'3.5 - ENV_EXTERIOR DOORS'!$Q:$Q</definedName>
    <definedName name="Z_F9A20F36_B02B_42EA_9527_78282515A3BC_.wvu.Cols" localSheetId="25" hidden="1">'4.1 - GARAGES_CMPTZ &amp; HEATING '!$N:$N</definedName>
    <definedName name="Z_F9A20F36_B02B_42EA_9527_78282515A3BC_.wvu.Cols" localSheetId="26" hidden="1">'5.1, 5.3 - HEATING'!$V:$V</definedName>
    <definedName name="Z_F9A20F36_B02B_42EA_9527_78282515A3BC_.wvu.Cols" localSheetId="27" hidden="1">'5.2, 5.4 - COOLING'!$U:$U</definedName>
    <definedName name="Z_F9A20F36_B02B_42EA_9527_78282515A3BC_.wvu.Cols" localSheetId="28" hidden="1">'6.1, 6.2, 6.3 - LIGHTING'!$U:$U</definedName>
    <definedName name="Z_F9A20F36_B02B_42EA_9527_78282515A3BC_.wvu.Cols" localSheetId="29" hidden="1">'7.1 - MOTORS'!$Q:$Q</definedName>
    <definedName name="Z_F9A20F36_B02B_42EA_9527_78282515A3BC_.wvu.Cols" localSheetId="32" hidden="1">'8.1 - INF_BLOWER DOOR TEST'!$P:$P</definedName>
    <definedName name="Z_F9A20F36_B02B_42EA_9527_78282515A3BC_.wvu.Cols" localSheetId="30" hidden="1">'8.1 - INF_EXT AIR BARRIER'!$N:$N</definedName>
    <definedName name="Z_F9A20F36_B02B_42EA_9527_78282515A3BC_.wvu.Cols" localSheetId="31" hidden="1">'8.1-INF_COMPTZN VIS INSPECTION'!$N:$N</definedName>
    <definedName name="Z_F9A20F36_B02B_42EA_9527_78282515A3BC_.wvu.Cols" localSheetId="34" hidden="1">'8.2 - VENT_DUCT TIGHTNESS'!$N:$P</definedName>
    <definedName name="Z_F9A20F36_B02B_42EA_9527_78282515A3BC_.wvu.Cols" localSheetId="33" hidden="1">'8.2 - VENT_SCHEDULE&amp;TAB REPORT'!$X:$X</definedName>
    <definedName name="Z_F9A20F36_B02B_42EA_9527_78282515A3BC_.wvu.Cols" localSheetId="35" hidden="1">'9.1 - METERS'!$R:$R</definedName>
    <definedName name="Z_F9A20F36_B02B_42EA_9527_78282515A3BC_.wvu.Cols" localSheetId="16" hidden="1">Overview!$C:$C</definedName>
    <definedName name="Z_F9A20F36_B02B_42EA_9527_78282515A3BC_.wvu.FilterData" localSheetId="19" hidden="1">'3.1 - ENV_BELOW GRADE WALLS'!$L$16:$L$24</definedName>
    <definedName name="Z_F9A20F36_B02B_42EA_9527_78282515A3BC_.wvu.FilterData" localSheetId="25" hidden="1">'4.1 - GARAGES_CMPTZ &amp; HEATING '!$L$25:$L$27</definedName>
    <definedName name="Z_F9A20F36_B02B_42EA_9527_78282515A3BC_.wvu.FilterData" localSheetId="30" hidden="1">'8.1 - INF_EXT AIR BARRIER'!$L$34:$L$46</definedName>
    <definedName name="Z_F9A20F36_B02B_42EA_9527_78282515A3BC_.wvu.FilterData" localSheetId="14" hidden="1">'Mod Prescriptive Path Checklist'!$D$8:$F$8</definedName>
    <definedName name="Z_F9A20F36_B02B_42EA_9527_78282515A3BC_.wvu.PrintArea" localSheetId="17" hidden="1">'1.1 - APPLIANCES'!$B$1:$P$33</definedName>
    <definedName name="Z_F9A20F36_B02B_42EA_9527_78282515A3BC_.wvu.PrintArea" localSheetId="18" hidden="1">'2.1-2.2 - DOMESTIC HOT WATER'!$B$1:$P$59</definedName>
    <definedName name="Z_F9A20F36_B02B_42EA_9527_78282515A3BC_.wvu.PrintArea" localSheetId="20" hidden="1">'3.1 - ENV_ABOVE GRADE WALLS'!$B$1:$J$68</definedName>
    <definedName name="Z_F9A20F36_B02B_42EA_9527_78282515A3BC_.wvu.PrintArea" localSheetId="19" hidden="1">'3.1 - ENV_BELOW GRADE WALLS'!$B$1:$J$53</definedName>
    <definedName name="Z_F9A20F36_B02B_42EA_9527_78282515A3BC_.wvu.PrintArea" localSheetId="21" hidden="1">'3.2 - ENV_ROOF'!$B$1:$J$52</definedName>
    <definedName name="Z_F9A20F36_B02B_42EA_9527_78282515A3BC_.wvu.PrintArea" localSheetId="22" hidden="1">'3.3 - ENV_FLOORS'!$B$1:$J$74</definedName>
    <definedName name="Z_F9A20F36_B02B_42EA_9527_78282515A3BC_.wvu.PrintArea" localSheetId="23" hidden="1">'3.4 - ENV_WINDOWS'!$B$1:$P$46</definedName>
    <definedName name="Z_F9A20F36_B02B_42EA_9527_78282515A3BC_.wvu.PrintArea" localSheetId="24" hidden="1">'3.5 - ENV_EXTERIOR DOORS'!$B$1:$N$40</definedName>
    <definedName name="Z_F9A20F36_B02B_42EA_9527_78282515A3BC_.wvu.PrintArea" localSheetId="25" hidden="1">'4.1 - GARAGES_CMPTZ &amp; HEATING '!$B$1:$J$27</definedName>
    <definedName name="Z_F9A20F36_B02B_42EA_9527_78282515A3BC_.wvu.PrintArea" localSheetId="26" hidden="1">'5.1, 5.3 - HEATING'!$B$1:$P$87</definedName>
    <definedName name="Z_F9A20F36_B02B_42EA_9527_78282515A3BC_.wvu.PrintArea" localSheetId="27" hidden="1">'5.2, 5.4 - COOLING'!$B$1:$Q$73</definedName>
    <definedName name="Z_F9A20F36_B02B_42EA_9527_78282515A3BC_.wvu.PrintArea" localSheetId="28" hidden="1">'6.1, 6.2, 6.3 - LIGHTING'!$B$1:$Q$95</definedName>
    <definedName name="Z_F9A20F36_B02B_42EA_9527_78282515A3BC_.wvu.PrintArea" localSheetId="29" hidden="1">'7.1 - MOTORS'!$B$1:$M$40</definedName>
    <definedName name="Z_F9A20F36_B02B_42EA_9527_78282515A3BC_.wvu.PrintArea" localSheetId="32" hidden="1">'8.1 - INF_BLOWER DOOR TEST'!$B$1:$M$57</definedName>
    <definedName name="Z_F9A20F36_B02B_42EA_9527_78282515A3BC_.wvu.PrintArea" localSheetId="30" hidden="1">'8.1 - INF_EXT AIR BARRIER'!$B$1:$J$71</definedName>
    <definedName name="Z_F9A20F36_B02B_42EA_9527_78282515A3BC_.wvu.PrintArea" localSheetId="31" hidden="1">'8.1-INF_COMPTZN VIS INSPECTION'!$B$1:$J$52</definedName>
    <definedName name="Z_F9A20F36_B02B_42EA_9527_78282515A3BC_.wvu.PrintArea" localSheetId="34" hidden="1">'8.2 - VENT_DUCT TIGHTNESS'!$B$1:$J$90</definedName>
    <definedName name="Z_F9A20F36_B02B_42EA_9527_78282515A3BC_.wvu.PrintArea" localSheetId="33" hidden="1">'8.2 - VENT_SCHEDULE&amp;TAB REPORT'!$B$1:$S$84</definedName>
    <definedName name="Z_F9A20F36_B02B_42EA_9527_78282515A3BC_.wvu.PrintArea" localSheetId="35" hidden="1">'9.1 - METERS'!$B$1:$N$33</definedName>
    <definedName name="Z_F9A20F36_B02B_42EA_9527_78282515A3BC_.wvu.PrintArea" localSheetId="13" hidden="1">ERMs!$A$6:$C$60</definedName>
    <definedName name="Z_F9A20F36_B02B_42EA_9527_78282515A3BC_.wvu.PrintArea" localSheetId="14" hidden="1">'Mod Prescriptive Path Checklist'!$B$1:$F$133</definedName>
    <definedName name="Z_F9A20F36_B02B_42EA_9527_78282515A3BC_.wvu.PrintArea" localSheetId="16" hidden="1">Overview!$A$6:$F$292</definedName>
    <definedName name="Z_F9A20F36_B02B_42EA_9527_78282515A3BC_.wvu.PrintTitles" localSheetId="13" hidden="1">ERMs!$6:$8</definedName>
  </definedNames>
  <calcPr calcId="152511"/>
</workbook>
</file>

<file path=xl/calcChain.xml><?xml version="1.0" encoding="utf-8"?>
<calcChain xmlns="http://schemas.openxmlformats.org/spreadsheetml/2006/main">
  <c r="R57" i="13" l="1"/>
  <c r="Q57" i="13"/>
  <c r="AW65" i="15"/>
  <c r="AV65" i="15"/>
  <c r="AW64" i="15"/>
  <c r="AV64" i="15"/>
  <c r="AW63" i="15"/>
  <c r="AV63" i="15"/>
  <c r="AW62" i="15"/>
  <c r="AV62" i="15"/>
  <c r="AW61" i="15"/>
  <c r="AV61" i="15"/>
  <c r="AW60" i="15"/>
  <c r="AV60" i="15"/>
  <c r="AW59" i="15"/>
  <c r="AV59" i="15"/>
  <c r="AW58" i="15"/>
  <c r="AV58" i="15"/>
  <c r="AW57" i="15"/>
  <c r="AV57" i="15"/>
  <c r="AW56" i="15"/>
  <c r="AV56" i="15"/>
  <c r="AW55" i="15"/>
  <c r="AV55" i="15"/>
  <c r="AW54" i="15"/>
  <c r="AV54" i="15"/>
  <c r="AW53" i="15"/>
  <c r="AV53" i="15"/>
  <c r="AW52" i="15"/>
  <c r="AV52" i="15"/>
  <c r="AW51" i="15"/>
  <c r="AV51" i="15"/>
  <c r="AW50" i="15"/>
  <c r="AV50" i="15"/>
  <c r="AW49" i="15"/>
  <c r="AV49" i="15"/>
  <c r="AW48" i="15"/>
  <c r="AV48" i="15"/>
  <c r="AW47" i="15"/>
  <c r="AV47" i="15"/>
  <c r="AW46" i="15"/>
  <c r="AV46" i="15"/>
  <c r="AW45" i="15"/>
  <c r="AV45" i="15"/>
  <c r="AW44" i="15"/>
  <c r="AV44" i="15"/>
  <c r="AW43" i="15"/>
  <c r="AV43" i="15"/>
  <c r="AW42" i="15"/>
  <c r="AV42" i="15"/>
  <c r="AW41" i="15"/>
  <c r="AV41" i="15"/>
  <c r="AW40" i="15"/>
  <c r="AV40" i="15"/>
  <c r="AW39" i="15"/>
  <c r="AV39" i="15"/>
  <c r="AW38" i="15"/>
  <c r="AV38" i="15"/>
  <c r="AW37" i="15"/>
  <c r="AV37" i="15"/>
  <c r="AW36" i="15"/>
  <c r="AV36" i="15"/>
  <c r="AW35" i="15"/>
  <c r="AV35" i="15"/>
  <c r="AW34" i="15"/>
  <c r="AV34" i="15"/>
  <c r="AW33" i="15"/>
  <c r="AV33" i="15"/>
  <c r="AW32" i="15"/>
  <c r="AV32" i="15"/>
  <c r="AW31" i="15"/>
  <c r="AV31" i="15"/>
  <c r="AW30" i="15"/>
  <c r="AV30" i="15"/>
  <c r="AW29" i="15"/>
  <c r="AV29" i="15"/>
  <c r="AW28" i="15"/>
  <c r="AV28" i="15"/>
  <c r="AW27" i="15"/>
  <c r="AV27" i="15"/>
  <c r="AW26" i="15"/>
  <c r="AV26" i="15"/>
  <c r="AW25" i="15"/>
  <c r="AV25" i="15"/>
  <c r="AW24" i="15"/>
  <c r="AV24" i="15"/>
  <c r="AW23" i="15"/>
  <c r="AV23" i="15"/>
  <c r="AW22" i="15"/>
  <c r="AV22" i="15"/>
  <c r="AW21" i="15"/>
  <c r="AV21" i="15"/>
  <c r="AW20" i="15"/>
  <c r="AV20" i="15"/>
  <c r="AW19" i="15"/>
  <c r="AV19" i="15"/>
  <c r="AW18" i="15"/>
  <c r="AV18" i="15"/>
  <c r="AW17" i="15"/>
  <c r="AV17" i="15"/>
  <c r="AW16" i="15"/>
  <c r="AV16" i="15"/>
  <c r="AW15" i="15"/>
  <c r="AV15" i="15"/>
  <c r="AW14" i="15"/>
  <c r="AV14" i="15"/>
  <c r="AW13" i="15"/>
  <c r="AV13" i="15"/>
  <c r="AW12" i="15"/>
  <c r="AV12" i="15"/>
  <c r="AW11" i="15"/>
  <c r="AV11" i="15"/>
  <c r="AW10" i="15"/>
  <c r="AV10" i="15"/>
  <c r="AW9" i="15"/>
  <c r="AV9" i="15"/>
  <c r="AW8" i="15"/>
  <c r="AV8" i="15"/>
  <c r="AW7" i="15"/>
  <c r="AV7" i="15"/>
  <c r="AW6" i="15"/>
  <c r="AV6" i="15"/>
  <c r="AW5" i="15"/>
  <c r="AV5" i="15"/>
  <c r="AW4" i="15"/>
  <c r="AV4" i="15"/>
  <c r="C69" i="53" l="1"/>
  <c r="C68" i="53"/>
  <c r="C57" i="13" l="1"/>
  <c r="D57" i="13"/>
  <c r="F57" i="3"/>
  <c r="D51" i="18" s="1"/>
  <c r="E57" i="3"/>
  <c r="D57" i="3"/>
  <c r="C57" i="3"/>
  <c r="C51" i="18" l="1"/>
  <c r="AK80" i="18"/>
  <c r="AL80" i="18" s="1"/>
  <c r="AK30" i="18"/>
  <c r="AL30" i="18" s="1"/>
  <c r="U29" i="3" l="1"/>
  <c r="I31" i="18" l="1"/>
  <c r="M52" i="13"/>
  <c r="M54" i="13"/>
  <c r="M53" i="13"/>
  <c r="M51" i="13"/>
  <c r="M50" i="13"/>
  <c r="M49" i="13"/>
  <c r="M48" i="13"/>
  <c r="M47" i="13"/>
  <c r="M46" i="13"/>
  <c r="M45" i="13"/>
  <c r="M43" i="13"/>
  <c r="M42" i="13"/>
  <c r="M40" i="13"/>
  <c r="M41" i="13"/>
  <c r="M39" i="13"/>
  <c r="M38" i="13"/>
  <c r="I3" i="18"/>
  <c r="H3" i="18"/>
  <c r="H2" i="18"/>
  <c r="I2" i="18"/>
  <c r="I45" i="18" l="1"/>
  <c r="I46" i="18"/>
  <c r="I47" i="18"/>
  <c r="I48" i="18"/>
  <c r="I49" i="18"/>
  <c r="I50" i="18"/>
  <c r="I44" i="18"/>
  <c r="I43" i="18"/>
  <c r="I42" i="18"/>
  <c r="I40" i="18"/>
  <c r="I41" i="18"/>
  <c r="I39" i="18"/>
  <c r="I33" i="18"/>
  <c r="I34" i="18"/>
  <c r="I35" i="18"/>
  <c r="I36" i="18"/>
  <c r="I37" i="18"/>
  <c r="I32" i="18"/>
  <c r="J32" i="18" s="1"/>
  <c r="AH32" i="18" s="1"/>
  <c r="I30" i="18"/>
  <c r="I28" i="18"/>
  <c r="I27" i="18"/>
  <c r="I25" i="18"/>
  <c r="I22" i="18"/>
  <c r="I12" i="18"/>
  <c r="I13" i="18"/>
  <c r="I15" i="18"/>
  <c r="I16" i="18"/>
  <c r="I18" i="18"/>
  <c r="I11" i="18"/>
  <c r="J2" i="18"/>
  <c r="I10" i="18"/>
  <c r="I9" i="18"/>
  <c r="I8" i="18"/>
  <c r="I7" i="18"/>
  <c r="I6" i="18"/>
  <c r="I4" i="18"/>
  <c r="H4" i="18"/>
  <c r="J3" i="18"/>
  <c r="I5" i="18"/>
  <c r="I87" i="18"/>
  <c r="J87" i="18" s="1"/>
  <c r="I85" i="18"/>
  <c r="J85" i="18" s="1"/>
  <c r="AH85" i="18" s="1"/>
  <c r="I80" i="18"/>
  <c r="J80" i="18" s="1"/>
  <c r="AH80" i="18" s="1"/>
  <c r="I79" i="18"/>
  <c r="J79" i="18" s="1"/>
  <c r="AH79" i="18" s="1"/>
  <c r="I78" i="18"/>
  <c r="J78" i="18" s="1"/>
  <c r="AH78" i="18" s="1"/>
  <c r="I75" i="18"/>
  <c r="H80" i="18"/>
  <c r="H75" i="18"/>
  <c r="H50" i="18"/>
  <c r="H45" i="18"/>
  <c r="H46" i="18"/>
  <c r="H47" i="18"/>
  <c r="H48" i="18"/>
  <c r="H49" i="18"/>
  <c r="H44" i="18"/>
  <c r="H43" i="18"/>
  <c r="H42" i="18"/>
  <c r="H40" i="18"/>
  <c r="H41" i="18"/>
  <c r="H39" i="18"/>
  <c r="H33" i="18"/>
  <c r="H34" i="18"/>
  <c r="H35" i="18"/>
  <c r="H36" i="18"/>
  <c r="H37" i="18"/>
  <c r="H32" i="18"/>
  <c r="H31" i="18"/>
  <c r="J31" i="18" s="1"/>
  <c r="AH31" i="18" s="1"/>
  <c r="H30" i="18"/>
  <c r="H28" i="18"/>
  <c r="H27" i="18"/>
  <c r="H25" i="18"/>
  <c r="H22" i="18"/>
  <c r="H12" i="18"/>
  <c r="H13" i="18"/>
  <c r="H15" i="18"/>
  <c r="H16" i="18"/>
  <c r="J16" i="18" s="1"/>
  <c r="H18" i="18"/>
  <c r="H11" i="18"/>
  <c r="H10" i="18"/>
  <c r="H9" i="18"/>
  <c r="H8" i="18"/>
  <c r="H7" i="18"/>
  <c r="H6" i="18"/>
  <c r="H5" i="18"/>
  <c r="U57" i="3"/>
  <c r="J39" i="18" l="1"/>
  <c r="AH39" i="18" s="1"/>
  <c r="J43" i="18"/>
  <c r="AH43" i="18" s="1"/>
  <c r="J47" i="18"/>
  <c r="AH47" i="18" s="1"/>
  <c r="J8" i="18"/>
  <c r="AH8" i="18" s="1"/>
  <c r="J5" i="18"/>
  <c r="AH5" i="18" s="1"/>
  <c r="J7" i="18"/>
  <c r="AH7" i="18" s="1"/>
  <c r="J15" i="18"/>
  <c r="AH15" i="18" s="1"/>
  <c r="J27" i="18"/>
  <c r="AH27" i="18" s="1"/>
  <c r="J18" i="18"/>
  <c r="AH18" i="18" s="1"/>
  <c r="J22" i="18"/>
  <c r="AH22" i="18" s="1"/>
  <c r="J28" i="18"/>
  <c r="AH28" i="18" s="1"/>
  <c r="J4" i="18"/>
  <c r="AH4" i="18" s="1"/>
  <c r="J9" i="18"/>
  <c r="AH9" i="18" s="1"/>
  <c r="J30" i="18"/>
  <c r="AH30" i="18" s="1"/>
  <c r="J75" i="18"/>
  <c r="AH75" i="18" s="1"/>
  <c r="J6" i="18"/>
  <c r="AH6" i="18" s="1"/>
  <c r="J10" i="18"/>
  <c r="AH10" i="18" s="1"/>
  <c r="J48" i="18"/>
  <c r="AH48" i="18" s="1"/>
  <c r="J41" i="18"/>
  <c r="AH41" i="18" s="1"/>
  <c r="J13" i="18"/>
  <c r="AH13" i="18" s="1"/>
  <c r="J25" i="18"/>
  <c r="J40" i="18"/>
  <c r="AH40" i="18" s="1"/>
  <c r="J11" i="18"/>
  <c r="J12" i="18"/>
  <c r="AH12" i="18" s="1"/>
  <c r="J37" i="18"/>
  <c r="AH37" i="18" s="1"/>
  <c r="J42" i="18"/>
  <c r="AH42" i="18" s="1"/>
  <c r="J45" i="18"/>
  <c r="AH45" i="18" s="1"/>
  <c r="J46" i="18"/>
  <c r="AH46" i="18" s="1"/>
  <c r="J36" i="18"/>
  <c r="AH36" i="18" s="1"/>
  <c r="J34" i="18"/>
  <c r="AH34" i="18" s="1"/>
  <c r="J33" i="18"/>
  <c r="AH33" i="18" s="1"/>
  <c r="J50" i="18"/>
  <c r="AH50" i="18" s="1"/>
  <c r="J44" i="18"/>
  <c r="AH44" i="18" s="1"/>
  <c r="J49" i="18"/>
  <c r="AH49" i="18" s="1"/>
  <c r="J35" i="18"/>
  <c r="AH35" i="18" s="1"/>
  <c r="D52" i="53" l="1"/>
  <c r="D51" i="53"/>
  <c r="H19" i="53"/>
  <c r="H18" i="53"/>
  <c r="H17" i="53"/>
  <c r="M18" i="53"/>
  <c r="L18" i="53"/>
  <c r="M12" i="53"/>
  <c r="L12" i="53"/>
  <c r="C77" i="53"/>
  <c r="C113" i="53"/>
  <c r="C112" i="53"/>
  <c r="E85" i="53"/>
  <c r="C84" i="53"/>
  <c r="F90" i="53" s="1"/>
  <c r="D63" i="53" s="1"/>
  <c r="C19" i="53"/>
  <c r="H20" i="53" l="1"/>
  <c r="E90" i="53"/>
  <c r="H51" i="3" l="1"/>
  <c r="H52" i="3"/>
  <c r="H53" i="3"/>
  <c r="H50" i="3"/>
  <c r="H54" i="3"/>
  <c r="C48" i="25" l="1"/>
  <c r="C49" i="25"/>
  <c r="C50" i="25"/>
  <c r="C45" i="25"/>
  <c r="C3" i="25"/>
  <c r="W87" i="18" l="1"/>
  <c r="W6" i="18"/>
  <c r="W7" i="18"/>
  <c r="W8" i="18"/>
  <c r="W9" i="18"/>
  <c r="W11" i="18"/>
  <c r="W12" i="18"/>
  <c r="W13" i="18"/>
  <c r="W14" i="18"/>
  <c r="W15" i="18"/>
  <c r="W16" i="18"/>
  <c r="W17" i="18"/>
  <c r="W18" i="18"/>
  <c r="W20" i="18"/>
  <c r="W21" i="18"/>
  <c r="W22" i="18"/>
  <c r="W25" i="18"/>
  <c r="W27" i="18"/>
  <c r="W28" i="18"/>
  <c r="W30" i="18"/>
  <c r="W31" i="18"/>
  <c r="W32" i="18"/>
  <c r="W33" i="18"/>
  <c r="W34" i="18"/>
  <c r="W35" i="18"/>
  <c r="W36" i="18"/>
  <c r="W37" i="18"/>
  <c r="W39" i="18"/>
  <c r="W40" i="18"/>
  <c r="W41" i="18"/>
  <c r="W42" i="18"/>
  <c r="W43" i="18"/>
  <c r="W44" i="18"/>
  <c r="W45" i="18"/>
  <c r="W46" i="18"/>
  <c r="W47" i="18"/>
  <c r="W48" i="18"/>
  <c r="W49" i="18"/>
  <c r="W50" i="18"/>
  <c r="W51" i="18"/>
  <c r="W52" i="18"/>
  <c r="W54" i="18"/>
  <c r="W55" i="18"/>
  <c r="W56" i="18"/>
  <c r="W57" i="18"/>
  <c r="W58" i="18"/>
  <c r="W61" i="18"/>
  <c r="W66" i="18"/>
  <c r="W67" i="18"/>
  <c r="W68" i="18"/>
  <c r="W69" i="18"/>
  <c r="W75" i="18"/>
  <c r="W78" i="18"/>
  <c r="W79" i="18"/>
  <c r="W80" i="18"/>
  <c r="W82" i="18"/>
  <c r="W83" i="18"/>
  <c r="W85" i="18"/>
  <c r="Q5" i="18" l="1"/>
  <c r="I49" i="13" l="1"/>
  <c r="F49" i="13"/>
  <c r="C49" i="13"/>
  <c r="D48" i="13" l="1"/>
  <c r="E112" i="3" l="1"/>
  <c r="I62" i="3"/>
  <c r="I63" i="3"/>
  <c r="I64" i="3"/>
  <c r="I65" i="3"/>
  <c r="I66" i="3"/>
  <c r="I67" i="3"/>
  <c r="I68" i="3"/>
  <c r="I69" i="3"/>
  <c r="I70" i="3"/>
  <c r="I71" i="3"/>
  <c r="I72" i="3"/>
  <c r="I61" i="3"/>
  <c r="I56" i="3"/>
  <c r="I55" i="3"/>
  <c r="I57" i="3"/>
  <c r="I50" i="3"/>
  <c r="I51" i="3"/>
  <c r="I52" i="3"/>
  <c r="I53" i="3"/>
  <c r="I54" i="3"/>
  <c r="I49" i="3"/>
  <c r="I47" i="3"/>
  <c r="I46" i="3"/>
  <c r="I45" i="3"/>
  <c r="C113" i="3" l="1"/>
  <c r="E21" i="18" s="1"/>
  <c r="K23" i="14"/>
  <c r="D30" i="50"/>
  <c r="E30" i="50" s="1"/>
  <c r="D28" i="50"/>
  <c r="E28" i="50" s="1"/>
  <c r="D29" i="50"/>
  <c r="E29" i="50" s="1"/>
  <c r="D27" i="50"/>
  <c r="E27" i="50" s="1"/>
  <c r="K20" i="14"/>
  <c r="K19" i="14"/>
  <c r="K18" i="14"/>
  <c r="K16" i="14"/>
  <c r="D26" i="50"/>
  <c r="J8" i="14"/>
  <c r="D24" i="50"/>
  <c r="G24" i="50" s="1"/>
  <c r="D23" i="50"/>
  <c r="D22" i="50"/>
  <c r="F22" i="50" s="1"/>
  <c r="D16" i="50"/>
  <c r="D17" i="50"/>
  <c r="D18" i="50"/>
  <c r="H18" i="50" s="1"/>
  <c r="D19" i="50"/>
  <c r="H19" i="50" s="1"/>
  <c r="D20" i="50"/>
  <c r="H20" i="50" s="1"/>
  <c r="D21" i="50"/>
  <c r="G21" i="50" s="1"/>
  <c r="D15" i="50"/>
  <c r="B12" i="50"/>
  <c r="G19" i="50" s="1"/>
  <c r="E22" i="18" l="1"/>
  <c r="E25" i="18"/>
  <c r="E18" i="18"/>
  <c r="E20" i="18"/>
  <c r="E26" i="50"/>
  <c r="G23" i="50"/>
  <c r="H24" i="50"/>
  <c r="H22" i="50"/>
  <c r="F23" i="50"/>
  <c r="H21" i="50"/>
  <c r="F21" i="50"/>
  <c r="G20" i="50"/>
  <c r="F20" i="50"/>
  <c r="F19" i="50"/>
  <c r="G22" i="50"/>
  <c r="F24" i="50"/>
  <c r="F18" i="50"/>
  <c r="G18" i="50"/>
  <c r="H23" i="50"/>
  <c r="G17" i="50"/>
  <c r="H17" i="50"/>
  <c r="F17" i="50"/>
  <c r="H15" i="50"/>
  <c r="H16" i="50"/>
  <c r="G16" i="50"/>
  <c r="F16" i="50"/>
  <c r="G15" i="50"/>
  <c r="F15" i="50"/>
  <c r="Q10" i="18" l="1"/>
  <c r="W10" i="18" s="1"/>
  <c r="C3" i="49" l="1"/>
  <c r="D74" i="48"/>
  <c r="D76" i="48" s="1"/>
  <c r="D73" i="48"/>
  <c r="D77" i="48" s="1"/>
  <c r="H68" i="48"/>
  <c r="F68" i="48"/>
  <c r="G68" i="48" s="1"/>
  <c r="I68" i="48" s="1"/>
  <c r="H67" i="48"/>
  <c r="F67" i="48"/>
  <c r="G67" i="48" s="1"/>
  <c r="I67" i="48" s="1"/>
  <c r="H66" i="48"/>
  <c r="F66" i="48"/>
  <c r="G66" i="48" s="1"/>
  <c r="I66" i="48" s="1"/>
  <c r="H65" i="48"/>
  <c r="F65" i="48"/>
  <c r="G65" i="48" s="1"/>
  <c r="I65" i="48" s="1"/>
  <c r="H64" i="48"/>
  <c r="D78" i="48" s="1"/>
  <c r="F64" i="48"/>
  <c r="G64" i="48" s="1"/>
  <c r="I64" i="48" s="1"/>
  <c r="G54" i="48"/>
  <c r="F54" i="48"/>
  <c r="G53" i="48"/>
  <c r="F53" i="48"/>
  <c r="G52" i="48"/>
  <c r="F52" i="48"/>
  <c r="G51" i="48"/>
  <c r="F51" i="48"/>
  <c r="G50" i="48"/>
  <c r="F50" i="48"/>
  <c r="G49" i="48"/>
  <c r="F49" i="48"/>
  <c r="G48" i="48"/>
  <c r="F48" i="48"/>
  <c r="G47" i="48"/>
  <c r="F47" i="48"/>
  <c r="G46" i="48"/>
  <c r="F46" i="48"/>
  <c r="C33" i="48"/>
  <c r="E32" i="48"/>
  <c r="C277" i="30" s="1"/>
  <c r="C32" i="48"/>
  <c r="C3" i="48"/>
  <c r="D138" i="47"/>
  <c r="E138" i="47" s="1"/>
  <c r="D137" i="47"/>
  <c r="E137" i="47" s="1"/>
  <c r="E130" i="47"/>
  <c r="E129" i="47"/>
  <c r="E128" i="47"/>
  <c r="E127" i="47"/>
  <c r="E126" i="47"/>
  <c r="F122" i="47"/>
  <c r="E122" i="47"/>
  <c r="E121" i="47"/>
  <c r="F121" i="47" s="1"/>
  <c r="E120" i="47"/>
  <c r="F120" i="47" s="1"/>
  <c r="E119" i="47"/>
  <c r="F119" i="47" s="1"/>
  <c r="E118" i="47"/>
  <c r="F118" i="47" s="1"/>
  <c r="E117" i="47"/>
  <c r="F117" i="47" s="1"/>
  <c r="D111" i="47"/>
  <c r="E110" i="47"/>
  <c r="F110" i="47" s="1"/>
  <c r="F109" i="47"/>
  <c r="E109" i="47"/>
  <c r="E108" i="47"/>
  <c r="F108" i="47" s="1"/>
  <c r="E107" i="47"/>
  <c r="F107" i="47" s="1"/>
  <c r="E106" i="47"/>
  <c r="F106" i="47" s="1"/>
  <c r="E105" i="47"/>
  <c r="F105" i="47" s="1"/>
  <c r="E104" i="47"/>
  <c r="F104" i="47" s="1"/>
  <c r="E103" i="47"/>
  <c r="F103" i="47" s="1"/>
  <c r="E102" i="47"/>
  <c r="F102" i="47" s="1"/>
  <c r="I94" i="47"/>
  <c r="G93" i="47"/>
  <c r="F93" i="47"/>
  <c r="E93" i="47"/>
  <c r="J92" i="47"/>
  <c r="K92" i="47" s="1"/>
  <c r="G92" i="47"/>
  <c r="F92" i="47"/>
  <c r="E92" i="47"/>
  <c r="G91" i="47"/>
  <c r="F91" i="47"/>
  <c r="E91" i="47"/>
  <c r="G90" i="47"/>
  <c r="F90" i="47"/>
  <c r="J90" i="47" s="1"/>
  <c r="K90" i="47" s="1"/>
  <c r="E90" i="47"/>
  <c r="G89" i="47"/>
  <c r="F89" i="47"/>
  <c r="E89" i="47"/>
  <c r="F59" i="47"/>
  <c r="G57" i="47"/>
  <c r="C258" i="30" s="1"/>
  <c r="G56" i="47"/>
  <c r="G55" i="47"/>
  <c r="C256" i="30" s="1"/>
  <c r="E55" i="47"/>
  <c r="B60" i="27" s="1"/>
  <c r="G54" i="47"/>
  <c r="C255" i="30" s="1"/>
  <c r="G53" i="47"/>
  <c r="E53" i="47"/>
  <c r="B58" i="27" s="1"/>
  <c r="G52" i="47"/>
  <c r="C253" i="30" s="1"/>
  <c r="E52" i="47"/>
  <c r="G51" i="47"/>
  <c r="C252" i="30" s="1"/>
  <c r="E51" i="47"/>
  <c r="B59" i="27" s="1"/>
  <c r="C3" i="47"/>
  <c r="I57" i="46"/>
  <c r="K57" i="46" s="1"/>
  <c r="I56" i="46"/>
  <c r="K56" i="46" s="1"/>
  <c r="I55" i="46"/>
  <c r="K55" i="46" s="1"/>
  <c r="I54" i="46"/>
  <c r="K54" i="46" s="1"/>
  <c r="I53" i="46"/>
  <c r="K53" i="46" s="1"/>
  <c r="I52" i="46"/>
  <c r="K52" i="46" s="1"/>
  <c r="I51" i="46"/>
  <c r="K51" i="46" s="1"/>
  <c r="I50" i="46"/>
  <c r="K50" i="46" s="1"/>
  <c r="I49" i="46"/>
  <c r="K49" i="46" s="1"/>
  <c r="C41" i="46"/>
  <c r="C3" i="46"/>
  <c r="C3" i="45"/>
  <c r="C47" i="44"/>
  <c r="C3" i="44"/>
  <c r="F36" i="43"/>
  <c r="C182" i="30" s="1"/>
  <c r="D36" i="43"/>
  <c r="F35" i="43"/>
  <c r="D35" i="43"/>
  <c r="F34" i="43"/>
  <c r="D34" i="43"/>
  <c r="C3" i="43"/>
  <c r="F92" i="42"/>
  <c r="C174" i="30" s="1"/>
  <c r="F91" i="42"/>
  <c r="C173" i="30" s="1"/>
  <c r="D90" i="42"/>
  <c r="F88" i="42"/>
  <c r="C170" i="30" s="1"/>
  <c r="D88" i="42"/>
  <c r="F87" i="42"/>
  <c r="C169" i="30" s="1"/>
  <c r="D87" i="42"/>
  <c r="D86" i="42"/>
  <c r="F85" i="42"/>
  <c r="C167" i="30" s="1"/>
  <c r="F84" i="42"/>
  <c r="C166" i="30" s="1"/>
  <c r="D84" i="42"/>
  <c r="H78" i="42"/>
  <c r="J78" i="42" s="1"/>
  <c r="H77" i="42"/>
  <c r="J77" i="42" s="1"/>
  <c r="H76" i="42"/>
  <c r="J76" i="42" s="1"/>
  <c r="H75" i="42"/>
  <c r="J75" i="42" s="1"/>
  <c r="H74" i="42"/>
  <c r="J74" i="42" s="1"/>
  <c r="H73" i="42"/>
  <c r="J73" i="42" s="1"/>
  <c r="H72" i="42"/>
  <c r="J72" i="42" s="1"/>
  <c r="H71" i="42"/>
  <c r="J71" i="42" s="1"/>
  <c r="H70" i="42"/>
  <c r="J70" i="42" s="1"/>
  <c r="H69" i="42"/>
  <c r="J69" i="42" s="1"/>
  <c r="H68" i="42"/>
  <c r="J68" i="42" s="1"/>
  <c r="H67" i="42"/>
  <c r="J67" i="42" s="1"/>
  <c r="H66" i="42"/>
  <c r="J66" i="42" s="1"/>
  <c r="H65" i="42"/>
  <c r="J65" i="42" s="1"/>
  <c r="H64" i="42"/>
  <c r="J64" i="42" s="1"/>
  <c r="H61" i="42"/>
  <c r="J61" i="42" s="1"/>
  <c r="H60" i="42"/>
  <c r="J60" i="42" s="1"/>
  <c r="H59" i="42"/>
  <c r="J59" i="42" s="1"/>
  <c r="H58" i="42"/>
  <c r="J58" i="42" s="1"/>
  <c r="H57" i="42"/>
  <c r="J57" i="42" s="1"/>
  <c r="H56" i="42"/>
  <c r="J56" i="42" s="1"/>
  <c r="H55" i="42"/>
  <c r="J55" i="42" s="1"/>
  <c r="H54" i="42"/>
  <c r="J54" i="42" s="1"/>
  <c r="H53" i="42"/>
  <c r="J53" i="42" s="1"/>
  <c r="H52" i="42"/>
  <c r="J52" i="42" s="1"/>
  <c r="H51" i="42"/>
  <c r="J51" i="42" s="1"/>
  <c r="H50" i="42"/>
  <c r="J50" i="42" s="1"/>
  <c r="H49" i="42"/>
  <c r="J49" i="42" s="1"/>
  <c r="H48" i="42"/>
  <c r="J48" i="42" s="1"/>
  <c r="H47" i="42"/>
  <c r="J47" i="42" s="1"/>
  <c r="L43" i="42"/>
  <c r="L42" i="42"/>
  <c r="L41" i="42"/>
  <c r="L40" i="42"/>
  <c r="L39" i="42"/>
  <c r="L38" i="42"/>
  <c r="L37" i="42"/>
  <c r="L36" i="42"/>
  <c r="L35" i="42"/>
  <c r="L34" i="42"/>
  <c r="C3" i="42"/>
  <c r="L73" i="41"/>
  <c r="K73" i="41"/>
  <c r="L72" i="41"/>
  <c r="K72" i="41"/>
  <c r="L71" i="41"/>
  <c r="K71" i="41"/>
  <c r="L70" i="41"/>
  <c r="K70" i="41"/>
  <c r="L69" i="41"/>
  <c r="K69" i="41"/>
  <c r="L68" i="41"/>
  <c r="K68" i="41"/>
  <c r="L67" i="41"/>
  <c r="K67" i="41"/>
  <c r="L66" i="41"/>
  <c r="K66" i="41"/>
  <c r="L65" i="41"/>
  <c r="K65" i="41"/>
  <c r="E37" i="41"/>
  <c r="C136" i="30" s="1"/>
  <c r="E36" i="41"/>
  <c r="E35" i="41"/>
  <c r="C134" i="30" s="1"/>
  <c r="D35" i="41"/>
  <c r="D33" i="41"/>
  <c r="C3" i="41"/>
  <c r="K87" i="40"/>
  <c r="J87" i="40"/>
  <c r="K86" i="40"/>
  <c r="J86" i="40"/>
  <c r="K85" i="40"/>
  <c r="J85" i="40"/>
  <c r="K84" i="40"/>
  <c r="J84" i="40"/>
  <c r="K83" i="40"/>
  <c r="J83" i="40"/>
  <c r="K82" i="40"/>
  <c r="J82" i="40"/>
  <c r="K81" i="40"/>
  <c r="J81" i="40"/>
  <c r="K80" i="40"/>
  <c r="J80" i="40"/>
  <c r="K79" i="40"/>
  <c r="J79" i="40"/>
  <c r="F50" i="40"/>
  <c r="F49" i="40"/>
  <c r="F48" i="40"/>
  <c r="D48" i="40"/>
  <c r="F47" i="40"/>
  <c r="F46" i="40"/>
  <c r="C102" i="30" s="1"/>
  <c r="D46" i="40"/>
  <c r="D44" i="40"/>
  <c r="C3" i="40"/>
  <c r="D24" i="39"/>
  <c r="D23" i="39"/>
  <c r="C3" i="39"/>
  <c r="E33" i="38"/>
  <c r="B33" i="38"/>
  <c r="C3" i="38"/>
  <c r="E39" i="37"/>
  <c r="C76" i="30" s="1"/>
  <c r="C3" i="37"/>
  <c r="D68" i="36"/>
  <c r="D64" i="36"/>
  <c r="C66" i="30" s="1"/>
  <c r="B64" i="36"/>
  <c r="D54" i="36"/>
  <c r="C65" i="30" s="1"/>
  <c r="B54" i="36"/>
  <c r="D44" i="36"/>
  <c r="C64" i="30" s="1"/>
  <c r="B44" i="36"/>
  <c r="D34" i="36"/>
  <c r="B34" i="36"/>
  <c r="C3" i="36"/>
  <c r="D49" i="35"/>
  <c r="D46" i="35"/>
  <c r="C56" i="30" s="1"/>
  <c r="B46" i="35"/>
  <c r="C3" i="35"/>
  <c r="D63" i="34"/>
  <c r="E60" i="34"/>
  <c r="D60" i="34"/>
  <c r="E46" i="34"/>
  <c r="D46" i="34"/>
  <c r="C3" i="34"/>
  <c r="D50" i="33"/>
  <c r="D45" i="33"/>
  <c r="C39" i="30" s="1"/>
  <c r="B45" i="33"/>
  <c r="C3" i="33"/>
  <c r="F50" i="32"/>
  <c r="C27" i="30" s="1"/>
  <c r="D50" i="32"/>
  <c r="F49" i="32"/>
  <c r="C26" i="30" s="1"/>
  <c r="D49" i="32"/>
  <c r="F48" i="32"/>
  <c r="C25" i="30" s="1"/>
  <c r="D48" i="32"/>
  <c r="D46" i="32"/>
  <c r="C3" i="32"/>
  <c r="E32" i="31"/>
  <c r="C20" i="30" s="1"/>
  <c r="E30" i="31"/>
  <c r="C19" i="30" s="1"/>
  <c r="E29" i="31"/>
  <c r="C18" i="30" s="1"/>
  <c r="E28" i="31"/>
  <c r="C17" i="30" s="1"/>
  <c r="E27" i="31"/>
  <c r="C16" i="30" s="1"/>
  <c r="E26" i="31"/>
  <c r="C26" i="31"/>
  <c r="C3" i="31"/>
  <c r="I292" i="30"/>
  <c r="G292" i="30"/>
  <c r="I291" i="30"/>
  <c r="G291" i="30"/>
  <c r="I290" i="30"/>
  <c r="G290" i="30"/>
  <c r="I289" i="30"/>
  <c r="G289" i="30"/>
  <c r="I288" i="30"/>
  <c r="H288" i="30"/>
  <c r="G288" i="30"/>
  <c r="F288" i="30"/>
  <c r="E288" i="30"/>
  <c r="D288" i="30"/>
  <c r="I287" i="30"/>
  <c r="H287" i="30"/>
  <c r="G287" i="30"/>
  <c r="F287" i="30"/>
  <c r="E287" i="30"/>
  <c r="D287" i="30"/>
  <c r="I285" i="30"/>
  <c r="G285" i="30"/>
  <c r="I284" i="30"/>
  <c r="G284" i="30"/>
  <c r="I283" i="30"/>
  <c r="G283" i="30"/>
  <c r="I282" i="30"/>
  <c r="G282" i="30"/>
  <c r="I281" i="30"/>
  <c r="G281" i="30"/>
  <c r="I280" i="30"/>
  <c r="G280" i="30"/>
  <c r="I279" i="30"/>
  <c r="G279" i="30"/>
  <c r="I278" i="30"/>
  <c r="G278" i="30"/>
  <c r="I277" i="30"/>
  <c r="H277" i="30"/>
  <c r="G277" i="30"/>
  <c r="F277" i="30"/>
  <c r="E277" i="30"/>
  <c r="D277" i="30"/>
  <c r="I276" i="30"/>
  <c r="H276" i="30"/>
  <c r="G276" i="30"/>
  <c r="F276" i="30"/>
  <c r="E276" i="30"/>
  <c r="D276" i="30"/>
  <c r="F275" i="30"/>
  <c r="E275" i="30"/>
  <c r="D275" i="30"/>
  <c r="I273" i="30"/>
  <c r="G273" i="30"/>
  <c r="I272" i="30"/>
  <c r="G272" i="30"/>
  <c r="I271" i="30"/>
  <c r="G271" i="30"/>
  <c r="I270" i="30"/>
  <c r="G270" i="30"/>
  <c r="I269" i="30"/>
  <c r="H269" i="30"/>
  <c r="G269" i="30"/>
  <c r="F269" i="30"/>
  <c r="E269" i="30"/>
  <c r="D269" i="30"/>
  <c r="I268" i="30"/>
  <c r="H268" i="30"/>
  <c r="G268" i="30"/>
  <c r="F268" i="30"/>
  <c r="E268" i="30"/>
  <c r="D268" i="30"/>
  <c r="I267" i="30"/>
  <c r="H267" i="30"/>
  <c r="G267" i="30"/>
  <c r="F267" i="30"/>
  <c r="E267" i="30"/>
  <c r="D267" i="30"/>
  <c r="I266" i="30"/>
  <c r="H266" i="30"/>
  <c r="G266" i="30"/>
  <c r="F266" i="30"/>
  <c r="E266" i="30"/>
  <c r="D266" i="30"/>
  <c r="I265" i="30"/>
  <c r="H265" i="30"/>
  <c r="G265" i="30"/>
  <c r="F265" i="30"/>
  <c r="E265" i="30"/>
  <c r="D265" i="30"/>
  <c r="I263" i="30"/>
  <c r="H263" i="30"/>
  <c r="G263" i="30"/>
  <c r="F263" i="30"/>
  <c r="E263" i="30"/>
  <c r="D263" i="30"/>
  <c r="I262" i="30"/>
  <c r="H262" i="30"/>
  <c r="G262" i="30"/>
  <c r="F262" i="30"/>
  <c r="E262" i="30"/>
  <c r="D262" i="30"/>
  <c r="I261" i="30"/>
  <c r="H261" i="30"/>
  <c r="G261" i="30"/>
  <c r="F261" i="30"/>
  <c r="E261" i="30"/>
  <c r="D261" i="30"/>
  <c r="I260" i="30"/>
  <c r="H260" i="30"/>
  <c r="G260" i="30"/>
  <c r="F260" i="30"/>
  <c r="E260" i="30"/>
  <c r="D260" i="30"/>
  <c r="C260" i="30"/>
  <c r="I258" i="30"/>
  <c r="H258" i="30"/>
  <c r="G258" i="30"/>
  <c r="F258" i="30"/>
  <c r="E258" i="30"/>
  <c r="D258" i="30"/>
  <c r="I257" i="30"/>
  <c r="H257" i="30"/>
  <c r="G257" i="30"/>
  <c r="F257" i="30"/>
  <c r="E257" i="30"/>
  <c r="D257" i="30"/>
  <c r="C257" i="30"/>
  <c r="I256" i="30"/>
  <c r="H256" i="30"/>
  <c r="G256" i="30"/>
  <c r="F256" i="30"/>
  <c r="E256" i="30"/>
  <c r="D256" i="30"/>
  <c r="I255" i="30"/>
  <c r="H255" i="30"/>
  <c r="G255" i="30"/>
  <c r="F255" i="30"/>
  <c r="E255" i="30"/>
  <c r="D255" i="30"/>
  <c r="I254" i="30"/>
  <c r="H254" i="30"/>
  <c r="G254" i="30"/>
  <c r="F254" i="30"/>
  <c r="E254" i="30"/>
  <c r="D254" i="30"/>
  <c r="C254" i="30"/>
  <c r="I253" i="30"/>
  <c r="H253" i="30"/>
  <c r="G253" i="30"/>
  <c r="F253" i="30"/>
  <c r="E253" i="30"/>
  <c r="D253" i="30"/>
  <c r="I252" i="30"/>
  <c r="H252" i="30"/>
  <c r="G252" i="30"/>
  <c r="F252" i="30"/>
  <c r="E252" i="30"/>
  <c r="D252" i="30"/>
  <c r="I250" i="30"/>
  <c r="H250" i="30"/>
  <c r="G250" i="30"/>
  <c r="F250" i="30"/>
  <c r="E250" i="30"/>
  <c r="D250" i="30"/>
  <c r="F248" i="30"/>
  <c r="E248" i="30"/>
  <c r="D248" i="30"/>
  <c r="F247" i="30"/>
  <c r="E247" i="30"/>
  <c r="D247" i="30"/>
  <c r="F246" i="30"/>
  <c r="E246" i="30"/>
  <c r="D246" i="30"/>
  <c r="I244" i="30"/>
  <c r="G244" i="30"/>
  <c r="I243" i="30"/>
  <c r="G243" i="30"/>
  <c r="I242" i="30"/>
  <c r="G242" i="30"/>
  <c r="I241" i="30"/>
  <c r="H241" i="30"/>
  <c r="G241" i="30"/>
  <c r="F241" i="30"/>
  <c r="E241" i="30"/>
  <c r="D241" i="30"/>
  <c r="F240" i="30"/>
  <c r="E240" i="30"/>
  <c r="D240" i="30"/>
  <c r="I238" i="30"/>
  <c r="G238" i="30"/>
  <c r="I237" i="30"/>
  <c r="G237" i="30"/>
  <c r="I236" i="30"/>
  <c r="G236" i="30"/>
  <c r="I235" i="30"/>
  <c r="G235" i="30"/>
  <c r="I234" i="30"/>
  <c r="G234" i="30"/>
  <c r="I233" i="30"/>
  <c r="G233" i="30"/>
  <c r="I232" i="30"/>
  <c r="G232" i="30"/>
  <c r="I231" i="30"/>
  <c r="G231" i="30"/>
  <c r="I230" i="30"/>
  <c r="G230" i="30"/>
  <c r="I229" i="30"/>
  <c r="G229" i="30"/>
  <c r="I228" i="30"/>
  <c r="G228" i="30"/>
  <c r="I227" i="30"/>
  <c r="G227" i="30"/>
  <c r="I226" i="30"/>
  <c r="G226" i="30"/>
  <c r="I225" i="30"/>
  <c r="G225" i="30"/>
  <c r="I224" i="30"/>
  <c r="G224" i="30"/>
  <c r="I223" i="30"/>
  <c r="G223" i="30"/>
  <c r="I222" i="30"/>
  <c r="G222" i="30"/>
  <c r="I221" i="30"/>
  <c r="G221" i="30"/>
  <c r="I220" i="30"/>
  <c r="G220" i="30"/>
  <c r="I219" i="30"/>
  <c r="G219" i="30"/>
  <c r="I218" i="30"/>
  <c r="G218" i="30"/>
  <c r="I217" i="30"/>
  <c r="H217" i="30"/>
  <c r="G217" i="30"/>
  <c r="F217" i="30"/>
  <c r="E217" i="30"/>
  <c r="D217" i="30"/>
  <c r="F216" i="30"/>
  <c r="E216" i="30"/>
  <c r="D216" i="30"/>
  <c r="I214" i="30"/>
  <c r="H214" i="30"/>
  <c r="G214" i="30"/>
  <c r="F214" i="30"/>
  <c r="E214" i="30"/>
  <c r="D214" i="30"/>
  <c r="I213" i="30"/>
  <c r="H213" i="30"/>
  <c r="G213" i="30"/>
  <c r="F213" i="30"/>
  <c r="E213" i="30"/>
  <c r="D213" i="30"/>
  <c r="I212" i="30"/>
  <c r="H212" i="30"/>
  <c r="G212" i="30"/>
  <c r="F212" i="30"/>
  <c r="E212" i="30"/>
  <c r="D212" i="30"/>
  <c r="I211" i="30"/>
  <c r="H211" i="30"/>
  <c r="G211" i="30"/>
  <c r="F211" i="30"/>
  <c r="E211" i="30"/>
  <c r="D211" i="30"/>
  <c r="I210" i="30"/>
  <c r="H210" i="30"/>
  <c r="G210" i="30"/>
  <c r="F210" i="30"/>
  <c r="E210" i="30"/>
  <c r="D210" i="30"/>
  <c r="I209" i="30"/>
  <c r="H209" i="30"/>
  <c r="G209" i="30"/>
  <c r="F209" i="30"/>
  <c r="E209" i="30"/>
  <c r="D209" i="30"/>
  <c r="I208" i="30"/>
  <c r="H208" i="30"/>
  <c r="G208" i="30"/>
  <c r="F208" i="30"/>
  <c r="E208" i="30"/>
  <c r="D208" i="30"/>
  <c r="I207" i="30"/>
  <c r="H207" i="30"/>
  <c r="G207" i="30"/>
  <c r="F207" i="30"/>
  <c r="E207" i="30"/>
  <c r="D207" i="30"/>
  <c r="I206" i="30"/>
  <c r="H206" i="30"/>
  <c r="G206" i="30"/>
  <c r="F206" i="30"/>
  <c r="E206" i="30"/>
  <c r="D206" i="30"/>
  <c r="I205" i="30"/>
  <c r="H205" i="30"/>
  <c r="G205" i="30"/>
  <c r="F205" i="30"/>
  <c r="E205" i="30"/>
  <c r="D205" i="30"/>
  <c r="I204" i="30"/>
  <c r="H204" i="30"/>
  <c r="G204" i="30"/>
  <c r="F204" i="30"/>
  <c r="E204" i="30"/>
  <c r="D204" i="30"/>
  <c r="I203" i="30"/>
  <c r="H203" i="30"/>
  <c r="G203" i="30"/>
  <c r="F203" i="30"/>
  <c r="E203" i="30"/>
  <c r="D203" i="30"/>
  <c r="I202" i="30"/>
  <c r="H202" i="30"/>
  <c r="G202" i="30"/>
  <c r="F202" i="30"/>
  <c r="E202" i="30"/>
  <c r="D202" i="30"/>
  <c r="I201" i="30"/>
  <c r="H201" i="30"/>
  <c r="G201" i="30"/>
  <c r="F201" i="30"/>
  <c r="E201" i="30"/>
  <c r="D201" i="30"/>
  <c r="I200" i="30"/>
  <c r="H200" i="30"/>
  <c r="G200" i="30"/>
  <c r="F200" i="30"/>
  <c r="E200" i="30"/>
  <c r="D200" i="30"/>
  <c r="I199" i="30"/>
  <c r="H199" i="30"/>
  <c r="G199" i="30"/>
  <c r="F199" i="30"/>
  <c r="E199" i="30"/>
  <c r="D199" i="30"/>
  <c r="I198" i="30"/>
  <c r="H198" i="30"/>
  <c r="G198" i="30"/>
  <c r="F198" i="30"/>
  <c r="E198" i="30"/>
  <c r="D198" i="30"/>
  <c r="I197" i="30"/>
  <c r="H197" i="30"/>
  <c r="G197" i="30"/>
  <c r="F197" i="30"/>
  <c r="E197" i="30"/>
  <c r="D197" i="30"/>
  <c r="I196" i="30"/>
  <c r="H196" i="30"/>
  <c r="G196" i="30"/>
  <c r="F196" i="30"/>
  <c r="E196" i="30"/>
  <c r="D196" i="30"/>
  <c r="I195" i="30"/>
  <c r="H195" i="30"/>
  <c r="G195" i="30"/>
  <c r="F195" i="30"/>
  <c r="E195" i="30"/>
  <c r="D195" i="30"/>
  <c r="I194" i="30"/>
  <c r="H194" i="30"/>
  <c r="G194" i="30"/>
  <c r="F194" i="30"/>
  <c r="E194" i="30"/>
  <c r="D194" i="30"/>
  <c r="I193" i="30"/>
  <c r="H193" i="30"/>
  <c r="G193" i="30"/>
  <c r="F193" i="30"/>
  <c r="E193" i="30"/>
  <c r="D193" i="30"/>
  <c r="I192" i="30"/>
  <c r="H192" i="30"/>
  <c r="G192" i="30"/>
  <c r="F192" i="30"/>
  <c r="E192" i="30"/>
  <c r="D192" i="30"/>
  <c r="I191" i="30"/>
  <c r="H191" i="30"/>
  <c r="G191" i="30"/>
  <c r="F191" i="30"/>
  <c r="E191" i="30"/>
  <c r="D191" i="30"/>
  <c r="I190" i="30"/>
  <c r="H190" i="30"/>
  <c r="G190" i="30"/>
  <c r="F190" i="30"/>
  <c r="E190" i="30"/>
  <c r="D190" i="30"/>
  <c r="F189" i="30"/>
  <c r="E189" i="30"/>
  <c r="D189" i="30"/>
  <c r="F188" i="30"/>
  <c r="E188" i="30"/>
  <c r="D188" i="30"/>
  <c r="I185" i="30"/>
  <c r="G185" i="30"/>
  <c r="I184" i="30"/>
  <c r="G184" i="30"/>
  <c r="I183" i="30"/>
  <c r="G183" i="30"/>
  <c r="I182" i="30"/>
  <c r="H182" i="30"/>
  <c r="G182" i="30"/>
  <c r="F182" i="30"/>
  <c r="E182" i="30"/>
  <c r="D182" i="30"/>
  <c r="I181" i="30"/>
  <c r="H181" i="30"/>
  <c r="G181" i="30"/>
  <c r="F181" i="30"/>
  <c r="E181" i="30"/>
  <c r="D181" i="30"/>
  <c r="C181" i="30"/>
  <c r="I180" i="30"/>
  <c r="H180" i="30"/>
  <c r="G180" i="30"/>
  <c r="F180" i="30"/>
  <c r="E180" i="30"/>
  <c r="D180" i="30"/>
  <c r="C180" i="30"/>
  <c r="F179" i="30"/>
  <c r="E179" i="30"/>
  <c r="D179" i="30"/>
  <c r="I177" i="30"/>
  <c r="G177" i="30"/>
  <c r="I176" i="30"/>
  <c r="G176" i="30"/>
  <c r="I174" i="30"/>
  <c r="H174" i="30"/>
  <c r="G174" i="30"/>
  <c r="F174" i="30"/>
  <c r="E174" i="30"/>
  <c r="D174" i="30"/>
  <c r="I173" i="30"/>
  <c r="H173" i="30"/>
  <c r="G173" i="30"/>
  <c r="F173" i="30"/>
  <c r="E173" i="30"/>
  <c r="D173" i="30"/>
  <c r="I172" i="30"/>
  <c r="H172" i="30"/>
  <c r="G172" i="30"/>
  <c r="F172" i="30"/>
  <c r="E172" i="30"/>
  <c r="D172" i="30"/>
  <c r="C172" i="30"/>
  <c r="I171" i="30"/>
  <c r="H171" i="30"/>
  <c r="G171" i="30"/>
  <c r="F171" i="30"/>
  <c r="E171" i="30"/>
  <c r="D171" i="30"/>
  <c r="C171" i="30"/>
  <c r="I170" i="30"/>
  <c r="H170" i="30"/>
  <c r="G170" i="30"/>
  <c r="F170" i="30"/>
  <c r="E170" i="30"/>
  <c r="D170" i="30"/>
  <c r="I169" i="30"/>
  <c r="H169" i="30"/>
  <c r="G169" i="30"/>
  <c r="F169" i="30"/>
  <c r="E169" i="30"/>
  <c r="D169" i="30"/>
  <c r="I168" i="30"/>
  <c r="H168" i="30"/>
  <c r="G168" i="30"/>
  <c r="F168" i="30"/>
  <c r="E168" i="30"/>
  <c r="D168" i="30"/>
  <c r="I167" i="30"/>
  <c r="H167" i="30"/>
  <c r="G167" i="30"/>
  <c r="F167" i="30"/>
  <c r="E167" i="30"/>
  <c r="D167" i="30"/>
  <c r="I166" i="30"/>
  <c r="H166" i="30"/>
  <c r="G166" i="30"/>
  <c r="F166" i="30"/>
  <c r="E166" i="30"/>
  <c r="D166" i="30"/>
  <c r="I165" i="30"/>
  <c r="H165" i="30"/>
  <c r="G165" i="30"/>
  <c r="F165" i="30"/>
  <c r="E165" i="30"/>
  <c r="D165" i="30"/>
  <c r="I164" i="30"/>
  <c r="H164" i="30"/>
  <c r="G164" i="30"/>
  <c r="F164" i="30"/>
  <c r="E164" i="30"/>
  <c r="D164" i="30"/>
  <c r="F163" i="30"/>
  <c r="E163" i="30"/>
  <c r="D163" i="30"/>
  <c r="F162" i="30"/>
  <c r="E162" i="30"/>
  <c r="D162" i="30"/>
  <c r="F161" i="30"/>
  <c r="E161" i="30"/>
  <c r="D161" i="30"/>
  <c r="I159" i="30"/>
  <c r="G159" i="30"/>
  <c r="I158" i="30"/>
  <c r="G158" i="30"/>
  <c r="I157" i="30"/>
  <c r="G157" i="30"/>
  <c r="I156" i="30"/>
  <c r="H156" i="30"/>
  <c r="G156" i="30"/>
  <c r="F156" i="30"/>
  <c r="E156" i="30"/>
  <c r="D156" i="30"/>
  <c r="I155" i="30"/>
  <c r="H155" i="30"/>
  <c r="G155" i="30"/>
  <c r="F155" i="30"/>
  <c r="E155" i="30"/>
  <c r="D155" i="30"/>
  <c r="I153" i="30"/>
  <c r="G153" i="30"/>
  <c r="I152" i="30"/>
  <c r="G152" i="30"/>
  <c r="I151" i="30"/>
  <c r="G151" i="30"/>
  <c r="F151" i="30"/>
  <c r="E151" i="30"/>
  <c r="D151" i="30"/>
  <c r="I150" i="30"/>
  <c r="H150" i="30"/>
  <c r="G150" i="30"/>
  <c r="F150" i="30"/>
  <c r="E150" i="30"/>
  <c r="D150" i="30"/>
  <c r="I149" i="30"/>
  <c r="H149" i="30"/>
  <c r="G149" i="30"/>
  <c r="F149" i="30"/>
  <c r="E149" i="30"/>
  <c r="D149" i="30"/>
  <c r="I148" i="30"/>
  <c r="H148" i="30"/>
  <c r="G148" i="30"/>
  <c r="F148" i="30"/>
  <c r="E148" i="30"/>
  <c r="D148" i="30"/>
  <c r="I147" i="30"/>
  <c r="H147" i="30"/>
  <c r="G147" i="30"/>
  <c r="F147" i="30"/>
  <c r="E147" i="30"/>
  <c r="D147" i="30"/>
  <c r="I146" i="30"/>
  <c r="H146" i="30"/>
  <c r="G146" i="30"/>
  <c r="F146" i="30"/>
  <c r="E146" i="30"/>
  <c r="D146" i="30"/>
  <c r="I145" i="30"/>
  <c r="H145" i="30"/>
  <c r="G145" i="30"/>
  <c r="F145" i="30"/>
  <c r="E145" i="30"/>
  <c r="D145" i="30"/>
  <c r="I143" i="30"/>
  <c r="G143" i="30"/>
  <c r="I142" i="30"/>
  <c r="H142" i="30"/>
  <c r="G142" i="30"/>
  <c r="F142" i="30"/>
  <c r="E142" i="30"/>
  <c r="D142" i="30"/>
  <c r="I141" i="30"/>
  <c r="H141" i="30"/>
  <c r="G141" i="30"/>
  <c r="F141" i="30"/>
  <c r="E141" i="30"/>
  <c r="D141" i="30"/>
  <c r="I140" i="30"/>
  <c r="H140" i="30"/>
  <c r="G140" i="30"/>
  <c r="F140" i="30"/>
  <c r="E140" i="30"/>
  <c r="D140" i="30"/>
  <c r="I139" i="30"/>
  <c r="H139" i="30"/>
  <c r="G139" i="30"/>
  <c r="F139" i="30"/>
  <c r="E139" i="30"/>
  <c r="D139" i="30"/>
  <c r="I138" i="30"/>
  <c r="H138" i="30"/>
  <c r="G138" i="30"/>
  <c r="F138" i="30"/>
  <c r="E138" i="30"/>
  <c r="D138" i="30"/>
  <c r="I136" i="30"/>
  <c r="H136" i="30"/>
  <c r="G136" i="30"/>
  <c r="F136" i="30"/>
  <c r="E136" i="30"/>
  <c r="D136" i="30"/>
  <c r="I135" i="30"/>
  <c r="H135" i="30"/>
  <c r="G135" i="30"/>
  <c r="F135" i="30"/>
  <c r="E135" i="30"/>
  <c r="D135" i="30"/>
  <c r="C135" i="30"/>
  <c r="I134" i="30"/>
  <c r="H134" i="30"/>
  <c r="G134" i="30"/>
  <c r="F134" i="30"/>
  <c r="E134" i="30"/>
  <c r="D134" i="30"/>
  <c r="I132" i="30"/>
  <c r="H132" i="30"/>
  <c r="G132" i="30"/>
  <c r="F132" i="30"/>
  <c r="E132" i="30"/>
  <c r="D132" i="30"/>
  <c r="C132" i="30"/>
  <c r="I130" i="30"/>
  <c r="H130" i="30"/>
  <c r="G130" i="30"/>
  <c r="I129" i="30"/>
  <c r="H129" i="30"/>
  <c r="G129" i="30"/>
  <c r="I128" i="30"/>
  <c r="H128" i="30"/>
  <c r="G128" i="30"/>
  <c r="I127" i="30"/>
  <c r="H127" i="30"/>
  <c r="G127" i="30"/>
  <c r="F127" i="30"/>
  <c r="E127" i="30"/>
  <c r="D127" i="30"/>
  <c r="I125" i="30"/>
  <c r="H125" i="30"/>
  <c r="G125" i="30"/>
  <c r="I124" i="30"/>
  <c r="H124" i="30"/>
  <c r="G124" i="30"/>
  <c r="F124" i="30"/>
  <c r="E124" i="30"/>
  <c r="D124" i="30"/>
  <c r="I123" i="30"/>
  <c r="H123" i="30"/>
  <c r="G123" i="30"/>
  <c r="F123" i="30"/>
  <c r="E123" i="30"/>
  <c r="D123" i="30"/>
  <c r="I122" i="30"/>
  <c r="H122" i="30"/>
  <c r="G122" i="30"/>
  <c r="F122" i="30"/>
  <c r="E122" i="30"/>
  <c r="D122" i="30"/>
  <c r="I120" i="30"/>
  <c r="H120" i="30"/>
  <c r="G120" i="30"/>
  <c r="I119" i="30"/>
  <c r="H119" i="30"/>
  <c r="G119" i="30"/>
  <c r="I118" i="30"/>
  <c r="H118" i="30"/>
  <c r="G118" i="30"/>
  <c r="F118" i="30"/>
  <c r="E118" i="30"/>
  <c r="D118" i="30"/>
  <c r="I117" i="30"/>
  <c r="H117" i="30"/>
  <c r="G117" i="30"/>
  <c r="F117" i="30"/>
  <c r="E117" i="30"/>
  <c r="D117" i="30"/>
  <c r="I116" i="30"/>
  <c r="H116" i="30"/>
  <c r="G116" i="30"/>
  <c r="F116" i="30"/>
  <c r="E116" i="30"/>
  <c r="D116" i="30"/>
  <c r="I115" i="30"/>
  <c r="H115" i="30"/>
  <c r="G115" i="30"/>
  <c r="F115" i="30"/>
  <c r="E115" i="30"/>
  <c r="D115" i="30"/>
  <c r="I113" i="30"/>
  <c r="H113" i="30"/>
  <c r="G113" i="30"/>
  <c r="F113" i="30"/>
  <c r="E113" i="30"/>
  <c r="D113" i="30"/>
  <c r="I112" i="30"/>
  <c r="H112" i="30"/>
  <c r="G112" i="30"/>
  <c r="F112" i="30"/>
  <c r="E112" i="30"/>
  <c r="D112" i="30"/>
  <c r="I111" i="30"/>
  <c r="H111" i="30"/>
  <c r="G111" i="30"/>
  <c r="F111" i="30"/>
  <c r="E111" i="30"/>
  <c r="D111" i="30"/>
  <c r="I110" i="30"/>
  <c r="H110" i="30"/>
  <c r="G110" i="30"/>
  <c r="F110" i="30"/>
  <c r="E110" i="30"/>
  <c r="D110" i="30"/>
  <c r="I109" i="30"/>
  <c r="H109" i="30"/>
  <c r="G109" i="30"/>
  <c r="F109" i="30"/>
  <c r="E109" i="30"/>
  <c r="D109" i="30"/>
  <c r="I108" i="30"/>
  <c r="H108" i="30"/>
  <c r="G108" i="30"/>
  <c r="F108" i="30"/>
  <c r="E108" i="30"/>
  <c r="D108" i="30"/>
  <c r="I106" i="30"/>
  <c r="H106" i="30"/>
  <c r="G106" i="30"/>
  <c r="F106" i="30"/>
  <c r="E106" i="30"/>
  <c r="D106" i="30"/>
  <c r="C106" i="30"/>
  <c r="I105" i="30"/>
  <c r="H105" i="30"/>
  <c r="G105" i="30"/>
  <c r="F105" i="30"/>
  <c r="E105" i="30"/>
  <c r="D105" i="30"/>
  <c r="C105" i="30"/>
  <c r="I104" i="30"/>
  <c r="H104" i="30"/>
  <c r="G104" i="30"/>
  <c r="F104" i="30"/>
  <c r="E104" i="30"/>
  <c r="D104" i="30"/>
  <c r="C104" i="30"/>
  <c r="I103" i="30"/>
  <c r="H103" i="30"/>
  <c r="G103" i="30"/>
  <c r="F103" i="30"/>
  <c r="E103" i="30"/>
  <c r="D103" i="30"/>
  <c r="C103" i="30"/>
  <c r="I102" i="30"/>
  <c r="H102" i="30"/>
  <c r="G102" i="30"/>
  <c r="F102" i="30"/>
  <c r="E102" i="30"/>
  <c r="D102" i="30"/>
  <c r="I100" i="30"/>
  <c r="H100" i="30"/>
  <c r="G100" i="30"/>
  <c r="F100" i="30"/>
  <c r="E100" i="30"/>
  <c r="D100" i="30"/>
  <c r="C100" i="30"/>
  <c r="I98" i="30"/>
  <c r="G98" i="30"/>
  <c r="I97" i="30"/>
  <c r="G97" i="30"/>
  <c r="I96" i="30"/>
  <c r="H96" i="30"/>
  <c r="G96" i="30"/>
  <c r="F96" i="30"/>
  <c r="E96" i="30"/>
  <c r="D96" i="30"/>
  <c r="I95" i="30"/>
  <c r="H95" i="30"/>
  <c r="G95" i="30"/>
  <c r="F95" i="30"/>
  <c r="E95" i="30"/>
  <c r="D95" i="30"/>
  <c r="I94" i="30"/>
  <c r="H94" i="30"/>
  <c r="G94" i="30"/>
  <c r="F94" i="30"/>
  <c r="E94" i="30"/>
  <c r="D94" i="30"/>
  <c r="F93" i="30"/>
  <c r="E93" i="30"/>
  <c r="D93" i="30"/>
  <c r="I91" i="30"/>
  <c r="G91" i="30"/>
  <c r="I90" i="30"/>
  <c r="G90" i="30"/>
  <c r="I89" i="30"/>
  <c r="G89" i="30"/>
  <c r="I88" i="30"/>
  <c r="G88" i="30"/>
  <c r="I87" i="30"/>
  <c r="G87" i="30"/>
  <c r="I86" i="30"/>
  <c r="H86" i="30"/>
  <c r="G86" i="30"/>
  <c r="F86" i="30"/>
  <c r="E86" i="30"/>
  <c r="D86" i="30"/>
  <c r="C86" i="30"/>
  <c r="F85" i="30"/>
  <c r="E85" i="30"/>
  <c r="D85" i="30"/>
  <c r="I83" i="30"/>
  <c r="G83" i="30"/>
  <c r="I82" i="30"/>
  <c r="G82" i="30"/>
  <c r="I81" i="30"/>
  <c r="G81" i="30"/>
  <c r="I80" i="30"/>
  <c r="G80" i="30"/>
  <c r="I79" i="30"/>
  <c r="G79" i="30"/>
  <c r="I78" i="30"/>
  <c r="G78" i="30"/>
  <c r="I77" i="30"/>
  <c r="H77" i="30"/>
  <c r="G77" i="30"/>
  <c r="F77" i="30"/>
  <c r="E77" i="30"/>
  <c r="D77" i="30"/>
  <c r="I76" i="30"/>
  <c r="H76" i="30"/>
  <c r="G76" i="30"/>
  <c r="F76" i="30"/>
  <c r="E76" i="30"/>
  <c r="D76" i="30"/>
  <c r="F75" i="30"/>
  <c r="E75" i="30"/>
  <c r="D75" i="30"/>
  <c r="I73" i="30"/>
  <c r="G73" i="30"/>
  <c r="I72" i="30"/>
  <c r="G72" i="30"/>
  <c r="I71" i="30"/>
  <c r="H71" i="30"/>
  <c r="G71" i="30"/>
  <c r="F71" i="30"/>
  <c r="E71" i="30"/>
  <c r="D71" i="30"/>
  <c r="I70" i="30"/>
  <c r="H70" i="30"/>
  <c r="G70" i="30"/>
  <c r="F70" i="30"/>
  <c r="E70" i="30"/>
  <c r="D70" i="30"/>
  <c r="I69" i="30"/>
  <c r="H69" i="30"/>
  <c r="G69" i="30"/>
  <c r="F69" i="30"/>
  <c r="E69" i="30"/>
  <c r="D69" i="30"/>
  <c r="I68" i="30"/>
  <c r="H68" i="30"/>
  <c r="G68" i="30"/>
  <c r="F68" i="30"/>
  <c r="E68" i="30"/>
  <c r="D68" i="30"/>
  <c r="I67" i="30"/>
  <c r="H67" i="30"/>
  <c r="G67" i="30"/>
  <c r="F67" i="30"/>
  <c r="E67" i="30"/>
  <c r="D67" i="30"/>
  <c r="I66" i="30"/>
  <c r="H66" i="30"/>
  <c r="G66" i="30"/>
  <c r="F66" i="30"/>
  <c r="E66" i="30"/>
  <c r="D66" i="30"/>
  <c r="I65" i="30"/>
  <c r="H65" i="30"/>
  <c r="G65" i="30"/>
  <c r="F65" i="30"/>
  <c r="E65" i="30"/>
  <c r="D65" i="30"/>
  <c r="I64" i="30"/>
  <c r="H64" i="30"/>
  <c r="G64" i="30"/>
  <c r="F64" i="30"/>
  <c r="E64" i="30"/>
  <c r="D64" i="30"/>
  <c r="I63" i="30"/>
  <c r="H63" i="30"/>
  <c r="G63" i="30"/>
  <c r="F63" i="30"/>
  <c r="E63" i="30"/>
  <c r="D63" i="30"/>
  <c r="C63" i="30"/>
  <c r="F62" i="30"/>
  <c r="E62" i="30"/>
  <c r="D62" i="30"/>
  <c r="I60" i="30"/>
  <c r="G60" i="30"/>
  <c r="I59" i="30"/>
  <c r="G59" i="30"/>
  <c r="I58" i="30"/>
  <c r="H58" i="30"/>
  <c r="G58" i="30"/>
  <c r="F58" i="30"/>
  <c r="E58" i="30"/>
  <c r="D58" i="30"/>
  <c r="I57" i="30"/>
  <c r="H57" i="30"/>
  <c r="G57" i="30"/>
  <c r="F57" i="30"/>
  <c r="E57" i="30"/>
  <c r="D57" i="30"/>
  <c r="I56" i="30"/>
  <c r="H56" i="30"/>
  <c r="G56" i="30"/>
  <c r="F56" i="30"/>
  <c r="E56" i="30"/>
  <c r="D56" i="30"/>
  <c r="F55" i="30"/>
  <c r="E55" i="30"/>
  <c r="D55" i="30"/>
  <c r="I53" i="30"/>
  <c r="G53" i="30"/>
  <c r="I52" i="30"/>
  <c r="G52" i="30"/>
  <c r="I51" i="30"/>
  <c r="H51" i="30"/>
  <c r="G51" i="30"/>
  <c r="F51" i="30"/>
  <c r="E51" i="30"/>
  <c r="D51" i="30"/>
  <c r="I50" i="30"/>
  <c r="H50" i="30"/>
  <c r="G50" i="30"/>
  <c r="F50" i="30"/>
  <c r="E50" i="30"/>
  <c r="D50" i="30"/>
  <c r="I49" i="30"/>
  <c r="H49" i="30"/>
  <c r="G49" i="30"/>
  <c r="F49" i="30"/>
  <c r="E49" i="30"/>
  <c r="D49" i="30"/>
  <c r="I48" i="30"/>
  <c r="H48" i="30"/>
  <c r="G48" i="30"/>
  <c r="F48" i="30"/>
  <c r="E48" i="30"/>
  <c r="D48" i="30"/>
  <c r="I47" i="30"/>
  <c r="H47" i="30"/>
  <c r="G47" i="30"/>
  <c r="F47" i="30"/>
  <c r="E47" i="30"/>
  <c r="D47" i="30"/>
  <c r="C47" i="30"/>
  <c r="I46" i="30"/>
  <c r="H46" i="30"/>
  <c r="G46" i="30"/>
  <c r="F46" i="30"/>
  <c r="E46" i="30"/>
  <c r="D46" i="30"/>
  <c r="C46" i="30"/>
  <c r="F45" i="30"/>
  <c r="E45" i="30"/>
  <c r="D45" i="30"/>
  <c r="I43" i="30"/>
  <c r="G43" i="30"/>
  <c r="I42" i="30"/>
  <c r="G42" i="30"/>
  <c r="I41" i="30"/>
  <c r="H41" i="30"/>
  <c r="G41" i="30"/>
  <c r="F41" i="30"/>
  <c r="E41" i="30"/>
  <c r="D41" i="30"/>
  <c r="I40" i="30"/>
  <c r="H40" i="30"/>
  <c r="G40" i="30"/>
  <c r="F40" i="30"/>
  <c r="E40" i="30"/>
  <c r="D40" i="30"/>
  <c r="I39" i="30"/>
  <c r="H39" i="30"/>
  <c r="G39" i="30"/>
  <c r="F39" i="30"/>
  <c r="E39" i="30"/>
  <c r="D39" i="30"/>
  <c r="F38" i="30"/>
  <c r="E38" i="30"/>
  <c r="D38" i="30"/>
  <c r="I35" i="30"/>
  <c r="H35" i="30"/>
  <c r="G35" i="30"/>
  <c r="I34" i="30"/>
  <c r="H34" i="30"/>
  <c r="G34" i="30"/>
  <c r="I33" i="30"/>
  <c r="H33" i="30"/>
  <c r="G33" i="30"/>
  <c r="I32" i="30"/>
  <c r="H32" i="30"/>
  <c r="G32" i="30"/>
  <c r="F32" i="30"/>
  <c r="E32" i="30"/>
  <c r="D32" i="30"/>
  <c r="I31" i="30"/>
  <c r="H31" i="30"/>
  <c r="G31" i="30"/>
  <c r="F31" i="30"/>
  <c r="E31" i="30"/>
  <c r="D31" i="30"/>
  <c r="I30" i="30"/>
  <c r="H30" i="30"/>
  <c r="G30" i="30"/>
  <c r="F30" i="30"/>
  <c r="E30" i="30"/>
  <c r="D30" i="30"/>
  <c r="I29" i="30"/>
  <c r="H29" i="30"/>
  <c r="G29" i="30"/>
  <c r="F29" i="30"/>
  <c r="E29" i="30"/>
  <c r="D29" i="30"/>
  <c r="I27" i="30"/>
  <c r="H27" i="30"/>
  <c r="G27" i="30"/>
  <c r="F27" i="30"/>
  <c r="E27" i="30"/>
  <c r="D27" i="30"/>
  <c r="I26" i="30"/>
  <c r="H26" i="30"/>
  <c r="G26" i="30"/>
  <c r="F26" i="30"/>
  <c r="E26" i="30"/>
  <c r="D26" i="30"/>
  <c r="I25" i="30"/>
  <c r="H25" i="30"/>
  <c r="G25" i="30"/>
  <c r="F25" i="30"/>
  <c r="E25" i="30"/>
  <c r="D25" i="30"/>
  <c r="I23" i="30"/>
  <c r="H23" i="30"/>
  <c r="G23" i="30"/>
  <c r="F23" i="30"/>
  <c r="E23" i="30"/>
  <c r="D23" i="30"/>
  <c r="C23" i="30"/>
  <c r="I21" i="30"/>
  <c r="G21" i="30"/>
  <c r="I20" i="30"/>
  <c r="H20" i="30"/>
  <c r="G20" i="30"/>
  <c r="F20" i="30"/>
  <c r="E20" i="30"/>
  <c r="D20" i="30"/>
  <c r="I19" i="30"/>
  <c r="H19" i="30"/>
  <c r="G19" i="30"/>
  <c r="F19" i="30"/>
  <c r="E19" i="30"/>
  <c r="D19" i="30"/>
  <c r="B19" i="30"/>
  <c r="I18" i="30"/>
  <c r="H18" i="30"/>
  <c r="G18" i="30"/>
  <c r="F18" i="30"/>
  <c r="E18" i="30"/>
  <c r="D18" i="30"/>
  <c r="B18" i="30"/>
  <c r="I17" i="30"/>
  <c r="H17" i="30"/>
  <c r="G17" i="30"/>
  <c r="F17" i="30"/>
  <c r="E17" i="30"/>
  <c r="D17" i="30"/>
  <c r="B17" i="30"/>
  <c r="I16" i="30"/>
  <c r="H16" i="30"/>
  <c r="G16" i="30"/>
  <c r="F16" i="30"/>
  <c r="E16" i="30"/>
  <c r="D16" i="30"/>
  <c r="B16" i="30"/>
  <c r="I15" i="30"/>
  <c r="H15" i="30"/>
  <c r="G15" i="30"/>
  <c r="F15" i="30"/>
  <c r="E15" i="30"/>
  <c r="D15" i="30"/>
  <c r="C15" i="30"/>
  <c r="B15" i="30"/>
  <c r="D9" i="30"/>
  <c r="D8" i="30"/>
  <c r="D7" i="30"/>
  <c r="D6" i="30"/>
  <c r="D71" i="29"/>
  <c r="C71" i="29"/>
  <c r="D70" i="29"/>
  <c r="C70" i="29"/>
  <c r="D69" i="29"/>
  <c r="C69" i="29"/>
  <c r="D67" i="29"/>
  <c r="C67" i="29"/>
  <c r="D65" i="29"/>
  <c r="C65" i="29"/>
  <c r="D63" i="29"/>
  <c r="C63" i="29"/>
  <c r="D62" i="29"/>
  <c r="C62" i="29"/>
  <c r="D60" i="29"/>
  <c r="C60" i="29"/>
  <c r="D59" i="29"/>
  <c r="C59" i="29"/>
  <c r="D58" i="29"/>
  <c r="C58" i="29"/>
  <c r="D56" i="29"/>
  <c r="C56" i="29"/>
  <c r="D55" i="29"/>
  <c r="C55" i="29"/>
  <c r="D53" i="29"/>
  <c r="C53" i="29"/>
  <c r="D52" i="29"/>
  <c r="C52" i="29"/>
  <c r="D51" i="29"/>
  <c r="C51" i="29"/>
  <c r="D50" i="29"/>
  <c r="C50" i="29"/>
  <c r="D48" i="29"/>
  <c r="C48" i="29"/>
  <c r="D47" i="29"/>
  <c r="C47" i="29"/>
  <c r="D46" i="29"/>
  <c r="C46" i="29"/>
  <c r="F131" i="28"/>
  <c r="F130" i="28"/>
  <c r="E130" i="28"/>
  <c r="D130" i="28"/>
  <c r="F128" i="28"/>
  <c r="E128" i="28"/>
  <c r="D128" i="28"/>
  <c r="F127" i="28"/>
  <c r="E127" i="28"/>
  <c r="D127" i="28"/>
  <c r="F126" i="28"/>
  <c r="E126" i="28"/>
  <c r="D126" i="28"/>
  <c r="F125" i="28"/>
  <c r="E125" i="28"/>
  <c r="D125" i="28"/>
  <c r="F124" i="28"/>
  <c r="E124" i="28"/>
  <c r="D124" i="28"/>
  <c r="F123" i="28"/>
  <c r="E123" i="28"/>
  <c r="D123" i="28"/>
  <c r="F122" i="28"/>
  <c r="E122" i="28"/>
  <c r="D122" i="28"/>
  <c r="C122" i="28"/>
  <c r="E54" i="47" s="1"/>
  <c r="F121" i="28"/>
  <c r="E121" i="28"/>
  <c r="D121" i="28"/>
  <c r="F120" i="28"/>
  <c r="E120" i="28"/>
  <c r="D120" i="28"/>
  <c r="F119" i="28"/>
  <c r="E119" i="28"/>
  <c r="D119" i="28"/>
  <c r="F118" i="28"/>
  <c r="E118" i="28"/>
  <c r="D118" i="28"/>
  <c r="F117" i="28"/>
  <c r="E117" i="28"/>
  <c r="D117" i="28"/>
  <c r="F115" i="28"/>
  <c r="E115" i="28"/>
  <c r="D115" i="28"/>
  <c r="F114" i="28"/>
  <c r="E114" i="28"/>
  <c r="D114" i="28"/>
  <c r="F113" i="28"/>
  <c r="E113" i="28"/>
  <c r="D113" i="28"/>
  <c r="F111" i="28"/>
  <c r="E111" i="28"/>
  <c r="D111" i="28"/>
  <c r="F110" i="28"/>
  <c r="E110" i="28"/>
  <c r="D110" i="28"/>
  <c r="C110" i="28"/>
  <c r="D92" i="42" s="1"/>
  <c r="F109" i="28"/>
  <c r="E109" i="28"/>
  <c r="D109" i="28"/>
  <c r="F108" i="28"/>
  <c r="E108" i="28"/>
  <c r="D108" i="28"/>
  <c r="C108" i="28"/>
  <c r="D91" i="42" s="1"/>
  <c r="F107" i="28"/>
  <c r="E107" i="28"/>
  <c r="D107" i="28"/>
  <c r="F106" i="28"/>
  <c r="E106" i="28"/>
  <c r="D106" i="28"/>
  <c r="F105" i="28"/>
  <c r="E105" i="28"/>
  <c r="D105" i="28"/>
  <c r="F104" i="28"/>
  <c r="E104" i="28"/>
  <c r="D104" i="28"/>
  <c r="C104" i="28"/>
  <c r="D85" i="42" s="1"/>
  <c r="F103" i="28"/>
  <c r="E103" i="28"/>
  <c r="D103" i="28"/>
  <c r="F101" i="28"/>
  <c r="E101" i="28"/>
  <c r="D101" i="28"/>
  <c r="F100" i="28"/>
  <c r="E100" i="28"/>
  <c r="D100" i="28"/>
  <c r="F98" i="28"/>
  <c r="E98" i="28"/>
  <c r="D98" i="28"/>
  <c r="F97" i="28"/>
  <c r="E97" i="28"/>
  <c r="D97" i="28"/>
  <c r="F95" i="28"/>
  <c r="E95" i="28"/>
  <c r="D95" i="28"/>
  <c r="F94" i="28"/>
  <c r="E94" i="28"/>
  <c r="D94" i="28"/>
  <c r="F92" i="28"/>
  <c r="E92" i="28"/>
  <c r="D92" i="28"/>
  <c r="F91" i="28"/>
  <c r="E91" i="28"/>
  <c r="D91" i="28"/>
  <c r="F89" i="28"/>
  <c r="E89" i="28"/>
  <c r="D89" i="28"/>
  <c r="F88" i="28"/>
  <c r="E88" i="28"/>
  <c r="D88" i="28"/>
  <c r="F86" i="28"/>
  <c r="E86" i="28"/>
  <c r="D86" i="28"/>
  <c r="F85" i="28"/>
  <c r="E85" i="28"/>
  <c r="D85" i="28"/>
  <c r="F84" i="28"/>
  <c r="E84" i="28"/>
  <c r="D84" i="28"/>
  <c r="F82" i="28"/>
  <c r="E82" i="28"/>
  <c r="D82" i="28"/>
  <c r="F81" i="28"/>
  <c r="E81" i="28"/>
  <c r="D81" i="28"/>
  <c r="F80" i="28"/>
  <c r="E80" i="28"/>
  <c r="D80" i="28"/>
  <c r="F79" i="28"/>
  <c r="E79" i="28"/>
  <c r="D79" i="28"/>
  <c r="C78" i="28"/>
  <c r="F77" i="28"/>
  <c r="E77" i="28"/>
  <c r="D77" i="28"/>
  <c r="F76" i="28"/>
  <c r="E76" i="28"/>
  <c r="D76" i="28"/>
  <c r="F74" i="28"/>
  <c r="E74" i="28"/>
  <c r="D74" i="28"/>
  <c r="F73" i="28"/>
  <c r="E73" i="28"/>
  <c r="D73" i="28"/>
  <c r="F71" i="28"/>
  <c r="E71" i="28"/>
  <c r="D71" i="28"/>
  <c r="F70" i="28"/>
  <c r="E70" i="28"/>
  <c r="D70" i="28"/>
  <c r="F68" i="28"/>
  <c r="E68" i="28"/>
  <c r="D68" i="28"/>
  <c r="F67" i="28"/>
  <c r="E67" i="28"/>
  <c r="D67" i="28"/>
  <c r="F65" i="28"/>
  <c r="E65" i="28"/>
  <c r="D65" i="28"/>
  <c r="C65" i="28"/>
  <c r="D36" i="41" s="1"/>
  <c r="F64" i="28"/>
  <c r="E64" i="28"/>
  <c r="D64" i="28"/>
  <c r="F63" i="28"/>
  <c r="E63" i="28"/>
  <c r="D63" i="28"/>
  <c r="F62" i="28"/>
  <c r="E62" i="28"/>
  <c r="D62" i="28"/>
  <c r="F61" i="28"/>
  <c r="E61" i="28"/>
  <c r="D61" i="28"/>
  <c r="F60" i="28"/>
  <c r="E60" i="28"/>
  <c r="D60" i="28"/>
  <c r="C60" i="28"/>
  <c r="D47" i="40" s="1"/>
  <c r="F59" i="28"/>
  <c r="E59" i="28"/>
  <c r="D59" i="28"/>
  <c r="F58" i="28"/>
  <c r="E58" i="28"/>
  <c r="D58" i="28"/>
  <c r="F55" i="28"/>
  <c r="E55" i="28"/>
  <c r="D55" i="28"/>
  <c r="F54" i="28"/>
  <c r="E54" i="28"/>
  <c r="D54" i="28"/>
  <c r="F53" i="28"/>
  <c r="E53" i="28"/>
  <c r="D53" i="28"/>
  <c r="F51" i="28"/>
  <c r="E51" i="28"/>
  <c r="D51" i="28"/>
  <c r="F50" i="28"/>
  <c r="E50" i="28"/>
  <c r="D50" i="28"/>
  <c r="F49" i="28"/>
  <c r="E49" i="28"/>
  <c r="D49" i="28"/>
  <c r="F48" i="28"/>
  <c r="E48" i="28"/>
  <c r="D48" i="28"/>
  <c r="C48" i="28"/>
  <c r="D39" i="37" s="1"/>
  <c r="F47" i="28"/>
  <c r="E47" i="28"/>
  <c r="D47" i="28"/>
  <c r="F46" i="28"/>
  <c r="E46" i="28"/>
  <c r="D46" i="28"/>
  <c r="F45" i="28"/>
  <c r="E45" i="28"/>
  <c r="D45" i="28"/>
  <c r="F44" i="28"/>
  <c r="E44" i="28"/>
  <c r="D44" i="28"/>
  <c r="F43" i="28"/>
  <c r="E43" i="28"/>
  <c r="D43" i="28"/>
  <c r="F42" i="28"/>
  <c r="E42" i="28"/>
  <c r="D42" i="28"/>
  <c r="F41" i="28"/>
  <c r="E41" i="28"/>
  <c r="D41" i="28"/>
  <c r="F40" i="28"/>
  <c r="E40" i="28"/>
  <c r="D40" i="28"/>
  <c r="F39" i="28"/>
  <c r="E39" i="28"/>
  <c r="D39" i="28"/>
  <c r="F38" i="28"/>
  <c r="E38" i="28"/>
  <c r="D38" i="28"/>
  <c r="F36" i="28"/>
  <c r="E36" i="28"/>
  <c r="D36" i="28"/>
  <c r="F35" i="28"/>
  <c r="E35" i="28"/>
  <c r="D35" i="28"/>
  <c r="F34" i="28"/>
  <c r="E34" i="28"/>
  <c r="D34" i="28"/>
  <c r="F33" i="28"/>
  <c r="E33" i="28"/>
  <c r="D33" i="28"/>
  <c r="F32" i="28"/>
  <c r="E32" i="28"/>
  <c r="D32" i="28"/>
  <c r="F31" i="28"/>
  <c r="E31" i="28"/>
  <c r="D31" i="28"/>
  <c r="F30" i="28"/>
  <c r="E30" i="28"/>
  <c r="D30" i="28"/>
  <c r="F29" i="28"/>
  <c r="E29" i="28"/>
  <c r="D29" i="28"/>
  <c r="F28" i="28"/>
  <c r="E28" i="28"/>
  <c r="D28" i="28"/>
  <c r="F25" i="28"/>
  <c r="E25" i="28"/>
  <c r="D25" i="28"/>
  <c r="F24" i="28"/>
  <c r="E24" i="28"/>
  <c r="D24" i="28"/>
  <c r="F23" i="28"/>
  <c r="E23" i="28"/>
  <c r="D23" i="28"/>
  <c r="F22" i="28"/>
  <c r="E22" i="28"/>
  <c r="D22" i="28"/>
  <c r="F21" i="28"/>
  <c r="E21" i="28"/>
  <c r="D21" i="28"/>
  <c r="F20" i="28"/>
  <c r="E20" i="28"/>
  <c r="D20" i="28"/>
  <c r="F19" i="28"/>
  <c r="E19" i="28"/>
  <c r="D19" i="28"/>
  <c r="F17" i="28"/>
  <c r="E17" i="28"/>
  <c r="D17" i="28"/>
  <c r="C17" i="28"/>
  <c r="F16" i="28"/>
  <c r="E16" i="28"/>
  <c r="D16" i="28"/>
  <c r="C16" i="28"/>
  <c r="F15" i="28"/>
  <c r="E15" i="28"/>
  <c r="D15" i="28"/>
  <c r="C15" i="28"/>
  <c r="F14" i="28"/>
  <c r="E14" i="28"/>
  <c r="D14" i="28"/>
  <c r="C14" i="28"/>
  <c r="F13" i="28"/>
  <c r="E13" i="28"/>
  <c r="D13" i="28"/>
  <c r="C13" i="28"/>
  <c r="B8" i="28"/>
  <c r="F61" i="27"/>
  <c r="E61" i="27"/>
  <c r="D61" i="27"/>
  <c r="F60" i="27"/>
  <c r="E60" i="27"/>
  <c r="D60" i="27"/>
  <c r="F59" i="27"/>
  <c r="E59" i="27"/>
  <c r="D59" i="27"/>
  <c r="F58" i="27"/>
  <c r="E58" i="27"/>
  <c r="D58" i="27"/>
  <c r="F57" i="27"/>
  <c r="E57" i="27"/>
  <c r="D57" i="27"/>
  <c r="B57" i="27"/>
  <c r="F56" i="27"/>
  <c r="E56" i="27"/>
  <c r="D56" i="27"/>
  <c r="F55" i="27"/>
  <c r="E55" i="27"/>
  <c r="D55" i="27"/>
  <c r="F54" i="27"/>
  <c r="E54" i="27"/>
  <c r="D54" i="27"/>
  <c r="F53" i="27"/>
  <c r="E53" i="27"/>
  <c r="D53" i="27"/>
  <c r="F51" i="27"/>
  <c r="E51" i="27"/>
  <c r="D51" i="27"/>
  <c r="F50" i="27"/>
  <c r="E50" i="27"/>
  <c r="D50" i="27"/>
  <c r="F49" i="27"/>
  <c r="E49" i="27"/>
  <c r="D49" i="27"/>
  <c r="F47" i="27"/>
  <c r="E47" i="27"/>
  <c r="D47" i="27"/>
  <c r="F46" i="27"/>
  <c r="E46" i="27"/>
  <c r="D46" i="27"/>
  <c r="F45" i="27"/>
  <c r="E45" i="27"/>
  <c r="D45" i="27"/>
  <c r="F44" i="27"/>
  <c r="E44" i="27"/>
  <c r="D44" i="27"/>
  <c r="F43" i="27"/>
  <c r="E43" i="27"/>
  <c r="D43" i="27"/>
  <c r="F42" i="27"/>
  <c r="E42" i="27"/>
  <c r="D42" i="27"/>
  <c r="F40" i="27"/>
  <c r="E40" i="27"/>
  <c r="D40" i="27"/>
  <c r="F39" i="27"/>
  <c r="E39" i="27"/>
  <c r="D39" i="27"/>
  <c r="F38" i="27"/>
  <c r="E38" i="27"/>
  <c r="D38" i="27"/>
  <c r="F36" i="27"/>
  <c r="E36" i="27"/>
  <c r="D36" i="27"/>
  <c r="F35" i="27"/>
  <c r="E35" i="27"/>
  <c r="D35" i="27"/>
  <c r="F34" i="27"/>
  <c r="E34" i="27"/>
  <c r="D34" i="27"/>
  <c r="F33" i="27"/>
  <c r="E33" i="27"/>
  <c r="D33" i="27"/>
  <c r="F32" i="27"/>
  <c r="E32" i="27"/>
  <c r="D32" i="27"/>
  <c r="F30" i="27"/>
  <c r="E30" i="27"/>
  <c r="D30" i="27"/>
  <c r="F29" i="27"/>
  <c r="E29" i="27"/>
  <c r="D29" i="27"/>
  <c r="F28" i="27"/>
  <c r="E28" i="27"/>
  <c r="D28" i="27"/>
  <c r="F27" i="27"/>
  <c r="E27" i="27"/>
  <c r="D27" i="27"/>
  <c r="F26" i="27"/>
  <c r="E26" i="27"/>
  <c r="D26" i="27"/>
  <c r="F25" i="27"/>
  <c r="E25" i="27"/>
  <c r="D25" i="27"/>
  <c r="F24" i="27"/>
  <c r="E24" i="27"/>
  <c r="D24" i="27"/>
  <c r="F23" i="27"/>
  <c r="E23" i="27"/>
  <c r="D23" i="27"/>
  <c r="F22" i="27"/>
  <c r="E22" i="27"/>
  <c r="D22" i="27"/>
  <c r="F21" i="27"/>
  <c r="E21" i="27"/>
  <c r="D21" i="27"/>
  <c r="F19" i="27"/>
  <c r="E19" i="27"/>
  <c r="D19" i="27"/>
  <c r="F18" i="27"/>
  <c r="E18" i="27"/>
  <c r="D18" i="27"/>
  <c r="F17" i="27"/>
  <c r="E17" i="27"/>
  <c r="D17" i="27"/>
  <c r="F15" i="27"/>
  <c r="E15" i="27"/>
  <c r="D15" i="27"/>
  <c r="F14" i="27"/>
  <c r="E14" i="27"/>
  <c r="D14" i="27"/>
  <c r="A14" i="27"/>
  <c r="F13" i="27"/>
  <c r="E13" i="27"/>
  <c r="D13" i="27"/>
  <c r="A13" i="27"/>
  <c r="F12" i="27"/>
  <c r="E12" i="27"/>
  <c r="D12" i="27"/>
  <c r="A12" i="27"/>
  <c r="F11" i="27"/>
  <c r="E11" i="27"/>
  <c r="D11" i="27"/>
  <c r="A11" i="27"/>
  <c r="F10" i="27"/>
  <c r="E10" i="27"/>
  <c r="D10" i="27"/>
  <c r="A10" i="27"/>
  <c r="F7" i="27"/>
  <c r="A6" i="27"/>
  <c r="A53" i="24"/>
  <c r="A54" i="24" s="1"/>
  <c r="A55" i="24" s="1"/>
  <c r="A56" i="24" s="1"/>
  <c r="A57" i="24" s="1"/>
  <c r="A41" i="24"/>
  <c r="A42" i="24" s="1"/>
  <c r="A43" i="24" s="1"/>
  <c r="A37" i="24"/>
  <c r="A38" i="24" s="1"/>
  <c r="A39" i="24" s="1"/>
  <c r="A40" i="24" s="1"/>
  <c r="J28" i="14"/>
  <c r="J26" i="14"/>
  <c r="J24" i="14"/>
  <c r="J22" i="14"/>
  <c r="J21" i="14"/>
  <c r="J17" i="14"/>
  <c r="D81" i="48" l="1"/>
  <c r="J89" i="47"/>
  <c r="J91" i="47"/>
  <c r="K91" i="47" s="1"/>
  <c r="J93" i="47"/>
  <c r="K93" i="47" s="1"/>
  <c r="E111" i="47"/>
  <c r="D89" i="42"/>
  <c r="C168" i="30"/>
  <c r="K89" i="47"/>
  <c r="J94" i="47"/>
  <c r="C276" i="30"/>
  <c r="C2" i="18"/>
  <c r="AE26" i="18"/>
  <c r="C43" i="23" l="1"/>
  <c r="C44" i="23" s="1"/>
  <c r="W2" i="18" s="1"/>
  <c r="C46" i="23"/>
  <c r="C48" i="23"/>
  <c r="W5" i="18" s="1"/>
  <c r="AW33" i="23"/>
  <c r="AV33" i="23"/>
  <c r="AU33" i="23"/>
  <c r="AT33" i="23"/>
  <c r="AS33" i="23"/>
  <c r="AR33" i="23"/>
  <c r="AQ33" i="23"/>
  <c r="AP33" i="23"/>
  <c r="AO33" i="23"/>
  <c r="AN33" i="23"/>
  <c r="AM33" i="23"/>
  <c r="AL33" i="23"/>
  <c r="AK33" i="23"/>
  <c r="AJ33" i="23"/>
  <c r="AI33" i="23"/>
  <c r="AH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D33" i="23"/>
  <c r="C33" i="23"/>
  <c r="AW32" i="23"/>
  <c r="AV32" i="23"/>
  <c r="AU32" i="23"/>
  <c r="AT32" i="23"/>
  <c r="AS32" i="23"/>
  <c r="AR32" i="23"/>
  <c r="AQ32" i="23"/>
  <c r="AP32" i="23"/>
  <c r="AO32" i="23"/>
  <c r="AN32" i="23"/>
  <c r="AM32" i="23"/>
  <c r="AL32" i="23"/>
  <c r="AK32" i="23"/>
  <c r="AJ32" i="23"/>
  <c r="AI32" i="23"/>
  <c r="AH32" i="23"/>
  <c r="AG32" i="23"/>
  <c r="AF32" i="23"/>
  <c r="AE32" i="23"/>
  <c r="AD32" i="23"/>
  <c r="AC32" i="23"/>
  <c r="AB32" i="23"/>
  <c r="AA32" i="23"/>
  <c r="Z32" i="23"/>
  <c r="Y32" i="23"/>
  <c r="X32" i="23"/>
  <c r="W32" i="23"/>
  <c r="V32" i="23"/>
  <c r="U32" i="23"/>
  <c r="T32" i="23"/>
  <c r="S32" i="23"/>
  <c r="R32" i="23"/>
  <c r="Q32" i="23"/>
  <c r="P32" i="23"/>
  <c r="O32" i="23"/>
  <c r="Y3" i="18" s="1"/>
  <c r="N32" i="23"/>
  <c r="M32" i="23"/>
  <c r="L32" i="23"/>
  <c r="K32" i="23"/>
  <c r="J32" i="23"/>
  <c r="I32" i="23"/>
  <c r="H32" i="23"/>
  <c r="G32" i="23"/>
  <c r="F32" i="23"/>
  <c r="E32" i="23"/>
  <c r="D32" i="23"/>
  <c r="C32" i="23"/>
  <c r="AZ31" i="23"/>
  <c r="AY31" i="23"/>
  <c r="AX31" i="23"/>
  <c r="AW31" i="23"/>
  <c r="AV31" i="23"/>
  <c r="AU31" i="23"/>
  <c r="AT31" i="23"/>
  <c r="AS31" i="23"/>
  <c r="AR31" i="23"/>
  <c r="AQ31" i="23"/>
  <c r="AP31" i="23"/>
  <c r="AO31" i="23"/>
  <c r="AN31" i="23"/>
  <c r="AM31" i="23"/>
  <c r="AL31" i="23"/>
  <c r="AK31" i="23"/>
  <c r="AJ31" i="23"/>
  <c r="AI31" i="23"/>
  <c r="AH31" i="23"/>
  <c r="AG31" i="23"/>
  <c r="AF31" i="23"/>
  <c r="AE31" i="23"/>
  <c r="AD31" i="23"/>
  <c r="AC31" i="23"/>
  <c r="AB31" i="23"/>
  <c r="AA31" i="23"/>
  <c r="Z31" i="23"/>
  <c r="Y31" i="23"/>
  <c r="X31" i="23"/>
  <c r="W31" i="23"/>
  <c r="V31" i="23"/>
  <c r="U31" i="23"/>
  <c r="T31" i="23"/>
  <c r="S31" i="23"/>
  <c r="R31" i="23"/>
  <c r="Q31" i="23"/>
  <c r="P31" i="23"/>
  <c r="O31" i="23"/>
  <c r="X7" i="18" s="1"/>
  <c r="N31" i="23"/>
  <c r="M31" i="23"/>
  <c r="L31" i="23"/>
  <c r="K31" i="23"/>
  <c r="J31" i="23"/>
  <c r="I31" i="23"/>
  <c r="H31" i="23"/>
  <c r="G31" i="23"/>
  <c r="F31" i="23"/>
  <c r="E31" i="23"/>
  <c r="D31" i="23"/>
  <c r="C31" i="23"/>
  <c r="AZ30" i="23"/>
  <c r="AY30" i="23"/>
  <c r="AX30" i="23"/>
  <c r="AW30" i="23"/>
  <c r="AV30" i="23"/>
  <c r="AU30" i="23"/>
  <c r="AT30" i="23"/>
  <c r="AS30" i="23"/>
  <c r="AR30" i="23"/>
  <c r="AQ30" i="23"/>
  <c r="AP30" i="23"/>
  <c r="AO30" i="23"/>
  <c r="AN30" i="23"/>
  <c r="AM30" i="23"/>
  <c r="AL30" i="23"/>
  <c r="AK30" i="23"/>
  <c r="AJ30" i="23"/>
  <c r="AI30" i="23"/>
  <c r="AH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D30" i="23"/>
  <c r="C30"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C29" i="23"/>
  <c r="AZ28" i="23"/>
  <c r="AY28" i="23"/>
  <c r="AX28" i="23"/>
  <c r="AW28" i="23"/>
  <c r="AV28" i="23"/>
  <c r="AU28" i="23"/>
  <c r="AT28" i="23"/>
  <c r="AS28" i="23"/>
  <c r="AR28" i="23"/>
  <c r="AQ28" i="23"/>
  <c r="AP28" i="23"/>
  <c r="AO28" i="23"/>
  <c r="AN28" i="23"/>
  <c r="AM28" i="23"/>
  <c r="AL28" i="23"/>
  <c r="AK28" i="23"/>
  <c r="AJ28" i="23"/>
  <c r="AI28" i="23"/>
  <c r="AH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D28" i="23"/>
  <c r="C28" i="23"/>
  <c r="AZ27" i="23"/>
  <c r="AY27" i="23"/>
  <c r="AX27" i="23"/>
  <c r="AW27" i="23"/>
  <c r="AV27" i="23"/>
  <c r="AU27" i="23"/>
  <c r="AT27" i="23"/>
  <c r="AS27" i="23"/>
  <c r="AR27" i="23"/>
  <c r="AQ27" i="23"/>
  <c r="AP27" i="23"/>
  <c r="AO27" i="23"/>
  <c r="AN27" i="23"/>
  <c r="AM27" i="23"/>
  <c r="AL27" i="23"/>
  <c r="AK27" i="23"/>
  <c r="AJ27" i="23"/>
  <c r="AI27" i="23"/>
  <c r="AH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F27" i="23"/>
  <c r="E27" i="23"/>
  <c r="D27" i="23"/>
  <c r="C27" i="23"/>
  <c r="AZ26" i="23"/>
  <c r="AY26"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F26" i="23"/>
  <c r="E26" i="23"/>
  <c r="D26" i="23"/>
  <c r="C26" i="23"/>
  <c r="AZ25" i="23"/>
  <c r="AY25" i="23"/>
  <c r="AX25" i="23"/>
  <c r="AW25" i="23"/>
  <c r="AV25" i="23"/>
  <c r="AU25" i="23"/>
  <c r="AT25" i="23"/>
  <c r="AS25" i="23"/>
  <c r="AR25" i="23"/>
  <c r="AQ25" i="23"/>
  <c r="AP25" i="23"/>
  <c r="AO25" i="23"/>
  <c r="AN25" i="23"/>
  <c r="AM25" i="23"/>
  <c r="AL25" i="23"/>
  <c r="AK25" i="23"/>
  <c r="AJ25" i="23"/>
  <c r="AI25" i="23"/>
  <c r="AH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D25" i="23"/>
  <c r="C25" i="23"/>
  <c r="AZ24" i="23"/>
  <c r="AY24" i="23"/>
  <c r="AX24" i="23"/>
  <c r="AW24" i="23"/>
  <c r="AV24" i="23"/>
  <c r="AU24" i="23"/>
  <c r="AT24" i="23"/>
  <c r="AS24" i="23"/>
  <c r="AR24" i="23"/>
  <c r="AQ24" i="23"/>
  <c r="AP24" i="23"/>
  <c r="AO24" i="23"/>
  <c r="AN24" i="23"/>
  <c r="AM24" i="23"/>
  <c r="AL24" i="23"/>
  <c r="AK24" i="23"/>
  <c r="AJ24" i="23"/>
  <c r="AI24" i="23"/>
  <c r="AH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D24" i="23"/>
  <c r="C24" i="23"/>
  <c r="AZ23" i="23"/>
  <c r="AY23" i="23"/>
  <c r="AX23" i="23"/>
  <c r="AW23" i="23"/>
  <c r="AV23" i="23"/>
  <c r="AU23" i="23"/>
  <c r="AT23" i="23"/>
  <c r="AS23" i="23"/>
  <c r="AR23" i="23"/>
  <c r="AQ23" i="23"/>
  <c r="AP23" i="23"/>
  <c r="AO23" i="23"/>
  <c r="AN23" i="23"/>
  <c r="AM23" i="23"/>
  <c r="AL23" i="23"/>
  <c r="AK23" i="23"/>
  <c r="AJ23" i="23"/>
  <c r="AI23" i="23"/>
  <c r="AH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F23" i="23"/>
  <c r="E23" i="23"/>
  <c r="D23" i="23"/>
  <c r="C23" i="23"/>
  <c r="AZ22" i="23"/>
  <c r="AY22" i="23"/>
  <c r="AX22" i="23"/>
  <c r="AW22" i="23"/>
  <c r="AV22" i="23"/>
  <c r="AU22" i="23"/>
  <c r="AT22" i="23"/>
  <c r="AS22" i="23"/>
  <c r="AR22" i="23"/>
  <c r="AQ22" i="23"/>
  <c r="AP22" i="23"/>
  <c r="AO22" i="23"/>
  <c r="AN22" i="23"/>
  <c r="AM22" i="23"/>
  <c r="AL22" i="23"/>
  <c r="AK22" i="23"/>
  <c r="AJ22" i="23"/>
  <c r="AI22" i="23"/>
  <c r="AH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F22" i="23"/>
  <c r="E22" i="23"/>
  <c r="D22" i="23"/>
  <c r="C22"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D21" i="23"/>
  <c r="C21" i="23"/>
  <c r="AG20" i="23"/>
  <c r="AH20" i="23" s="1"/>
  <c r="AI20" i="23" s="1"/>
  <c r="AJ20" i="23" s="1"/>
  <c r="AK20" i="23" s="1"/>
  <c r="AL20" i="23" s="1"/>
  <c r="AM20" i="23" s="1"/>
  <c r="AN20" i="23" s="1"/>
  <c r="AO20" i="23" s="1"/>
  <c r="AP20" i="23" s="1"/>
  <c r="AQ20" i="23" s="1"/>
  <c r="AR20" i="23" s="1"/>
  <c r="AS20" i="23" s="1"/>
  <c r="AT20" i="23" s="1"/>
  <c r="AU20" i="23" s="1"/>
  <c r="AV20" i="23" s="1"/>
  <c r="AW20" i="23" s="1"/>
  <c r="AX20" i="23" s="1"/>
  <c r="AY20" i="23" s="1"/>
  <c r="AZ20" i="23" s="1"/>
  <c r="AZ17" i="23"/>
  <c r="AY17" i="23"/>
  <c r="AX17" i="23"/>
  <c r="AZ33" i="23" s="1"/>
  <c r="AZ16" i="23"/>
  <c r="AY16" i="23"/>
  <c r="AX16" i="23"/>
  <c r="AX32" i="23" s="1"/>
  <c r="X39" i="18" l="1"/>
  <c r="X40" i="18"/>
  <c r="X41" i="18"/>
  <c r="Y80" i="18"/>
  <c r="Y6" i="18"/>
  <c r="X9" i="18"/>
  <c r="X49" i="18"/>
  <c r="X50" i="18"/>
  <c r="AY33" i="23"/>
  <c r="Y47" i="18"/>
  <c r="Y51" i="18"/>
  <c r="Y78" i="18"/>
  <c r="Y46" i="18"/>
  <c r="Y44" i="18"/>
  <c r="Y48" i="18"/>
  <c r="Y45" i="18"/>
  <c r="Y79" i="18"/>
  <c r="Y54" i="18"/>
  <c r="Y58" i="18"/>
  <c r="Y68" i="18"/>
  <c r="Y69" i="18"/>
  <c r="Y56" i="18"/>
  <c r="Y57" i="18"/>
  <c r="Y67" i="18"/>
  <c r="Y55" i="18"/>
  <c r="Y61" i="18"/>
  <c r="Y66" i="18"/>
  <c r="Y52" i="18"/>
  <c r="Y31" i="18"/>
  <c r="Y35" i="18"/>
  <c r="Y43" i="18"/>
  <c r="Y33" i="18"/>
  <c r="Y37" i="18"/>
  <c r="Y8" i="18"/>
  <c r="Y42" i="18"/>
  <c r="Y32" i="18"/>
  <c r="Y36" i="18"/>
  <c r="Y82" i="18"/>
  <c r="Y83" i="18"/>
  <c r="Y34" i="18"/>
  <c r="C45" i="23"/>
  <c r="C47" i="23"/>
  <c r="D46" i="23"/>
  <c r="D44" i="23"/>
  <c r="AY32" i="23"/>
  <c r="AZ32" i="23"/>
  <c r="AX33" i="23"/>
  <c r="D47" i="23" l="1"/>
  <c r="V15" i="18" s="1"/>
  <c r="D45" i="23"/>
  <c r="T39" i="18" s="1"/>
  <c r="U3" i="18"/>
  <c r="U6" i="18"/>
  <c r="U10" i="18"/>
  <c r="U34" i="18"/>
  <c r="U42" i="18"/>
  <c r="U46" i="18"/>
  <c r="U52" i="18"/>
  <c r="U57" i="18"/>
  <c r="U67" i="18"/>
  <c r="U79" i="18"/>
  <c r="U32" i="18"/>
  <c r="U55" i="18"/>
  <c r="U82" i="18"/>
  <c r="U5" i="18"/>
  <c r="U33" i="18"/>
  <c r="U45" i="18"/>
  <c r="U56" i="18"/>
  <c r="U78" i="18"/>
  <c r="U7" i="18"/>
  <c r="U31" i="18"/>
  <c r="U35" i="18"/>
  <c r="U43" i="18"/>
  <c r="U47" i="18"/>
  <c r="U54" i="18"/>
  <c r="U58" i="18"/>
  <c r="U68" i="18"/>
  <c r="U80" i="18"/>
  <c r="U4" i="18"/>
  <c r="U8" i="18"/>
  <c r="U36" i="18"/>
  <c r="U44" i="18"/>
  <c r="U48" i="18"/>
  <c r="U61" i="18"/>
  <c r="U69" i="18"/>
  <c r="U9" i="18"/>
  <c r="U37" i="18"/>
  <c r="U51" i="18"/>
  <c r="U66" i="18"/>
  <c r="U83" i="18"/>
  <c r="V35" i="18"/>
  <c r="V30" i="18"/>
  <c r="V57" i="18"/>
  <c r="S12" i="18"/>
  <c r="S16" i="18"/>
  <c r="S21" i="18"/>
  <c r="S28" i="18"/>
  <c r="S34" i="18"/>
  <c r="S39" i="18"/>
  <c r="S54" i="18"/>
  <c r="S58" i="18"/>
  <c r="R7" i="18"/>
  <c r="R31" i="18"/>
  <c r="R49" i="18"/>
  <c r="R68" i="18"/>
  <c r="R79" i="18"/>
  <c r="S18" i="18"/>
  <c r="S56" i="18"/>
  <c r="R5" i="18"/>
  <c r="R40" i="18"/>
  <c r="R75" i="18"/>
  <c r="S15" i="18"/>
  <c r="S27" i="18"/>
  <c r="S42" i="18"/>
  <c r="S57" i="18"/>
  <c r="R6" i="18"/>
  <c r="R41" i="18"/>
  <c r="R78" i="18"/>
  <c r="S7" i="18"/>
  <c r="S13" i="18"/>
  <c r="S17" i="18"/>
  <c r="S22" i="18"/>
  <c r="S30" i="18"/>
  <c r="S35" i="18"/>
  <c r="S40" i="18"/>
  <c r="S49" i="18"/>
  <c r="S55" i="18"/>
  <c r="S61" i="18"/>
  <c r="R4" i="18"/>
  <c r="R8" i="18"/>
  <c r="R39" i="18"/>
  <c r="R50" i="18"/>
  <c r="R69" i="18"/>
  <c r="R80" i="18"/>
  <c r="S9" i="18"/>
  <c r="S14" i="18"/>
  <c r="S25" i="18"/>
  <c r="S32" i="18"/>
  <c r="S36" i="18"/>
  <c r="S41" i="18"/>
  <c r="S50" i="18"/>
  <c r="S87" i="18"/>
  <c r="R9" i="18"/>
  <c r="R66" i="18"/>
  <c r="R82" i="18"/>
  <c r="S11" i="18"/>
  <c r="S20" i="18"/>
  <c r="S33" i="18"/>
  <c r="S37" i="18"/>
  <c r="S52" i="18"/>
  <c r="R3" i="18"/>
  <c r="R10" i="18"/>
  <c r="R67" i="18"/>
  <c r="R83" i="18"/>
  <c r="Q50" i="3"/>
  <c r="L50" i="3"/>
  <c r="E50" i="3"/>
  <c r="V40" i="18" l="1"/>
  <c r="V50" i="18"/>
  <c r="V68" i="18"/>
  <c r="V56" i="18"/>
  <c r="V37" i="18"/>
  <c r="V49" i="18"/>
  <c r="V43" i="18"/>
  <c r="V12" i="18"/>
  <c r="V11" i="18"/>
  <c r="V8" i="18"/>
  <c r="V61" i="18"/>
  <c r="V67" i="18"/>
  <c r="V41" i="18"/>
  <c r="V75" i="18"/>
  <c r="V17" i="18"/>
  <c r="V21" i="18"/>
  <c r="V14" i="18"/>
  <c r="V27" i="18"/>
  <c r="V2" i="18"/>
  <c r="V18" i="18"/>
  <c r="V66" i="18"/>
  <c r="V39" i="18"/>
  <c r="V6" i="18"/>
  <c r="V55" i="18"/>
  <c r="V33" i="18"/>
  <c r="V83" i="18"/>
  <c r="V25" i="18"/>
  <c r="V58" i="18"/>
  <c r="V32" i="18"/>
  <c r="V3" i="18"/>
  <c r="V48" i="18"/>
  <c r="V87" i="18"/>
  <c r="V47" i="18"/>
  <c r="V22" i="18"/>
  <c r="V80" i="18"/>
  <c r="V42" i="18"/>
  <c r="V16" i="18"/>
  <c r="V52" i="18"/>
  <c r="V79" i="18"/>
  <c r="V45" i="18"/>
  <c r="V20" i="18"/>
  <c r="V78" i="18"/>
  <c r="V31" i="18"/>
  <c r="V82" i="18"/>
  <c r="V51" i="18"/>
  <c r="V34" i="18"/>
  <c r="V13" i="18"/>
  <c r="V69" i="18"/>
  <c r="V46" i="18"/>
  <c r="V28" i="18"/>
  <c r="V44" i="18"/>
  <c r="V85" i="18"/>
  <c r="V54" i="18"/>
  <c r="V36" i="18"/>
  <c r="T10" i="18"/>
  <c r="T49" i="18"/>
  <c r="T9" i="18"/>
  <c r="T50" i="18"/>
  <c r="T41" i="18"/>
  <c r="T40" i="18"/>
  <c r="C31" i="18"/>
  <c r="P101" i="3"/>
  <c r="O100" i="3"/>
  <c r="K101" i="3"/>
  <c r="J100" i="3"/>
  <c r="J83" i="18"/>
  <c r="I83" i="18" l="1"/>
  <c r="AH83" i="18"/>
  <c r="AA31" i="18"/>
  <c r="AB31" i="18"/>
  <c r="AK31" i="18" s="1"/>
  <c r="AL31" i="18" s="1"/>
  <c r="S31" i="18"/>
  <c r="X31" i="18"/>
  <c r="S2" i="18"/>
  <c r="J101" i="13" l="1"/>
  <c r="G101" i="13"/>
  <c r="D101" i="13"/>
  <c r="I100" i="13"/>
  <c r="F100" i="13"/>
  <c r="C100" i="13"/>
  <c r="C80" i="18" l="1"/>
  <c r="D101" i="3"/>
  <c r="S80" i="18" l="1"/>
  <c r="AA80" i="18"/>
  <c r="AC80" i="18" s="1"/>
  <c r="X80" i="18"/>
  <c r="Z80" i="18"/>
  <c r="AE80" i="18"/>
  <c r="P80" i="18"/>
  <c r="T80" i="18" s="1"/>
  <c r="AI80" i="18" l="1"/>
  <c r="AJ80" i="18"/>
  <c r="AD80" i="18"/>
  <c r="C6" i="18" l="1"/>
  <c r="AB6" i="18" s="1"/>
  <c r="AK6" i="18" s="1"/>
  <c r="AL6" i="18" s="1"/>
  <c r="X6" i="18" l="1"/>
  <c r="AA6" i="18"/>
  <c r="P6" i="18"/>
  <c r="T6" i="18" s="1"/>
  <c r="S6" i="18"/>
  <c r="AD6" i="18" l="1"/>
  <c r="AC6" i="18"/>
  <c r="M10" i="13" l="1"/>
  <c r="M9" i="13"/>
  <c r="U10" i="3" l="1"/>
  <c r="U9" i="3"/>
  <c r="D48" i="3" l="1"/>
  <c r="H48" i="3" s="1"/>
  <c r="C48" i="13"/>
  <c r="P42" i="18" l="1"/>
  <c r="F48" i="3"/>
  <c r="J82" i="18"/>
  <c r="I82" i="18" l="1"/>
  <c r="AH82" i="18"/>
  <c r="J69" i="18"/>
  <c r="J68" i="18"/>
  <c r="J67" i="18"/>
  <c r="J66" i="18"/>
  <c r="I69" i="18" l="1"/>
  <c r="AH69" i="18"/>
  <c r="I66" i="18"/>
  <c r="AH66" i="18"/>
  <c r="I68" i="18"/>
  <c r="AH68" i="18"/>
  <c r="I67" i="18"/>
  <c r="AH67" i="18"/>
  <c r="J54" i="18"/>
  <c r="J51" i="18"/>
  <c r="I51" i="18" l="1"/>
  <c r="I54" i="18"/>
  <c r="AH54" i="18"/>
  <c r="Z75" i="18"/>
  <c r="C85" i="18"/>
  <c r="C105" i="13"/>
  <c r="C100" i="3"/>
  <c r="AE75" i="18" l="1"/>
  <c r="AI75" i="18"/>
  <c r="AJ75" i="18"/>
  <c r="S85" i="18"/>
  <c r="X25" i="3"/>
  <c r="X24" i="3"/>
  <c r="P24" i="13"/>
  <c r="X18" i="3"/>
  <c r="O18" i="13"/>
  <c r="V18" i="3"/>
  <c r="AT62" i="15" l="1"/>
  <c r="AT58" i="15"/>
  <c r="AT54" i="15"/>
  <c r="AT51" i="15"/>
  <c r="AT50" i="15"/>
  <c r="AT49" i="15"/>
  <c r="AT45" i="15"/>
  <c r="AT42" i="15"/>
  <c r="AT65" i="15"/>
  <c r="AT33" i="15"/>
  <c r="AT30" i="15"/>
  <c r="AT28" i="15"/>
  <c r="AT26" i="15"/>
  <c r="AT25" i="15"/>
  <c r="AT24" i="15"/>
  <c r="AT23" i="15"/>
  <c r="AT21" i="15"/>
  <c r="AT20" i="15"/>
  <c r="AT19" i="15"/>
  <c r="AT29" i="15"/>
  <c r="AT56" i="15"/>
  <c r="AT14" i="15"/>
  <c r="AT13" i="15"/>
  <c r="AT11" i="15"/>
  <c r="AT10" i="15"/>
  <c r="AT9" i="15"/>
  <c r="AT57" i="15"/>
  <c r="AT6" i="15"/>
  <c r="AT61" i="15"/>
  <c r="Z6" i="18" l="1"/>
  <c r="AT38" i="15"/>
  <c r="AT46" i="15"/>
  <c r="AT15" i="15"/>
  <c r="AT27" i="15"/>
  <c r="AT31" i="15"/>
  <c r="AT35" i="15"/>
  <c r="AT39" i="15"/>
  <c r="AT43" i="15"/>
  <c r="AT47" i="15"/>
  <c r="AT55" i="15"/>
  <c r="AT59" i="15"/>
  <c r="AT63" i="15"/>
  <c r="AT8" i="15"/>
  <c r="AT12" i="15"/>
  <c r="AT16" i="15"/>
  <c r="AT32" i="15"/>
  <c r="AT36" i="15"/>
  <c r="AT40" i="15"/>
  <c r="AT44" i="15"/>
  <c r="AT52" i="15"/>
  <c r="AT60" i="15"/>
  <c r="AT64" i="15"/>
  <c r="AT22" i="15"/>
  <c r="AT5" i="15"/>
  <c r="AT41" i="15"/>
  <c r="AT53" i="15"/>
  <c r="P83" i="18"/>
  <c r="T83" i="18" s="1"/>
  <c r="P82" i="18"/>
  <c r="T82" i="18" s="1"/>
  <c r="C83" i="18"/>
  <c r="C82" i="18"/>
  <c r="K1" i="14"/>
  <c r="C7" i="25" l="1"/>
  <c r="A2" i="14"/>
  <c r="AI6" i="18"/>
  <c r="AJ6" i="18"/>
  <c r="AA82" i="18"/>
  <c r="AB82" i="18"/>
  <c r="AK82" i="18" s="1"/>
  <c r="AL82" i="18" s="1"/>
  <c r="AA83" i="18"/>
  <c r="AB83" i="18"/>
  <c r="AK83" i="18" s="1"/>
  <c r="AL83" i="18" s="1"/>
  <c r="AE6" i="18"/>
  <c r="C4" i="29"/>
  <c r="D10" i="30"/>
  <c r="S82" i="18"/>
  <c r="X82" i="18"/>
  <c r="S83" i="18"/>
  <c r="X83" i="18"/>
  <c r="L32" i="13"/>
  <c r="L42" i="13"/>
  <c r="L46" i="13"/>
  <c r="L43" i="13"/>
  <c r="L47" i="13"/>
  <c r="L56" i="13"/>
  <c r="L44" i="13"/>
  <c r="L55" i="13"/>
  <c r="L41" i="13"/>
  <c r="L45" i="13"/>
  <c r="L11" i="13"/>
  <c r="L35" i="13"/>
  <c r="L29" i="13"/>
  <c r="L34" i="13"/>
  <c r="L33" i="13"/>
  <c r="T32" i="3"/>
  <c r="T35" i="3"/>
  <c r="T29" i="3"/>
  <c r="T34" i="3"/>
  <c r="T33" i="3"/>
  <c r="M25" i="13"/>
  <c r="H21" i="18" s="1"/>
  <c r="U24" i="3"/>
  <c r="I20" i="18" s="1"/>
  <c r="M24" i="13"/>
  <c r="H20" i="18" s="1"/>
  <c r="U25" i="3"/>
  <c r="I21" i="18" s="1"/>
  <c r="M18" i="13"/>
  <c r="H14" i="18" s="1"/>
  <c r="H90" i="18" s="1"/>
  <c r="U18" i="3"/>
  <c r="I14" i="18" s="1"/>
  <c r="U21" i="3"/>
  <c r="I17" i="18" s="1"/>
  <c r="M21" i="13"/>
  <c r="H17" i="18" s="1"/>
  <c r="D68" i="14"/>
  <c r="P78" i="18"/>
  <c r="T78" i="18" s="1"/>
  <c r="C78" i="18"/>
  <c r="D57" i="14"/>
  <c r="D63" i="14"/>
  <c r="D28" i="14"/>
  <c r="D29" i="14"/>
  <c r="D27" i="14"/>
  <c r="D22" i="14"/>
  <c r="D21" i="14"/>
  <c r="D20" i="14"/>
  <c r="D19" i="14"/>
  <c r="D18" i="14"/>
  <c r="D15" i="14"/>
  <c r="D16" i="14"/>
  <c r="D10" i="14"/>
  <c r="D11" i="14"/>
  <c r="D12" i="14"/>
  <c r="D13" i="14"/>
  <c r="D9" i="14"/>
  <c r="J21" i="18" l="1"/>
  <c r="AH21" i="18" s="1"/>
  <c r="J17" i="18"/>
  <c r="AH17" i="18" s="1"/>
  <c r="J14" i="18"/>
  <c r="AH14" i="18" s="1"/>
  <c r="J20" i="18"/>
  <c r="AA78" i="18"/>
  <c r="AB78" i="18"/>
  <c r="AK78" i="18" s="1"/>
  <c r="AL78" i="18" s="1"/>
  <c r="C37" i="29"/>
  <c r="C35" i="29"/>
  <c r="C23" i="29"/>
  <c r="C8" i="29"/>
  <c r="C32" i="29"/>
  <c r="C14" i="29"/>
  <c r="C30" i="29"/>
  <c r="C24" i="29"/>
  <c r="C17" i="29"/>
  <c r="C33" i="29"/>
  <c r="C7" i="29"/>
  <c r="C11" i="29"/>
  <c r="C16" i="29"/>
  <c r="C36" i="29"/>
  <c r="C18" i="29"/>
  <c r="C34" i="29"/>
  <c r="C5" i="29"/>
  <c r="C21" i="29"/>
  <c r="C27" i="29"/>
  <c r="C15" i="29"/>
  <c r="C20" i="29"/>
  <c r="C6" i="29"/>
  <c r="C22" i="29"/>
  <c r="C9" i="29"/>
  <c r="C25" i="29"/>
  <c r="C19" i="29"/>
  <c r="C31" i="29"/>
  <c r="C28" i="29"/>
  <c r="C10" i="29"/>
  <c r="C26" i="29"/>
  <c r="C12" i="29"/>
  <c r="C13" i="29"/>
  <c r="C29" i="29"/>
  <c r="Z83" i="18"/>
  <c r="Z82" i="18"/>
  <c r="S78" i="18"/>
  <c r="Z78" i="18" s="1"/>
  <c r="X78" i="18"/>
  <c r="P79" i="18"/>
  <c r="T79" i="18" s="1"/>
  <c r="P51" i="18"/>
  <c r="T51" i="18" s="1"/>
  <c r="P48" i="18"/>
  <c r="T48" i="18" s="1"/>
  <c r="P47" i="18"/>
  <c r="T47" i="18" s="1"/>
  <c r="P46" i="18"/>
  <c r="T46" i="18" s="1"/>
  <c r="P45" i="18"/>
  <c r="T45" i="18" s="1"/>
  <c r="P35" i="18"/>
  <c r="T35" i="18" s="1"/>
  <c r="P36" i="18"/>
  <c r="T36" i="18" s="1"/>
  <c r="P37" i="18"/>
  <c r="T37" i="18" s="1"/>
  <c r="C79" i="18"/>
  <c r="B1" i="15"/>
  <c r="C1" i="15" s="1"/>
  <c r="D1" i="15" s="1"/>
  <c r="E1" i="15" s="1"/>
  <c r="F1" i="15" s="1"/>
  <c r="G1" i="15" s="1"/>
  <c r="H1" i="15" s="1"/>
  <c r="I1" i="15" s="1"/>
  <c r="J1" i="15" s="1"/>
  <c r="K1" i="15" s="1"/>
  <c r="L1" i="15" s="1"/>
  <c r="M1" i="15" s="1"/>
  <c r="N1" i="15" s="1"/>
  <c r="O1" i="15" s="1"/>
  <c r="P1" i="15" s="1"/>
  <c r="Q1" i="15" s="1"/>
  <c r="R1" i="15" s="1"/>
  <c r="S1" i="15" s="1"/>
  <c r="T1" i="15" s="1"/>
  <c r="U1" i="15" s="1"/>
  <c r="V1" i="15" s="1"/>
  <c r="W1" i="15" s="1"/>
  <c r="X1" i="15" s="1"/>
  <c r="Y1" i="15" s="1"/>
  <c r="Z1" i="15" s="1"/>
  <c r="AA1" i="15" s="1"/>
  <c r="AB1" i="15" s="1"/>
  <c r="AC1" i="15" s="1"/>
  <c r="AD1" i="15" s="1"/>
  <c r="AE1" i="15" s="1"/>
  <c r="AF1" i="15" s="1"/>
  <c r="AG1" i="15" s="1"/>
  <c r="AH1" i="15" s="1"/>
  <c r="AI1" i="15" s="1"/>
  <c r="AJ1" i="15" s="1"/>
  <c r="AK1" i="15" s="1"/>
  <c r="AL1" i="15" s="1"/>
  <c r="AM1" i="15" s="1"/>
  <c r="AN1" i="15" s="1"/>
  <c r="AO1" i="15" s="1"/>
  <c r="AP1" i="15" s="1"/>
  <c r="AQ1" i="15" s="1"/>
  <c r="AR1" i="15" s="1"/>
  <c r="AS1" i="15" s="1"/>
  <c r="R68" i="3"/>
  <c r="R67" i="3"/>
  <c r="R66" i="3"/>
  <c r="R65" i="3"/>
  <c r="R64" i="3"/>
  <c r="R63" i="3"/>
  <c r="R62" i="3"/>
  <c r="R61" i="3"/>
  <c r="R60" i="3"/>
  <c r="R59" i="3"/>
  <c r="Q68" i="3"/>
  <c r="Q67" i="3"/>
  <c r="Q66" i="3"/>
  <c r="Q65" i="3"/>
  <c r="Q64" i="3"/>
  <c r="Q63" i="3"/>
  <c r="Q62" i="3"/>
  <c r="Q61" i="3"/>
  <c r="Q60" i="3"/>
  <c r="Q59" i="3"/>
  <c r="P68" i="3"/>
  <c r="P67" i="3"/>
  <c r="P65" i="3"/>
  <c r="P66" i="3" s="1"/>
  <c r="P64" i="3"/>
  <c r="P63" i="3"/>
  <c r="P62" i="3"/>
  <c r="P61" i="3"/>
  <c r="Q49" i="3"/>
  <c r="P49" i="3"/>
  <c r="P48" i="3"/>
  <c r="M68" i="3"/>
  <c r="M67" i="3"/>
  <c r="M66" i="3"/>
  <c r="M65" i="3"/>
  <c r="M64" i="3"/>
  <c r="M63" i="3"/>
  <c r="M62" i="3"/>
  <c r="M61" i="3"/>
  <c r="M60" i="3"/>
  <c r="M59" i="3"/>
  <c r="L68" i="3"/>
  <c r="L67" i="3"/>
  <c r="L66" i="3"/>
  <c r="L65" i="3"/>
  <c r="L64" i="3"/>
  <c r="L63" i="3"/>
  <c r="L62" i="3"/>
  <c r="L61" i="3"/>
  <c r="L60" i="3"/>
  <c r="L59" i="3"/>
  <c r="K68" i="3"/>
  <c r="K67" i="3"/>
  <c r="K65" i="3"/>
  <c r="K64" i="3"/>
  <c r="K63" i="3"/>
  <c r="K62" i="3"/>
  <c r="K61" i="3"/>
  <c r="L49" i="3"/>
  <c r="K49" i="3"/>
  <c r="K48" i="3"/>
  <c r="F66" i="3"/>
  <c r="F68" i="3"/>
  <c r="F67" i="3"/>
  <c r="F65" i="3"/>
  <c r="F64" i="3"/>
  <c r="F63" i="3"/>
  <c r="F62" i="3"/>
  <c r="F61" i="3"/>
  <c r="E68" i="3"/>
  <c r="P61" i="18" s="1"/>
  <c r="T61" i="18" s="1"/>
  <c r="E67" i="3"/>
  <c r="E66" i="3"/>
  <c r="E65" i="3"/>
  <c r="P58" i="18" s="1"/>
  <c r="T58" i="18" s="1"/>
  <c r="E64" i="3"/>
  <c r="P57" i="18" s="1"/>
  <c r="T57" i="18" s="1"/>
  <c r="E63" i="3"/>
  <c r="P56" i="18" s="1"/>
  <c r="T56" i="18" s="1"/>
  <c r="E62" i="3"/>
  <c r="P55" i="18" s="1"/>
  <c r="T55" i="18" s="1"/>
  <c r="E61" i="3"/>
  <c r="P54" i="18" s="1"/>
  <c r="T54" i="18" s="1"/>
  <c r="D68" i="3"/>
  <c r="D67" i="3"/>
  <c r="D65" i="3"/>
  <c r="D64" i="3"/>
  <c r="D63" i="3"/>
  <c r="D62" i="3"/>
  <c r="D61" i="3"/>
  <c r="F60" i="3"/>
  <c r="E60" i="3"/>
  <c r="F59" i="3"/>
  <c r="E59" i="3"/>
  <c r="P52" i="18" s="1"/>
  <c r="T52" i="18" s="1"/>
  <c r="E49" i="3"/>
  <c r="D49" i="3"/>
  <c r="H49" i="3" s="1"/>
  <c r="I50" i="13"/>
  <c r="J50" i="13"/>
  <c r="J49" i="13"/>
  <c r="J48" i="13"/>
  <c r="I48" i="13" s="1"/>
  <c r="J40" i="13"/>
  <c r="L40" i="13" s="1"/>
  <c r="J39" i="13"/>
  <c r="L39" i="13" s="1"/>
  <c r="J38" i="13"/>
  <c r="F50" i="13"/>
  <c r="G50" i="13"/>
  <c r="G49" i="13"/>
  <c r="G48" i="13"/>
  <c r="F48" i="13" s="1"/>
  <c r="G40" i="13"/>
  <c r="G39" i="13"/>
  <c r="G38" i="13"/>
  <c r="C50" i="13"/>
  <c r="D50" i="13"/>
  <c r="D49" i="13"/>
  <c r="D40" i="13"/>
  <c r="P34" i="18" s="1"/>
  <c r="T34" i="18" s="1"/>
  <c r="D39" i="13"/>
  <c r="AJ83" i="18" l="1"/>
  <c r="AI83" i="18"/>
  <c r="AJ78" i="18"/>
  <c r="AI78" i="18"/>
  <c r="AI82" i="18"/>
  <c r="AJ82" i="18"/>
  <c r="AA79" i="18"/>
  <c r="AB79" i="18"/>
  <c r="AK79" i="18" s="1"/>
  <c r="AL79" i="18" s="1"/>
  <c r="S51" i="18"/>
  <c r="AE83" i="18"/>
  <c r="AE82" i="18"/>
  <c r="AE78" i="18"/>
  <c r="P43" i="18"/>
  <c r="T43" i="18" s="1"/>
  <c r="S79" i="18"/>
  <c r="X79" i="18"/>
  <c r="P44" i="18"/>
  <c r="T44" i="18" s="1"/>
  <c r="T42" i="18"/>
  <c r="Z79" i="18" l="1"/>
  <c r="C3" i="18"/>
  <c r="AB3" i="18" s="1"/>
  <c r="Q3" i="18"/>
  <c r="W3" i="18" s="1"/>
  <c r="AI79" i="18" l="1"/>
  <c r="AJ79" i="18"/>
  <c r="AA3" i="18"/>
  <c r="AE79" i="18"/>
  <c r="S3" i="18"/>
  <c r="AK3" i="18" s="1"/>
  <c r="AL3" i="18" s="1"/>
  <c r="X3" i="18"/>
  <c r="AQ48" i="15"/>
  <c r="AQ26" i="15" s="1"/>
  <c r="AP48" i="15"/>
  <c r="AP20" i="15" s="1"/>
  <c r="AO48" i="15"/>
  <c r="AQ37" i="15"/>
  <c r="AQ62" i="15" s="1"/>
  <c r="AP37" i="15"/>
  <c r="AP52" i="15" s="1"/>
  <c r="AO37" i="15"/>
  <c r="AO41" i="15" s="1"/>
  <c r="AQ34" i="15"/>
  <c r="AP34" i="15"/>
  <c r="AP47" i="15" s="1"/>
  <c r="AO34" i="15"/>
  <c r="AO63" i="15" s="1"/>
  <c r="AQ18" i="15"/>
  <c r="AQ64" i="15" s="1"/>
  <c r="AP18" i="15"/>
  <c r="AO18" i="15"/>
  <c r="AO64" i="15" s="1"/>
  <c r="AQ17" i="15"/>
  <c r="AQ59" i="15" s="1"/>
  <c r="AP17" i="15"/>
  <c r="AP56" i="15" s="1"/>
  <c r="AO17" i="15"/>
  <c r="AO56" i="15" s="1"/>
  <c r="AQ7" i="15"/>
  <c r="AQ58" i="15" s="1"/>
  <c r="AP7" i="15"/>
  <c r="AP58" i="15" s="1"/>
  <c r="AO7" i="15"/>
  <c r="AO58" i="15" s="1"/>
  <c r="AQ4" i="15"/>
  <c r="AP4" i="15"/>
  <c r="AP60" i="15" s="1"/>
  <c r="AO4" i="15"/>
  <c r="AO25" i="15" s="1"/>
  <c r="AQ63" i="15"/>
  <c r="AQ61" i="15"/>
  <c r="AQ60" i="15"/>
  <c r="AQ55" i="15"/>
  <c r="AQ49" i="15"/>
  <c r="AQ47" i="15"/>
  <c r="AQ46" i="15"/>
  <c r="AQ44" i="15"/>
  <c r="AQ33" i="15"/>
  <c r="AQ27" i="15"/>
  <c r="AQ25" i="15"/>
  <c r="AQ21" i="15"/>
  <c r="AQ6" i="15"/>
  <c r="AQ51" i="15"/>
  <c r="AP64" i="15"/>
  <c r="AP40" i="15"/>
  <c r="AP38" i="15"/>
  <c r="AP35" i="15"/>
  <c r="AP31" i="15"/>
  <c r="AP29" i="15"/>
  <c r="AP22" i="15"/>
  <c r="AP10" i="15"/>
  <c r="AP8" i="15"/>
  <c r="AO60" i="15"/>
  <c r="AO59" i="15"/>
  <c r="AO57" i="15"/>
  <c r="AO54" i="15"/>
  <c r="AO40" i="15"/>
  <c r="AO28" i="15"/>
  <c r="AO26" i="15"/>
  <c r="AO24" i="15"/>
  <c r="AO20" i="15"/>
  <c r="AO19" i="15"/>
  <c r="AO15" i="15"/>
  <c r="AO13" i="15"/>
  <c r="AO12" i="15"/>
  <c r="AP53" i="15" l="1"/>
  <c r="AP16" i="15"/>
  <c r="AP62" i="15"/>
  <c r="AQ43" i="15"/>
  <c r="AO21" i="15"/>
  <c r="AO44" i="15"/>
  <c r="AP5" i="15"/>
  <c r="AP41" i="15"/>
  <c r="AQ13" i="15"/>
  <c r="AQ28" i="15"/>
  <c r="AO61" i="15"/>
  <c r="AO46" i="15"/>
  <c r="AP12" i="15"/>
  <c r="AP36" i="15"/>
  <c r="AP42" i="15"/>
  <c r="AP57" i="15"/>
  <c r="AP65" i="15"/>
  <c r="AQ19" i="15"/>
  <c r="AQ56" i="15"/>
  <c r="AO27" i="15"/>
  <c r="AO55" i="15"/>
  <c r="AP11" i="15"/>
  <c r="AP54" i="15"/>
  <c r="AQ24" i="15"/>
  <c r="AO6" i="15"/>
  <c r="AO33" i="15"/>
  <c r="AO47" i="15"/>
  <c r="AP9" i="15"/>
  <c r="AP15" i="15"/>
  <c r="AP30" i="15"/>
  <c r="AQ20" i="15"/>
  <c r="AQ39" i="15"/>
  <c r="AQ65" i="15"/>
  <c r="AP26" i="15"/>
  <c r="AP59" i="15"/>
  <c r="AQ30" i="15"/>
  <c r="AQ41" i="15"/>
  <c r="AP19" i="15"/>
  <c r="AP46" i="15"/>
  <c r="AQ10" i="15"/>
  <c r="AQ36" i="15"/>
  <c r="AQ53" i="15"/>
  <c r="AO10" i="15"/>
  <c r="AO30" i="15"/>
  <c r="AO36" i="15"/>
  <c r="AO62" i="15"/>
  <c r="AP21" i="15"/>
  <c r="AP24" i="15"/>
  <c r="AP28" i="15"/>
  <c r="AP33" i="15"/>
  <c r="AP39" i="15"/>
  <c r="AP43" i="15"/>
  <c r="AP49" i="15"/>
  <c r="AP55" i="15"/>
  <c r="AP61" i="15"/>
  <c r="AP63" i="15"/>
  <c r="AQ5" i="15"/>
  <c r="AQ8" i="15"/>
  <c r="AQ12" i="15"/>
  <c r="AQ15" i="15"/>
  <c r="AQ57" i="15"/>
  <c r="AO5" i="15"/>
  <c r="AO8" i="15"/>
  <c r="AO11" i="15"/>
  <c r="AO16" i="15"/>
  <c r="AO22" i="15"/>
  <c r="AO29" i="15"/>
  <c r="AO31" i="15"/>
  <c r="AO35" i="15"/>
  <c r="AO38" i="15"/>
  <c r="AO42" i="15"/>
  <c r="AO52" i="15"/>
  <c r="AP51" i="15"/>
  <c r="AP6" i="15"/>
  <c r="AP13" i="15"/>
  <c r="AP25" i="15"/>
  <c r="AP27" i="15"/>
  <c r="AP44" i="15"/>
  <c r="AQ9" i="15"/>
  <c r="AQ11" i="15"/>
  <c r="AQ16" i="15"/>
  <c r="AQ22" i="15"/>
  <c r="AQ29" i="15"/>
  <c r="AQ31" i="15"/>
  <c r="AQ35" i="15"/>
  <c r="AQ38" i="15"/>
  <c r="AQ40" i="15"/>
  <c r="AQ42" i="15"/>
  <c r="AQ52" i="15"/>
  <c r="AQ54" i="15"/>
  <c r="AO53" i="15"/>
  <c r="AO65" i="15"/>
  <c r="AO9" i="15"/>
  <c r="AO39" i="15"/>
  <c r="AO43" i="15"/>
  <c r="AQ23" i="15"/>
  <c r="AQ45" i="15"/>
  <c r="AQ50" i="15"/>
  <c r="AQ14" i="15"/>
  <c r="AQ32" i="15"/>
  <c r="AP23" i="15"/>
  <c r="AP45" i="15"/>
  <c r="AP50" i="15"/>
  <c r="AP14" i="15"/>
  <c r="AP32" i="15"/>
  <c r="AO23" i="15"/>
  <c r="AO45" i="15"/>
  <c r="AO50" i="15"/>
  <c r="AO14" i="15"/>
  <c r="AO32" i="15"/>
  <c r="AO51" i="15"/>
  <c r="AO49" i="15"/>
  <c r="P3" i="18" l="1"/>
  <c r="T3" i="18" s="1"/>
  <c r="Z3" i="18" s="1"/>
  <c r="AJ3" i="18" l="1"/>
  <c r="AI3" i="18"/>
  <c r="AE3" i="18"/>
  <c r="AN48" i="15"/>
  <c r="AL48" i="15"/>
  <c r="AL24" i="15" s="1"/>
  <c r="AH48" i="15"/>
  <c r="AH13" i="15" s="1"/>
  <c r="AF48" i="15"/>
  <c r="AF24" i="15" s="1"/>
  <c r="AN37" i="15"/>
  <c r="AL37" i="15"/>
  <c r="AL9" i="15" s="1"/>
  <c r="AH37" i="15"/>
  <c r="AH30" i="15" s="1"/>
  <c r="AF37" i="15"/>
  <c r="AF9" i="15" s="1"/>
  <c r="AN34" i="15"/>
  <c r="AL34" i="15"/>
  <c r="AL6" i="15" s="1"/>
  <c r="AH34" i="15"/>
  <c r="AH44" i="15" s="1"/>
  <c r="AF34" i="15"/>
  <c r="AF6" i="15" s="1"/>
  <c r="AN18" i="15"/>
  <c r="AL18" i="15"/>
  <c r="AL8" i="15" s="1"/>
  <c r="AH18" i="15"/>
  <c r="AH8" i="15" s="1"/>
  <c r="AF18" i="15"/>
  <c r="AF8" i="15" s="1"/>
  <c r="AN17" i="15"/>
  <c r="AL17" i="15"/>
  <c r="AL39" i="15" s="1"/>
  <c r="AH17" i="15"/>
  <c r="AH59" i="15" s="1"/>
  <c r="AF17" i="15"/>
  <c r="AF39" i="15" s="1"/>
  <c r="AN7" i="15"/>
  <c r="AN5" i="15" s="1"/>
  <c r="AL7" i="15"/>
  <c r="AL42" i="15" s="1"/>
  <c r="AH7" i="15"/>
  <c r="AH11" i="15" s="1"/>
  <c r="AF7" i="15"/>
  <c r="AF42" i="15" s="1"/>
  <c r="AN4" i="15"/>
  <c r="AM4" i="15"/>
  <c r="AM14" i="15" s="1"/>
  <c r="AL4" i="15"/>
  <c r="AL14" i="15" s="1"/>
  <c r="AH4" i="15"/>
  <c r="AH32" i="15" s="1"/>
  <c r="AG4" i="15"/>
  <c r="AF4" i="15"/>
  <c r="AF32" i="15" s="1"/>
  <c r="U5" i="15"/>
  <c r="V5" i="15"/>
  <c r="W5" i="15"/>
  <c r="X5" i="15"/>
  <c r="Y5" i="15"/>
  <c r="Z5" i="15"/>
  <c r="AA5" i="15"/>
  <c r="AB5" i="15"/>
  <c r="AC5" i="15"/>
  <c r="AD5" i="15"/>
  <c r="AE5" i="15"/>
  <c r="AG5" i="15"/>
  <c r="AH5" i="15"/>
  <c r="AI5" i="15"/>
  <c r="AJ5" i="15"/>
  <c r="AK5" i="15"/>
  <c r="AL5" i="15"/>
  <c r="AM5" i="15"/>
  <c r="U6" i="15"/>
  <c r="V6" i="15"/>
  <c r="W6" i="15"/>
  <c r="X6" i="15"/>
  <c r="Y6" i="15"/>
  <c r="Z6" i="15"/>
  <c r="AA6" i="15"/>
  <c r="AB6" i="15"/>
  <c r="AC6" i="15"/>
  <c r="AD6" i="15"/>
  <c r="AE6" i="15"/>
  <c r="AG6" i="15"/>
  <c r="AI6" i="15"/>
  <c r="AJ6" i="15"/>
  <c r="AK6" i="15"/>
  <c r="AM6" i="15"/>
  <c r="AN6" i="15"/>
  <c r="U8" i="15"/>
  <c r="V8" i="15"/>
  <c r="W8" i="15"/>
  <c r="X8" i="15"/>
  <c r="Y8" i="15"/>
  <c r="Z8" i="15"/>
  <c r="AA8" i="15"/>
  <c r="AB8" i="15"/>
  <c r="AC8" i="15"/>
  <c r="AD8" i="15"/>
  <c r="AE8" i="15"/>
  <c r="AG8" i="15"/>
  <c r="AI8" i="15"/>
  <c r="AJ8" i="15"/>
  <c r="AK8" i="15"/>
  <c r="AM8" i="15"/>
  <c r="AN8" i="15"/>
  <c r="U9" i="15"/>
  <c r="V9" i="15"/>
  <c r="W9" i="15"/>
  <c r="X9" i="15"/>
  <c r="Y9" i="15"/>
  <c r="Z9" i="15"/>
  <c r="AA9" i="15"/>
  <c r="AB9" i="15"/>
  <c r="AC9" i="15"/>
  <c r="AD9" i="15"/>
  <c r="AE9" i="15"/>
  <c r="AG9" i="15"/>
  <c r="AI9" i="15"/>
  <c r="AJ9" i="15"/>
  <c r="AK9" i="15"/>
  <c r="AM9" i="15"/>
  <c r="AN9" i="15"/>
  <c r="U10" i="15"/>
  <c r="V10" i="15"/>
  <c r="W10" i="15"/>
  <c r="X10" i="15"/>
  <c r="Y10" i="15"/>
  <c r="Z10" i="15"/>
  <c r="AA10" i="15"/>
  <c r="AB10" i="15"/>
  <c r="AC10" i="15"/>
  <c r="AD10" i="15"/>
  <c r="AE10" i="15"/>
  <c r="AG10" i="15"/>
  <c r="AI10" i="15"/>
  <c r="AJ10" i="15"/>
  <c r="AK10" i="15"/>
  <c r="AM10" i="15"/>
  <c r="AN10" i="15"/>
  <c r="U11" i="15"/>
  <c r="V11" i="15"/>
  <c r="W11" i="15"/>
  <c r="X11" i="15"/>
  <c r="Y11" i="15"/>
  <c r="Z11" i="15"/>
  <c r="AA11" i="15"/>
  <c r="AB11" i="15"/>
  <c r="AC11" i="15"/>
  <c r="AD11" i="15"/>
  <c r="AE11" i="15"/>
  <c r="AG11" i="15"/>
  <c r="AI11" i="15"/>
  <c r="AJ11" i="15"/>
  <c r="AK11" i="15"/>
  <c r="AM11" i="15"/>
  <c r="AN11" i="15"/>
  <c r="U12" i="15"/>
  <c r="V12" i="15"/>
  <c r="W12" i="15"/>
  <c r="X12" i="15"/>
  <c r="Y12" i="15"/>
  <c r="Z12" i="15"/>
  <c r="AA12" i="15"/>
  <c r="AB12" i="15"/>
  <c r="AC12" i="15"/>
  <c r="AD12" i="15"/>
  <c r="AE12" i="15"/>
  <c r="AG12" i="15"/>
  <c r="AI12" i="15"/>
  <c r="AJ12" i="15"/>
  <c r="AK12" i="15"/>
  <c r="AM12" i="15"/>
  <c r="AN12" i="15"/>
  <c r="U13" i="15"/>
  <c r="V13" i="15"/>
  <c r="W13" i="15"/>
  <c r="X13" i="15"/>
  <c r="Y13" i="15"/>
  <c r="Z13" i="15"/>
  <c r="AA13" i="15"/>
  <c r="AB13" i="15"/>
  <c r="AC13" i="15"/>
  <c r="AD13" i="15"/>
  <c r="AE13" i="15"/>
  <c r="AG13" i="15"/>
  <c r="AI13" i="15"/>
  <c r="AJ13" i="15"/>
  <c r="AK13" i="15"/>
  <c r="AM13" i="15"/>
  <c r="AN13" i="15"/>
  <c r="U14" i="15"/>
  <c r="V14" i="15"/>
  <c r="W14" i="15"/>
  <c r="X14" i="15"/>
  <c r="Y14" i="15"/>
  <c r="Z14" i="15"/>
  <c r="AA14" i="15"/>
  <c r="AB14" i="15"/>
  <c r="AC14" i="15"/>
  <c r="AD14" i="15"/>
  <c r="AE14" i="15"/>
  <c r="AG14" i="15"/>
  <c r="AI14" i="15"/>
  <c r="AJ14" i="15"/>
  <c r="AK14" i="15"/>
  <c r="AN14" i="15"/>
  <c r="U15" i="15"/>
  <c r="V15" i="15"/>
  <c r="W15" i="15"/>
  <c r="X15" i="15"/>
  <c r="Y15" i="15"/>
  <c r="Z15" i="15"/>
  <c r="AA15" i="15"/>
  <c r="AB15" i="15"/>
  <c r="AC15" i="15"/>
  <c r="AD15" i="15"/>
  <c r="AE15" i="15"/>
  <c r="AG15" i="15"/>
  <c r="AI15" i="15"/>
  <c r="AJ15" i="15"/>
  <c r="AK15" i="15"/>
  <c r="AM15" i="15"/>
  <c r="AN15" i="15"/>
  <c r="U16" i="15"/>
  <c r="V16" i="15"/>
  <c r="W16" i="15"/>
  <c r="X16" i="15"/>
  <c r="Y16" i="15"/>
  <c r="Z16" i="15"/>
  <c r="AA16" i="15"/>
  <c r="AB16" i="15"/>
  <c r="AC16" i="15"/>
  <c r="AD16" i="15"/>
  <c r="AE16" i="15"/>
  <c r="AG16" i="15"/>
  <c r="AI16" i="15"/>
  <c r="AJ16" i="15"/>
  <c r="AK16" i="15"/>
  <c r="AM16" i="15"/>
  <c r="AN16" i="15"/>
  <c r="U19" i="15"/>
  <c r="V19" i="15"/>
  <c r="W19" i="15"/>
  <c r="X19" i="15"/>
  <c r="Y19" i="15"/>
  <c r="Z19" i="15"/>
  <c r="AA19" i="15"/>
  <c r="AB19" i="15"/>
  <c r="AC19" i="15"/>
  <c r="AD19" i="15"/>
  <c r="AE19" i="15"/>
  <c r="AG19" i="15"/>
  <c r="AI19" i="15"/>
  <c r="AJ19" i="15"/>
  <c r="AK19" i="15"/>
  <c r="AM19" i="15"/>
  <c r="AN19" i="15"/>
  <c r="U20" i="15"/>
  <c r="V20" i="15"/>
  <c r="W20" i="15"/>
  <c r="X20" i="15"/>
  <c r="Y20" i="15"/>
  <c r="Z20" i="15"/>
  <c r="AA20" i="15"/>
  <c r="AB20" i="15"/>
  <c r="AC20" i="15"/>
  <c r="AD20" i="15"/>
  <c r="AE20" i="15"/>
  <c r="AG20" i="15"/>
  <c r="AI20" i="15"/>
  <c r="AJ20" i="15"/>
  <c r="AK20" i="15"/>
  <c r="AM20" i="15"/>
  <c r="AN20" i="15"/>
  <c r="U21" i="15"/>
  <c r="V21" i="15"/>
  <c r="W21" i="15"/>
  <c r="X21" i="15"/>
  <c r="Y21" i="15"/>
  <c r="Z21" i="15"/>
  <c r="AA21" i="15"/>
  <c r="AB21" i="15"/>
  <c r="AC21" i="15"/>
  <c r="AD21" i="15"/>
  <c r="AE21" i="15"/>
  <c r="AG21" i="15"/>
  <c r="AI21" i="15"/>
  <c r="AJ21" i="15"/>
  <c r="AK21" i="15"/>
  <c r="AN21" i="15"/>
  <c r="U22" i="15"/>
  <c r="V22" i="15"/>
  <c r="W22" i="15"/>
  <c r="X22" i="15"/>
  <c r="Y22" i="15"/>
  <c r="Z22" i="15"/>
  <c r="AA22" i="15"/>
  <c r="AB22" i="15"/>
  <c r="AC22" i="15"/>
  <c r="AD22" i="15"/>
  <c r="AE22" i="15"/>
  <c r="AG22" i="15"/>
  <c r="AI22" i="15"/>
  <c r="AJ22" i="15"/>
  <c r="AK22" i="15"/>
  <c r="AM22" i="15"/>
  <c r="AN22" i="15"/>
  <c r="U23" i="15"/>
  <c r="V23" i="15"/>
  <c r="W23" i="15"/>
  <c r="X23" i="15"/>
  <c r="Y23" i="15"/>
  <c r="Z23" i="15"/>
  <c r="AA23" i="15"/>
  <c r="AB23" i="15"/>
  <c r="AC23" i="15"/>
  <c r="AD23" i="15"/>
  <c r="AE23" i="15"/>
  <c r="AG23" i="15"/>
  <c r="AI23" i="15"/>
  <c r="AJ23" i="15"/>
  <c r="AK23" i="15"/>
  <c r="AN23" i="15"/>
  <c r="U24" i="15"/>
  <c r="V24" i="15"/>
  <c r="W24" i="15"/>
  <c r="X24" i="15"/>
  <c r="Y24" i="15"/>
  <c r="Z24" i="15"/>
  <c r="AA24" i="15"/>
  <c r="AB24" i="15"/>
  <c r="AC24" i="15"/>
  <c r="AD24" i="15"/>
  <c r="AE24" i="15"/>
  <c r="AG24" i="15"/>
  <c r="AI24" i="15"/>
  <c r="AJ24" i="15"/>
  <c r="AK24" i="15"/>
  <c r="AM24" i="15"/>
  <c r="AN24" i="15"/>
  <c r="U25" i="15"/>
  <c r="V25" i="15"/>
  <c r="W25" i="15"/>
  <c r="X25" i="15"/>
  <c r="Y25" i="15"/>
  <c r="Z25" i="15"/>
  <c r="AA25" i="15"/>
  <c r="AB25" i="15"/>
  <c r="AC25" i="15"/>
  <c r="AD25" i="15"/>
  <c r="AE25" i="15"/>
  <c r="AG25" i="15"/>
  <c r="AI25" i="15"/>
  <c r="AJ25" i="15"/>
  <c r="AK25" i="15"/>
  <c r="AN25" i="15"/>
  <c r="U26" i="15"/>
  <c r="V26" i="15"/>
  <c r="W26" i="15"/>
  <c r="X26" i="15"/>
  <c r="Y26" i="15"/>
  <c r="Z26" i="15"/>
  <c r="AA26" i="15"/>
  <c r="AB26" i="15"/>
  <c r="AC26" i="15"/>
  <c r="AD26" i="15"/>
  <c r="AE26" i="15"/>
  <c r="AG26" i="15"/>
  <c r="AI26" i="15"/>
  <c r="AJ26" i="15"/>
  <c r="AK26" i="15"/>
  <c r="AM26" i="15"/>
  <c r="AN26" i="15"/>
  <c r="U27" i="15"/>
  <c r="V27" i="15"/>
  <c r="W27" i="15"/>
  <c r="X27" i="15"/>
  <c r="Y27" i="15"/>
  <c r="Z27" i="15"/>
  <c r="AA27" i="15"/>
  <c r="AB27" i="15"/>
  <c r="AC27" i="15"/>
  <c r="AD27" i="15"/>
  <c r="AE27" i="15"/>
  <c r="AG27" i="15"/>
  <c r="AI27" i="15"/>
  <c r="AJ27" i="15"/>
  <c r="AK27" i="15"/>
  <c r="AM27" i="15"/>
  <c r="AN27" i="15"/>
  <c r="U28" i="15"/>
  <c r="V28" i="15"/>
  <c r="W28" i="15"/>
  <c r="X28" i="15"/>
  <c r="Y28" i="15"/>
  <c r="Z28" i="15"/>
  <c r="AA28" i="15"/>
  <c r="AB28" i="15"/>
  <c r="AC28" i="15"/>
  <c r="AD28" i="15"/>
  <c r="AE28" i="15"/>
  <c r="AG28" i="15"/>
  <c r="AI28" i="15"/>
  <c r="AJ28" i="15"/>
  <c r="AK28" i="15"/>
  <c r="AM28" i="15"/>
  <c r="AN28" i="15"/>
  <c r="U29" i="15"/>
  <c r="V29" i="15"/>
  <c r="W29" i="15"/>
  <c r="X29" i="15"/>
  <c r="Y29" i="15"/>
  <c r="Z29" i="15"/>
  <c r="AA29" i="15"/>
  <c r="AB29" i="15"/>
  <c r="AC29" i="15"/>
  <c r="AD29" i="15"/>
  <c r="AE29" i="15"/>
  <c r="AG29" i="15"/>
  <c r="AI29" i="15"/>
  <c r="AJ29" i="15"/>
  <c r="AK29" i="15"/>
  <c r="AM29" i="15"/>
  <c r="AN29" i="15"/>
  <c r="U30" i="15"/>
  <c r="V30" i="15"/>
  <c r="W30" i="15"/>
  <c r="X30" i="15"/>
  <c r="Y30" i="15"/>
  <c r="Z30" i="15"/>
  <c r="AA30" i="15"/>
  <c r="AB30" i="15"/>
  <c r="AC30" i="15"/>
  <c r="AD30" i="15"/>
  <c r="AE30" i="15"/>
  <c r="AG30" i="15"/>
  <c r="AI30" i="15"/>
  <c r="AJ30" i="15"/>
  <c r="AK30" i="15"/>
  <c r="AM30" i="15"/>
  <c r="AN30" i="15"/>
  <c r="U31" i="15"/>
  <c r="V31" i="15"/>
  <c r="W31" i="15"/>
  <c r="X31" i="15"/>
  <c r="Y31" i="15"/>
  <c r="Z31" i="15"/>
  <c r="AA31" i="15"/>
  <c r="AB31" i="15"/>
  <c r="AC31" i="15"/>
  <c r="AD31" i="15"/>
  <c r="AE31" i="15"/>
  <c r="AG31" i="15"/>
  <c r="AI31" i="15"/>
  <c r="AJ31" i="15"/>
  <c r="AK31" i="15"/>
  <c r="AM31" i="15"/>
  <c r="AN31" i="15"/>
  <c r="U32" i="15"/>
  <c r="V32" i="15"/>
  <c r="W32" i="15"/>
  <c r="X32" i="15"/>
  <c r="Y32" i="15"/>
  <c r="Z32" i="15"/>
  <c r="AA32" i="15"/>
  <c r="AB32" i="15"/>
  <c r="AC32" i="15"/>
  <c r="AD32" i="15"/>
  <c r="AE32" i="15"/>
  <c r="AG32" i="15"/>
  <c r="AI32" i="15"/>
  <c r="AJ32" i="15"/>
  <c r="AK32" i="15"/>
  <c r="AN32" i="15"/>
  <c r="U33" i="15"/>
  <c r="V33" i="15"/>
  <c r="W33" i="15"/>
  <c r="X33" i="15"/>
  <c r="Y33" i="15"/>
  <c r="Z33" i="15"/>
  <c r="AA33" i="15"/>
  <c r="AB33" i="15"/>
  <c r="AC33" i="15"/>
  <c r="AD33" i="15"/>
  <c r="AE33" i="15"/>
  <c r="AG33" i="15"/>
  <c r="AI33" i="15"/>
  <c r="AJ33" i="15"/>
  <c r="AK33" i="15"/>
  <c r="AM33" i="15"/>
  <c r="AN33" i="15"/>
  <c r="U35" i="15"/>
  <c r="V35" i="15"/>
  <c r="W35" i="15"/>
  <c r="X35" i="15"/>
  <c r="Y35" i="15"/>
  <c r="Z35" i="15"/>
  <c r="AA35" i="15"/>
  <c r="AB35" i="15"/>
  <c r="AC35" i="15"/>
  <c r="AD35" i="15"/>
  <c r="AE35" i="15"/>
  <c r="AG35" i="15"/>
  <c r="AI35" i="15"/>
  <c r="AJ35" i="15"/>
  <c r="AK35" i="15"/>
  <c r="AM35" i="15"/>
  <c r="AN35" i="15"/>
  <c r="U36" i="15"/>
  <c r="V36" i="15"/>
  <c r="W36" i="15"/>
  <c r="X36" i="15"/>
  <c r="Y36" i="15"/>
  <c r="Z36" i="15"/>
  <c r="AA36" i="15"/>
  <c r="AB36" i="15"/>
  <c r="AC36" i="15"/>
  <c r="AD36" i="15"/>
  <c r="AE36" i="15"/>
  <c r="AG36" i="15"/>
  <c r="AI36" i="15"/>
  <c r="AJ36" i="15"/>
  <c r="AK36" i="15"/>
  <c r="AM36" i="15"/>
  <c r="AN36" i="15"/>
  <c r="U38" i="15"/>
  <c r="V38" i="15"/>
  <c r="W38" i="15"/>
  <c r="X38" i="15"/>
  <c r="Y38" i="15"/>
  <c r="Z38" i="15"/>
  <c r="AA38" i="15"/>
  <c r="AB38" i="15"/>
  <c r="AC38" i="15"/>
  <c r="AD38" i="15"/>
  <c r="AE38" i="15"/>
  <c r="AG38" i="15"/>
  <c r="AI38" i="15"/>
  <c r="AJ38" i="15"/>
  <c r="AK38" i="15"/>
  <c r="AM38" i="15"/>
  <c r="AN38" i="15"/>
  <c r="U39" i="15"/>
  <c r="V39" i="15"/>
  <c r="W39" i="15"/>
  <c r="X39" i="15"/>
  <c r="Y39" i="15"/>
  <c r="Z39" i="15"/>
  <c r="AA39" i="15"/>
  <c r="AB39" i="15"/>
  <c r="AC39" i="15"/>
  <c r="AD39" i="15"/>
  <c r="AE39" i="15"/>
  <c r="AG39" i="15"/>
  <c r="AI39" i="15"/>
  <c r="AJ39" i="15"/>
  <c r="AK39" i="15"/>
  <c r="AM39" i="15"/>
  <c r="AN39" i="15"/>
  <c r="U40" i="15"/>
  <c r="V40" i="15"/>
  <c r="W40" i="15"/>
  <c r="X40" i="15"/>
  <c r="Y40" i="15"/>
  <c r="Z40" i="15"/>
  <c r="AA40" i="15"/>
  <c r="AB40" i="15"/>
  <c r="AC40" i="15"/>
  <c r="AD40" i="15"/>
  <c r="AE40" i="15"/>
  <c r="AG40" i="15"/>
  <c r="AI40" i="15"/>
  <c r="AJ40" i="15"/>
  <c r="AK40" i="15"/>
  <c r="AM40" i="15"/>
  <c r="AN40" i="15"/>
  <c r="U41" i="15"/>
  <c r="V41" i="15"/>
  <c r="W41" i="15"/>
  <c r="X41" i="15"/>
  <c r="Y41" i="15"/>
  <c r="Z41" i="15"/>
  <c r="AA41" i="15"/>
  <c r="AB41" i="15"/>
  <c r="AC41" i="15"/>
  <c r="AD41" i="15"/>
  <c r="AE41" i="15"/>
  <c r="AG41" i="15"/>
  <c r="AI41" i="15"/>
  <c r="AJ41" i="15"/>
  <c r="AK41" i="15"/>
  <c r="AM41" i="15"/>
  <c r="AN41" i="15"/>
  <c r="U42" i="15"/>
  <c r="V42" i="15"/>
  <c r="W42" i="15"/>
  <c r="X42" i="15"/>
  <c r="Y42" i="15"/>
  <c r="Z42" i="15"/>
  <c r="AA42" i="15"/>
  <c r="AB42" i="15"/>
  <c r="AC42" i="15"/>
  <c r="AD42" i="15"/>
  <c r="AE42" i="15"/>
  <c r="AG42" i="15"/>
  <c r="AI42" i="15"/>
  <c r="AJ42" i="15"/>
  <c r="AK42" i="15"/>
  <c r="AM42" i="15"/>
  <c r="AN42" i="15"/>
  <c r="U43" i="15"/>
  <c r="V43" i="15"/>
  <c r="W43" i="15"/>
  <c r="X43" i="15"/>
  <c r="Y43" i="15"/>
  <c r="Z43" i="15"/>
  <c r="AA43" i="15"/>
  <c r="AB43" i="15"/>
  <c r="AC43" i="15"/>
  <c r="AD43" i="15"/>
  <c r="AE43" i="15"/>
  <c r="AG43" i="15"/>
  <c r="AI43" i="15"/>
  <c r="AJ43" i="15"/>
  <c r="AK43" i="15"/>
  <c r="AM43" i="15"/>
  <c r="AN43" i="15"/>
  <c r="U44" i="15"/>
  <c r="V44" i="15"/>
  <c r="W44" i="15"/>
  <c r="X44" i="15"/>
  <c r="Y44" i="15"/>
  <c r="Z44" i="15"/>
  <c r="AA44" i="15"/>
  <c r="AB44" i="15"/>
  <c r="AC44" i="15"/>
  <c r="AD44" i="15"/>
  <c r="AE44" i="15"/>
  <c r="AG44" i="15"/>
  <c r="AI44" i="15"/>
  <c r="AJ44" i="15"/>
  <c r="AK44" i="15"/>
  <c r="AM44" i="15"/>
  <c r="AN44" i="15"/>
  <c r="U45" i="15"/>
  <c r="V45" i="15"/>
  <c r="W45" i="15"/>
  <c r="X45" i="15"/>
  <c r="Y45" i="15"/>
  <c r="Z45" i="15"/>
  <c r="AA45" i="15"/>
  <c r="AB45" i="15"/>
  <c r="AC45" i="15"/>
  <c r="AD45" i="15"/>
  <c r="AE45" i="15"/>
  <c r="AG45" i="15"/>
  <c r="AI45" i="15"/>
  <c r="AJ45" i="15"/>
  <c r="AK45" i="15"/>
  <c r="AM45" i="15"/>
  <c r="AN45" i="15"/>
  <c r="U46" i="15"/>
  <c r="V46" i="15"/>
  <c r="W46" i="15"/>
  <c r="X46" i="15"/>
  <c r="Y46" i="15"/>
  <c r="Z46" i="15"/>
  <c r="AA46" i="15"/>
  <c r="AB46" i="15"/>
  <c r="AC46" i="15"/>
  <c r="AD46" i="15"/>
  <c r="AE46" i="15"/>
  <c r="AG46" i="15"/>
  <c r="AI46" i="15"/>
  <c r="AJ46" i="15"/>
  <c r="AK46" i="15"/>
  <c r="AM46" i="15"/>
  <c r="AN46" i="15"/>
  <c r="U47" i="15"/>
  <c r="V47" i="15"/>
  <c r="W47" i="15"/>
  <c r="X47" i="15"/>
  <c r="Y47" i="15"/>
  <c r="Z47" i="15"/>
  <c r="AA47" i="15"/>
  <c r="AB47" i="15"/>
  <c r="AC47" i="15"/>
  <c r="AD47" i="15"/>
  <c r="AE47" i="15"/>
  <c r="AG47" i="15"/>
  <c r="AI47" i="15"/>
  <c r="AJ47" i="15"/>
  <c r="AK47" i="15"/>
  <c r="AM47" i="15"/>
  <c r="AN47" i="15"/>
  <c r="U49" i="15"/>
  <c r="V49" i="15"/>
  <c r="W49" i="15"/>
  <c r="X49" i="15"/>
  <c r="Y49" i="15"/>
  <c r="Z49" i="15"/>
  <c r="AA49" i="15"/>
  <c r="AB49" i="15"/>
  <c r="AC49" i="15"/>
  <c r="AD49" i="15"/>
  <c r="AE49" i="15"/>
  <c r="AG49" i="15"/>
  <c r="AI49" i="15"/>
  <c r="AJ49" i="15"/>
  <c r="AK49" i="15"/>
  <c r="AM49" i="15"/>
  <c r="AN49" i="15"/>
  <c r="U50" i="15"/>
  <c r="V50" i="15"/>
  <c r="W50" i="15"/>
  <c r="X50" i="15"/>
  <c r="Y50" i="15"/>
  <c r="Z50" i="15"/>
  <c r="AA50" i="15"/>
  <c r="AB50" i="15"/>
  <c r="AC50" i="15"/>
  <c r="AD50" i="15"/>
  <c r="AE50" i="15"/>
  <c r="AG50" i="15"/>
  <c r="AI50" i="15"/>
  <c r="AJ50" i="15"/>
  <c r="AK50" i="15"/>
  <c r="AN50" i="15"/>
  <c r="U51" i="15"/>
  <c r="V51" i="15"/>
  <c r="W51" i="15"/>
  <c r="X51" i="15"/>
  <c r="Y51" i="15"/>
  <c r="Z51" i="15"/>
  <c r="AA51" i="15"/>
  <c r="AB51" i="15"/>
  <c r="AC51" i="15"/>
  <c r="AD51" i="15"/>
  <c r="AE51" i="15"/>
  <c r="AG51" i="15"/>
  <c r="AI51" i="15"/>
  <c r="AJ51" i="15"/>
  <c r="AK51" i="15"/>
  <c r="AM51" i="15"/>
  <c r="AN51" i="15"/>
  <c r="U52" i="15"/>
  <c r="V52" i="15"/>
  <c r="W52" i="15"/>
  <c r="X52" i="15"/>
  <c r="Y52" i="15"/>
  <c r="Z52" i="15"/>
  <c r="AA52" i="15"/>
  <c r="AB52" i="15"/>
  <c r="AC52" i="15"/>
  <c r="AD52" i="15"/>
  <c r="AE52" i="15"/>
  <c r="AG52" i="15"/>
  <c r="AI52" i="15"/>
  <c r="AJ52" i="15"/>
  <c r="AK52" i="15"/>
  <c r="AM52" i="15"/>
  <c r="AN52" i="15"/>
  <c r="U53" i="15"/>
  <c r="V53" i="15"/>
  <c r="W53" i="15"/>
  <c r="X53" i="15"/>
  <c r="Y53" i="15"/>
  <c r="Z53" i="15"/>
  <c r="AA53" i="15"/>
  <c r="AB53" i="15"/>
  <c r="AC53" i="15"/>
  <c r="AD53" i="15"/>
  <c r="AE53" i="15"/>
  <c r="AG53" i="15"/>
  <c r="AI53" i="15"/>
  <c r="AJ53" i="15"/>
  <c r="AK53" i="15"/>
  <c r="AM53" i="15"/>
  <c r="AN53" i="15"/>
  <c r="U54" i="15"/>
  <c r="V54" i="15"/>
  <c r="W54" i="15"/>
  <c r="X54" i="15"/>
  <c r="Y54" i="15"/>
  <c r="Z54" i="15"/>
  <c r="AA54" i="15"/>
  <c r="AB54" i="15"/>
  <c r="AC54" i="15"/>
  <c r="AD54" i="15"/>
  <c r="AE54" i="15"/>
  <c r="AG54" i="15"/>
  <c r="AI54" i="15"/>
  <c r="AJ54" i="15"/>
  <c r="AK54" i="15"/>
  <c r="AM54" i="15"/>
  <c r="AN54" i="15"/>
  <c r="U55" i="15"/>
  <c r="V55" i="15"/>
  <c r="W55" i="15"/>
  <c r="X55" i="15"/>
  <c r="Y55" i="15"/>
  <c r="Z55" i="15"/>
  <c r="AA55" i="15"/>
  <c r="AB55" i="15"/>
  <c r="AC55" i="15"/>
  <c r="AD55" i="15"/>
  <c r="AE55" i="15"/>
  <c r="AG55" i="15"/>
  <c r="AI55" i="15"/>
  <c r="AJ55" i="15"/>
  <c r="AK55" i="15"/>
  <c r="AM55" i="15"/>
  <c r="AN55" i="15"/>
  <c r="U56" i="15"/>
  <c r="V56" i="15"/>
  <c r="W56" i="15"/>
  <c r="X56" i="15"/>
  <c r="Y56" i="15"/>
  <c r="Z56" i="15"/>
  <c r="AA56" i="15"/>
  <c r="AB56" i="15"/>
  <c r="AC56" i="15"/>
  <c r="AD56" i="15"/>
  <c r="AE56" i="15"/>
  <c r="AG56" i="15"/>
  <c r="AI56" i="15"/>
  <c r="AJ56" i="15"/>
  <c r="AK56" i="15"/>
  <c r="AM56" i="15"/>
  <c r="AN56" i="15"/>
  <c r="U57" i="15"/>
  <c r="V57" i="15"/>
  <c r="W57" i="15"/>
  <c r="X57" i="15"/>
  <c r="Y57" i="15"/>
  <c r="Z57" i="15"/>
  <c r="AA57" i="15"/>
  <c r="AB57" i="15"/>
  <c r="AC57" i="15"/>
  <c r="AD57" i="15"/>
  <c r="AE57" i="15"/>
  <c r="AG57" i="15"/>
  <c r="AI57" i="15"/>
  <c r="AJ57" i="15"/>
  <c r="AK57" i="15"/>
  <c r="AM57" i="15"/>
  <c r="AN57" i="15"/>
  <c r="U58" i="15"/>
  <c r="V58" i="15"/>
  <c r="W58" i="15"/>
  <c r="X58" i="15"/>
  <c r="Y58" i="15"/>
  <c r="Z58" i="15"/>
  <c r="AA58" i="15"/>
  <c r="AB58" i="15"/>
  <c r="AC58" i="15"/>
  <c r="AD58" i="15"/>
  <c r="AE58" i="15"/>
  <c r="AG58" i="15"/>
  <c r="AI58" i="15"/>
  <c r="AJ58" i="15"/>
  <c r="AK58" i="15"/>
  <c r="AM58" i="15"/>
  <c r="AN58" i="15"/>
  <c r="U59" i="15"/>
  <c r="V59" i="15"/>
  <c r="W59" i="15"/>
  <c r="X59" i="15"/>
  <c r="Y59" i="15"/>
  <c r="Z59" i="15"/>
  <c r="AA59" i="15"/>
  <c r="AB59" i="15"/>
  <c r="AC59" i="15"/>
  <c r="AD59" i="15"/>
  <c r="AE59" i="15"/>
  <c r="AG59" i="15"/>
  <c r="AI59" i="15"/>
  <c r="AJ59" i="15"/>
  <c r="AK59" i="15"/>
  <c r="AM59" i="15"/>
  <c r="AN59" i="15"/>
  <c r="U60" i="15"/>
  <c r="V60" i="15"/>
  <c r="W60" i="15"/>
  <c r="X60" i="15"/>
  <c r="Y60" i="15"/>
  <c r="Z60" i="15"/>
  <c r="AA60" i="15"/>
  <c r="AB60" i="15"/>
  <c r="AC60" i="15"/>
  <c r="AD60" i="15"/>
  <c r="AE60" i="15"/>
  <c r="AG60" i="15"/>
  <c r="AI60" i="15"/>
  <c r="AJ60" i="15"/>
  <c r="AK60" i="15"/>
  <c r="AM60" i="15"/>
  <c r="AN60" i="15"/>
  <c r="U61" i="15"/>
  <c r="V61" i="15"/>
  <c r="W61" i="15"/>
  <c r="X61" i="15"/>
  <c r="Y61" i="15"/>
  <c r="Z61" i="15"/>
  <c r="AA61" i="15"/>
  <c r="AB61" i="15"/>
  <c r="AC61" i="15"/>
  <c r="AD61" i="15"/>
  <c r="AE61" i="15"/>
  <c r="AG61" i="15"/>
  <c r="AI61" i="15"/>
  <c r="AJ61" i="15"/>
  <c r="AK61" i="15"/>
  <c r="AN61" i="15"/>
  <c r="U62" i="15"/>
  <c r="V62" i="15"/>
  <c r="W62" i="15"/>
  <c r="X62" i="15"/>
  <c r="Y62" i="15"/>
  <c r="Z62" i="15"/>
  <c r="AA62" i="15"/>
  <c r="AB62" i="15"/>
  <c r="AC62" i="15"/>
  <c r="AD62" i="15"/>
  <c r="AE62" i="15"/>
  <c r="AG62" i="15"/>
  <c r="AI62" i="15"/>
  <c r="AJ62" i="15"/>
  <c r="AK62" i="15"/>
  <c r="AM62" i="15"/>
  <c r="AN62" i="15"/>
  <c r="U63" i="15"/>
  <c r="V63" i="15"/>
  <c r="W63" i="15"/>
  <c r="X63" i="15"/>
  <c r="Y63" i="15"/>
  <c r="Z63" i="15"/>
  <c r="AA63" i="15"/>
  <c r="AB63" i="15"/>
  <c r="AC63" i="15"/>
  <c r="AD63" i="15"/>
  <c r="AE63" i="15"/>
  <c r="AG63" i="15"/>
  <c r="AI63" i="15"/>
  <c r="AJ63" i="15"/>
  <c r="AK63" i="15"/>
  <c r="AM63" i="15"/>
  <c r="AN63" i="15"/>
  <c r="U64" i="15"/>
  <c r="V64" i="15"/>
  <c r="W64" i="15"/>
  <c r="X64" i="15"/>
  <c r="Y64" i="15"/>
  <c r="Z64" i="15"/>
  <c r="AA64" i="15"/>
  <c r="AB64" i="15"/>
  <c r="AC64" i="15"/>
  <c r="AD64" i="15"/>
  <c r="AE64" i="15"/>
  <c r="AG64" i="15"/>
  <c r="AI64" i="15"/>
  <c r="AJ64" i="15"/>
  <c r="AK64" i="15"/>
  <c r="AM64" i="15"/>
  <c r="AN64" i="15"/>
  <c r="U65" i="15"/>
  <c r="V65" i="15"/>
  <c r="W65" i="15"/>
  <c r="X65" i="15"/>
  <c r="Y65" i="15"/>
  <c r="Z65" i="15"/>
  <c r="AA65" i="15"/>
  <c r="AB65" i="15"/>
  <c r="AC65" i="15"/>
  <c r="AD65" i="15"/>
  <c r="AE65" i="15"/>
  <c r="AG65" i="15"/>
  <c r="AI65" i="15"/>
  <c r="AJ65" i="15"/>
  <c r="AK65" i="15"/>
  <c r="AM65" i="15"/>
  <c r="AN65" i="15"/>
  <c r="T5" i="15"/>
  <c r="T6" i="15"/>
  <c r="T8" i="15"/>
  <c r="T9" i="15"/>
  <c r="T10" i="15"/>
  <c r="T11" i="15"/>
  <c r="T12" i="15"/>
  <c r="T13" i="15"/>
  <c r="T14" i="15"/>
  <c r="T15" i="15"/>
  <c r="T16" i="15"/>
  <c r="T19" i="15"/>
  <c r="T20" i="15"/>
  <c r="T21" i="15"/>
  <c r="T22" i="15"/>
  <c r="T23" i="15"/>
  <c r="T24" i="15"/>
  <c r="T25" i="15"/>
  <c r="T26" i="15"/>
  <c r="T27" i="15"/>
  <c r="T28" i="15"/>
  <c r="T29" i="15"/>
  <c r="T30" i="15"/>
  <c r="T31" i="15"/>
  <c r="T32" i="15"/>
  <c r="T33" i="15"/>
  <c r="T35" i="15"/>
  <c r="T36" i="15"/>
  <c r="T38" i="15"/>
  <c r="T39" i="15"/>
  <c r="T40" i="15"/>
  <c r="T41" i="15"/>
  <c r="T42" i="15"/>
  <c r="T43" i="15"/>
  <c r="T44" i="15"/>
  <c r="T45" i="15"/>
  <c r="T46" i="15"/>
  <c r="T47" i="15"/>
  <c r="T49" i="15"/>
  <c r="T50" i="15"/>
  <c r="T51" i="15"/>
  <c r="T52" i="15"/>
  <c r="T53" i="15"/>
  <c r="T54" i="15"/>
  <c r="T55" i="15"/>
  <c r="T56" i="15"/>
  <c r="T57" i="15"/>
  <c r="T58" i="15"/>
  <c r="T59" i="15"/>
  <c r="T60" i="15"/>
  <c r="T61" i="15"/>
  <c r="T62" i="15"/>
  <c r="T63" i="15"/>
  <c r="T64" i="15"/>
  <c r="T65" i="15"/>
  <c r="H16" i="3"/>
  <c r="H17" i="3"/>
  <c r="H18" i="3"/>
  <c r="H19" i="3"/>
  <c r="H20" i="3"/>
  <c r="H22" i="3"/>
  <c r="H24" i="3"/>
  <c r="H25" i="3"/>
  <c r="H26" i="3"/>
  <c r="H15" i="3"/>
  <c r="S5" i="15"/>
  <c r="S6" i="15"/>
  <c r="P87" i="18" s="1"/>
  <c r="T87" i="18" s="1"/>
  <c r="S8" i="15"/>
  <c r="S9" i="15"/>
  <c r="S10" i="15"/>
  <c r="S11" i="15"/>
  <c r="S12" i="15"/>
  <c r="S13" i="15"/>
  <c r="S14" i="15"/>
  <c r="S15" i="15"/>
  <c r="S16" i="15"/>
  <c r="S19" i="15"/>
  <c r="S20" i="15"/>
  <c r="S21" i="15"/>
  <c r="S22" i="15"/>
  <c r="S23" i="15"/>
  <c r="S24" i="15"/>
  <c r="S25" i="15"/>
  <c r="S26" i="15"/>
  <c r="S27" i="15"/>
  <c r="S28" i="15"/>
  <c r="S29" i="15"/>
  <c r="S30" i="15"/>
  <c r="S31" i="15"/>
  <c r="S32" i="15"/>
  <c r="S33" i="15"/>
  <c r="S35" i="15"/>
  <c r="S36" i="15"/>
  <c r="S38" i="15"/>
  <c r="S39" i="15"/>
  <c r="S40" i="15"/>
  <c r="S41" i="15"/>
  <c r="S42" i="15"/>
  <c r="S43" i="15"/>
  <c r="S44" i="15"/>
  <c r="S45" i="15"/>
  <c r="S46" i="15"/>
  <c r="S47" i="15"/>
  <c r="S49" i="15"/>
  <c r="S50" i="15"/>
  <c r="S51" i="15"/>
  <c r="S52" i="15"/>
  <c r="S53" i="15"/>
  <c r="S54" i="15"/>
  <c r="S55" i="15"/>
  <c r="S56" i="15"/>
  <c r="S57" i="15"/>
  <c r="S58" i="15"/>
  <c r="S59" i="15"/>
  <c r="S60" i="15"/>
  <c r="S61" i="15"/>
  <c r="S62" i="15"/>
  <c r="S63" i="15"/>
  <c r="S64" i="15"/>
  <c r="S65" i="15"/>
  <c r="AH3" i="18" l="1"/>
  <c r="AH12" i="15"/>
  <c r="AH62" i="15"/>
  <c r="AH54" i="15"/>
  <c r="AH36" i="15"/>
  <c r="AM32" i="15"/>
  <c r="AH56" i="15"/>
  <c r="AH39" i="15"/>
  <c r="AH27" i="15"/>
  <c r="AL23" i="15"/>
  <c r="AH15" i="15"/>
  <c r="AM61" i="15"/>
  <c r="AH58" i="15"/>
  <c r="AL51" i="15"/>
  <c r="AH47" i="15"/>
  <c r="AH41" i="15"/>
  <c r="AL32" i="15"/>
  <c r="AH29" i="15"/>
  <c r="AF23" i="15"/>
  <c r="AH19" i="15"/>
  <c r="AH6" i="15"/>
  <c r="AH64" i="15"/>
  <c r="AL49" i="15"/>
  <c r="AL61" i="15"/>
  <c r="AH52" i="15"/>
  <c r="AM50" i="15"/>
  <c r="AH43" i="15"/>
  <c r="AH33" i="15"/>
  <c r="AH31" i="15"/>
  <c r="AH22" i="15"/>
  <c r="AF26" i="15"/>
  <c r="AL60" i="15"/>
  <c r="AL50" i="15"/>
  <c r="AL45" i="15"/>
  <c r="AL25" i="15"/>
  <c r="AL21" i="15"/>
  <c r="AH9" i="15"/>
  <c r="AF5" i="15"/>
  <c r="AH23" i="15"/>
  <c r="AH65" i="15"/>
  <c r="AH63" i="15"/>
  <c r="AH57" i="15"/>
  <c r="AH55" i="15"/>
  <c r="AH53" i="15"/>
  <c r="AH46" i="15"/>
  <c r="AH42" i="15"/>
  <c r="AH40" i="15"/>
  <c r="AH38" i="15"/>
  <c r="AH35" i="15"/>
  <c r="AH28" i="15"/>
  <c r="AH26" i="15"/>
  <c r="AH24" i="15"/>
  <c r="AH20" i="15"/>
  <c r="AH16" i="15"/>
  <c r="AH25" i="15"/>
  <c r="AF25" i="15"/>
  <c r="AH21" i="15"/>
  <c r="AF21" i="15"/>
  <c r="AL20" i="15"/>
  <c r="AF20" i="15"/>
  <c r="AL19" i="15"/>
  <c r="AF19" i="15"/>
  <c r="AL16" i="15"/>
  <c r="AF16" i="15"/>
  <c r="AL15" i="15"/>
  <c r="AF15" i="15"/>
  <c r="AH14" i="15"/>
  <c r="AF14" i="15"/>
  <c r="AL13" i="15"/>
  <c r="AF13" i="15"/>
  <c r="AL12" i="15"/>
  <c r="AF12" i="15"/>
  <c r="AL11" i="15"/>
  <c r="AF11" i="15"/>
  <c r="AL10" i="15"/>
  <c r="AL65" i="15"/>
  <c r="AF65" i="15"/>
  <c r="AL64" i="15"/>
  <c r="AF64" i="15"/>
  <c r="AL63" i="15"/>
  <c r="AF63" i="15"/>
  <c r="AL62" i="15"/>
  <c r="AF62" i="15"/>
  <c r="AH61" i="15"/>
  <c r="AF61" i="15"/>
  <c r="AH60" i="15"/>
  <c r="AF60" i="15"/>
  <c r="AL59" i="15"/>
  <c r="AF59" i="15"/>
  <c r="AL58" i="15"/>
  <c r="AF58" i="15"/>
  <c r="AL57" i="15"/>
  <c r="AF57" i="15"/>
  <c r="AL56" i="15"/>
  <c r="AF56" i="15"/>
  <c r="AL55" i="15"/>
  <c r="AF55" i="15"/>
  <c r="AL54" i="15"/>
  <c r="AF54" i="15"/>
  <c r="AL53" i="15"/>
  <c r="AF53" i="15"/>
  <c r="AL52" i="15"/>
  <c r="AF52" i="15"/>
  <c r="AH51" i="15"/>
  <c r="AF51" i="15"/>
  <c r="AH50" i="15"/>
  <c r="AF50" i="15"/>
  <c r="AH49" i="15"/>
  <c r="AF49" i="15"/>
  <c r="AL47" i="15"/>
  <c r="AF47" i="15"/>
  <c r="AL46" i="15"/>
  <c r="AF46" i="15"/>
  <c r="AH45" i="15"/>
  <c r="AF45" i="15"/>
  <c r="AL44" i="15"/>
  <c r="AF44" i="15"/>
  <c r="AL43" i="15"/>
  <c r="AF43" i="15"/>
  <c r="AL41" i="15"/>
  <c r="AF41" i="15"/>
  <c r="AL40" i="15"/>
  <c r="AF40" i="15"/>
  <c r="AL38" i="15"/>
  <c r="AF38" i="15"/>
  <c r="AL36" i="15"/>
  <c r="AF36" i="15"/>
  <c r="AL35" i="15"/>
  <c r="AF35" i="15"/>
  <c r="AL33" i="15"/>
  <c r="AF33" i="15"/>
  <c r="AL31" i="15"/>
  <c r="AF31" i="15"/>
  <c r="AL30" i="15"/>
  <c r="AF30" i="15"/>
  <c r="AL29" i="15"/>
  <c r="AF29" i="15"/>
  <c r="AL28" i="15"/>
  <c r="AF28" i="15"/>
  <c r="AL27" i="15"/>
  <c r="AF27" i="15"/>
  <c r="AM25" i="15"/>
  <c r="AF22" i="15"/>
  <c r="AF10" i="15"/>
  <c r="AL26" i="15"/>
  <c r="AL22" i="15"/>
  <c r="AH10" i="15"/>
  <c r="AM23" i="15"/>
  <c r="AM21" i="15"/>
  <c r="H5" i="15"/>
  <c r="I5" i="15"/>
  <c r="J5" i="15"/>
  <c r="H6" i="15"/>
  <c r="I6" i="15"/>
  <c r="J6" i="15"/>
  <c r="H8" i="15"/>
  <c r="I8" i="15"/>
  <c r="J8" i="15"/>
  <c r="H9" i="15"/>
  <c r="I9" i="15"/>
  <c r="J9" i="15"/>
  <c r="H10" i="15"/>
  <c r="I10" i="15"/>
  <c r="J10" i="15"/>
  <c r="H11" i="15"/>
  <c r="I11" i="15"/>
  <c r="J11" i="15"/>
  <c r="H12" i="15"/>
  <c r="I12" i="15"/>
  <c r="J12" i="15"/>
  <c r="H13" i="15"/>
  <c r="I13" i="15"/>
  <c r="J13" i="15"/>
  <c r="H14" i="15"/>
  <c r="I14" i="15"/>
  <c r="J14" i="15"/>
  <c r="H15" i="15"/>
  <c r="I15" i="15"/>
  <c r="J15" i="15"/>
  <c r="H16" i="15"/>
  <c r="I16" i="15"/>
  <c r="J16" i="15"/>
  <c r="H19" i="15"/>
  <c r="I19" i="15"/>
  <c r="J19" i="15"/>
  <c r="H20" i="15"/>
  <c r="I20" i="15"/>
  <c r="J20" i="15"/>
  <c r="H21" i="15"/>
  <c r="I21" i="15"/>
  <c r="J21" i="15"/>
  <c r="H22" i="15"/>
  <c r="I22" i="15"/>
  <c r="J22" i="15"/>
  <c r="H23" i="15"/>
  <c r="I23" i="15"/>
  <c r="J23" i="15"/>
  <c r="H24" i="15"/>
  <c r="I24" i="15"/>
  <c r="J24" i="15"/>
  <c r="H25" i="15"/>
  <c r="I25" i="15"/>
  <c r="J25" i="15"/>
  <c r="H26" i="15"/>
  <c r="I26" i="15"/>
  <c r="J26" i="15"/>
  <c r="H27" i="15"/>
  <c r="I27" i="15"/>
  <c r="J27" i="15"/>
  <c r="H28" i="15"/>
  <c r="I28" i="15"/>
  <c r="J28" i="15"/>
  <c r="H29" i="15"/>
  <c r="I29" i="15"/>
  <c r="J29" i="15"/>
  <c r="H30" i="15"/>
  <c r="I30" i="15"/>
  <c r="J30" i="15"/>
  <c r="H31" i="15"/>
  <c r="I31" i="15"/>
  <c r="J31" i="15"/>
  <c r="H32" i="15"/>
  <c r="I32" i="15"/>
  <c r="J32" i="15"/>
  <c r="H33" i="15"/>
  <c r="I33" i="15"/>
  <c r="J33" i="15"/>
  <c r="H35" i="15"/>
  <c r="I35" i="15"/>
  <c r="J35" i="15"/>
  <c r="H36" i="15"/>
  <c r="I36" i="15"/>
  <c r="J36" i="15"/>
  <c r="H38" i="15"/>
  <c r="I38" i="15"/>
  <c r="J38" i="15"/>
  <c r="H39" i="15"/>
  <c r="I39" i="15"/>
  <c r="J39" i="15"/>
  <c r="H40" i="15"/>
  <c r="I40" i="15"/>
  <c r="J40" i="15"/>
  <c r="H41" i="15"/>
  <c r="I41" i="15"/>
  <c r="J41" i="15"/>
  <c r="H42" i="15"/>
  <c r="I42" i="15"/>
  <c r="J42" i="15"/>
  <c r="H43" i="15"/>
  <c r="I43" i="15"/>
  <c r="J43" i="15"/>
  <c r="H44" i="15"/>
  <c r="I44" i="15"/>
  <c r="J44" i="15"/>
  <c r="H45" i="15"/>
  <c r="I45" i="15"/>
  <c r="J45" i="15"/>
  <c r="H46" i="15"/>
  <c r="I46" i="15"/>
  <c r="J46" i="15"/>
  <c r="H47" i="15"/>
  <c r="I47" i="15"/>
  <c r="J47" i="15"/>
  <c r="H49" i="15"/>
  <c r="I49" i="15"/>
  <c r="J49" i="15"/>
  <c r="H50" i="15"/>
  <c r="I50" i="15"/>
  <c r="J50" i="15"/>
  <c r="H51" i="15"/>
  <c r="I51" i="15"/>
  <c r="J51" i="15"/>
  <c r="H52" i="15"/>
  <c r="I52" i="15"/>
  <c r="J52" i="15"/>
  <c r="H53" i="15"/>
  <c r="I53" i="15"/>
  <c r="J53" i="15"/>
  <c r="H54" i="15"/>
  <c r="I54" i="15"/>
  <c r="J54" i="15"/>
  <c r="H55" i="15"/>
  <c r="I55" i="15"/>
  <c r="J55" i="15"/>
  <c r="H56" i="15"/>
  <c r="I56" i="15"/>
  <c r="J56" i="15"/>
  <c r="H57" i="15"/>
  <c r="I57" i="15"/>
  <c r="J57" i="15"/>
  <c r="H58" i="15"/>
  <c r="I58" i="15"/>
  <c r="J58" i="15"/>
  <c r="H59" i="15"/>
  <c r="I59" i="15"/>
  <c r="J59" i="15"/>
  <c r="H60" i="15"/>
  <c r="I60" i="15"/>
  <c r="J60" i="15"/>
  <c r="H61" i="15"/>
  <c r="I61" i="15"/>
  <c r="J61" i="15"/>
  <c r="H62" i="15"/>
  <c r="I62" i="15"/>
  <c r="J62" i="15"/>
  <c r="H63" i="15"/>
  <c r="I63" i="15"/>
  <c r="J63" i="15"/>
  <c r="H64" i="15"/>
  <c r="I64" i="15"/>
  <c r="J64" i="15"/>
  <c r="H65" i="15"/>
  <c r="I65" i="15"/>
  <c r="J65" i="15"/>
  <c r="M5" i="15"/>
  <c r="N5" i="15"/>
  <c r="O5" i="15"/>
  <c r="P5" i="15"/>
  <c r="Q5" i="15"/>
  <c r="R5" i="15"/>
  <c r="M6" i="15"/>
  <c r="D2" i="18" s="1"/>
  <c r="N6" i="15"/>
  <c r="O6" i="15"/>
  <c r="P6" i="15"/>
  <c r="Q6" i="15"/>
  <c r="R6" i="15"/>
  <c r="E87" i="18" s="1"/>
  <c r="M8" i="15"/>
  <c r="N8" i="15"/>
  <c r="O8" i="15"/>
  <c r="P8" i="15"/>
  <c r="Q8" i="15"/>
  <c r="R8" i="15"/>
  <c r="M9" i="15"/>
  <c r="N9" i="15"/>
  <c r="O9" i="15"/>
  <c r="P9" i="15"/>
  <c r="Q9" i="15"/>
  <c r="R9" i="15"/>
  <c r="M10" i="15"/>
  <c r="N10" i="15"/>
  <c r="O10" i="15"/>
  <c r="P10" i="15"/>
  <c r="Q10" i="15"/>
  <c r="R10" i="15"/>
  <c r="M11" i="15"/>
  <c r="N11" i="15"/>
  <c r="O11" i="15"/>
  <c r="P11" i="15"/>
  <c r="Q11" i="15"/>
  <c r="R11" i="15"/>
  <c r="M12" i="15"/>
  <c r="N12" i="15"/>
  <c r="O12" i="15"/>
  <c r="P12" i="15"/>
  <c r="Q12" i="15"/>
  <c r="R12" i="15"/>
  <c r="M13" i="15"/>
  <c r="N13" i="15"/>
  <c r="O13" i="15"/>
  <c r="P13" i="15"/>
  <c r="Q13" i="15"/>
  <c r="R13" i="15"/>
  <c r="M14" i="15"/>
  <c r="N14" i="15"/>
  <c r="O14" i="15"/>
  <c r="P14" i="15"/>
  <c r="Q14" i="15"/>
  <c r="R14" i="15"/>
  <c r="M15" i="15"/>
  <c r="N15" i="15"/>
  <c r="O15" i="15"/>
  <c r="P15" i="15"/>
  <c r="Q15" i="15"/>
  <c r="R15" i="15"/>
  <c r="M16" i="15"/>
  <c r="N16" i="15"/>
  <c r="O16" i="15"/>
  <c r="P16" i="15"/>
  <c r="Q16" i="15"/>
  <c r="R16" i="15"/>
  <c r="M19" i="15"/>
  <c r="N19" i="15"/>
  <c r="O19" i="15"/>
  <c r="P19" i="15"/>
  <c r="Q19" i="15"/>
  <c r="R19" i="15"/>
  <c r="M20" i="15"/>
  <c r="N20" i="15"/>
  <c r="O20" i="15"/>
  <c r="P20" i="15"/>
  <c r="Q20" i="15"/>
  <c r="R20" i="15"/>
  <c r="M21" i="15"/>
  <c r="N21" i="15"/>
  <c r="O21" i="15"/>
  <c r="P21" i="15"/>
  <c r="Q21" i="15"/>
  <c r="R21" i="15"/>
  <c r="M22" i="15"/>
  <c r="N22" i="15"/>
  <c r="O22" i="15"/>
  <c r="P22" i="15"/>
  <c r="Q22" i="15"/>
  <c r="R22" i="15"/>
  <c r="M23" i="15"/>
  <c r="N23" i="15"/>
  <c r="O23" i="15"/>
  <c r="P23" i="15"/>
  <c r="Q23" i="15"/>
  <c r="R23" i="15"/>
  <c r="M24" i="15"/>
  <c r="N24" i="15"/>
  <c r="O24" i="15"/>
  <c r="P24" i="15"/>
  <c r="Q24" i="15"/>
  <c r="R24" i="15"/>
  <c r="M25" i="15"/>
  <c r="N25" i="15"/>
  <c r="O25" i="15"/>
  <c r="P25" i="15"/>
  <c r="Q25" i="15"/>
  <c r="R25" i="15"/>
  <c r="M26" i="15"/>
  <c r="N26" i="15"/>
  <c r="O26" i="15"/>
  <c r="P26" i="15"/>
  <c r="Q26" i="15"/>
  <c r="R26" i="15"/>
  <c r="M27" i="15"/>
  <c r="N27" i="15"/>
  <c r="O27" i="15"/>
  <c r="P27" i="15"/>
  <c r="Q27" i="15"/>
  <c r="R27" i="15"/>
  <c r="M28" i="15"/>
  <c r="N28" i="15"/>
  <c r="O28" i="15"/>
  <c r="P28" i="15"/>
  <c r="Q28" i="15"/>
  <c r="R28" i="15"/>
  <c r="M29" i="15"/>
  <c r="N29" i="15"/>
  <c r="O29" i="15"/>
  <c r="P29" i="15"/>
  <c r="Q29" i="15"/>
  <c r="R29" i="15"/>
  <c r="M30" i="15"/>
  <c r="N30" i="15"/>
  <c r="O30" i="15"/>
  <c r="P30" i="15"/>
  <c r="Q30" i="15"/>
  <c r="R30" i="15"/>
  <c r="M31" i="15"/>
  <c r="N31" i="15"/>
  <c r="O31" i="15"/>
  <c r="P31" i="15"/>
  <c r="Q31" i="15"/>
  <c r="R31" i="15"/>
  <c r="M32" i="15"/>
  <c r="N32" i="15"/>
  <c r="O32" i="15"/>
  <c r="P32" i="15"/>
  <c r="Q32" i="15"/>
  <c r="R32" i="15"/>
  <c r="M33" i="15"/>
  <c r="N33" i="15"/>
  <c r="O33" i="15"/>
  <c r="P33" i="15"/>
  <c r="Q33" i="15"/>
  <c r="R33" i="15"/>
  <c r="M35" i="15"/>
  <c r="N35" i="15"/>
  <c r="O35" i="15"/>
  <c r="P35" i="15"/>
  <c r="Q35" i="15"/>
  <c r="R35" i="15"/>
  <c r="M36" i="15"/>
  <c r="N36" i="15"/>
  <c r="O36" i="15"/>
  <c r="P36" i="15"/>
  <c r="Q36" i="15"/>
  <c r="R36" i="15"/>
  <c r="M38" i="15"/>
  <c r="N38" i="15"/>
  <c r="O38" i="15"/>
  <c r="P38" i="15"/>
  <c r="Q38" i="15"/>
  <c r="R38" i="15"/>
  <c r="M39" i="15"/>
  <c r="N39" i="15"/>
  <c r="O39" i="15"/>
  <c r="P39" i="15"/>
  <c r="Q39" i="15"/>
  <c r="R39" i="15"/>
  <c r="M40" i="15"/>
  <c r="N40" i="15"/>
  <c r="O40" i="15"/>
  <c r="P40" i="15"/>
  <c r="Q40" i="15"/>
  <c r="R40" i="15"/>
  <c r="M41" i="15"/>
  <c r="N41" i="15"/>
  <c r="O41" i="15"/>
  <c r="P41" i="15"/>
  <c r="Q41" i="15"/>
  <c r="R41" i="15"/>
  <c r="M42" i="15"/>
  <c r="N42" i="15"/>
  <c r="O42" i="15"/>
  <c r="P42" i="15"/>
  <c r="Q42" i="15"/>
  <c r="R42" i="15"/>
  <c r="M43" i="15"/>
  <c r="N43" i="15"/>
  <c r="O43" i="15"/>
  <c r="P43" i="15"/>
  <c r="Q43" i="15"/>
  <c r="R43" i="15"/>
  <c r="M44" i="15"/>
  <c r="N44" i="15"/>
  <c r="O44" i="15"/>
  <c r="P44" i="15"/>
  <c r="Q44" i="15"/>
  <c r="R44" i="15"/>
  <c r="M45" i="15"/>
  <c r="N45" i="15"/>
  <c r="O45" i="15"/>
  <c r="P45" i="15"/>
  <c r="Q45" i="15"/>
  <c r="R45" i="15"/>
  <c r="M46" i="15"/>
  <c r="N46" i="15"/>
  <c r="O46" i="15"/>
  <c r="P46" i="15"/>
  <c r="Q46" i="15"/>
  <c r="R46" i="15"/>
  <c r="M47" i="15"/>
  <c r="N47" i="15"/>
  <c r="O47" i="15"/>
  <c r="P47" i="15"/>
  <c r="Q47" i="15"/>
  <c r="R47" i="15"/>
  <c r="M49" i="15"/>
  <c r="N49" i="15"/>
  <c r="O49" i="15"/>
  <c r="P49" i="15"/>
  <c r="Q49" i="15"/>
  <c r="R49" i="15"/>
  <c r="M50" i="15"/>
  <c r="N50" i="15"/>
  <c r="O50" i="15"/>
  <c r="P50" i="15"/>
  <c r="Q50" i="15"/>
  <c r="R50" i="15"/>
  <c r="M51" i="15"/>
  <c r="N51" i="15"/>
  <c r="O51" i="15"/>
  <c r="P51" i="15"/>
  <c r="Q51" i="15"/>
  <c r="R51" i="15"/>
  <c r="M52" i="15"/>
  <c r="N52" i="15"/>
  <c r="O52" i="15"/>
  <c r="P52" i="15"/>
  <c r="Q52" i="15"/>
  <c r="R52" i="15"/>
  <c r="M53" i="15"/>
  <c r="N53" i="15"/>
  <c r="O53" i="15"/>
  <c r="P53" i="15"/>
  <c r="Q53" i="15"/>
  <c r="R53" i="15"/>
  <c r="M54" i="15"/>
  <c r="N54" i="15"/>
  <c r="O54" i="15"/>
  <c r="P54" i="15"/>
  <c r="Q54" i="15"/>
  <c r="R54" i="15"/>
  <c r="M55" i="15"/>
  <c r="N55" i="15"/>
  <c r="O55" i="15"/>
  <c r="P55" i="15"/>
  <c r="Q55" i="15"/>
  <c r="R55" i="15"/>
  <c r="M56" i="15"/>
  <c r="N56" i="15"/>
  <c r="O56" i="15"/>
  <c r="P56" i="15"/>
  <c r="Q56" i="15"/>
  <c r="R56" i="15"/>
  <c r="M57" i="15"/>
  <c r="N57" i="15"/>
  <c r="O57" i="15"/>
  <c r="P57" i="15"/>
  <c r="Q57" i="15"/>
  <c r="R57" i="15"/>
  <c r="M58" i="15"/>
  <c r="N58" i="15"/>
  <c r="O58" i="15"/>
  <c r="P58" i="15"/>
  <c r="Q58" i="15"/>
  <c r="R58" i="15"/>
  <c r="M59" i="15"/>
  <c r="N59" i="15"/>
  <c r="O59" i="15"/>
  <c r="P59" i="15"/>
  <c r="Q59" i="15"/>
  <c r="R59" i="15"/>
  <c r="M60" i="15"/>
  <c r="N60" i="15"/>
  <c r="O60" i="15"/>
  <c r="P60" i="15"/>
  <c r="Q60" i="15"/>
  <c r="R60" i="15"/>
  <c r="M61" i="15"/>
  <c r="N61" i="15"/>
  <c r="O61" i="15"/>
  <c r="P61" i="15"/>
  <c r="Q61" i="15"/>
  <c r="R61" i="15"/>
  <c r="M62" i="15"/>
  <c r="N62" i="15"/>
  <c r="O62" i="15"/>
  <c r="P62" i="15"/>
  <c r="Q62" i="15"/>
  <c r="R62" i="15"/>
  <c r="M63" i="15"/>
  <c r="N63" i="15"/>
  <c r="O63" i="15"/>
  <c r="P63" i="15"/>
  <c r="Q63" i="15"/>
  <c r="R63" i="15"/>
  <c r="M64" i="15"/>
  <c r="N64" i="15"/>
  <c r="O64" i="15"/>
  <c r="P64" i="15"/>
  <c r="Q64" i="15"/>
  <c r="R64" i="15"/>
  <c r="M65" i="15"/>
  <c r="N65" i="15"/>
  <c r="O65" i="15"/>
  <c r="P65" i="15"/>
  <c r="Q65" i="15"/>
  <c r="R65" i="15"/>
  <c r="L13" i="15"/>
  <c r="L14" i="15"/>
  <c r="L21" i="15"/>
  <c r="L23" i="15"/>
  <c r="L25" i="15"/>
  <c r="L26" i="15"/>
  <c r="L32" i="15"/>
  <c r="L45" i="15"/>
  <c r="L19" i="15"/>
  <c r="L49" i="15"/>
  <c r="L50" i="15"/>
  <c r="L53" i="15"/>
  <c r="L60" i="15"/>
  <c r="L61" i="15"/>
  <c r="E2" i="18" l="1"/>
  <c r="AB2" i="18" s="1"/>
  <c r="X2" i="18"/>
  <c r="R2" i="18"/>
  <c r="D42" i="18"/>
  <c r="AB42" i="18" s="1"/>
  <c r="AK42" i="18" s="1"/>
  <c r="AL42" i="18" s="1"/>
  <c r="D43" i="18"/>
  <c r="E40" i="18"/>
  <c r="E39" i="18"/>
  <c r="AB39" i="18" s="1"/>
  <c r="AK39" i="18" s="1"/>
  <c r="AL39" i="18" s="1"/>
  <c r="E49" i="18"/>
  <c r="AB49" i="18" s="1"/>
  <c r="AK49" i="18" s="1"/>
  <c r="AL49" i="18" s="1"/>
  <c r="C43" i="18"/>
  <c r="U87" i="18"/>
  <c r="Y87" i="18"/>
  <c r="D87" i="18"/>
  <c r="AA87" i="18" s="1"/>
  <c r="C75" i="18"/>
  <c r="D48" i="18"/>
  <c r="D45" i="18"/>
  <c r="D36" i="18"/>
  <c r="D57" i="18"/>
  <c r="D55" i="18"/>
  <c r="D37" i="18"/>
  <c r="D35" i="18"/>
  <c r="D52" i="18"/>
  <c r="D56" i="18"/>
  <c r="D61" i="18"/>
  <c r="D44" i="18"/>
  <c r="D54" i="18"/>
  <c r="D58" i="18"/>
  <c r="D34" i="18"/>
  <c r="C68" i="18"/>
  <c r="AB68" i="18" s="1"/>
  <c r="AK68" i="18" s="1"/>
  <c r="AL68" i="18" s="1"/>
  <c r="C66" i="18"/>
  <c r="AB66" i="18" s="1"/>
  <c r="AK66" i="18" s="1"/>
  <c r="AL66" i="18" s="1"/>
  <c r="C69" i="18"/>
  <c r="AB69" i="18" s="1"/>
  <c r="AK69" i="18" s="1"/>
  <c r="AL69" i="18" s="1"/>
  <c r="C67" i="18"/>
  <c r="AB67" i="18" s="1"/>
  <c r="AK67" i="18" s="1"/>
  <c r="AL67" i="18" s="1"/>
  <c r="C48" i="18"/>
  <c r="C46" i="18"/>
  <c r="E41" i="18"/>
  <c r="E50" i="18"/>
  <c r="C47" i="18"/>
  <c r="C45" i="18"/>
  <c r="C44" i="18"/>
  <c r="L28" i="15"/>
  <c r="L24" i="15"/>
  <c r="L20" i="15"/>
  <c r="F112" i="3"/>
  <c r="H60" i="3"/>
  <c r="H61" i="3"/>
  <c r="H62" i="3"/>
  <c r="H63" i="3"/>
  <c r="H64" i="3"/>
  <c r="H65" i="3"/>
  <c r="H67" i="3"/>
  <c r="H68" i="3"/>
  <c r="H71" i="3"/>
  <c r="H72" i="3"/>
  <c r="H59" i="3"/>
  <c r="H57" i="3"/>
  <c r="H40" i="3"/>
  <c r="H41" i="3"/>
  <c r="H42" i="3"/>
  <c r="H43" i="3"/>
  <c r="H38" i="3"/>
  <c r="P70" i="3"/>
  <c r="P69" i="3"/>
  <c r="K70" i="3"/>
  <c r="K69" i="3"/>
  <c r="K66" i="3"/>
  <c r="D70" i="3"/>
  <c r="H70" i="3" s="1"/>
  <c r="D69" i="3"/>
  <c r="H69" i="3" s="1"/>
  <c r="D66" i="3"/>
  <c r="H66" i="3" s="1"/>
  <c r="H39" i="3"/>
  <c r="AB44" i="18" l="1"/>
  <c r="AK44" i="18" s="1"/>
  <c r="AL44" i="18" s="1"/>
  <c r="AA50" i="18"/>
  <c r="AB50" i="18"/>
  <c r="AK50" i="18" s="1"/>
  <c r="AL50" i="18" s="1"/>
  <c r="AA34" i="18"/>
  <c r="AB34" i="18"/>
  <c r="AK34" i="18" s="1"/>
  <c r="AL34" i="18" s="1"/>
  <c r="AA61" i="18"/>
  <c r="AB61" i="18"/>
  <c r="AK61" i="18" s="1"/>
  <c r="AL61" i="18" s="1"/>
  <c r="AA37" i="18"/>
  <c r="AB37" i="18"/>
  <c r="AK37" i="18" s="1"/>
  <c r="AL37" i="18" s="1"/>
  <c r="S43" i="18"/>
  <c r="AB43" i="18"/>
  <c r="AK43" i="18" s="1"/>
  <c r="AL43" i="18" s="1"/>
  <c r="AA2" i="18"/>
  <c r="AA41" i="18"/>
  <c r="AB41" i="18"/>
  <c r="AK41" i="18" s="1"/>
  <c r="AL41" i="18" s="1"/>
  <c r="AA58" i="18"/>
  <c r="AB58" i="18"/>
  <c r="AK58" i="18" s="1"/>
  <c r="AL58" i="18" s="1"/>
  <c r="AA56" i="18"/>
  <c r="AB56" i="18"/>
  <c r="AK56" i="18" s="1"/>
  <c r="AL56" i="18" s="1"/>
  <c r="AA55" i="18"/>
  <c r="AB55" i="18"/>
  <c r="AK55" i="18" s="1"/>
  <c r="AL55" i="18" s="1"/>
  <c r="AB87" i="18"/>
  <c r="AB45" i="18"/>
  <c r="AK45" i="18" s="1"/>
  <c r="AL45" i="18" s="1"/>
  <c r="AA54" i="18"/>
  <c r="AB54" i="18"/>
  <c r="AK54" i="18" s="1"/>
  <c r="AL54" i="18" s="1"/>
  <c r="AA52" i="18"/>
  <c r="AB52" i="18"/>
  <c r="AK52" i="18" s="1"/>
  <c r="AL52" i="18" s="1"/>
  <c r="AA57" i="18"/>
  <c r="AB57" i="18"/>
  <c r="AK57" i="18" s="1"/>
  <c r="AL57" i="18" s="1"/>
  <c r="AA51" i="18"/>
  <c r="AB51" i="18"/>
  <c r="AB48" i="18"/>
  <c r="AK48" i="18" s="1"/>
  <c r="AL48" i="18" s="1"/>
  <c r="AA35" i="18"/>
  <c r="AB35" i="18"/>
  <c r="AK35" i="18" s="1"/>
  <c r="AL35" i="18" s="1"/>
  <c r="AA36" i="18"/>
  <c r="AB36" i="18"/>
  <c r="AK36" i="18" s="1"/>
  <c r="AL36" i="18" s="1"/>
  <c r="AA40" i="18"/>
  <c r="AB40" i="18"/>
  <c r="AK40" i="18" s="1"/>
  <c r="AL40" i="18" s="1"/>
  <c r="Y40" i="18"/>
  <c r="AA43" i="18"/>
  <c r="AA39" i="18"/>
  <c r="U39" i="18"/>
  <c r="Z39" i="18" s="1"/>
  <c r="Y39" i="18"/>
  <c r="U40" i="18"/>
  <c r="Y49" i="18"/>
  <c r="U49" i="18"/>
  <c r="Z49" i="18" s="1"/>
  <c r="AA49" i="18"/>
  <c r="AA42" i="18"/>
  <c r="R42" i="18"/>
  <c r="Z42" i="18" s="1"/>
  <c r="X42" i="18"/>
  <c r="S48" i="18"/>
  <c r="AA48" i="18"/>
  <c r="X68" i="18"/>
  <c r="AA68" i="18"/>
  <c r="S44" i="18"/>
  <c r="AA44" i="18"/>
  <c r="X69" i="18"/>
  <c r="AA69" i="18"/>
  <c r="S47" i="18"/>
  <c r="X75" i="18"/>
  <c r="X67" i="18"/>
  <c r="AA67" i="18"/>
  <c r="S45" i="18"/>
  <c r="AA45" i="18"/>
  <c r="S46" i="18"/>
  <c r="X66" i="18"/>
  <c r="AA66" i="18"/>
  <c r="Z40" i="18"/>
  <c r="R52" i="18"/>
  <c r="X52" i="18"/>
  <c r="R51" i="18"/>
  <c r="X51" i="18"/>
  <c r="U50" i="18"/>
  <c r="Y50" i="18"/>
  <c r="R44" i="18"/>
  <c r="Z44" i="18" s="1"/>
  <c r="X44" i="18"/>
  <c r="R35" i="18"/>
  <c r="X35" i="18"/>
  <c r="R36" i="18"/>
  <c r="X36" i="18"/>
  <c r="U41" i="18"/>
  <c r="Z41" i="18" s="1"/>
  <c r="Y41" i="18"/>
  <c r="R34" i="18"/>
  <c r="Z34" i="18" s="1"/>
  <c r="X34" i="18"/>
  <c r="R61" i="18"/>
  <c r="X61" i="18"/>
  <c r="R37" i="18"/>
  <c r="X37" i="18"/>
  <c r="R45" i="18"/>
  <c r="X45" i="18"/>
  <c r="R87" i="18"/>
  <c r="X87" i="18"/>
  <c r="R54" i="18"/>
  <c r="X54" i="18"/>
  <c r="R57" i="18"/>
  <c r="X57" i="18"/>
  <c r="R43" i="18"/>
  <c r="X43" i="18"/>
  <c r="R58" i="18"/>
  <c r="X58" i="18"/>
  <c r="R56" i="18"/>
  <c r="X56" i="18"/>
  <c r="R55" i="18"/>
  <c r="X55" i="18"/>
  <c r="R48" i="18"/>
  <c r="X48" i="18"/>
  <c r="P68" i="18"/>
  <c r="T68" i="18" s="1"/>
  <c r="S68" i="18"/>
  <c r="P69" i="18"/>
  <c r="T69" i="18" s="1"/>
  <c r="S69" i="18"/>
  <c r="Z69" i="18" s="1"/>
  <c r="P67" i="18"/>
  <c r="T67" i="18" s="1"/>
  <c r="S67" i="18"/>
  <c r="E75" i="18"/>
  <c r="S75" i="18"/>
  <c r="P66" i="18"/>
  <c r="T66" i="18" s="1"/>
  <c r="S66" i="18"/>
  <c r="Z66" i="18" s="1"/>
  <c r="D33" i="18"/>
  <c r="P33" i="18"/>
  <c r="T33" i="18" s="1"/>
  <c r="C111" i="3"/>
  <c r="C108" i="3"/>
  <c r="C109" i="3" s="1"/>
  <c r="C107" i="3" s="1"/>
  <c r="F9" i="18" s="1"/>
  <c r="C5" i="18"/>
  <c r="F5" i="18"/>
  <c r="F4" i="18"/>
  <c r="AK51" i="18" l="1"/>
  <c r="AL51" i="18" s="1"/>
  <c r="Z51" i="18"/>
  <c r="AI41" i="18"/>
  <c r="AJ41" i="18"/>
  <c r="AI42" i="18"/>
  <c r="AJ42" i="18"/>
  <c r="AI66" i="18"/>
  <c r="AJ66" i="18"/>
  <c r="AE40" i="18"/>
  <c r="AJ40" i="18"/>
  <c r="AI40" i="18"/>
  <c r="AI34" i="18"/>
  <c r="AJ34" i="18"/>
  <c r="AJ44" i="18"/>
  <c r="AI44" i="18"/>
  <c r="AI69" i="18"/>
  <c r="AJ69" i="18"/>
  <c r="AE49" i="18"/>
  <c r="AI49" i="18"/>
  <c r="AJ49" i="18"/>
  <c r="AE39" i="18"/>
  <c r="AI39" i="18"/>
  <c r="AJ39" i="18"/>
  <c r="AK87" i="18"/>
  <c r="AL87" i="18" s="1"/>
  <c r="AB5" i="18"/>
  <c r="AK5" i="18" s="1"/>
  <c r="AL5" i="18" s="1"/>
  <c r="AE42" i="18"/>
  <c r="AA33" i="18"/>
  <c r="AB33" i="18"/>
  <c r="AK33" i="18" s="1"/>
  <c r="AL33" i="18" s="1"/>
  <c r="AA75" i="18"/>
  <c r="AB75" i="18"/>
  <c r="AK75" i="18" s="1"/>
  <c r="AL75" i="18" s="1"/>
  <c r="AC40" i="18"/>
  <c r="AD40" i="18"/>
  <c r="AA9" i="18"/>
  <c r="AB9" i="18"/>
  <c r="AK9" i="18" s="1"/>
  <c r="AL9" i="18" s="1"/>
  <c r="AC39" i="18"/>
  <c r="AD39" i="18"/>
  <c r="X5" i="18"/>
  <c r="AA5" i="18"/>
  <c r="AE69" i="18"/>
  <c r="Z68" i="18"/>
  <c r="Z67" i="18"/>
  <c r="AE66" i="18"/>
  <c r="Z54" i="18"/>
  <c r="Z50" i="18"/>
  <c r="Z48" i="18"/>
  <c r="Z45" i="18"/>
  <c r="AE44" i="18"/>
  <c r="AE41" i="18"/>
  <c r="Z36" i="18"/>
  <c r="AE34" i="18"/>
  <c r="D21" i="18"/>
  <c r="D20" i="18"/>
  <c r="D25" i="18"/>
  <c r="D18" i="18"/>
  <c r="D22" i="18"/>
  <c r="V9" i="18"/>
  <c r="Y9" i="18"/>
  <c r="Z87" i="18"/>
  <c r="Z43" i="18"/>
  <c r="P30" i="18"/>
  <c r="T30" i="18" s="1"/>
  <c r="P28" i="18"/>
  <c r="T28" i="18" s="1"/>
  <c r="P27" i="18"/>
  <c r="T27" i="18" s="1"/>
  <c r="E85" i="18"/>
  <c r="E28" i="18"/>
  <c r="E15" i="18"/>
  <c r="E14" i="18"/>
  <c r="E30" i="18"/>
  <c r="E16" i="18"/>
  <c r="E12" i="18"/>
  <c r="E27" i="18"/>
  <c r="E17" i="18"/>
  <c r="E13" i="18"/>
  <c r="E11" i="18"/>
  <c r="V5" i="18"/>
  <c r="Y5" i="18"/>
  <c r="V4" i="18"/>
  <c r="Y4" i="18"/>
  <c r="R33" i="18"/>
  <c r="X33" i="18"/>
  <c r="U75" i="18"/>
  <c r="Y75" i="18"/>
  <c r="P5" i="18"/>
  <c r="T5" i="18" s="1"/>
  <c r="S5" i="18"/>
  <c r="P85" i="18"/>
  <c r="T85" i="18" s="1"/>
  <c r="C112" i="3"/>
  <c r="D107" i="3"/>
  <c r="B92" i="18"/>
  <c r="B93" i="18"/>
  <c r="AE51" i="18" l="1"/>
  <c r="AH51" i="18" s="1"/>
  <c r="AJ51" i="18" s="1"/>
  <c r="AI43" i="18"/>
  <c r="AJ43" i="18"/>
  <c r="AI68" i="18"/>
  <c r="AJ68" i="18"/>
  <c r="AE87" i="18"/>
  <c r="AH87" i="18" s="1"/>
  <c r="AI87" i="18" s="1"/>
  <c r="AI45" i="18"/>
  <c r="AJ45" i="18"/>
  <c r="AI54" i="18"/>
  <c r="AJ54" i="18"/>
  <c r="AI36" i="18"/>
  <c r="AJ36" i="18"/>
  <c r="AJ48" i="18"/>
  <c r="AI48" i="18"/>
  <c r="AI50" i="18"/>
  <c r="AJ50" i="18"/>
  <c r="AJ67" i="18"/>
  <c r="AI67" i="18"/>
  <c r="AA18" i="18"/>
  <c r="AB18" i="18"/>
  <c r="AK18" i="18" s="1"/>
  <c r="AL18" i="18" s="1"/>
  <c r="AA25" i="18"/>
  <c r="AB25" i="18"/>
  <c r="AA20" i="18"/>
  <c r="AB20" i="18"/>
  <c r="Y85" i="18"/>
  <c r="AA22" i="18"/>
  <c r="AB22" i="18"/>
  <c r="AK22" i="18" s="1"/>
  <c r="AL22" i="18" s="1"/>
  <c r="AA21" i="18"/>
  <c r="AB21" i="18"/>
  <c r="AK21" i="18" s="1"/>
  <c r="AL21" i="18" s="1"/>
  <c r="Z9" i="18"/>
  <c r="AE68" i="18"/>
  <c r="AE67" i="18"/>
  <c r="AE54" i="18"/>
  <c r="AE50" i="18"/>
  <c r="AE48" i="18"/>
  <c r="AE45" i="18"/>
  <c r="AE36" i="18"/>
  <c r="U85" i="18"/>
  <c r="AE43" i="18"/>
  <c r="D27" i="18"/>
  <c r="AA27" i="18" s="1"/>
  <c r="P16" i="18"/>
  <c r="T16" i="18" s="1"/>
  <c r="D14" i="18"/>
  <c r="AA14" i="18" s="1"/>
  <c r="P12" i="18"/>
  <c r="T12" i="18" s="1"/>
  <c r="D28" i="18"/>
  <c r="AA28" i="18" s="1"/>
  <c r="P17" i="18"/>
  <c r="T17" i="18" s="1"/>
  <c r="D15" i="18"/>
  <c r="AA15" i="18" s="1"/>
  <c r="P13" i="18"/>
  <c r="T13" i="18" s="1"/>
  <c r="P15" i="18"/>
  <c r="T15" i="18" s="1"/>
  <c r="D30" i="18"/>
  <c r="AA30" i="18" s="1"/>
  <c r="D16" i="18"/>
  <c r="AA16" i="18" s="1"/>
  <c r="P14" i="18"/>
  <c r="T14" i="18" s="1"/>
  <c r="D12" i="18"/>
  <c r="AA12" i="18" s="1"/>
  <c r="D17" i="18"/>
  <c r="AA17" i="18" s="1"/>
  <c r="D13" i="18"/>
  <c r="AA13" i="18" s="1"/>
  <c r="P11" i="18"/>
  <c r="T11" i="18" s="1"/>
  <c r="D11" i="18"/>
  <c r="AA11" i="18" s="1"/>
  <c r="D85" i="18"/>
  <c r="AB85" i="18" s="1"/>
  <c r="AK85" i="18" s="1"/>
  <c r="AL85" i="18" s="1"/>
  <c r="U27" i="18"/>
  <c r="Y27" i="18"/>
  <c r="U11" i="18"/>
  <c r="Y11" i="18"/>
  <c r="U28" i="18"/>
  <c r="Y28" i="18"/>
  <c r="U12" i="18"/>
  <c r="Y12" i="18"/>
  <c r="U13" i="18"/>
  <c r="Y13" i="18"/>
  <c r="U16" i="18"/>
  <c r="Y16" i="18"/>
  <c r="U15" i="18"/>
  <c r="Y15" i="18"/>
  <c r="U30" i="18"/>
  <c r="Y30" i="18"/>
  <c r="U17" i="18"/>
  <c r="Y17" i="18"/>
  <c r="U14" i="18"/>
  <c r="Y14" i="18"/>
  <c r="U2" i="18"/>
  <c r="Y2" i="18"/>
  <c r="Q4" i="18"/>
  <c r="W4" i="18" s="1"/>
  <c r="C4" i="18"/>
  <c r="AB4" i="18" s="1"/>
  <c r="AK4" i="18" s="1"/>
  <c r="AL4" i="18" s="1"/>
  <c r="AI51" i="18" l="1"/>
  <c r="AJ87" i="18"/>
  <c r="AE9" i="18"/>
  <c r="AJ9" i="18"/>
  <c r="AI9" i="18"/>
  <c r="AK2" i="18"/>
  <c r="AL2" i="18" s="1"/>
  <c r="AB12" i="18"/>
  <c r="AK12" i="18" s="1"/>
  <c r="AL12" i="18" s="1"/>
  <c r="AB27" i="18"/>
  <c r="AK27" i="18" s="1"/>
  <c r="AL27" i="18" s="1"/>
  <c r="AB11" i="18"/>
  <c r="AB13" i="18"/>
  <c r="AK13" i="18" s="1"/>
  <c r="AL13" i="18" s="1"/>
  <c r="AB14" i="18"/>
  <c r="AK14" i="18" s="1"/>
  <c r="AL14" i="18" s="1"/>
  <c r="AB28" i="18"/>
  <c r="AK28" i="18" s="1"/>
  <c r="AL28" i="18" s="1"/>
  <c r="AB17" i="18"/>
  <c r="AK17" i="18" s="1"/>
  <c r="AL17" i="18" s="1"/>
  <c r="AB16" i="18"/>
  <c r="AB15" i="18"/>
  <c r="AK15" i="18" s="1"/>
  <c r="AL15" i="18" s="1"/>
  <c r="R85" i="18"/>
  <c r="AA85" i="18"/>
  <c r="X4" i="18"/>
  <c r="AA4" i="18"/>
  <c r="X85" i="18"/>
  <c r="Z85" i="18" s="1"/>
  <c r="Z35" i="18"/>
  <c r="R12" i="18"/>
  <c r="X12" i="18"/>
  <c r="R13" i="18"/>
  <c r="X13" i="18"/>
  <c r="R14" i="18"/>
  <c r="X14" i="18"/>
  <c r="R30" i="18"/>
  <c r="X30" i="18"/>
  <c r="R28" i="18"/>
  <c r="X28" i="18"/>
  <c r="R15" i="18"/>
  <c r="X15" i="18"/>
  <c r="R11" i="18"/>
  <c r="X11" i="18"/>
  <c r="R17" i="18"/>
  <c r="X17" i="18"/>
  <c r="R27" i="18"/>
  <c r="X27" i="18"/>
  <c r="R16" i="18"/>
  <c r="X16" i="18"/>
  <c r="P4" i="18"/>
  <c r="T4" i="18" s="1"/>
  <c r="S4" i="18"/>
  <c r="AC79" i="18"/>
  <c r="AE35" i="18" l="1"/>
  <c r="AI35" i="18"/>
  <c r="AJ35" i="18"/>
  <c r="AI85" i="18"/>
  <c r="AJ85" i="18"/>
  <c r="AK16" i="18"/>
  <c r="AL16" i="18" s="1"/>
  <c r="AK11" i="18"/>
  <c r="AL11" i="18" s="1"/>
  <c r="AE85" i="18"/>
  <c r="Z17" i="18"/>
  <c r="Z16" i="18"/>
  <c r="Z15" i="18"/>
  <c r="Z13" i="18"/>
  <c r="Z30" i="18"/>
  <c r="Z28" i="18"/>
  <c r="Z27" i="18"/>
  <c r="Z11" i="18"/>
  <c r="Z14" i="18"/>
  <c r="Z12" i="18"/>
  <c r="Z4" i="18"/>
  <c r="AC2" i="18"/>
  <c r="AD85" i="18"/>
  <c r="AC85" i="18"/>
  <c r="AD79" i="18"/>
  <c r="AC78" i="18"/>
  <c r="AD78" i="18"/>
  <c r="D47" i="18"/>
  <c r="D46" i="18"/>
  <c r="AE4" i="18" l="1"/>
  <c r="AI4" i="18"/>
  <c r="AJ4" i="18"/>
  <c r="AI27" i="18"/>
  <c r="AJ27" i="18"/>
  <c r="AI28" i="18"/>
  <c r="AJ28" i="18"/>
  <c r="AI30" i="18"/>
  <c r="AJ30" i="18"/>
  <c r="AE17" i="18"/>
  <c r="AI17" i="18"/>
  <c r="AJ17" i="18"/>
  <c r="AI11" i="18"/>
  <c r="AJ11" i="18"/>
  <c r="AE13" i="18"/>
  <c r="AI13" i="18"/>
  <c r="AJ13" i="18"/>
  <c r="AE15" i="18"/>
  <c r="AI15" i="18"/>
  <c r="AJ15" i="18"/>
  <c r="AJ12" i="18"/>
  <c r="AI12" i="18"/>
  <c r="AE16" i="18"/>
  <c r="AJ16" i="18"/>
  <c r="AI16" i="18"/>
  <c r="AJ14" i="18"/>
  <c r="AI14" i="18"/>
  <c r="AH16" i="18"/>
  <c r="AA46" i="18"/>
  <c r="AB46" i="18"/>
  <c r="AK46" i="18" s="1"/>
  <c r="AL46" i="18" s="1"/>
  <c r="AA47" i="18"/>
  <c r="AB47" i="18"/>
  <c r="AK47" i="18" s="1"/>
  <c r="AL47" i="18" s="1"/>
  <c r="AE30" i="18"/>
  <c r="AE28" i="18"/>
  <c r="AE27" i="18"/>
  <c r="AE12" i="18"/>
  <c r="AE14" i="18"/>
  <c r="AE11" i="18"/>
  <c r="R46" i="18"/>
  <c r="X46" i="18"/>
  <c r="R47" i="18"/>
  <c r="X47" i="18"/>
  <c r="AH11" i="18" l="1"/>
  <c r="Z47" i="18"/>
  <c r="AC87" i="18"/>
  <c r="AI47" i="18" l="1"/>
  <c r="AJ47" i="18"/>
  <c r="AE47" i="18"/>
  <c r="AC51" i="18"/>
  <c r="J52" i="18" l="1"/>
  <c r="J55" i="18"/>
  <c r="J56" i="18"/>
  <c r="J57" i="18"/>
  <c r="J58" i="18"/>
  <c r="J61" i="18"/>
  <c r="D38" i="13"/>
  <c r="L38" i="13" s="1"/>
  <c r="I61" i="18" l="1"/>
  <c r="AH61" i="18"/>
  <c r="I57" i="18"/>
  <c r="AH57" i="18"/>
  <c r="I56" i="18"/>
  <c r="AH56" i="18"/>
  <c r="I55" i="18"/>
  <c r="AH55" i="18"/>
  <c r="I58" i="18"/>
  <c r="AH58" i="18"/>
  <c r="I52" i="18"/>
  <c r="I90" i="18" s="1"/>
  <c r="AH52" i="18"/>
  <c r="Z37" i="18"/>
  <c r="AE58" i="18"/>
  <c r="Z58" i="18"/>
  <c r="Z33" i="18"/>
  <c r="Z57" i="18"/>
  <c r="Z56" i="18"/>
  <c r="Z52" i="18"/>
  <c r="Z61" i="18"/>
  <c r="AE61" i="18"/>
  <c r="Z55" i="18"/>
  <c r="AE55" i="18"/>
  <c r="P32" i="18"/>
  <c r="T32" i="18" s="1"/>
  <c r="D32" i="18"/>
  <c r="O10" i="3"/>
  <c r="O9" i="3"/>
  <c r="J10" i="3"/>
  <c r="J9" i="3"/>
  <c r="C10" i="3"/>
  <c r="C9" i="3"/>
  <c r="I10" i="13"/>
  <c r="I9" i="13"/>
  <c r="F10" i="13"/>
  <c r="F9" i="13"/>
  <c r="C10" i="13"/>
  <c r="C9" i="13"/>
  <c r="AI61" i="18" l="1"/>
  <c r="AJ61" i="18"/>
  <c r="AE33" i="18"/>
  <c r="AI33" i="18"/>
  <c r="AJ33" i="18"/>
  <c r="AE52" i="18"/>
  <c r="AJ52" i="18"/>
  <c r="AI52" i="18"/>
  <c r="AI58" i="18"/>
  <c r="AJ58" i="18"/>
  <c r="AI55" i="18"/>
  <c r="AJ55" i="18"/>
  <c r="AE56" i="18"/>
  <c r="AI56" i="18"/>
  <c r="AJ56" i="18"/>
  <c r="AE57" i="18"/>
  <c r="AJ57" i="18"/>
  <c r="AI57" i="18"/>
  <c r="AE37" i="18"/>
  <c r="AI37" i="18"/>
  <c r="AJ37" i="18"/>
  <c r="AA32" i="18"/>
  <c r="AB32" i="18"/>
  <c r="AK32" i="18" s="1"/>
  <c r="AL32" i="18" s="1"/>
  <c r="L9" i="13"/>
  <c r="L10" i="13"/>
  <c r="Z46" i="18"/>
  <c r="R32" i="18"/>
  <c r="X32" i="18"/>
  <c r="F7" i="18"/>
  <c r="AB7" i="18" s="1"/>
  <c r="AK7" i="18" s="1"/>
  <c r="AL7" i="18" s="1"/>
  <c r="C8" i="18"/>
  <c r="AB8" i="18" s="1"/>
  <c r="AK8" i="18" s="1"/>
  <c r="AL8" i="18" s="1"/>
  <c r="AC46" i="18"/>
  <c r="AC68" i="18"/>
  <c r="AD68" i="18"/>
  <c r="AC66" i="18"/>
  <c r="AD66" i="18"/>
  <c r="AC69" i="18"/>
  <c r="AD69" i="18"/>
  <c r="AC45" i="18"/>
  <c r="AC67" i="18"/>
  <c r="AD67" i="18"/>
  <c r="AE46" i="18" l="1"/>
  <c r="AI46" i="18"/>
  <c r="AJ46" i="18"/>
  <c r="P8" i="18"/>
  <c r="AA8" i="18"/>
  <c r="P7" i="18"/>
  <c r="T7" i="18" s="1"/>
  <c r="Z7" i="18" s="1"/>
  <c r="AA7" i="18"/>
  <c r="Z32" i="18"/>
  <c r="C10" i="18"/>
  <c r="V7" i="18"/>
  <c r="Y7" i="18"/>
  <c r="S8" i="18"/>
  <c r="X8" i="18"/>
  <c r="T8" i="18"/>
  <c r="F10" i="18"/>
  <c r="AD46" i="18"/>
  <c r="AC47" i="18"/>
  <c r="AC49" i="18"/>
  <c r="AD49" i="18"/>
  <c r="AC35" i="18"/>
  <c r="AD35" i="18"/>
  <c r="AC50" i="18"/>
  <c r="AC48" i="18"/>
  <c r="AC54" i="18"/>
  <c r="AD54" i="18"/>
  <c r="AC56" i="18"/>
  <c r="AD56" i="18"/>
  <c r="AC58" i="18"/>
  <c r="AD58" i="18"/>
  <c r="AC52" i="18"/>
  <c r="AD52" i="18"/>
  <c r="AC55" i="18"/>
  <c r="AD55" i="18"/>
  <c r="AC57" i="18"/>
  <c r="AD57" i="18"/>
  <c r="AC61" i="18"/>
  <c r="AD61" i="18"/>
  <c r="AC36" i="18"/>
  <c r="AD36" i="18"/>
  <c r="AC37" i="18"/>
  <c r="AD37" i="18"/>
  <c r="S22" i="3"/>
  <c r="N22" i="3"/>
  <c r="G22" i="3"/>
  <c r="E16" i="14" s="1"/>
  <c r="AI32" i="18" l="1"/>
  <c r="AJ32" i="18"/>
  <c r="AI7" i="18"/>
  <c r="AJ7" i="18"/>
  <c r="AB10" i="18"/>
  <c r="AA10" i="18"/>
  <c r="AE32" i="18"/>
  <c r="Z8" i="18"/>
  <c r="AE7" i="18"/>
  <c r="V10" i="18"/>
  <c r="Y10" i="18"/>
  <c r="S10" i="18"/>
  <c r="X10" i="18"/>
  <c r="AC42" i="18"/>
  <c r="AD42" i="18"/>
  <c r="AC34" i="18"/>
  <c r="AD34" i="18"/>
  <c r="AC43" i="18"/>
  <c r="AD43" i="18"/>
  <c r="AC32" i="18"/>
  <c r="AD32" i="18"/>
  <c r="AC33" i="18"/>
  <c r="AD33" i="18"/>
  <c r="Q20" i="3"/>
  <c r="S20" i="3" s="1"/>
  <c r="O20" i="3"/>
  <c r="D14" i="14" s="1"/>
  <c r="N20" i="3"/>
  <c r="G20" i="3"/>
  <c r="J20" i="13"/>
  <c r="K20" i="13" s="1"/>
  <c r="I20" i="13"/>
  <c r="H20" i="13"/>
  <c r="E20" i="13"/>
  <c r="AE8" i="18" l="1"/>
  <c r="AI8" i="18"/>
  <c r="AJ8" i="18"/>
  <c r="AB90" i="18"/>
  <c r="AK10" i="18"/>
  <c r="AL10" i="18" s="1"/>
  <c r="Z10" i="18"/>
  <c r="W90" i="18"/>
  <c r="Z5" i="18"/>
  <c r="E14" i="14"/>
  <c r="Q90" i="18"/>
  <c r="AJ5" i="18" l="1"/>
  <c r="AI5" i="18"/>
  <c r="AI10" i="18"/>
  <c r="AJ10" i="18"/>
  <c r="AE10" i="18"/>
  <c r="AE5" i="18"/>
  <c r="AC31" i="18"/>
  <c r="AD45" i="18" l="1"/>
  <c r="AD47" i="18"/>
  <c r="AD48" i="18"/>
  <c r="AD51" i="18"/>
  <c r="AD50" i="18"/>
  <c r="T19" i="3" l="1"/>
  <c r="T24" i="3"/>
  <c r="T15" i="3"/>
  <c r="T16" i="3"/>
  <c r="T20" i="3"/>
  <c r="T25" i="3"/>
  <c r="T17" i="3"/>
  <c r="T21" i="3"/>
  <c r="T26" i="3"/>
  <c r="T18" i="3"/>
  <c r="T22" i="3"/>
  <c r="L16" i="13"/>
  <c r="L20" i="13"/>
  <c r="L26" i="13"/>
  <c r="L17" i="13"/>
  <c r="L21" i="13"/>
  <c r="L24" i="13"/>
  <c r="L18" i="13"/>
  <c r="L22" i="13"/>
  <c r="L15" i="13"/>
  <c r="L19" i="13"/>
  <c r="L25" i="13"/>
  <c r="P31" i="18"/>
  <c r="T31" i="18" s="1"/>
  <c r="Z31" i="18" s="1"/>
  <c r="AI31" i="18" l="1"/>
  <c r="AJ31" i="18"/>
  <c r="AE31" i="18"/>
  <c r="Y25" i="18"/>
  <c r="Y20" i="18"/>
  <c r="Y22" i="18"/>
  <c r="Y21" i="18"/>
  <c r="AD87" i="18"/>
  <c r="AC4" i="18"/>
  <c r="AD2" i="18"/>
  <c r="R25" i="18" l="1"/>
  <c r="X25" i="18"/>
  <c r="U18" i="18"/>
  <c r="Y18" i="18"/>
  <c r="R22" i="18"/>
  <c r="X22" i="18"/>
  <c r="R21" i="18"/>
  <c r="X21" i="18"/>
  <c r="R20" i="18"/>
  <c r="X20" i="18"/>
  <c r="R18" i="18"/>
  <c r="X18" i="18"/>
  <c r="U22" i="18"/>
  <c r="U25" i="18"/>
  <c r="U20" i="18"/>
  <c r="U21" i="18"/>
  <c r="P21" i="18"/>
  <c r="T21" i="18" s="1"/>
  <c r="P20" i="18"/>
  <c r="T20" i="18" s="1"/>
  <c r="P18" i="18"/>
  <c r="T18" i="18" s="1"/>
  <c r="AD25" i="18"/>
  <c r="P25" i="18"/>
  <c r="T25" i="18" s="1"/>
  <c r="P22" i="18"/>
  <c r="T22" i="18" s="1"/>
  <c r="AD20" i="18"/>
  <c r="AC21" i="18"/>
  <c r="AC22" i="18"/>
  <c r="AC15" i="18"/>
  <c r="AD15" i="18"/>
  <c r="AC16" i="18"/>
  <c r="AD16" i="18"/>
  <c r="AK25" i="18" l="1"/>
  <c r="AL25" i="18" s="1"/>
  <c r="AK20" i="18"/>
  <c r="AL20" i="18" s="1"/>
  <c r="Z25" i="18"/>
  <c r="Z22" i="18"/>
  <c r="Z21" i="18"/>
  <c r="Z20" i="18"/>
  <c r="Z18" i="18"/>
  <c r="AC25" i="18"/>
  <c r="AD22" i="18"/>
  <c r="AC20" i="18"/>
  <c r="AD21" i="18"/>
  <c r="AC83" i="18"/>
  <c r="AD83" i="18"/>
  <c r="AD82" i="18"/>
  <c r="AC82" i="18"/>
  <c r="AD31" i="18"/>
  <c r="AD4" i="18"/>
  <c r="AI22" i="18" l="1"/>
  <c r="AJ22" i="18"/>
  <c r="AI18" i="18"/>
  <c r="AJ18" i="18"/>
  <c r="AI21" i="18"/>
  <c r="AJ21" i="18"/>
  <c r="AI25" i="18"/>
  <c r="AJ25" i="18"/>
  <c r="AI20" i="18"/>
  <c r="AJ20" i="18"/>
  <c r="D34" i="53"/>
  <c r="C33" i="53"/>
  <c r="F33" i="53" s="1"/>
  <c r="D36" i="53"/>
  <c r="D33" i="53"/>
  <c r="H33" i="53" s="1"/>
  <c r="D35" i="53"/>
  <c r="AE25" i="18"/>
  <c r="AE22" i="18"/>
  <c r="AE21" i="18"/>
  <c r="AE20" i="18"/>
  <c r="AE18" i="18"/>
  <c r="K22" i="13"/>
  <c r="H22" i="13"/>
  <c r="E22" i="13"/>
  <c r="K29" i="13"/>
  <c r="H29" i="13"/>
  <c r="E29" i="13"/>
  <c r="K26" i="13"/>
  <c r="H26" i="13"/>
  <c r="E26" i="13"/>
  <c r="K25" i="13"/>
  <c r="H25" i="13"/>
  <c r="E25" i="13"/>
  <c r="K24" i="13"/>
  <c r="H24" i="13"/>
  <c r="E24" i="13"/>
  <c r="K21" i="13"/>
  <c r="H21" i="13"/>
  <c r="E21" i="13"/>
  <c r="K19" i="13"/>
  <c r="H19" i="13"/>
  <c r="E19" i="13"/>
  <c r="K18" i="13"/>
  <c r="H18" i="13"/>
  <c r="E18" i="13"/>
  <c r="K17" i="13"/>
  <c r="H17" i="13"/>
  <c r="E17" i="13"/>
  <c r="K16" i="13"/>
  <c r="H16" i="13"/>
  <c r="E16" i="13"/>
  <c r="K15" i="13"/>
  <c r="H15" i="13"/>
  <c r="E15" i="13"/>
  <c r="H34" i="53" l="1"/>
  <c r="F83" i="53" s="1"/>
  <c r="F96" i="53" s="1"/>
  <c r="H36" i="53"/>
  <c r="H35" i="53"/>
  <c r="AH25" i="18"/>
  <c r="AH20" i="18"/>
  <c r="D90" i="18"/>
  <c r="AD7" i="18"/>
  <c r="AC7" i="18"/>
  <c r="AC5" i="18"/>
  <c r="AD5" i="18"/>
  <c r="AC41" i="18"/>
  <c r="AD41" i="18"/>
  <c r="AC3" i="18"/>
  <c r="AD3" i="18"/>
  <c r="J90" i="18"/>
  <c r="C20" i="53" s="1"/>
  <c r="S29" i="3"/>
  <c r="N29" i="3"/>
  <c r="G29" i="3"/>
  <c r="S26" i="3"/>
  <c r="N26" i="3"/>
  <c r="G26" i="3"/>
  <c r="S25" i="3"/>
  <c r="N25" i="3"/>
  <c r="G25" i="3"/>
  <c r="S24" i="3"/>
  <c r="N24" i="3"/>
  <c r="G24" i="3"/>
  <c r="S21" i="3"/>
  <c r="N21" i="3"/>
  <c r="G21" i="3"/>
  <c r="S19" i="3"/>
  <c r="N19" i="3"/>
  <c r="G19" i="3"/>
  <c r="S18" i="3"/>
  <c r="N18" i="3"/>
  <c r="G18" i="3"/>
  <c r="S17" i="3"/>
  <c r="N17" i="3"/>
  <c r="G17" i="3"/>
  <c r="S16" i="3"/>
  <c r="N16" i="3"/>
  <c r="G16" i="3"/>
  <c r="S15" i="3"/>
  <c r="N15" i="3"/>
  <c r="G15" i="3"/>
  <c r="C36" i="53" l="1"/>
  <c r="F82" i="53"/>
  <c r="F95" i="53" s="1"/>
  <c r="C35" i="53"/>
  <c r="F35" i="53" s="1"/>
  <c r="E9" i="14"/>
  <c r="E13" i="14"/>
  <c r="E20" i="14"/>
  <c r="E12" i="14"/>
  <c r="E19" i="14"/>
  <c r="E11" i="14"/>
  <c r="E18" i="14"/>
  <c r="E10" i="14"/>
  <c r="E15" i="14"/>
  <c r="E23" i="14"/>
  <c r="AC44" i="18"/>
  <c r="AD44" i="18"/>
  <c r="AC9" i="18"/>
  <c r="AD9" i="18"/>
  <c r="AC8" i="18"/>
  <c r="AD8" i="18"/>
  <c r="AC75" i="18"/>
  <c r="AD75" i="18"/>
  <c r="F90" i="18"/>
  <c r="C90" i="18"/>
  <c r="E90" i="18"/>
  <c r="D113" i="53" l="1"/>
  <c r="C52" i="53" s="1"/>
  <c r="B94" i="18"/>
  <c r="D112" i="53"/>
  <c r="C51" i="53" s="1"/>
  <c r="AC10" i="18"/>
  <c r="AD10" i="18"/>
  <c r="AC17" i="18"/>
  <c r="AD17" i="18"/>
  <c r="AC18" i="18"/>
  <c r="AD18" i="18"/>
  <c r="AC11" i="18"/>
  <c r="AD11" i="18"/>
  <c r="AC13" i="18"/>
  <c r="AD13" i="18"/>
  <c r="AC12" i="18"/>
  <c r="AD12" i="18"/>
  <c r="AC30" i="18"/>
  <c r="AD30" i="18"/>
  <c r="AC14" i="18"/>
  <c r="AD14" i="18"/>
  <c r="AC27" i="18"/>
  <c r="AD27" i="18"/>
  <c r="AA90" i="18"/>
  <c r="AC28" i="18"/>
  <c r="AD28" i="18"/>
  <c r="B95" i="18"/>
  <c r="B96" i="18" l="1"/>
  <c r="AC90" i="18"/>
  <c r="AD90" i="18" s="1"/>
  <c r="L9" i="15" l="1"/>
  <c r="L52" i="15"/>
  <c r="L41" i="15"/>
  <c r="L62" i="15"/>
  <c r="L51" i="15"/>
  <c r="L36" i="15"/>
  <c r="L65" i="15"/>
  <c r="L30" i="15"/>
  <c r="L44" i="15"/>
  <c r="L27" i="15"/>
  <c r="L46" i="15"/>
  <c r="L6" i="15"/>
  <c r="P2" i="18" s="1"/>
  <c r="T2" i="18" s="1"/>
  <c r="Z2" i="18" s="1"/>
  <c r="L47" i="15"/>
  <c r="L55" i="15"/>
  <c r="L33" i="15"/>
  <c r="L63" i="15"/>
  <c r="L31" i="15"/>
  <c r="L35" i="15"/>
  <c r="L8" i="15"/>
  <c r="L64" i="15"/>
  <c r="L40" i="15"/>
  <c r="L22" i="15"/>
  <c r="L10" i="15"/>
  <c r="L38" i="15"/>
  <c r="L29" i="15"/>
  <c r="L39" i="15"/>
  <c r="L59" i="15"/>
  <c r="L43" i="15"/>
  <c r="L56" i="15"/>
  <c r="L16" i="15"/>
  <c r="L15" i="15"/>
  <c r="L57" i="15"/>
  <c r="L5" i="15"/>
  <c r="L11" i="15"/>
  <c r="L58" i="15"/>
  <c r="L12" i="15"/>
  <c r="L42" i="15"/>
  <c r="L54" i="15"/>
  <c r="AI2" i="18" l="1"/>
  <c r="AJ2" i="18"/>
  <c r="AE2" i="18"/>
  <c r="P75" i="18"/>
  <c r="T75" i="18" s="1"/>
  <c r="AH2" i="18" l="1"/>
  <c r="P90" i="18"/>
  <c r="C85" i="53" s="1"/>
  <c r="C34" i="53" l="1"/>
  <c r="C17" i="53"/>
  <c r="C102" i="53"/>
  <c r="Z90" i="18"/>
  <c r="F36" i="53" l="1"/>
  <c r="C18" i="53"/>
  <c r="F34" i="53"/>
  <c r="C21" i="53" l="1"/>
  <c r="C24" i="53"/>
  <c r="C25" i="53" s="1"/>
  <c r="E23" i="53" l="1"/>
  <c r="C22" i="53"/>
  <c r="C103" i="53"/>
  <c r="E17" i="53" s="1"/>
  <c r="AE90" i="18" s="1"/>
  <c r="G36" i="53"/>
  <c r="G34" i="53"/>
  <c r="E33" i="53"/>
  <c r="E36" i="53"/>
  <c r="G35" i="53"/>
  <c r="D61" i="53" s="1"/>
  <c r="C78" i="53"/>
  <c r="G33" i="53"/>
  <c r="E35" i="53"/>
  <c r="E34" i="53"/>
  <c r="D62" i="53" l="1"/>
  <c r="D93" i="53"/>
  <c r="D91" i="53"/>
  <c r="D88" i="53"/>
  <c r="F89" i="53" l="1"/>
  <c r="F88" i="53"/>
  <c r="F92" i="53"/>
  <c r="F91" i="53"/>
  <c r="F94" i="53"/>
  <c r="F93" i="53"/>
  <c r="C61" i="53" l="1"/>
  <c r="C62" i="53"/>
  <c r="C83" i="53" l="1"/>
  <c r="E62" i="53"/>
  <c r="C82" i="53"/>
  <c r="E61" i="53"/>
  <c r="E95" i="53" l="1"/>
  <c r="E88" i="53"/>
  <c r="E93" i="53"/>
  <c r="E91" i="53"/>
  <c r="E96" i="53"/>
  <c r="E92" i="53"/>
  <c r="E89" i="53"/>
  <c r="E94" i="53"/>
</calcChain>
</file>

<file path=xl/comments1.xml><?xml version="1.0" encoding="utf-8"?>
<comments xmlns="http://schemas.openxmlformats.org/spreadsheetml/2006/main">
  <authors>
    <author>Beaulieu, Shelley (CliftonPark,NY-US)</author>
  </authors>
  <commentList>
    <comment ref="D45" authorId="0" shapeId="0">
      <text>
        <r>
          <rPr>
            <b/>
            <sz val="9"/>
            <color indexed="81"/>
            <rFont val="Tahoma"/>
            <family val="2"/>
          </rPr>
          <t>Beaulieu, Shelley (CliftonPark,NY-US):</t>
        </r>
        <r>
          <rPr>
            <sz val="9"/>
            <color indexed="81"/>
            <rFont val="Tahoma"/>
            <family val="2"/>
          </rPr>
          <t xml:space="preserve">
Shower flow rate per stall</t>
        </r>
      </text>
    </comment>
    <comment ref="D92" authorId="0" shapeId="0">
      <text>
        <r>
          <rPr>
            <b/>
            <sz val="9"/>
            <color indexed="81"/>
            <rFont val="Tahoma"/>
            <family val="2"/>
          </rPr>
          <t>Beaulieu, Shelley (CliftonPark,NY-US):</t>
        </r>
        <r>
          <rPr>
            <sz val="9"/>
            <color indexed="81"/>
            <rFont val="Tahoma"/>
            <family val="2"/>
          </rPr>
          <t xml:space="preserve">
These LPD can be adjusted using the Room Geometry Adjustment per ASHRAE 90.1-2010 Section 9.6.3.</t>
        </r>
      </text>
    </comment>
    <comment ref="D93" authorId="0" shapeId="0">
      <text>
        <r>
          <rPr>
            <b/>
            <sz val="9"/>
            <color indexed="81"/>
            <rFont val="Tahoma"/>
            <family val="2"/>
          </rPr>
          <t>Beaulieu, Shelley (CliftonPark,NY-US):</t>
        </r>
        <r>
          <rPr>
            <sz val="9"/>
            <color indexed="81"/>
            <rFont val="Tahoma"/>
            <family val="2"/>
          </rPr>
          <t xml:space="preserve">
These LPD can be adjusted using the Room Geometry Adjustment per ASHRAE 90.1-2010 Section 9.6.3.</t>
        </r>
      </text>
    </comment>
    <comment ref="D94" authorId="0" shapeId="0">
      <text>
        <r>
          <rPr>
            <b/>
            <sz val="9"/>
            <color indexed="81"/>
            <rFont val="Tahoma"/>
            <family val="2"/>
          </rPr>
          <t>Beaulieu, Shelley (CliftonPark,NY-US):</t>
        </r>
        <r>
          <rPr>
            <sz val="9"/>
            <color indexed="81"/>
            <rFont val="Tahoma"/>
            <family val="2"/>
          </rPr>
          <t xml:space="preserve">
These LPD can be adjusted using the Room Geometry Adjustment per ASHRAE 90.1-2010 Section 9.6.3.</t>
        </r>
      </text>
    </comment>
    <comment ref="D95" authorId="0" shapeId="0">
      <text>
        <r>
          <rPr>
            <b/>
            <sz val="9"/>
            <color indexed="81"/>
            <rFont val="Tahoma"/>
            <family val="2"/>
          </rPr>
          <t>Beaulieu, Shelley (CliftonPark,NY-US):</t>
        </r>
        <r>
          <rPr>
            <sz val="9"/>
            <color indexed="81"/>
            <rFont val="Tahoma"/>
            <family val="2"/>
          </rPr>
          <t xml:space="preserve">
These LPD can be adjusted using the Room Geometry Adjustment per ASHRAE 90.1-2010 Section 9.6.3.</t>
        </r>
      </text>
    </comment>
  </commentList>
</comments>
</file>

<file path=xl/comments2.xml><?xml version="1.0" encoding="utf-8"?>
<comments xmlns="http://schemas.openxmlformats.org/spreadsheetml/2006/main">
  <authors>
    <author>Beaulieu, Shelley (CliftonPark,NY-US)</author>
    <author>Sobieniak, Kara (Ithaca,NY-US)</author>
    <author>Beaulieu, Shelley</author>
  </authors>
  <commentList>
    <comment ref="M1"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M2" authorId="0" shapeId="0">
      <text>
        <r>
          <rPr>
            <b/>
            <sz val="9"/>
            <color indexed="81"/>
            <rFont val="Tahoma"/>
            <family val="2"/>
          </rPr>
          <t>Beaulieu, Shelley (CliftonPark,NY-US):</t>
        </r>
        <r>
          <rPr>
            <sz val="9"/>
            <color indexed="81"/>
            <rFont val="Tahoma"/>
            <family val="2"/>
          </rPr>
          <t xml:space="preserve">
From ENERGY STAR Refrigerator Calculator, based on 2008 national price data</t>
        </r>
      </text>
    </comment>
    <comment ref="M3" authorId="0" shapeId="0">
      <text>
        <r>
          <rPr>
            <b/>
            <sz val="9"/>
            <color indexed="81"/>
            <rFont val="Tahoma"/>
            <family val="2"/>
          </rPr>
          <t>Beaulieu, Shelley (CliftonPark,NY-US):</t>
        </r>
        <r>
          <rPr>
            <sz val="9"/>
            <color indexed="81"/>
            <rFont val="Tahoma"/>
            <family val="2"/>
          </rPr>
          <t xml:space="preserve">
RS Means item number 113113332750
</t>
        </r>
      </text>
    </comment>
    <comment ref="M4" authorId="0" shapeId="0">
      <text>
        <r>
          <rPr>
            <b/>
            <sz val="9"/>
            <color indexed="81"/>
            <rFont val="Tahoma"/>
            <family val="2"/>
          </rPr>
          <t>Beaulieu, Shelley (CliftonPark,NY-US):</t>
        </r>
        <r>
          <rPr>
            <sz val="9"/>
            <color indexed="81"/>
            <rFont val="Tahoma"/>
            <family val="2"/>
          </rPr>
          <t xml:space="preserve">
ENERGY STAR Vending Machine Calculator.</t>
        </r>
      </text>
    </comment>
    <comment ref="M5" authorId="0" shapeId="0">
      <text>
        <r>
          <rPr>
            <b/>
            <sz val="9"/>
            <color indexed="81"/>
            <rFont val="Tahoma"/>
            <family val="2"/>
          </rPr>
          <t>Beaulieu, Shelley (CliftonPark,NY-US):</t>
        </r>
        <r>
          <rPr>
            <sz val="9"/>
            <color indexed="81"/>
            <rFont val="Tahoma"/>
            <family val="2"/>
          </rPr>
          <t xml:space="preserve">
RS Means item number 113123136650</t>
        </r>
      </text>
    </comment>
    <comment ref="M6" authorId="0" shapeId="0">
      <text>
        <r>
          <rPr>
            <b/>
            <sz val="9"/>
            <color indexed="81"/>
            <rFont val="Tahoma"/>
            <family val="2"/>
          </rPr>
          <t>Beaulieu, Shelley (CliftonPark,NY-US):</t>
        </r>
        <r>
          <rPr>
            <sz val="9"/>
            <color indexed="81"/>
            <rFont val="Tahoma"/>
            <family val="2"/>
          </rPr>
          <t xml:space="preserve">
Cost from ENERGY STAR Clothes Washer Calculator, as RS Means does not have ENERGY STAR Commercial Clothes Washer cost.</t>
        </r>
      </text>
    </comment>
    <comment ref="M7" authorId="0" shapeId="0">
      <text>
        <r>
          <rPr>
            <b/>
            <sz val="9"/>
            <color indexed="81"/>
            <rFont val="Tahoma"/>
            <family val="2"/>
          </rPr>
          <t>Beaulieu, Shelley (CliftonPark,NY-US):</t>
        </r>
        <r>
          <rPr>
            <sz val="9"/>
            <color indexed="81"/>
            <rFont val="Tahoma"/>
            <family val="2"/>
          </rPr>
          <t xml:space="preserve">
Costs from ENERGY STAR Ceiling Fan Calculator</t>
        </r>
      </text>
    </comment>
    <comment ref="M8"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M9" authorId="0" shapeId="0">
      <text>
        <r>
          <rPr>
            <b/>
            <sz val="9"/>
            <color indexed="81"/>
            <rFont val="Tahoma"/>
            <family val="2"/>
          </rPr>
          <t>Beaulieu, Shelley (CliftonPark,NY-US):</t>
        </r>
        <r>
          <rPr>
            <sz val="9"/>
            <color indexed="81"/>
            <rFont val="Tahoma"/>
            <family val="2"/>
          </rPr>
          <t xml:space="preserve">
Extrapolation from RS Means item 113133237180 and 113133237260</t>
        </r>
      </text>
    </comment>
    <comment ref="M10" authorId="0" shapeId="0">
      <text>
        <r>
          <rPr>
            <b/>
            <sz val="9"/>
            <color indexed="81"/>
            <rFont val="Tahoma"/>
            <family val="2"/>
          </rPr>
          <t>Beaulieu, Shelley (CliftonPark,NY-US):</t>
        </r>
        <r>
          <rPr>
            <sz val="9"/>
            <color indexed="81"/>
            <rFont val="Tahoma"/>
            <family val="2"/>
          </rPr>
          <t xml:space="preserve">
Extrapolation from RS Means item 113133236900 and 113133237100</t>
        </r>
      </text>
    </comment>
    <comment ref="M11"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M12"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M13"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M14"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M15" authorId="0" shapeId="0">
      <text>
        <r>
          <rPr>
            <b/>
            <sz val="9"/>
            <color indexed="81"/>
            <rFont val="Tahoma"/>
            <family val="2"/>
          </rPr>
          <t>Beaulieu, Shelley (CliftonPark,NY-US):</t>
        </r>
        <r>
          <rPr>
            <sz val="9"/>
            <color indexed="81"/>
            <rFont val="Tahoma"/>
            <family val="2"/>
          </rPr>
          <t xml:space="preserve">
RS Means item number 072216102130</t>
        </r>
      </text>
    </comment>
    <comment ref="M16" authorId="0" shapeId="0">
      <text>
        <r>
          <rPr>
            <b/>
            <sz val="9"/>
            <color indexed="81"/>
            <rFont val="Tahoma"/>
            <family val="2"/>
          </rPr>
          <t>Beaulieu, Shelley (CliftonPark,NY-US):</t>
        </r>
        <r>
          <rPr>
            <sz val="9"/>
            <color indexed="81"/>
            <rFont val="Tahoma"/>
            <family val="2"/>
          </rPr>
          <t xml:space="preserve">
Difference between baseline and proposed is no "ls" insulation, therefore $0, and R-11ls.</t>
        </r>
      </text>
    </comment>
    <comment ref="M17" authorId="0" shapeId="0">
      <text>
        <r>
          <rPr>
            <b/>
            <sz val="9"/>
            <color indexed="81"/>
            <rFont val="Tahoma"/>
            <family val="2"/>
          </rPr>
          <t>Beaulieu, Shelley (CliftonPark,NY-US):</t>
        </r>
        <r>
          <rPr>
            <sz val="9"/>
            <color indexed="81"/>
            <rFont val="Tahoma"/>
            <family val="2"/>
          </rPr>
          <t xml:space="preserve">
RS Means item 072126101450</t>
        </r>
      </text>
    </comment>
    <comment ref="M18" authorId="0" shapeId="0">
      <text>
        <r>
          <rPr>
            <b/>
            <sz val="9"/>
            <color indexed="81"/>
            <rFont val="Tahoma"/>
            <family val="2"/>
          </rPr>
          <t>Beaulieu, Shelley (CliftonPark,NY-US):</t>
        </r>
        <r>
          <rPr>
            <sz val="9"/>
            <color indexed="81"/>
            <rFont val="Tahoma"/>
            <family val="2"/>
          </rPr>
          <t xml:space="preserve">
Sources located on the cells to the right.</t>
        </r>
      </text>
    </comment>
    <comment ref="N18" authorId="0" shapeId="0">
      <text>
        <r>
          <rPr>
            <b/>
            <sz val="9"/>
            <color indexed="81"/>
            <rFont val="Tahoma"/>
            <family val="2"/>
          </rPr>
          <t>Beaulieu, Shelley (CliftonPark,NY-US):</t>
        </r>
        <r>
          <rPr>
            <sz val="9"/>
            <color indexed="81"/>
            <rFont val="Tahoma"/>
            <family val="2"/>
          </rPr>
          <t xml:space="preserve">
RS Means item 072113101940</t>
        </r>
      </text>
    </comment>
    <comment ref="O18" authorId="0" shapeId="0">
      <text>
        <r>
          <rPr>
            <b/>
            <sz val="9"/>
            <color indexed="81"/>
            <rFont val="Tahoma"/>
            <family val="2"/>
          </rPr>
          <t>Beaulieu, Shelley (CliftonPark,NY-US):</t>
        </r>
        <r>
          <rPr>
            <sz val="9"/>
            <color indexed="81"/>
            <rFont val="Tahoma"/>
            <family val="2"/>
          </rPr>
          <t xml:space="preserve">
Average of RS Means items 072113101940 and 072113101960</t>
        </r>
      </text>
    </comment>
    <comment ref="P18" authorId="0" shapeId="0">
      <text>
        <r>
          <rPr>
            <b/>
            <sz val="9"/>
            <color indexed="81"/>
            <rFont val="Tahoma"/>
            <family val="2"/>
          </rPr>
          <t>Beaulieu, Shelley (CliftonPark,NY-US):</t>
        </r>
        <r>
          <rPr>
            <sz val="9"/>
            <color indexed="81"/>
            <rFont val="Tahoma"/>
            <family val="2"/>
          </rPr>
          <t xml:space="preserve">
RS Means item number 072113101660</t>
        </r>
      </text>
    </comment>
    <comment ref="M19" authorId="0" shapeId="0">
      <text>
        <r>
          <rPr>
            <b/>
            <sz val="9"/>
            <color indexed="81"/>
            <rFont val="Tahoma"/>
            <family val="2"/>
          </rPr>
          <t>Beaulieu, Shelley (CliftonPark,NY-US):</t>
        </r>
        <r>
          <rPr>
            <sz val="9"/>
            <color indexed="81"/>
            <rFont val="Tahoma"/>
            <family val="2"/>
          </rPr>
          <t xml:space="preserve">
RS Means item 072113101640</t>
        </r>
      </text>
    </comment>
    <comment ref="M20" authorId="0" shapeId="0">
      <text>
        <r>
          <rPr>
            <b/>
            <sz val="9"/>
            <color indexed="81"/>
            <rFont val="Tahoma"/>
            <family val="2"/>
          </rPr>
          <t xml:space="preserve">Beaulieu, Shelley (CliftonPark,NY-US):
</t>
        </r>
        <r>
          <rPr>
            <sz val="9"/>
            <color indexed="81"/>
            <rFont val="Tahoma"/>
            <family val="2"/>
          </rPr>
          <t>RS Means item 072113101610</t>
        </r>
      </text>
    </comment>
    <comment ref="M21" authorId="0" shapeId="0">
      <text>
        <r>
          <rPr>
            <b/>
            <sz val="9"/>
            <color indexed="81"/>
            <rFont val="Tahoma"/>
            <family val="2"/>
          </rPr>
          <t>Beaulieu, Shelley (CliftonPark,NY-US):</t>
        </r>
        <r>
          <rPr>
            <sz val="9"/>
            <color indexed="81"/>
            <rFont val="Tahoma"/>
            <family val="2"/>
          </rPr>
          <t xml:space="preserve">
Sources located on the cells to the right.</t>
        </r>
      </text>
    </comment>
    <comment ref="N21" authorId="0" shapeId="0">
      <text>
        <r>
          <rPr>
            <b/>
            <sz val="9"/>
            <color indexed="81"/>
            <rFont val="Tahoma"/>
            <family val="2"/>
          </rPr>
          <t>Beaulieu, Shelley (CliftonPark,NY-US):</t>
        </r>
        <r>
          <rPr>
            <sz val="9"/>
            <color indexed="81"/>
            <rFont val="Tahoma"/>
            <family val="2"/>
          </rPr>
          <t xml:space="preserve">
RS Means item 072113102100</t>
        </r>
      </text>
    </comment>
    <comment ref="O21" authorId="0" shapeId="0">
      <text>
        <r>
          <rPr>
            <b/>
            <sz val="9"/>
            <color indexed="81"/>
            <rFont val="Tahoma"/>
            <family val="2"/>
          </rPr>
          <t>Beaulieu, Shelley (CliftonPark,NY-US):</t>
        </r>
        <r>
          <rPr>
            <sz val="9"/>
            <color indexed="81"/>
            <rFont val="Tahoma"/>
            <family val="2"/>
          </rPr>
          <t xml:space="preserve">
RS Means item 072113102120</t>
        </r>
      </text>
    </comment>
    <comment ref="P21" authorId="0" shapeId="0">
      <text>
        <r>
          <rPr>
            <b/>
            <sz val="9"/>
            <color indexed="81"/>
            <rFont val="Tahoma"/>
            <family val="2"/>
          </rPr>
          <t>Beaulieu, Shelley (CliftonPark,NY-US):</t>
        </r>
        <r>
          <rPr>
            <sz val="9"/>
            <color indexed="81"/>
            <rFont val="Tahoma"/>
            <family val="2"/>
          </rPr>
          <t xml:space="preserve">
RS Means item 072113102120</t>
        </r>
      </text>
    </comment>
    <comment ref="M22" authorId="0" shapeId="0">
      <text>
        <r>
          <rPr>
            <b/>
            <sz val="9"/>
            <color indexed="81"/>
            <rFont val="Tahoma"/>
            <family val="2"/>
          </rPr>
          <t>Beaulieu, Shelley (CliftonPark,NY-US):</t>
        </r>
        <r>
          <rPr>
            <sz val="9"/>
            <color indexed="81"/>
            <rFont val="Tahoma"/>
            <family val="2"/>
          </rPr>
          <t xml:space="preserve">
RS Means item 072113102120</t>
        </r>
      </text>
    </comment>
    <comment ref="M24" authorId="0" shapeId="0">
      <text>
        <r>
          <rPr>
            <b/>
            <sz val="9"/>
            <color indexed="81"/>
            <rFont val="Tahoma"/>
            <family val="2"/>
          </rPr>
          <t xml:space="preserve">Beaulieu, Shelley (CliftonPark,NY-US):
</t>
        </r>
        <r>
          <rPr>
            <sz val="9"/>
            <color indexed="81"/>
            <rFont val="Tahoma"/>
            <family val="2"/>
          </rPr>
          <t>Sources located on the cells to the right.</t>
        </r>
      </text>
    </comment>
    <comment ref="N24" authorId="0" shapeId="0">
      <text>
        <r>
          <rPr>
            <b/>
            <sz val="9"/>
            <color indexed="81"/>
            <rFont val="Tahoma"/>
            <family val="2"/>
          </rPr>
          <t>Beaulieu, Shelley (CliftonPark,NY-US):</t>
        </r>
        <r>
          <rPr>
            <sz val="9"/>
            <color indexed="81"/>
            <rFont val="Tahoma"/>
            <family val="2"/>
          </rPr>
          <t xml:space="preserve">
RS Means item 072113101640</t>
        </r>
      </text>
    </comment>
    <comment ref="O24" authorId="0" shapeId="0">
      <text>
        <r>
          <rPr>
            <b/>
            <sz val="9"/>
            <color indexed="81"/>
            <rFont val="Tahoma"/>
            <family val="2"/>
          </rPr>
          <t>Beaulieu, Shelley (CliftonPark,NY-US):</t>
        </r>
        <r>
          <rPr>
            <sz val="9"/>
            <color indexed="81"/>
            <rFont val="Tahoma"/>
            <family val="2"/>
          </rPr>
          <t xml:space="preserve">
RS Means item 072113101650</t>
        </r>
      </text>
    </comment>
    <comment ref="P24" authorId="0" shapeId="0">
      <text>
        <r>
          <rPr>
            <b/>
            <sz val="9"/>
            <color indexed="81"/>
            <rFont val="Tahoma"/>
            <family val="2"/>
          </rPr>
          <t>Beaulieu, Shelley (CliftonPark,NY-US):</t>
        </r>
        <r>
          <rPr>
            <sz val="9"/>
            <color indexed="81"/>
            <rFont val="Tahoma"/>
            <family val="2"/>
          </rPr>
          <t xml:space="preserve">
Average of RS Means item 072113101650 and 072113101660</t>
        </r>
      </text>
    </comment>
    <comment ref="M25" authorId="0" shapeId="0">
      <text>
        <r>
          <rPr>
            <b/>
            <sz val="9"/>
            <color indexed="81"/>
            <rFont val="Tahoma"/>
            <family val="2"/>
          </rPr>
          <t>Beaulieu, Shelley (CliftonPark,NY-US):</t>
        </r>
        <r>
          <rPr>
            <sz val="9"/>
            <color indexed="81"/>
            <rFont val="Tahoma"/>
            <family val="2"/>
          </rPr>
          <t xml:space="preserve">
Sources located on the cells to the right.</t>
        </r>
      </text>
    </comment>
    <comment ref="N25" authorId="0" shapeId="0">
      <text>
        <r>
          <rPr>
            <b/>
            <sz val="9"/>
            <color indexed="81"/>
            <rFont val="Tahoma"/>
            <family val="2"/>
          </rPr>
          <t>Beaulieu, Shelley (CliftonPark,NY-US):</t>
        </r>
        <r>
          <rPr>
            <sz val="9"/>
            <color indexed="81"/>
            <rFont val="Tahoma"/>
            <family val="2"/>
          </rPr>
          <t xml:space="preserve">
RS Means item 072116103020</t>
        </r>
      </text>
    </comment>
    <comment ref="O25" authorId="0" shapeId="0">
      <text>
        <r>
          <rPr>
            <b/>
            <sz val="9"/>
            <color indexed="81"/>
            <rFont val="Tahoma"/>
            <family val="2"/>
          </rPr>
          <t>Beaulieu, Shelley (CliftonPark,NY-US):</t>
        </r>
        <r>
          <rPr>
            <sz val="9"/>
            <color indexed="81"/>
            <rFont val="Tahoma"/>
            <family val="2"/>
          </rPr>
          <t xml:space="preserve">
RS Means item 072116103020</t>
        </r>
      </text>
    </comment>
    <comment ref="P25" authorId="0" shapeId="0">
      <text>
        <r>
          <rPr>
            <b/>
            <sz val="9"/>
            <color indexed="81"/>
            <rFont val="Tahoma"/>
            <family val="2"/>
          </rPr>
          <t>Beaulieu, Shelley (CliftonPark,NY-US):</t>
        </r>
        <r>
          <rPr>
            <sz val="9"/>
            <color indexed="81"/>
            <rFont val="Tahoma"/>
            <family val="2"/>
          </rPr>
          <t xml:space="preserve">
RS Means item 072116103030</t>
        </r>
      </text>
    </comment>
    <comment ref="M26" authorId="0" shapeId="0">
      <text>
        <r>
          <rPr>
            <b/>
            <sz val="9"/>
            <color indexed="81"/>
            <rFont val="Tahoma"/>
            <family val="2"/>
          </rPr>
          <t>Beaulieu, Shelley (CliftonPark,NY-US):</t>
        </r>
        <r>
          <rPr>
            <sz val="9"/>
            <color indexed="81"/>
            <rFont val="Tahoma"/>
            <family val="2"/>
          </rPr>
          <t xml:space="preserve">
Difference between baseline and proposed is no "ls" insulation, therefore $0, and R-7.5ci</t>
        </r>
      </text>
    </comment>
    <comment ref="M29"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31"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M32" authorId="0" shapeId="0">
      <text>
        <r>
          <rPr>
            <b/>
            <sz val="9"/>
            <color indexed="81"/>
            <rFont val="Tahoma"/>
            <family val="2"/>
          </rPr>
          <t>Beaulieu, Shelley (CliftonPark,NY-US):</t>
        </r>
        <r>
          <rPr>
            <sz val="9"/>
            <color indexed="81"/>
            <rFont val="Tahoma"/>
            <family val="2"/>
          </rPr>
          <t xml:space="preserve">
Based on $/sf of RS Means item number 085313300168</t>
        </r>
      </text>
    </comment>
    <comment ref="M33" authorId="0" shapeId="0">
      <text>
        <r>
          <rPr>
            <b/>
            <sz val="9"/>
            <color indexed="81"/>
            <rFont val="Tahoma"/>
            <family val="2"/>
          </rPr>
          <t>Beaulieu, Shelley (CliftonPark,NY-US):</t>
        </r>
        <r>
          <rPr>
            <sz val="9"/>
            <color indexed="81"/>
            <rFont val="Tahoma"/>
            <family val="2"/>
          </rPr>
          <t xml:space="preserve">
Based on $/sf of RS Means item number 085113204600</t>
        </r>
      </text>
    </comment>
    <comment ref="M35" authorId="0" shapeId="0">
      <text>
        <r>
          <rPr>
            <b/>
            <sz val="9"/>
            <color indexed="81"/>
            <rFont val="Tahoma"/>
            <family val="2"/>
          </rPr>
          <t>Beaulieu, Shelley (CliftonPark,NY-US):</t>
        </r>
        <r>
          <rPr>
            <sz val="9"/>
            <color indexed="81"/>
            <rFont val="Tahoma"/>
            <family val="2"/>
          </rPr>
          <t xml:space="preserve">
Based on $/sf of RS Means item number 085113204600</t>
        </r>
      </text>
    </comment>
    <comment ref="M38"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39"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40"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41"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42"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43"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45"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46"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47"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48"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49"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50"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51"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52"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53"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54"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55" authorId="1" shapeId="0">
      <text>
        <r>
          <rPr>
            <b/>
            <sz val="9"/>
            <color indexed="81"/>
            <rFont val="Tahoma"/>
            <family val="2"/>
          </rPr>
          <t>Sobieniak, Kara (Ithaca,NY-US):</t>
        </r>
        <r>
          <rPr>
            <sz val="9"/>
            <color indexed="81"/>
            <rFont val="Tahoma"/>
            <family val="2"/>
          </rPr>
          <t xml:space="preserve">
$/MMBtu as per pipeline analysis</t>
        </r>
      </text>
    </comment>
    <comment ref="M56" authorId="1" shapeId="0">
      <text>
        <r>
          <rPr>
            <b/>
            <sz val="9"/>
            <color indexed="81"/>
            <rFont val="Tahoma"/>
            <family val="2"/>
          </rPr>
          <t>Sobieniak, Kara (Ithaca,NY-US):</t>
        </r>
        <r>
          <rPr>
            <sz val="9"/>
            <color indexed="81"/>
            <rFont val="Tahoma"/>
            <family val="2"/>
          </rPr>
          <t xml:space="preserve">
$/MMBtu as per pipeline analysis</t>
        </r>
      </text>
    </comment>
    <comment ref="M73"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M87" authorId="0" shapeId="0">
      <text>
        <r>
          <rPr>
            <b/>
            <sz val="9"/>
            <color indexed="81"/>
            <rFont val="Tahoma"/>
            <family val="2"/>
          </rPr>
          <t>Beaulieu, Shelley (CliftonPark,NY-US):</t>
        </r>
        <r>
          <rPr>
            <sz val="9"/>
            <color indexed="81"/>
            <rFont val="Tahoma"/>
            <family val="2"/>
          </rPr>
          <t xml:space="preserve">
Baseline is no sensors, so cost is $0.</t>
        </r>
      </text>
    </comment>
    <comment ref="M99"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M101" authorId="2" shapeId="0">
      <text>
        <r>
          <rPr>
            <b/>
            <sz val="9"/>
            <color indexed="81"/>
            <rFont val="Tahoma"/>
            <family val="2"/>
          </rPr>
          <t>Beaulieu, Shelley:</t>
        </r>
        <r>
          <rPr>
            <sz val="9"/>
            <color indexed="81"/>
            <rFont val="Tahoma"/>
            <family val="2"/>
          </rPr>
          <t xml:space="preserve">
Based on average pipeline analysis, update 2015
</t>
        </r>
      </text>
    </comment>
  </commentList>
</comments>
</file>

<file path=xl/comments3.xml><?xml version="1.0" encoding="utf-8"?>
<comments xmlns="http://schemas.openxmlformats.org/spreadsheetml/2006/main">
  <authors>
    <author>Beaulieu, Shelley (CliftonPark,NY-US)</author>
    <author>Sobieniak, Kara (Ithaca,NY-US)</author>
    <author>TRC</author>
    <author>Beaulieu, Shelley</author>
  </authors>
  <commentList>
    <comment ref="U1"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U2" authorId="0" shapeId="0">
      <text>
        <r>
          <rPr>
            <b/>
            <sz val="9"/>
            <color indexed="81"/>
            <rFont val="Tahoma"/>
            <family val="2"/>
          </rPr>
          <t>Beaulieu, Shelley (CliftonPark,NY-US):</t>
        </r>
        <r>
          <rPr>
            <sz val="9"/>
            <color indexed="81"/>
            <rFont val="Tahoma"/>
            <family val="2"/>
          </rPr>
          <t xml:space="preserve">
From ENERGY STAR Refrigerator Calculator, based on 2008 national price data</t>
        </r>
      </text>
    </comment>
    <comment ref="U3" authorId="0" shapeId="0">
      <text>
        <r>
          <rPr>
            <b/>
            <sz val="9"/>
            <color indexed="81"/>
            <rFont val="Tahoma"/>
            <family val="2"/>
          </rPr>
          <t>Beaulieu, Shelley (CliftonPark,NY-US):</t>
        </r>
        <r>
          <rPr>
            <sz val="9"/>
            <color indexed="81"/>
            <rFont val="Tahoma"/>
            <family val="2"/>
          </rPr>
          <t xml:space="preserve">
RS Means item number 113113333100</t>
        </r>
      </text>
    </comment>
    <comment ref="U4" authorId="0" shapeId="0">
      <text>
        <r>
          <rPr>
            <b/>
            <sz val="9"/>
            <color indexed="81"/>
            <rFont val="Tahoma"/>
            <family val="2"/>
          </rPr>
          <t>Beaulieu, Shelley (CliftonPark,NY-US):</t>
        </r>
        <r>
          <rPr>
            <sz val="9"/>
            <color indexed="81"/>
            <rFont val="Tahoma"/>
            <family val="2"/>
          </rPr>
          <t xml:space="preserve">
ENERGY STAR Vending Machine Calculator.</t>
        </r>
      </text>
    </comment>
    <comment ref="U5" authorId="0" shapeId="0">
      <text>
        <r>
          <rPr>
            <b/>
            <sz val="9"/>
            <color indexed="81"/>
            <rFont val="Tahoma"/>
            <family val="2"/>
          </rPr>
          <t>Beaulieu, Shelley (CliftonPark,NY-US):</t>
        </r>
        <r>
          <rPr>
            <sz val="9"/>
            <color indexed="81"/>
            <rFont val="Tahoma"/>
            <family val="2"/>
          </rPr>
          <t xml:space="preserve">
RS Means item number 113123136750</t>
        </r>
      </text>
    </comment>
    <comment ref="U6" authorId="0" shapeId="0">
      <text>
        <r>
          <rPr>
            <b/>
            <sz val="9"/>
            <color indexed="81"/>
            <rFont val="Tahoma"/>
            <family val="2"/>
          </rPr>
          <t>Beaulieu, Shelley (CliftonPark,NY-US):</t>
        </r>
        <r>
          <rPr>
            <sz val="9"/>
            <color indexed="81"/>
            <rFont val="Tahoma"/>
            <family val="2"/>
          </rPr>
          <t xml:space="preserve">
Cost from ENERGY STAR Clothes Washer Calculator, as RS Means does not have ENERGY STAR Commercial Clothes Washer cost.</t>
        </r>
      </text>
    </comment>
    <comment ref="U7" authorId="0" shapeId="0">
      <text>
        <r>
          <rPr>
            <b/>
            <sz val="9"/>
            <color indexed="81"/>
            <rFont val="Tahoma"/>
            <family val="2"/>
          </rPr>
          <t>Beaulieu, Shelley (CliftonPark,NY-US):</t>
        </r>
        <r>
          <rPr>
            <sz val="9"/>
            <color indexed="81"/>
            <rFont val="Tahoma"/>
            <family val="2"/>
          </rPr>
          <t xml:space="preserve">
Costs from ENERGY STAR Ceiling Fan Calculator</t>
        </r>
      </text>
    </comment>
    <comment ref="U8"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U9" authorId="0" shapeId="0">
      <text>
        <r>
          <rPr>
            <b/>
            <sz val="9"/>
            <color indexed="81"/>
            <rFont val="Tahoma"/>
            <family val="2"/>
          </rPr>
          <t>Beaulieu, Shelley (CliftonPark,NY-US):</t>
        </r>
        <r>
          <rPr>
            <sz val="9"/>
            <color indexed="81"/>
            <rFont val="Tahoma"/>
            <family val="2"/>
          </rPr>
          <t xml:space="preserve">
Extrapolation from RS Means item 113133237220 and 113133237300</t>
        </r>
      </text>
    </comment>
    <comment ref="U10" authorId="0" shapeId="0">
      <text>
        <r>
          <rPr>
            <b/>
            <sz val="9"/>
            <color indexed="81"/>
            <rFont val="Tahoma"/>
            <family val="2"/>
          </rPr>
          <t>Beaulieu, Shelley (CliftonPark,NY-US):</t>
        </r>
        <r>
          <rPr>
            <sz val="9"/>
            <color indexed="81"/>
            <rFont val="Tahoma"/>
            <family val="2"/>
          </rPr>
          <t xml:space="preserve">
Extrapolation from RS Means item 113133236950 and 113133237150</t>
        </r>
      </text>
    </comment>
    <comment ref="U11" authorId="1" shapeId="0">
      <text>
        <r>
          <rPr>
            <b/>
            <sz val="9"/>
            <color indexed="81"/>
            <rFont val="Tahoma"/>
            <family val="2"/>
          </rPr>
          <t>Sobieniak, Kara (Ithaca,NY-US):</t>
        </r>
        <r>
          <rPr>
            <sz val="9"/>
            <color indexed="81"/>
            <rFont val="Tahoma"/>
            <family val="2"/>
          </rPr>
          <t xml:space="preserve">
Based on average pipeline analysis, update 2015</t>
        </r>
      </text>
    </comment>
    <comment ref="U12" authorId="2" shapeId="0">
      <text>
        <r>
          <rPr>
            <b/>
            <sz val="8"/>
            <color indexed="81"/>
            <rFont val="Tahoma"/>
            <family val="2"/>
          </rPr>
          <t>TRC:</t>
        </r>
        <r>
          <rPr>
            <sz val="8"/>
            <color indexed="81"/>
            <rFont val="Tahoma"/>
            <family val="2"/>
          </rPr>
          <t xml:space="preserve">
Based on average pipeline analysis, update 2015</t>
        </r>
      </text>
    </comment>
    <comment ref="U13" authorId="2" shapeId="0">
      <text>
        <r>
          <rPr>
            <b/>
            <sz val="8"/>
            <color indexed="81"/>
            <rFont val="Tahoma"/>
            <family val="2"/>
          </rPr>
          <t>TRC:</t>
        </r>
        <r>
          <rPr>
            <sz val="8"/>
            <color indexed="81"/>
            <rFont val="Tahoma"/>
            <family val="2"/>
          </rPr>
          <t xml:space="preserve">
Based on average pipeline analysis, update 2015</t>
        </r>
      </text>
    </comment>
    <comment ref="U14"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U15" authorId="0" shapeId="0">
      <text>
        <r>
          <rPr>
            <b/>
            <sz val="9"/>
            <color indexed="81"/>
            <rFont val="Tahoma"/>
            <family val="2"/>
          </rPr>
          <t>Beaulieu, Shelley (CliftonPark,NY-US):</t>
        </r>
        <r>
          <rPr>
            <sz val="9"/>
            <color indexed="81"/>
            <rFont val="Tahoma"/>
            <family val="2"/>
          </rPr>
          <t xml:space="preserve">
RS Means item number 072216102140</t>
        </r>
      </text>
    </comment>
    <comment ref="U16" authorId="0" shapeId="0">
      <text>
        <r>
          <rPr>
            <b/>
            <sz val="9"/>
            <color indexed="81"/>
            <rFont val="Tahoma"/>
            <family val="2"/>
          </rPr>
          <t>Beaulieu, Shelley (CliftonPark,NY-US):</t>
        </r>
        <r>
          <rPr>
            <sz val="9"/>
            <color indexed="81"/>
            <rFont val="Tahoma"/>
            <family val="2"/>
          </rPr>
          <t xml:space="preserve">
RS Means item number 072116103000</t>
        </r>
      </text>
    </comment>
    <comment ref="U17" authorId="0" shapeId="0">
      <text>
        <r>
          <rPr>
            <b/>
            <sz val="9"/>
            <color indexed="81"/>
            <rFont val="Tahoma"/>
            <family val="2"/>
          </rPr>
          <t>Beaulieu, Shelley (CliftonPark,NY-US):</t>
        </r>
        <r>
          <rPr>
            <sz val="9"/>
            <color indexed="81"/>
            <rFont val="Tahoma"/>
            <family val="2"/>
          </rPr>
          <t xml:space="preserve">
RS Means item number 072126101500</t>
        </r>
      </text>
    </comment>
    <comment ref="U18" authorId="0" shapeId="0">
      <text>
        <r>
          <rPr>
            <b/>
            <sz val="9"/>
            <color indexed="81"/>
            <rFont val="Tahoma"/>
            <family val="2"/>
          </rPr>
          <t>Beaulieu, Shelley (CliftonPark,NY-US):</t>
        </r>
        <r>
          <rPr>
            <sz val="9"/>
            <color indexed="81"/>
            <rFont val="Tahoma"/>
            <family val="2"/>
          </rPr>
          <t xml:space="preserve">
Sources located on the cells to the right.</t>
        </r>
      </text>
    </comment>
    <comment ref="V18" authorId="0" shapeId="0">
      <text>
        <r>
          <rPr>
            <b/>
            <sz val="9"/>
            <color indexed="81"/>
            <rFont val="Tahoma"/>
            <family val="2"/>
          </rPr>
          <t>Beaulieu, Shelley (CliftonPark,NY-US):</t>
        </r>
        <r>
          <rPr>
            <sz val="9"/>
            <color indexed="81"/>
            <rFont val="Tahoma"/>
            <family val="2"/>
          </rPr>
          <t xml:space="preserve">
Average of RS Means items 072113101940 and 072113101960</t>
        </r>
      </text>
    </comment>
    <comment ref="W18" authorId="0" shapeId="0">
      <text>
        <r>
          <rPr>
            <b/>
            <sz val="9"/>
            <color indexed="81"/>
            <rFont val="Tahoma"/>
            <family val="2"/>
          </rPr>
          <t>Beaulieu, Shelley (CliftonPark,NY-US):</t>
        </r>
        <r>
          <rPr>
            <sz val="9"/>
            <color indexed="81"/>
            <rFont val="Tahoma"/>
            <family val="2"/>
          </rPr>
          <t xml:space="preserve">
RS Means item 072113101960</t>
        </r>
      </text>
    </comment>
    <comment ref="X18" authorId="0" shapeId="0">
      <text>
        <r>
          <rPr>
            <b/>
            <sz val="9"/>
            <color indexed="81"/>
            <rFont val="Tahoma"/>
            <family val="2"/>
          </rPr>
          <t xml:space="preserve">Beaulieu, Shelley (CliftonPark,NY-USA) </t>
        </r>
        <r>
          <rPr>
            <sz val="9"/>
            <color indexed="81"/>
            <rFont val="Tahoma"/>
            <family val="2"/>
          </rPr>
          <t xml:space="preserve">
Average of RS Means items 072113101660 and 072113101670</t>
        </r>
      </text>
    </comment>
    <comment ref="U19" authorId="0" shapeId="0">
      <text>
        <r>
          <rPr>
            <b/>
            <sz val="9"/>
            <color indexed="81"/>
            <rFont val="Tahoma"/>
            <family val="2"/>
          </rPr>
          <t>Beaulieu, Shelley (CliftonPark,NY-US):</t>
        </r>
        <r>
          <rPr>
            <sz val="9"/>
            <color indexed="81"/>
            <rFont val="Tahoma"/>
            <family val="2"/>
          </rPr>
          <t xml:space="preserve">
RS Means item 072113101650</t>
        </r>
      </text>
    </comment>
    <comment ref="U20" authorId="0" shapeId="0">
      <text>
        <r>
          <rPr>
            <b/>
            <sz val="9"/>
            <color indexed="81"/>
            <rFont val="Tahoma"/>
            <family val="2"/>
          </rPr>
          <t>Beaulieu, Shelley (CliftonPark,NY-US):</t>
        </r>
        <r>
          <rPr>
            <sz val="9"/>
            <color indexed="81"/>
            <rFont val="Tahoma"/>
            <family val="2"/>
          </rPr>
          <t xml:space="preserve">
RS Means item 072113101650</t>
        </r>
      </text>
    </comment>
    <comment ref="U21" authorId="0" shapeId="0">
      <text>
        <r>
          <rPr>
            <b/>
            <sz val="9"/>
            <color indexed="81"/>
            <rFont val="Tahoma"/>
            <family val="2"/>
          </rPr>
          <t>Beaulieu, Shelley (CliftonPark,NY-US):</t>
        </r>
        <r>
          <rPr>
            <sz val="9"/>
            <color indexed="81"/>
            <rFont val="Tahoma"/>
            <family val="2"/>
          </rPr>
          <t xml:space="preserve">
Sources located on the cells to the right.</t>
        </r>
      </text>
    </comment>
    <comment ref="V21" authorId="0" shapeId="0">
      <text>
        <r>
          <rPr>
            <b/>
            <sz val="9"/>
            <color indexed="81"/>
            <rFont val="Tahoma"/>
            <family val="2"/>
          </rPr>
          <t>Beaulieu, Shelley (CliftonPark,NY-US):</t>
        </r>
        <r>
          <rPr>
            <sz val="9"/>
            <color indexed="81"/>
            <rFont val="Tahoma"/>
            <family val="2"/>
          </rPr>
          <t xml:space="preserve">
RS Means item 072113102120</t>
        </r>
      </text>
    </comment>
    <comment ref="W21" authorId="0" shapeId="0">
      <text>
        <r>
          <rPr>
            <b/>
            <sz val="9"/>
            <color indexed="81"/>
            <rFont val="Tahoma"/>
            <family val="2"/>
          </rPr>
          <t>Beaulieu, Shelley (CliftonPark,NY-US):</t>
        </r>
        <r>
          <rPr>
            <sz val="9"/>
            <color indexed="81"/>
            <rFont val="Tahoma"/>
            <family val="2"/>
          </rPr>
          <t xml:space="preserve">
RS Means item 072113102140</t>
        </r>
      </text>
    </comment>
    <comment ref="X21" authorId="0" shapeId="0">
      <text>
        <r>
          <rPr>
            <b/>
            <sz val="9"/>
            <color indexed="81"/>
            <rFont val="Tahoma"/>
            <family val="2"/>
          </rPr>
          <t>Beaulieu, Shelley (CliftonPark,NY-US):</t>
        </r>
        <r>
          <rPr>
            <sz val="9"/>
            <color indexed="81"/>
            <rFont val="Tahoma"/>
            <family val="2"/>
          </rPr>
          <t xml:space="preserve">
RS Means item 072113102140</t>
        </r>
      </text>
    </comment>
    <comment ref="U22" authorId="0" shapeId="0">
      <text>
        <r>
          <rPr>
            <b/>
            <sz val="9"/>
            <color indexed="81"/>
            <rFont val="Tahoma"/>
            <family val="2"/>
          </rPr>
          <t>Beaulieu, Shelley (CliftonPark,NY-US):</t>
        </r>
        <r>
          <rPr>
            <sz val="9"/>
            <color indexed="81"/>
            <rFont val="Tahoma"/>
            <family val="2"/>
          </rPr>
          <t xml:space="preserve">
RS Means item 072113102140</t>
        </r>
      </text>
    </comment>
    <comment ref="U24" authorId="0" shapeId="0">
      <text>
        <r>
          <rPr>
            <b/>
            <sz val="9"/>
            <color indexed="81"/>
            <rFont val="Tahoma"/>
            <family val="2"/>
          </rPr>
          <t>Beaulieu, Shelley (CliftonPark,NY-US):</t>
        </r>
        <r>
          <rPr>
            <sz val="9"/>
            <color indexed="81"/>
            <rFont val="Tahoma"/>
            <family val="2"/>
          </rPr>
          <t xml:space="preserve">
Sources located on the cells to the right.</t>
        </r>
      </text>
    </comment>
    <comment ref="V24" authorId="0" shapeId="0">
      <text>
        <r>
          <rPr>
            <b/>
            <sz val="9"/>
            <color indexed="81"/>
            <rFont val="Tahoma"/>
            <family val="2"/>
          </rPr>
          <t>Beaulieu, Shelley (CliftonPark,NY-US):</t>
        </r>
        <r>
          <rPr>
            <sz val="9"/>
            <color indexed="81"/>
            <rFont val="Tahoma"/>
            <family val="2"/>
          </rPr>
          <t xml:space="preserve">
RS Means item 072113101650</t>
        </r>
      </text>
    </comment>
    <comment ref="W24" authorId="0" shapeId="0">
      <text>
        <r>
          <rPr>
            <b/>
            <sz val="9"/>
            <color indexed="81"/>
            <rFont val="Tahoma"/>
            <family val="2"/>
          </rPr>
          <t>Beaulieu, Shelley (CliftonPark,NY-US):</t>
        </r>
        <r>
          <rPr>
            <sz val="9"/>
            <color indexed="81"/>
            <rFont val="Tahoma"/>
            <family val="2"/>
          </rPr>
          <t xml:space="preserve">
RS Means item 072113101660</t>
        </r>
      </text>
    </comment>
    <comment ref="X24" authorId="0" shapeId="0">
      <text>
        <r>
          <rPr>
            <b/>
            <sz val="9"/>
            <color indexed="81"/>
            <rFont val="Tahoma"/>
            <family val="2"/>
          </rPr>
          <t>Beaulieu, Shelley (CliftonPark,NY-US):</t>
        </r>
        <r>
          <rPr>
            <sz val="9"/>
            <color indexed="81"/>
            <rFont val="Tahoma"/>
            <family val="2"/>
          </rPr>
          <t xml:space="preserve">
Average of RS Means item 072113101660 and 072113101670 (1/4 towards 2")</t>
        </r>
      </text>
    </comment>
    <comment ref="U25" authorId="0" shapeId="0">
      <text>
        <r>
          <rPr>
            <b/>
            <sz val="9"/>
            <color indexed="81"/>
            <rFont val="Tahoma"/>
            <family val="2"/>
          </rPr>
          <t>Beaulieu, Shelley (CliftonPark,NY-US):</t>
        </r>
        <r>
          <rPr>
            <sz val="9"/>
            <color indexed="81"/>
            <rFont val="Tahoma"/>
            <family val="2"/>
          </rPr>
          <t xml:space="preserve">
Sources located on the cells to the right.</t>
        </r>
      </text>
    </comment>
    <comment ref="V25" authorId="0" shapeId="0">
      <text>
        <r>
          <rPr>
            <b/>
            <sz val="9"/>
            <color indexed="81"/>
            <rFont val="Tahoma"/>
            <family val="2"/>
          </rPr>
          <t>Beaulieu, Shelley (CliftonPark,NY-US):</t>
        </r>
        <r>
          <rPr>
            <sz val="9"/>
            <color indexed="81"/>
            <rFont val="Tahoma"/>
            <family val="2"/>
          </rPr>
          <t xml:space="preserve">
RS Means item 072116103030</t>
        </r>
      </text>
    </comment>
    <comment ref="W25" authorId="0" shapeId="0">
      <text>
        <r>
          <rPr>
            <b/>
            <sz val="9"/>
            <color indexed="81"/>
            <rFont val="Tahoma"/>
            <family val="2"/>
          </rPr>
          <t>Beaulieu, Shelley (CliftonPark,NY-US):</t>
        </r>
        <r>
          <rPr>
            <sz val="9"/>
            <color indexed="81"/>
            <rFont val="Tahoma"/>
            <family val="2"/>
          </rPr>
          <t xml:space="preserve">
RS Means item 072116103030</t>
        </r>
      </text>
    </comment>
    <comment ref="X25" authorId="0" shapeId="0">
      <text>
        <r>
          <rPr>
            <b/>
            <sz val="9"/>
            <color indexed="81"/>
            <rFont val="Tahoma"/>
            <family val="2"/>
          </rPr>
          <t>Beaulieu, Shelley (CliftonPark,NY-US):</t>
        </r>
        <r>
          <rPr>
            <sz val="9"/>
            <color indexed="81"/>
            <rFont val="Tahoma"/>
            <family val="2"/>
          </rPr>
          <t xml:space="preserve">
RS Means item 072116103030 plus RS Means item 072113101650</t>
        </r>
      </text>
    </comment>
    <comment ref="U26" authorId="0" shapeId="0">
      <text>
        <r>
          <rPr>
            <b/>
            <sz val="9"/>
            <color indexed="81"/>
            <rFont val="Tahoma"/>
            <family val="2"/>
          </rPr>
          <t>Beaulieu, Shelley (CliftonPark,NY-US):</t>
        </r>
        <r>
          <rPr>
            <sz val="9"/>
            <color indexed="81"/>
            <rFont val="Tahoma"/>
            <family val="2"/>
          </rPr>
          <t xml:space="preserve">
RS Means item 072113102120</t>
        </r>
      </text>
    </comment>
    <comment ref="U29" authorId="0" shapeId="0">
      <text>
        <r>
          <rPr>
            <b/>
            <sz val="9"/>
            <color indexed="81"/>
            <rFont val="Tahoma"/>
            <family val="2"/>
          </rPr>
          <t>Beaulieu, Shelley (CliftonPark,NY-US):</t>
        </r>
        <r>
          <rPr>
            <sz val="9"/>
            <color indexed="81"/>
            <rFont val="Tahoma"/>
            <family val="2"/>
          </rPr>
          <t xml:space="preserve">
Incremental Cost/SF as per pipeline analysis</t>
        </r>
      </text>
    </comment>
    <comment ref="U31"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U32" authorId="0" shapeId="0">
      <text>
        <r>
          <rPr>
            <b/>
            <sz val="9"/>
            <color indexed="81"/>
            <rFont val="Tahoma"/>
            <family val="2"/>
          </rPr>
          <t>Beaulieu, Shelley (CliftonPark,NY-US):</t>
        </r>
        <r>
          <rPr>
            <sz val="9"/>
            <color indexed="81"/>
            <rFont val="Tahoma"/>
            <family val="2"/>
          </rPr>
          <t xml:space="preserve">
Based on $/sf of RS Means item number 085313300330</t>
        </r>
      </text>
    </comment>
    <comment ref="U33" authorId="0" shapeId="0">
      <text>
        <r>
          <rPr>
            <b/>
            <sz val="9"/>
            <color indexed="81"/>
            <rFont val="Tahoma"/>
            <family val="2"/>
          </rPr>
          <t>Beaulieu, Shelley (CliftonPark,NY-US):</t>
        </r>
        <r>
          <rPr>
            <sz val="9"/>
            <color indexed="81"/>
            <rFont val="Tahoma"/>
            <family val="2"/>
          </rPr>
          <t xml:space="preserve">
Based on $/sf of RS Means item number 085113204700</t>
        </r>
      </text>
    </comment>
    <comment ref="U35" authorId="0" shapeId="0">
      <text>
        <r>
          <rPr>
            <b/>
            <sz val="9"/>
            <color indexed="81"/>
            <rFont val="Tahoma"/>
            <family val="2"/>
          </rPr>
          <t>Beaulieu, Shelley (CliftonPark,NY-US):</t>
        </r>
        <r>
          <rPr>
            <sz val="9"/>
            <color indexed="81"/>
            <rFont val="Tahoma"/>
            <family val="2"/>
          </rPr>
          <t xml:space="preserve">
Based on $/sf of RS Means item number 085113204700</t>
        </r>
      </text>
    </comment>
    <comment ref="U36" authorId="0" shapeId="0">
      <text>
        <r>
          <rPr>
            <b/>
            <sz val="9"/>
            <color indexed="81"/>
            <rFont val="Tahoma"/>
            <family val="2"/>
          </rPr>
          <t>Beaulieu, Shelley (CliftonPark,NY-US):</t>
        </r>
        <r>
          <rPr>
            <sz val="9"/>
            <color indexed="81"/>
            <rFont val="Tahoma"/>
            <family val="2"/>
          </rPr>
          <t xml:space="preserve">
Average incremental cost/CFM per pipeline analysis</t>
        </r>
      </text>
    </comment>
    <comment ref="C37" authorId="0" shapeId="0">
      <text>
        <r>
          <rPr>
            <b/>
            <sz val="9"/>
            <color indexed="81"/>
            <rFont val="Tahoma"/>
            <family val="2"/>
          </rPr>
          <t>Beaulieu, Shelley (CliftonPark,NY-US):</t>
        </r>
        <r>
          <rPr>
            <sz val="9"/>
            <color indexed="81"/>
            <rFont val="Tahoma"/>
            <family val="2"/>
          </rPr>
          <t xml:space="preserve">
For heating systems rated in COP, the Tech Manual AFUE assumptions were used.</t>
        </r>
      </text>
    </comment>
    <comment ref="U38" authorId="3" shapeId="0">
      <text>
        <r>
          <rPr>
            <b/>
            <sz val="9"/>
            <color indexed="81"/>
            <rFont val="Tahoma"/>
            <family val="2"/>
          </rPr>
          <t>Beaulieu, Shelley:</t>
        </r>
        <r>
          <rPr>
            <sz val="9"/>
            <color indexed="81"/>
            <rFont val="Tahoma"/>
            <family val="2"/>
          </rPr>
          <t xml:space="preserve">
Based on average pipeline analysis, updated in 2015.</t>
        </r>
      </text>
    </comment>
    <comment ref="U39" authorId="3" shapeId="0">
      <text>
        <r>
          <rPr>
            <b/>
            <sz val="9"/>
            <color indexed="81"/>
            <rFont val="Tahoma"/>
            <family val="2"/>
          </rPr>
          <t>Beaulieu, Shelley:</t>
        </r>
        <r>
          <rPr>
            <sz val="9"/>
            <color indexed="81"/>
            <rFont val="Tahoma"/>
            <family val="2"/>
          </rPr>
          <t xml:space="preserve">
Based on average pipeline analysis, updated in 2015.</t>
        </r>
      </text>
    </comment>
    <comment ref="U40" authorId="0" shapeId="0">
      <text>
        <r>
          <rPr>
            <b/>
            <sz val="9"/>
            <color indexed="81"/>
            <rFont val="Tahoma"/>
            <family val="2"/>
          </rPr>
          <t>Beaulieu, Shelley (CliftonPark,NY-US):</t>
        </r>
        <r>
          <rPr>
            <sz val="9"/>
            <color indexed="81"/>
            <rFont val="Tahoma"/>
            <family val="2"/>
          </rPr>
          <t xml:space="preserve">
Based on average pipeline analysis, updated in 2015.</t>
        </r>
      </text>
    </comment>
    <comment ref="U41" authorId="3" shapeId="0">
      <text>
        <r>
          <rPr>
            <b/>
            <sz val="9"/>
            <color indexed="81"/>
            <rFont val="Tahoma"/>
            <family val="2"/>
          </rPr>
          <t>Beaulieu, Shelley:</t>
        </r>
        <r>
          <rPr>
            <sz val="9"/>
            <color indexed="81"/>
            <rFont val="Tahoma"/>
            <family val="2"/>
          </rPr>
          <t xml:space="preserve">
Based on average pipeline analysis, updated in 2015.</t>
        </r>
      </text>
    </comment>
    <comment ref="U42" authorId="1" shapeId="0">
      <text>
        <r>
          <rPr>
            <b/>
            <sz val="9"/>
            <color indexed="81"/>
            <rFont val="Tahoma"/>
            <family val="2"/>
          </rPr>
          <t>Sobieniak, Kara (Ithaca,NY-US):</t>
        </r>
        <r>
          <rPr>
            <sz val="9"/>
            <color indexed="81"/>
            <rFont val="Tahoma"/>
            <family val="2"/>
          </rPr>
          <t xml:space="preserve">
Based on average pipeline analysis, updated in 2015.
</t>
        </r>
      </text>
    </comment>
    <comment ref="U43" authorId="3" shapeId="0">
      <text>
        <r>
          <rPr>
            <b/>
            <sz val="9"/>
            <color indexed="81"/>
            <rFont val="Tahoma"/>
            <family val="2"/>
          </rPr>
          <t>Beaulieu, Shelley:</t>
        </r>
        <r>
          <rPr>
            <sz val="9"/>
            <color indexed="81"/>
            <rFont val="Tahoma"/>
            <family val="2"/>
          </rPr>
          <t xml:space="preserve">
Based on average pipeline analysis, updated in 2015.</t>
        </r>
      </text>
    </comment>
    <comment ref="U45" authorId="0" shapeId="0">
      <text>
        <r>
          <rPr>
            <b/>
            <sz val="9"/>
            <color indexed="81"/>
            <rFont val="Tahoma"/>
            <family val="2"/>
          </rPr>
          <t>Beaulieu, Shelley (CliftonPark,NY-US):</t>
        </r>
        <r>
          <rPr>
            <sz val="9"/>
            <color indexed="81"/>
            <rFont val="Tahoma"/>
            <family val="2"/>
          </rPr>
          <t xml:space="preserve">
Based on average pipeline analysis, updated in 2015.</t>
        </r>
      </text>
    </comment>
    <comment ref="U46" authorId="1" shapeId="0">
      <text>
        <r>
          <rPr>
            <b/>
            <sz val="9"/>
            <color indexed="81"/>
            <rFont val="Tahoma"/>
            <family val="2"/>
          </rPr>
          <t>Sobieniak, Kara (Ithaca,NY-US):</t>
        </r>
        <r>
          <rPr>
            <sz val="9"/>
            <color indexed="81"/>
            <rFont val="Tahoma"/>
            <family val="2"/>
          </rPr>
          <t xml:space="preserve">
Based on average pipeline analysis, updated in 2015.</t>
        </r>
      </text>
    </comment>
    <comment ref="U47" authorId="1" shapeId="0">
      <text>
        <r>
          <rPr>
            <b/>
            <sz val="9"/>
            <color indexed="81"/>
            <rFont val="Tahoma"/>
            <family val="2"/>
          </rPr>
          <t>Sobieniak, Kara (Ithaca,NY-US):</t>
        </r>
        <r>
          <rPr>
            <sz val="9"/>
            <color indexed="81"/>
            <rFont val="Tahoma"/>
            <family val="2"/>
          </rPr>
          <t xml:space="preserve">
Based on average pipeline analysis, updated in 2015.</t>
        </r>
      </text>
    </comment>
    <comment ref="U48" authorId="0" shapeId="0">
      <text>
        <r>
          <rPr>
            <b/>
            <sz val="9"/>
            <color indexed="81"/>
            <rFont val="Tahoma"/>
            <family val="2"/>
          </rPr>
          <t>Beaulieu, Shelley (CliftonPark,NY-US):</t>
        </r>
        <r>
          <rPr>
            <sz val="9"/>
            <color indexed="81"/>
            <rFont val="Tahoma"/>
            <family val="2"/>
          </rPr>
          <t xml:space="preserve">
Based on average pipeline analysis, updated in 2015.</t>
        </r>
      </text>
    </comment>
    <comment ref="U49" authorId="0" shapeId="0">
      <text>
        <r>
          <rPr>
            <b/>
            <sz val="9"/>
            <color indexed="81"/>
            <rFont val="Tahoma"/>
            <family val="2"/>
          </rPr>
          <t>Beaulieu, Shelley (CliftonPark,NY-US):</t>
        </r>
        <r>
          <rPr>
            <sz val="9"/>
            <color indexed="81"/>
            <rFont val="Tahoma"/>
            <family val="2"/>
          </rPr>
          <t xml:space="preserve">
Based on average pipeline analysis, update 2015, per ton.
</t>
        </r>
      </text>
    </comment>
    <comment ref="U50" authorId="1" shapeId="0">
      <text>
        <r>
          <rPr>
            <b/>
            <sz val="9"/>
            <color indexed="81"/>
            <rFont val="Tahoma"/>
            <family val="2"/>
          </rPr>
          <t>Sobieniak, Kara (Ithaca,NY-US):</t>
        </r>
        <r>
          <rPr>
            <sz val="9"/>
            <color indexed="81"/>
            <rFont val="Tahoma"/>
            <family val="2"/>
          </rPr>
          <t xml:space="preserve">
Based on average pipeline analysis, updated in 2015.
</t>
        </r>
      </text>
    </comment>
    <comment ref="U51" authorId="1" shapeId="0">
      <text>
        <r>
          <rPr>
            <b/>
            <sz val="9"/>
            <color indexed="81"/>
            <rFont val="Tahoma"/>
            <family val="2"/>
          </rPr>
          <t>Sobieniak, Kara (Ithaca,NY-US):</t>
        </r>
        <r>
          <rPr>
            <sz val="9"/>
            <color indexed="81"/>
            <rFont val="Tahoma"/>
            <family val="2"/>
          </rPr>
          <t xml:space="preserve">
Based on average pipeline analysis, updated in 2015.</t>
        </r>
      </text>
    </comment>
    <comment ref="U52" authorId="3" shapeId="0">
      <text>
        <r>
          <rPr>
            <b/>
            <sz val="9"/>
            <color indexed="81"/>
            <rFont val="Tahoma"/>
            <family val="2"/>
          </rPr>
          <t>Beaulieu, Shelley:</t>
        </r>
        <r>
          <rPr>
            <sz val="9"/>
            <color indexed="81"/>
            <rFont val="Tahoma"/>
            <family val="2"/>
          </rPr>
          <t xml:space="preserve">
Based on average pipeline analysis, updated in 2015.</t>
        </r>
      </text>
    </comment>
    <comment ref="U53" authorId="1" shapeId="0">
      <text>
        <r>
          <rPr>
            <b/>
            <sz val="9"/>
            <color indexed="81"/>
            <rFont val="Tahoma"/>
            <family val="2"/>
          </rPr>
          <t>Sobieniak, Kara (Ithaca,NY-US):</t>
        </r>
        <r>
          <rPr>
            <sz val="9"/>
            <color indexed="81"/>
            <rFont val="Tahoma"/>
            <family val="2"/>
          </rPr>
          <t xml:space="preserve">
Based on average pipeline analysis, updated in 2015.</t>
        </r>
      </text>
    </comment>
    <comment ref="U54" authorId="1" shapeId="0">
      <text>
        <r>
          <rPr>
            <b/>
            <sz val="9"/>
            <color indexed="81"/>
            <rFont val="Tahoma"/>
            <family val="2"/>
          </rPr>
          <t>Sobieniak, Kara (Ithaca,NY-US):</t>
        </r>
        <r>
          <rPr>
            <sz val="9"/>
            <color indexed="81"/>
            <rFont val="Tahoma"/>
            <family val="2"/>
          </rPr>
          <t xml:space="preserve">
Based on average pipeline analysis, updated in 2015.</t>
        </r>
      </text>
    </comment>
    <comment ref="U55" authorId="1" shapeId="0">
      <text>
        <r>
          <rPr>
            <b/>
            <sz val="9"/>
            <color indexed="81"/>
            <rFont val="Tahoma"/>
            <family val="2"/>
          </rPr>
          <t>Sobieniak, Kara (Ithaca,NY-US):</t>
        </r>
        <r>
          <rPr>
            <sz val="9"/>
            <color indexed="81"/>
            <rFont val="Tahoma"/>
            <family val="2"/>
          </rPr>
          <t xml:space="preserve">
$/MMBtu per pipeline analysis
</t>
        </r>
      </text>
    </comment>
    <comment ref="U56" authorId="1" shapeId="0">
      <text>
        <r>
          <rPr>
            <b/>
            <sz val="9"/>
            <color indexed="81"/>
            <rFont val="Tahoma"/>
            <family val="2"/>
          </rPr>
          <t>Sobieniak, Kara (Ithaca,NY-US):</t>
        </r>
        <r>
          <rPr>
            <sz val="9"/>
            <color indexed="81"/>
            <rFont val="Tahoma"/>
            <family val="2"/>
          </rPr>
          <t xml:space="preserve">
$/MMBtu as per pipeline analysis
</t>
        </r>
      </text>
    </comment>
    <comment ref="U73" authorId="1" shapeId="0">
      <text>
        <r>
          <rPr>
            <b/>
            <sz val="9"/>
            <color indexed="81"/>
            <rFont val="Tahoma"/>
            <family val="2"/>
          </rPr>
          <t>Sobieniak, Kara (Ithaca,NY-US):</t>
        </r>
        <r>
          <rPr>
            <sz val="9"/>
            <color indexed="81"/>
            <rFont val="Tahoma"/>
            <family val="2"/>
          </rPr>
          <t xml:space="preserve">
Average Incremental Cost per pipeline analysis
</t>
        </r>
      </text>
    </comment>
    <comment ref="U87" authorId="2" shapeId="0">
      <text>
        <r>
          <rPr>
            <b/>
            <sz val="8"/>
            <color indexed="81"/>
            <rFont val="Tahoma"/>
            <family val="2"/>
          </rPr>
          <t>TRC:</t>
        </r>
        <r>
          <rPr>
            <sz val="8"/>
            <color indexed="81"/>
            <rFont val="Tahoma"/>
            <family val="2"/>
          </rPr>
          <t xml:space="preserve">
Per historical pipeline, updated in 2015.
</t>
        </r>
      </text>
    </comment>
    <comment ref="U96" authorId="1" shapeId="0">
      <text>
        <r>
          <rPr>
            <b/>
            <sz val="9"/>
            <color indexed="81"/>
            <rFont val="Tahoma"/>
            <family val="2"/>
          </rPr>
          <t>Sobieniak, Kara (Ithaca,NY-US):</t>
        </r>
        <r>
          <rPr>
            <sz val="9"/>
            <color indexed="81"/>
            <rFont val="Tahoma"/>
            <family val="2"/>
          </rPr>
          <t xml:space="preserve">
Avg. incremental cost as per pipeline analysis, updated in 2015</t>
        </r>
      </text>
    </comment>
    <comment ref="U97" authorId="1" shapeId="0">
      <text>
        <r>
          <rPr>
            <b/>
            <sz val="9"/>
            <color indexed="81"/>
            <rFont val="Tahoma"/>
            <family val="2"/>
          </rPr>
          <t>Sobieniak, Kara (Ithaca,NY-US):</t>
        </r>
        <r>
          <rPr>
            <sz val="9"/>
            <color indexed="81"/>
            <rFont val="Tahoma"/>
            <family val="2"/>
          </rPr>
          <t xml:space="preserve">
Avg. incremental cost as per pipeline analysis, updated in 2015</t>
        </r>
      </text>
    </comment>
    <comment ref="U100" authorId="2" shapeId="0">
      <text>
        <r>
          <rPr>
            <b/>
            <sz val="8"/>
            <color indexed="81"/>
            <rFont val="Tahoma"/>
            <family val="2"/>
          </rPr>
          <t>TRC:</t>
        </r>
        <r>
          <rPr>
            <sz val="8"/>
            <color indexed="81"/>
            <rFont val="Tahoma"/>
            <family val="2"/>
          </rPr>
          <t xml:space="preserve">
Average incremental cost per pipeline analysis, updated to 2015</t>
        </r>
      </text>
    </comment>
    <comment ref="U101" authorId="1" shapeId="0">
      <text>
        <r>
          <rPr>
            <b/>
            <sz val="9"/>
            <color indexed="81"/>
            <rFont val="Tahoma"/>
            <family val="2"/>
          </rPr>
          <t>Sobieniak, Kara (Ithaca,NY-US):</t>
        </r>
        <r>
          <rPr>
            <sz val="9"/>
            <color indexed="81"/>
            <rFont val="Tahoma"/>
            <family val="2"/>
          </rPr>
          <t xml:space="preserve">
Based on average pipeline analysis, update 2015
</t>
        </r>
      </text>
    </comment>
    <comment ref="U103" authorId="0" shapeId="0">
      <text>
        <r>
          <rPr>
            <b/>
            <sz val="9"/>
            <color indexed="81"/>
            <rFont val="Tahoma"/>
            <family val="2"/>
          </rPr>
          <t>Beaulieu, Shelley (CliftonPark,NY-US):</t>
        </r>
        <r>
          <rPr>
            <sz val="9"/>
            <color indexed="81"/>
            <rFont val="Tahoma"/>
            <family val="2"/>
          </rPr>
          <t xml:space="preserve">
Cost per heated square foot, per ENERGY STAR Qualified Homes Savings &amp; Cost Estimate Summary</t>
        </r>
      </text>
    </comment>
  </commentList>
</comments>
</file>

<file path=xl/comments4.xml><?xml version="1.0" encoding="utf-8"?>
<comments xmlns="http://schemas.openxmlformats.org/spreadsheetml/2006/main">
  <authors>
    <author>Beaulieu, Shelley (CliftonPark,NY-US)</author>
    <author>TRC</author>
  </authors>
  <commentList>
    <comment ref="A2" authorId="0" shapeId="0">
      <text>
        <r>
          <rPr>
            <b/>
            <sz val="9"/>
            <color indexed="81"/>
            <rFont val="Tahoma"/>
            <family val="2"/>
          </rPr>
          <t>Beaulieu, Shelley (CliftonPark,NY-US):</t>
        </r>
        <r>
          <rPr>
            <sz val="9"/>
            <color indexed="81"/>
            <rFont val="Tahoma"/>
            <family val="2"/>
          </rPr>
          <t xml:space="preserve">
Cities highlighted in yellow are representative cities from Tech Manual Oct 2010.</t>
        </r>
      </text>
    </comment>
    <comment ref="H2" authorId="0" shapeId="0">
      <text>
        <r>
          <rPr>
            <b/>
            <sz val="9"/>
            <color indexed="81"/>
            <rFont val="Tahoma"/>
            <family val="2"/>
          </rPr>
          <t>Beaulieu, Shelley (CliftonPark,NY-US):</t>
        </r>
        <r>
          <rPr>
            <sz val="9"/>
            <color indexed="81"/>
            <rFont val="Tahoma"/>
            <family val="2"/>
          </rPr>
          <t xml:space="preserve">
Tech Manual Order Jan 25 2011.</t>
        </r>
      </text>
    </comment>
    <comment ref="I2" authorId="0" shapeId="0">
      <text>
        <r>
          <rPr>
            <b/>
            <sz val="9"/>
            <color indexed="81"/>
            <rFont val="Tahoma"/>
            <family val="2"/>
          </rPr>
          <t>Beaulieu, Shelley (CliftonPark,NY-US):</t>
        </r>
        <r>
          <rPr>
            <sz val="9"/>
            <color indexed="81"/>
            <rFont val="Tahoma"/>
            <family val="2"/>
          </rPr>
          <t xml:space="preserve">
Tech Manual Oct 2010 pg 431</t>
        </r>
      </text>
    </comment>
    <comment ref="J2" authorId="0" shapeId="0">
      <text>
        <r>
          <rPr>
            <b/>
            <sz val="9"/>
            <color indexed="81"/>
            <rFont val="Tahoma"/>
            <family val="2"/>
          </rPr>
          <t>Beaulieu, Shelley (CliftonPark,NY-US):</t>
        </r>
        <r>
          <rPr>
            <sz val="9"/>
            <color indexed="81"/>
            <rFont val="Tahoma"/>
            <family val="2"/>
          </rPr>
          <t xml:space="preserve">
Tech Manual Oct 2010, Tmains, page 95</t>
        </r>
      </text>
    </comment>
    <comment ref="L2" authorId="0" shapeId="0">
      <text>
        <r>
          <rPr>
            <b/>
            <sz val="9"/>
            <color indexed="81"/>
            <rFont val="Tahoma"/>
            <family val="2"/>
          </rPr>
          <t>Beaulieu, Shelley (CliftonPark,NY-US):</t>
        </r>
        <r>
          <rPr>
            <sz val="9"/>
            <color indexed="81"/>
            <rFont val="Tahoma"/>
            <family val="2"/>
          </rPr>
          <t xml:space="preserve">
Tech Manual Oct 2010 pg 290</t>
        </r>
      </text>
    </comment>
    <comment ref="M2" authorId="0" shapeId="0">
      <text>
        <r>
          <rPr>
            <b/>
            <sz val="9"/>
            <color indexed="81"/>
            <rFont val="Tahoma"/>
            <family val="2"/>
          </rPr>
          <t>Beaulieu, Shelley (CliftonPark,NY-US):</t>
        </r>
        <r>
          <rPr>
            <sz val="9"/>
            <color indexed="81"/>
            <rFont val="Tahoma"/>
            <family val="2"/>
          </rPr>
          <t xml:space="preserve">
Tech Manual Oct 2010 pg 290</t>
        </r>
      </text>
    </comment>
    <comment ref="N2" authorId="0" shapeId="0">
      <text>
        <r>
          <rPr>
            <b/>
            <sz val="9"/>
            <color indexed="81"/>
            <rFont val="Tahoma"/>
            <family val="2"/>
          </rPr>
          <t>Beaulieu, Shelley (CliftonPark,NY-US):</t>
        </r>
        <r>
          <rPr>
            <sz val="9"/>
            <color indexed="81"/>
            <rFont val="Tahoma"/>
            <family val="2"/>
          </rPr>
          <t xml:space="preserve">
Tech Manual Oct 2010 pg 290</t>
        </r>
      </text>
    </comment>
    <comment ref="P2" authorId="0" shapeId="0">
      <text>
        <r>
          <rPr>
            <b/>
            <sz val="9"/>
            <color indexed="81"/>
            <rFont val="Tahoma"/>
            <family val="2"/>
          </rPr>
          <t>Beaulieu, Shelley (CliftonPark,NY-US):</t>
        </r>
        <r>
          <rPr>
            <sz val="9"/>
            <color indexed="81"/>
            <rFont val="Tahoma"/>
            <family val="2"/>
          </rPr>
          <t xml:space="preserve">
Tech Manual Oct 2010 Appx J, Other category, pg 456.</t>
        </r>
      </text>
    </comment>
    <comment ref="T2" authorId="0" shapeId="0">
      <text>
        <r>
          <rPr>
            <b/>
            <sz val="9"/>
            <color indexed="81"/>
            <rFont val="Tahoma"/>
            <family val="2"/>
          </rPr>
          <t>Beaulieu, Shelley (CliftonPark,NY-US):</t>
        </r>
        <r>
          <rPr>
            <sz val="9"/>
            <color indexed="81"/>
            <rFont val="Tahoma"/>
            <family val="2"/>
          </rPr>
          <t xml:space="preserve">
Used values from R-19 to R-30 from tables starting on page 380 of Oct 2010 Tech Manual</t>
        </r>
      </text>
    </comment>
    <comment ref="W2" authorId="0" shapeId="0">
      <text>
        <r>
          <rPr>
            <b/>
            <sz val="9"/>
            <color indexed="81"/>
            <rFont val="Tahoma"/>
            <family val="2"/>
          </rPr>
          <t>Beaulieu, Shelley (CliftonPark,NY-US):</t>
        </r>
        <r>
          <rPr>
            <sz val="9"/>
            <color indexed="81"/>
            <rFont val="Tahoma"/>
            <family val="2"/>
          </rPr>
          <t xml:space="preserve">
Used values from R-19 to R-30 from tables starting on page 380 of Oct 2010 Tech Manual</t>
        </r>
      </text>
    </comment>
    <comment ref="Z2" authorId="0" shapeId="0">
      <text>
        <r>
          <rPr>
            <b/>
            <sz val="9"/>
            <color indexed="81"/>
            <rFont val="Tahoma"/>
            <family val="2"/>
          </rPr>
          <t>Beaulieu, Shelley (CliftonPark,NY-US):</t>
        </r>
        <r>
          <rPr>
            <sz val="9"/>
            <color indexed="81"/>
            <rFont val="Tahoma"/>
            <family val="2"/>
          </rPr>
          <t xml:space="preserve">
Used values from R-38 to R-49 from tables starting on page 380 of Oct 2010 Tech Manual</t>
        </r>
      </text>
    </comment>
    <comment ref="AC2" authorId="0" shapeId="0">
      <text>
        <r>
          <rPr>
            <b/>
            <sz val="9"/>
            <color indexed="81"/>
            <rFont val="Tahoma"/>
            <family val="2"/>
          </rPr>
          <t>Beaulieu, Shelley (CliftonPark,NY-US):</t>
        </r>
        <r>
          <rPr>
            <sz val="9"/>
            <color indexed="81"/>
            <rFont val="Tahoma"/>
            <family val="2"/>
          </rPr>
          <t xml:space="preserve">
Used values from R-11 to R-13 from tables starting on page 380 of Oct 2010 Tech Manual</t>
        </r>
      </text>
    </comment>
    <comment ref="AF2" authorId="0" shapeId="0">
      <text>
        <r>
          <rPr>
            <b/>
            <sz val="9"/>
            <color indexed="81"/>
            <rFont val="Tahoma"/>
            <family val="2"/>
          </rPr>
          <t>Beaulieu, Shelley (CliftonPark,NY-US):</t>
        </r>
        <r>
          <rPr>
            <sz val="9"/>
            <color indexed="81"/>
            <rFont val="Tahoma"/>
            <family val="2"/>
          </rPr>
          <t xml:space="preserve">
Used values from interpolated value between R-13 and R-17 to R-19 from tables starting on page 380 of Oct 2010 Tech Manual</t>
        </r>
      </text>
    </comment>
    <comment ref="AI2" authorId="0" shapeId="0">
      <text>
        <r>
          <rPr>
            <b/>
            <sz val="9"/>
            <color indexed="81"/>
            <rFont val="Tahoma"/>
            <family val="2"/>
          </rPr>
          <t>Beaulieu, Shelley (CliftonPark,NY-US):</t>
        </r>
        <r>
          <rPr>
            <sz val="9"/>
            <color indexed="81"/>
            <rFont val="Tahoma"/>
            <family val="2"/>
          </rPr>
          <t xml:space="preserve">
Used values from R-11 to R-19 from tables starting on page 380 of Oct 2010 Tech Manual</t>
        </r>
      </text>
    </comment>
    <comment ref="AL2" authorId="0" shapeId="0">
      <text>
        <r>
          <rPr>
            <b/>
            <sz val="9"/>
            <color indexed="81"/>
            <rFont val="Tahoma"/>
            <family val="2"/>
          </rPr>
          <t>Beaulieu, Shelley (CliftonPark,NY-US):</t>
        </r>
        <r>
          <rPr>
            <sz val="9"/>
            <color indexed="81"/>
            <rFont val="Tahoma"/>
            <family val="2"/>
          </rPr>
          <t xml:space="preserve">
Used values interpolated between R-13 and R-17 to R-21 from tables starting on page 380 of Oct 2010 Tech Manual</t>
        </r>
      </text>
    </comment>
    <comment ref="AO2" authorId="0" shapeId="0">
      <text>
        <r>
          <rPr>
            <b/>
            <sz val="9"/>
            <color indexed="81"/>
            <rFont val="Tahoma"/>
            <family val="2"/>
          </rPr>
          <t>Beaulieu, Shelley (CliftonPark,NY-US):</t>
        </r>
        <r>
          <rPr>
            <sz val="9"/>
            <color indexed="81"/>
            <rFont val="Tahoma"/>
            <family val="2"/>
          </rPr>
          <t xml:space="preserve">
From Tech Manual October 2010, used Multifamily Low-Rise values, as High-Rise is not represented.  Used code as baseline, but doubled, as the code reflects reduction 0.05 in U-value, but this requirement is reduction of 0.10 in U-value.  Used AC Gas heat.</t>
        </r>
      </text>
    </comment>
    <comment ref="AR2" authorId="1" shapeId="0">
      <text>
        <r>
          <rPr>
            <b/>
            <sz val="8"/>
            <color indexed="81"/>
            <rFont val="Tahoma"/>
            <family val="2"/>
          </rPr>
          <t>TRC:</t>
        </r>
        <r>
          <rPr>
            <sz val="8"/>
            <color indexed="81"/>
            <rFont val="Tahoma"/>
            <family val="2"/>
          </rPr>
          <t xml:space="preserve">
Appendix K (MF Values weren't provided for kWh/ton so similar building type was chosen until that information because available)</t>
        </r>
      </text>
    </comment>
    <comment ref="AS2" authorId="1" shapeId="0">
      <text>
        <r>
          <rPr>
            <b/>
            <sz val="8"/>
            <color indexed="81"/>
            <rFont val="Tahoma"/>
            <family val="2"/>
          </rPr>
          <t>TRC:</t>
        </r>
        <r>
          <rPr>
            <sz val="8"/>
            <color indexed="81"/>
            <rFont val="Tahoma"/>
            <family val="2"/>
          </rPr>
          <t xml:space="preserve">
kW/ton values were provided in Appendix K of the the tech manual (pg 462)</t>
        </r>
      </text>
    </comment>
    <comment ref="AT2" authorId="0" shapeId="0">
      <text>
        <r>
          <rPr>
            <b/>
            <sz val="9"/>
            <color indexed="81"/>
            <rFont val="Tahoma"/>
            <family val="2"/>
          </rPr>
          <t>Beaulieu, Shelley (CliftonPark,NY-US):</t>
        </r>
        <r>
          <rPr>
            <sz val="9"/>
            <color indexed="81"/>
            <rFont val="Tahoma"/>
            <family val="2"/>
          </rPr>
          <t xml:space="preserve">
Based on Q1 2012 data in RS Means CostWorks database.</t>
        </r>
      </text>
    </comment>
    <comment ref="AU2" authorId="0" shapeId="0">
      <text>
        <r>
          <rPr>
            <b/>
            <sz val="9"/>
            <color indexed="81"/>
            <rFont val="Tahoma"/>
            <family val="2"/>
          </rPr>
          <t>Beaulieu, Shelley (CliftonPark,NY-US):</t>
        </r>
        <r>
          <rPr>
            <sz val="9"/>
            <color indexed="81"/>
            <rFont val="Tahoma"/>
            <family val="2"/>
          </rPr>
          <t xml:space="preserve">
Based on geography and climate zones, when appropriate</t>
        </r>
      </text>
    </comment>
    <comment ref="Q3" authorId="0" shapeId="0">
      <text>
        <r>
          <rPr>
            <b/>
            <sz val="9"/>
            <color indexed="81"/>
            <rFont val="Tahoma"/>
            <family val="2"/>
          </rPr>
          <t>Beaulieu, Shelley (CliftonPark,NY-US):</t>
        </r>
        <r>
          <rPr>
            <sz val="9"/>
            <color indexed="81"/>
            <rFont val="Tahoma"/>
            <family val="2"/>
          </rPr>
          <t xml:space="preserve">
Tech Manual Oct 2010 pg 395</t>
        </r>
      </text>
    </comment>
    <comment ref="R3" authorId="0" shapeId="0">
      <text>
        <r>
          <rPr>
            <b/>
            <sz val="9"/>
            <color indexed="81"/>
            <rFont val="Tahoma"/>
            <family val="2"/>
          </rPr>
          <t>Beaulieu, Shelley (CliftonPark,NY-US):</t>
        </r>
        <r>
          <rPr>
            <sz val="9"/>
            <color indexed="81"/>
            <rFont val="Tahoma"/>
            <family val="2"/>
          </rPr>
          <t xml:space="preserve">
Tech Manual Oct 2010 pg 395</t>
        </r>
      </text>
    </comment>
    <comment ref="S3" authorId="0" shapeId="0">
      <text>
        <r>
          <rPr>
            <b/>
            <sz val="9"/>
            <color indexed="81"/>
            <rFont val="Tahoma"/>
            <family val="2"/>
          </rPr>
          <t>Beaulieu, Shelley (CliftonPark,NY-US):</t>
        </r>
        <r>
          <rPr>
            <sz val="9"/>
            <color indexed="81"/>
            <rFont val="Tahoma"/>
            <family val="2"/>
          </rPr>
          <t xml:space="preserve">
Tech Manual Oct 2010 pg 395</t>
        </r>
      </text>
    </comment>
    <comment ref="AT48" authorId="0" shapeId="0">
      <text>
        <r>
          <rPr>
            <b/>
            <sz val="9"/>
            <color indexed="81"/>
            <rFont val="Tahoma"/>
            <family val="2"/>
          </rPr>
          <t>Beaulieu, Shelley (CliftonPark,NY-US):</t>
        </r>
        <r>
          <rPr>
            <sz val="9"/>
            <color indexed="81"/>
            <rFont val="Tahoma"/>
            <family val="2"/>
          </rPr>
          <t xml:space="preserve">
Plattsburg is the closest city in the RS Means City Cost Indicator.</t>
        </r>
      </text>
    </comment>
  </commentList>
</comments>
</file>

<file path=xl/comments5.xml><?xml version="1.0" encoding="utf-8"?>
<comments xmlns="http://schemas.openxmlformats.org/spreadsheetml/2006/main">
  <authors>
    <author>Beaulieu, Shelley (CliftonPark,NY-US)</author>
  </authors>
  <commentList>
    <comment ref="B29" authorId="0" shapeId="0">
      <text>
        <r>
          <rPr>
            <b/>
            <sz val="9"/>
            <color indexed="81"/>
            <rFont val="Tahoma"/>
            <family val="2"/>
          </rPr>
          <t>Beaulieu, Shelley (CliftonPark,NY-US):</t>
        </r>
        <r>
          <rPr>
            <sz val="9"/>
            <color indexed="81"/>
            <rFont val="Tahoma"/>
            <family val="2"/>
          </rPr>
          <t xml:space="preserve">
Per Tech Manual Oct 2010 pg 124, a window must have a U-value of less than 0.57 to be considered for incentives.</t>
        </r>
      </text>
    </comment>
    <comment ref="C82" authorId="0" shapeId="0">
      <text>
        <r>
          <rPr>
            <b/>
            <sz val="9"/>
            <color indexed="81"/>
            <rFont val="Tahoma"/>
            <family val="2"/>
          </rPr>
          <t>Beaulieu, Shelley (CliftonPark,NY-US):</t>
        </r>
        <r>
          <rPr>
            <sz val="9"/>
            <color indexed="81"/>
            <rFont val="Tahoma"/>
            <family val="2"/>
          </rPr>
          <t xml:space="preserve">
kWh/hp value from Tech Manual Oct 2010, Appx K, page 461 for multifamily.</t>
        </r>
      </text>
    </comment>
    <comment ref="P82" authorId="0" shapeId="0">
      <text>
        <r>
          <rPr>
            <b/>
            <sz val="9"/>
            <color indexed="81"/>
            <rFont val="Tahoma"/>
            <family val="2"/>
          </rPr>
          <t>Beaulieu, Shelley (CliftonPark,NY-US):</t>
        </r>
        <r>
          <rPr>
            <sz val="9"/>
            <color indexed="81"/>
            <rFont val="Tahoma"/>
            <family val="2"/>
          </rPr>
          <t xml:space="preserve">
kW/hp value from Tech Manual Oct 2010, Appx K, page 462 for multifamily.</t>
        </r>
      </text>
    </comment>
  </commentList>
</comments>
</file>

<file path=xl/comments6.xml><?xml version="1.0" encoding="utf-8"?>
<comments xmlns="http://schemas.openxmlformats.org/spreadsheetml/2006/main">
  <authors>
    <author>gvijayakumar</author>
    <author>Gayathri Vijayakumar</author>
    <author>Yakir Lamdan</author>
  </authors>
  <commentList>
    <comment ref="C10" authorId="0" shapeId="0">
      <text>
        <r>
          <rPr>
            <sz val="9"/>
            <color indexed="81"/>
            <rFont val="Tahoma"/>
            <family val="2"/>
          </rPr>
          <t xml:space="preserve">List count, manufacturer and model number, must be ENERGY STAR qualified </t>
        </r>
      </text>
    </comment>
    <comment ref="C11" authorId="0" shapeId="0">
      <text>
        <r>
          <rPr>
            <sz val="9"/>
            <color indexed="81"/>
            <rFont val="Tahoma"/>
            <family val="2"/>
          </rPr>
          <t xml:space="preserve">List count, manufacturer and model number, must be ENERGY STAR qualified </t>
        </r>
      </text>
    </comment>
    <comment ref="C12" authorId="0" shapeId="0">
      <text>
        <r>
          <rPr>
            <sz val="9"/>
            <color indexed="81"/>
            <rFont val="Tahoma"/>
            <family val="2"/>
          </rPr>
          <t xml:space="preserve">List count, location, manufacturer and model number, must be ENERGY STAR qualified </t>
        </r>
      </text>
    </comment>
    <comment ref="C17" authorId="0" shapeId="0">
      <text>
        <r>
          <rPr>
            <sz val="9"/>
            <color indexed="81"/>
            <rFont val="Tahoma"/>
            <family val="2"/>
          </rPr>
          <t>Provide Proposed DHW system type, efficiency, capacity, and fuel; include number, efficiency and HP of pumps, and whether VFD is specified in the MOTOR section below.
Ex: Dedicated natural gas condensing DHW boiler (92% Et, 500,000 BTUH)</t>
        </r>
      </text>
    </comment>
    <comment ref="B19" authorId="0" shapeId="0">
      <text>
        <r>
          <rPr>
            <sz val="9"/>
            <color indexed="81"/>
            <rFont val="Tahoma"/>
            <family val="2"/>
          </rPr>
          <t>For shower stalls with multiple showerheads, the gallon per minute applies to the entire stall.</t>
        </r>
      </text>
    </comment>
    <comment ref="C19" authorId="0" shapeId="0">
      <text>
        <r>
          <rPr>
            <sz val="9"/>
            <color indexed="81"/>
            <rFont val="Tahoma"/>
            <family val="2"/>
          </rPr>
          <t>List flow rates for all plumbing fixtures and WaterSense labeling if applicable.
Proposed Design cannot exceed 2.0 gpm for kitchen faucets or lavatory faucets. Toilets and showerheads must be WaterSense labeled
If following the Prescriptive Path, Proposed Design cannot exceed 1.75 gpm in shower stalls and lavatory faucets and/or aerators must be Water Sense labeled.</t>
        </r>
      </text>
    </comment>
    <comment ref="C21" authorId="0" shapeId="0">
      <text>
        <r>
          <rPr>
            <sz val="9"/>
            <color indexed="81"/>
            <rFont val="Tahoma"/>
            <family val="2"/>
          </rPr>
          <t>Provide complete assembly details, including depth, insulation type, and calculate overall assembly U-value, using ASHRAE Appendix A.</t>
        </r>
      </text>
    </comment>
    <comment ref="C22" authorId="0" shapeId="0">
      <text>
        <r>
          <rPr>
            <sz val="9"/>
            <color indexed="81"/>
            <rFont val="Tahoma"/>
            <family val="2"/>
          </rPr>
          <t xml:space="preserve">Provide complete assembly details, including depth, insulation type, and calculate overall assembly U-value, using ASHRAE Appendix A. </t>
        </r>
      </text>
    </comment>
    <comment ref="C23" authorId="0" shapeId="0">
      <text>
        <r>
          <rPr>
            <sz val="9"/>
            <color indexed="81"/>
            <rFont val="Tahoma"/>
            <family val="2"/>
          </rPr>
          <t xml:space="preserve">Provide complete assembly details, including depth, insulation type, and calculate overall assembly U-value, using ASHRAE Appendix A.
</t>
        </r>
      </text>
    </comment>
    <comment ref="C24" authorId="0" shapeId="0">
      <text>
        <r>
          <rPr>
            <sz val="9"/>
            <color indexed="81"/>
            <rFont val="Tahoma"/>
            <family val="2"/>
          </rPr>
          <t>Provide complete assembly details, including depth, insulation type, and calculate overall assembly U-value, using ASHRAE Appendix A.</t>
        </r>
      </text>
    </comment>
    <comment ref="C25" authorId="0" shapeId="0">
      <text>
        <r>
          <rPr>
            <sz val="9"/>
            <color indexed="81"/>
            <rFont val="Tahoma"/>
            <family val="2"/>
          </rPr>
          <t xml:space="preserve">Provide complete assembly details, including depth, insulation type, and calculate overall assembly U-value, using ASHRAE Appendix A. </t>
        </r>
      </text>
    </comment>
    <comment ref="C26" authorId="0" shapeId="0">
      <text>
        <r>
          <rPr>
            <sz val="9"/>
            <color indexed="81"/>
            <rFont val="Tahoma"/>
            <family val="2"/>
          </rPr>
          <t xml:space="preserve">Provide complete assembly details, including depth, insulation type, and calculate overall assembly U-value, using ASHRAE Appendix A. </t>
        </r>
      </text>
    </comment>
    <comment ref="C27" authorId="0" shapeId="0">
      <text>
        <r>
          <rPr>
            <sz val="9"/>
            <color indexed="81"/>
            <rFont val="Tahoma"/>
            <family val="2"/>
          </rPr>
          <t xml:space="preserve">Provide complete assembly details, including depth, insulation type, and calculate overall assembly U-value, using ASHRAE Appendix A.
</t>
        </r>
      </text>
    </comment>
    <comment ref="A28" authorId="0" shapeId="0">
      <text>
        <r>
          <rPr>
            <sz val="9"/>
            <color indexed="81"/>
            <rFont val="Tahoma"/>
            <family val="2"/>
          </rPr>
          <t>Ex. Radiant floors</t>
        </r>
      </text>
    </comment>
    <comment ref="C28" authorId="0" shapeId="0">
      <text>
        <r>
          <rPr>
            <sz val="9"/>
            <color indexed="81"/>
            <rFont val="Tahoma"/>
            <family val="2"/>
          </rPr>
          <t xml:space="preserve">Provide complete assembly details, including depth, insulation type, and calculate overall assembly U-value, using ASHRAE Appendix A.
</t>
        </r>
      </text>
    </comment>
    <comment ref="C29" authorId="0" shapeId="0">
      <text>
        <r>
          <rPr>
            <sz val="9"/>
            <color indexed="81"/>
            <rFont val="Tahoma"/>
            <family val="2"/>
          </rPr>
          <t xml:space="preserve">Provide details on U-value, SHGC, and frame material.
Obtain NFRC label or performance data from window manufacturer for documentation.
</t>
        </r>
      </text>
    </comment>
    <comment ref="C30" authorId="0" shapeId="0">
      <text>
        <r>
          <rPr>
            <sz val="9"/>
            <color indexed="81"/>
            <rFont val="Tahoma"/>
            <family val="2"/>
          </rPr>
          <t xml:space="preserve">Provide details on U-value.
Obtain NFRC label or performance data from door manufacturer for documentation.
</t>
        </r>
      </text>
    </comment>
    <comment ref="C32" authorId="0" shapeId="0">
      <text>
        <r>
          <rPr>
            <sz val="9"/>
            <color indexed="81"/>
            <rFont val="Tahoma"/>
            <family val="2"/>
          </rPr>
          <t>Provide for ALL Proposed Space Heating systems: type, efficiency, fuel, distribution type, and whether it is ENERGY STAR qualified. If available, provide manufacturer and model.
Ex: ENERGY STAR in-unit natural gas condensing furnaces (92%), forced air distribution by Carrier for apartments and 85% gas-fired rooftop MAU by TRANE.</t>
        </r>
      </text>
    </comment>
    <comment ref="C33" authorId="1" shapeId="0">
      <text>
        <r>
          <rPr>
            <sz val="9"/>
            <color indexed="81"/>
            <rFont val="Tahoma"/>
            <family val="2"/>
          </rPr>
          <t xml:space="preserve">Specify ALL electric resistance heating systems, capacity, power, controls, and location.
Specify any supplemental systems installed for freeze protection.
Ex. Two 3 kW unit heaters in stairwells, only operate when temperature falls below 55F.
</t>
        </r>
      </text>
    </comment>
    <comment ref="C34" authorId="0" shapeId="0">
      <text>
        <r>
          <rPr>
            <sz val="9"/>
            <color indexed="81"/>
            <rFont val="Tahoma"/>
            <family val="2"/>
          </rPr>
          <t>Provide capacities of ALL Proposed Space Heating systems.
Ex. Apartment furnaces: 40,000 BTUH, Corridor/Lobby MAU: 140,000 BTUH</t>
        </r>
      </text>
    </comment>
    <comment ref="C35" authorId="1" shapeId="0">
      <text>
        <r>
          <rPr>
            <sz val="9"/>
            <color indexed="81"/>
            <rFont val="Tahoma"/>
            <family val="2"/>
          </rPr>
          <t>If applicable, provide hot water design supply and return temperatures for Proposed Design.</t>
        </r>
        <r>
          <rPr>
            <sz val="9"/>
            <color indexed="81"/>
            <rFont val="Tahoma"/>
            <family val="2"/>
          </rPr>
          <t xml:space="preserve">
</t>
        </r>
      </text>
    </comment>
    <comment ref="C36" authorId="1" shapeId="0">
      <text>
        <r>
          <rPr>
            <sz val="9"/>
            <color indexed="81"/>
            <rFont val="Tahoma"/>
            <family val="2"/>
          </rPr>
          <t>If applicable, provide outdoor reset conditions for Proposed Design.</t>
        </r>
        <r>
          <rPr>
            <sz val="9"/>
            <color indexed="81"/>
            <rFont val="Tahoma"/>
            <family val="2"/>
          </rPr>
          <t xml:space="preserve">
</t>
        </r>
      </text>
    </comment>
    <comment ref="C38" authorId="2" shapeId="0">
      <text>
        <r>
          <rPr>
            <sz val="9"/>
            <color indexed="81"/>
            <rFont val="Tahoma"/>
            <family val="2"/>
          </rPr>
          <t>List all space conditioning systems in building, including but not limited to lobbies, corridors, apartments, laundry rooms, offices, etc.
Provide system type, efficiencies (EER), and whether it is ENERGY STAR qualified. If available, provide manufacturer and model.
Ex: Apartments cooled with ENERGY STAR 9.5 EER window air conditioners. Lobbies and corridors cooled with non-ENERGY STAR 12 EER make-up air unit, 48,000 BTUH.</t>
        </r>
      </text>
    </comment>
    <comment ref="C39" authorId="1" shapeId="0">
      <text>
        <r>
          <rPr>
            <sz val="9"/>
            <color indexed="81"/>
            <rFont val="Tahoma"/>
            <family val="2"/>
          </rPr>
          <t xml:space="preserve">Provide capacity for all cooling systems. 
Provide load sizing calculations that reflect the design; installed capacity cannot exceed design by more than 20%, except when smaller sizes are not available. Outdoor temperatures shall be the 99.0% design temperatures as published by the ASHRAE Handbook of Fundamentals. Indoor temperatures shall be 75°F for cooling. </t>
        </r>
        <r>
          <rPr>
            <sz val="9"/>
            <color indexed="81"/>
            <rFont val="Tahoma"/>
            <family val="2"/>
          </rPr>
          <t xml:space="preserve">
</t>
        </r>
      </text>
    </comment>
    <comment ref="C40" authorId="1" shapeId="0">
      <text>
        <r>
          <rPr>
            <sz val="9"/>
            <color indexed="81"/>
            <rFont val="Tahoma"/>
            <family val="2"/>
          </rPr>
          <t>Indicate any cooling system control parameters that will be needed in the Proposed design model.
Ex. Cooling tower fan motor is equipped with VFD controlled by temperature sensor on condenser water supply pipe.</t>
        </r>
        <r>
          <rPr>
            <sz val="9"/>
            <color indexed="81"/>
            <rFont val="Tahoma"/>
            <family val="2"/>
          </rPr>
          <t xml:space="preserve">
</t>
        </r>
      </text>
    </comment>
    <comment ref="C42" authorId="0" shapeId="0">
      <text>
        <r>
          <rPr>
            <sz val="9"/>
            <color indexed="81"/>
            <rFont val="Tahoma"/>
            <family val="2"/>
          </rPr>
          <t>Indicate which spaces will have occupancy or bi-level controls.
All non-24/7 spaces must have occupancy sensors or bi-level controls (ex. laundry rooms and janitor closets).
Model a 25% power adjustment reduction in corridors for installing sensors.
Model a 35% power adjustment reduction in stairwells for installing sensors.</t>
        </r>
        <r>
          <rPr>
            <sz val="9"/>
            <color indexed="81"/>
            <rFont val="Tahoma"/>
            <family val="2"/>
          </rPr>
          <t xml:space="preserve">
</t>
        </r>
      </text>
    </comment>
    <comment ref="C47" authorId="0" shapeId="0">
      <text>
        <r>
          <rPr>
            <sz val="9"/>
            <color indexed="81"/>
            <rFont val="Tahoma"/>
            <family val="2"/>
          </rPr>
          <t xml:space="preserve">Use the Performance Path calculator to calculate the overall weighted lighting power density, after determining the amount of specified and receptacle lighting within apartments.
</t>
        </r>
      </text>
    </comment>
    <comment ref="C49" authorId="0" shapeId="0">
      <text>
        <r>
          <rPr>
            <sz val="9"/>
            <color indexed="81"/>
            <rFont val="Tahoma"/>
            <family val="2"/>
          </rPr>
          <t xml:space="preserve">Must specify NEMA Premium motors or VFD. Both are required when following the Prescriptive Path.
Provide Proposed Space Heating system motor details; include number, efficiency and HP of any pumps or fans, and whether VFD is specified.
Ex: Two 3HP, NEMA Premium circulating pump motors, 93% efficient with VFD.
</t>
        </r>
      </text>
    </comment>
    <comment ref="C50" authorId="0" shapeId="0">
      <text>
        <r>
          <rPr>
            <sz val="9"/>
            <color indexed="81"/>
            <rFont val="Tahoma"/>
            <family val="2"/>
          </rPr>
          <t xml:space="preserve">Must specify NEMA Premium motors or VFD. Both are required when following the Prescriptive Path.
Provide Proposed Space Heating system motor details; include number, efficiency and HP of any pumps or fans, and whether VFD is specified.
Ex: Two 3HP, NEMA Premium circulating pump motors, 93% efficient with VFD.
</t>
        </r>
      </text>
    </comment>
    <comment ref="C51" authorId="0" shapeId="0">
      <text>
        <r>
          <rPr>
            <sz val="9"/>
            <color indexed="81"/>
            <rFont val="Tahoma"/>
            <family val="2"/>
          </rPr>
          <t xml:space="preserve">Must specify NEMA Premium motors or VFD. Both are required when following the Prescriptive Path.
Provide Proposed Domestic Water Heating system motor details; include number, efficiency and HP of any pumps and whether VFD is specified.
Ex: Two 3HP, NEMA Premium circulating pump motors, 93% efficient.
</t>
        </r>
      </text>
    </comment>
    <comment ref="C53" authorId="0" shapeId="0">
      <text>
        <r>
          <rPr>
            <sz val="9"/>
            <color indexed="81"/>
            <rFont val="Tahoma"/>
            <family val="2"/>
          </rPr>
          <t xml:space="preserve">ASHRAE 62.2-2007 minimum local exhaust requirements: 
Continuous 5ACH/kitchen and 20 CFM/bathroom.
Intermittent 100 CFM/kitchen and 50 CFM/bathroom (model as operating 2 hours/day)
ASHRAE 62.2-2007 whole-house ventilation requirements: 
0.01*Area+7.5*(#BR+1)
</t>
        </r>
        <r>
          <rPr>
            <b/>
            <sz val="9"/>
            <color indexed="81"/>
            <rFont val="Tahoma"/>
            <family val="2"/>
          </rPr>
          <t xml:space="preserve">As-Built model shall reflect ventilation flowrates measured during testing. </t>
        </r>
        <r>
          <rPr>
            <sz val="9"/>
            <color indexed="81"/>
            <rFont val="Tahoma"/>
            <family val="2"/>
          </rPr>
          <t xml:space="preserve">
If following the Prescriptive Path, measured flowrates for fans operating 24/7 to meet local exhaust, cannot exceed 7.5 ACH50/kitchen or 30 CFM/bathroom, unless also being used to provide whole-house ventilation.</t>
        </r>
      </text>
    </comment>
    <comment ref="C54" authorId="0" shapeId="0">
      <text>
        <r>
          <rPr>
            <sz val="9"/>
            <color indexed="81"/>
            <rFont val="Tahoma"/>
            <family val="2"/>
          </rPr>
          <t>Provide total CFM of mechanical ventilation provided in corridors.</t>
        </r>
        <r>
          <rPr>
            <sz val="9"/>
            <color indexed="81"/>
            <rFont val="Tahoma"/>
            <family val="2"/>
          </rPr>
          <t xml:space="preserve">
</t>
        </r>
        <r>
          <rPr>
            <sz val="9"/>
            <color indexed="81"/>
            <rFont val="Tahoma"/>
            <family val="2"/>
          </rPr>
          <t>Confirm with MEP that ventilation meets the minimum requirements of local code and ASHRAE 62.1-2007.</t>
        </r>
      </text>
    </comment>
    <comment ref="C56" authorId="0" shapeId="0">
      <text>
        <r>
          <rPr>
            <sz val="9"/>
            <color indexed="81"/>
            <rFont val="Tahoma"/>
            <family val="2"/>
          </rPr>
          <t xml:space="preserve">If taking the duct-sealing credit, assume 5 CFM per floor per shaft in the Proposed, but replace with tested leakage in AS-BUILT model. 
</t>
        </r>
      </text>
    </comment>
    <comment ref="C57" authorId="0" shapeId="0">
      <text>
        <r>
          <rPr>
            <sz val="9"/>
            <color indexed="81"/>
            <rFont val="Tahoma"/>
            <family val="2"/>
          </rPr>
          <t>Include count, CFM, HP, and efficiency of each fan.</t>
        </r>
      </text>
    </comment>
    <comment ref="C58" authorId="0" shapeId="0">
      <text>
        <r>
          <rPr>
            <sz val="9"/>
            <color indexed="81"/>
            <rFont val="Tahoma"/>
            <family val="2"/>
          </rPr>
          <t>Specify manufacturer, Model, and CFM/W. Must be ENERGY STAR qualified.</t>
        </r>
      </text>
    </comment>
    <comment ref="C59" authorId="0" shapeId="0">
      <text>
        <r>
          <rPr>
            <sz val="9"/>
            <color indexed="81"/>
            <rFont val="Tahoma"/>
            <family val="2"/>
          </rPr>
          <t>List the number of exhaust fans serving the non-apartment spaces in the building, such as the corridor,  laundry, elevator room or trash compactor room. 
Include CFM, HP, and efficiency of each fan.  Model for 24 hours/day unless installing demand controls.</t>
        </r>
      </text>
    </comment>
    <comment ref="C60" authorId="1" shapeId="0">
      <text>
        <r>
          <rPr>
            <sz val="9"/>
            <color indexed="81"/>
            <rFont val="Tahoma"/>
            <family val="2"/>
          </rPr>
          <t xml:space="preserve">If part of Proposed Design, specify which ventilation systems have demand control and estimated reduction in hours of operation for energy model. </t>
        </r>
        <r>
          <rPr>
            <sz val="9"/>
            <color indexed="81"/>
            <rFont val="Tahoma"/>
            <family val="2"/>
          </rPr>
          <t xml:space="preserve">
</t>
        </r>
      </text>
    </comment>
    <comment ref="C61" authorId="0" shapeId="0">
      <text>
        <r>
          <rPr>
            <sz val="9"/>
            <color indexed="81"/>
            <rFont val="Tahoma"/>
            <family val="2"/>
          </rPr>
          <t xml:space="preserve">Specify Manufacturer, Model, CFM, motor efficiency, HP and/or BHP.
Model the same power as the baseline, unless modeling improved motor efficiency in Proposed. 
Model as operating 24 hours per day unless modeling energy savings associated with reduced operation when CO sensors are installed. Run time of 8.4 hours per day must be assumed for this measure. 
</t>
        </r>
        <r>
          <rPr>
            <sz val="9"/>
            <color indexed="81"/>
            <rFont val="Tahoma"/>
            <family val="2"/>
          </rPr>
          <t xml:space="preserve">
</t>
        </r>
      </text>
    </comment>
  </commentList>
</comments>
</file>

<file path=xl/comments7.xml><?xml version="1.0" encoding="utf-8"?>
<comments xmlns="http://schemas.openxmlformats.org/spreadsheetml/2006/main">
  <authors>
    <author>gvijayakumar</author>
  </authors>
  <commentList>
    <comment ref="D33" authorId="0" shapeId="0">
      <text>
        <r>
          <rPr>
            <b/>
            <sz val="8"/>
            <color indexed="81"/>
            <rFont val="Tahoma"/>
            <family val="2"/>
          </rPr>
          <t>Use maximum rated wattage for the fixture if following ASHRAE explicitly. NYSERDA allows wattage to be calculated using wattage of installed lamps and ballast, regardless of maximum rated wattage of the fixture.</t>
        </r>
        <r>
          <rPr>
            <sz val="8"/>
            <color indexed="81"/>
            <rFont val="Tahoma"/>
            <family val="2"/>
          </rPr>
          <t xml:space="preserve">
</t>
        </r>
      </text>
    </comment>
    <comment ref="E33" authorId="0" shapeId="0">
      <text>
        <r>
          <rPr>
            <b/>
            <sz val="8"/>
            <color indexed="81"/>
            <rFont val="Tahoma"/>
            <family val="2"/>
          </rPr>
          <t xml:space="preserve">Follow Appendix B of Modified Performance Path Requirements
</t>
        </r>
        <r>
          <rPr>
            <sz val="8"/>
            <color indexed="81"/>
            <rFont val="Tahoma"/>
            <family val="2"/>
          </rPr>
          <t xml:space="preserve">
</t>
        </r>
      </text>
    </comment>
  </commentList>
</comments>
</file>

<file path=xl/sharedStrings.xml><?xml version="1.0" encoding="utf-8"?>
<sst xmlns="http://schemas.openxmlformats.org/spreadsheetml/2006/main" count="5703" uniqueCount="2469">
  <si>
    <t xml:space="preserve"> </t>
  </si>
  <si>
    <t>Lighting</t>
  </si>
  <si>
    <t>Chiller - Air Cooled with Condenser</t>
  </si>
  <si>
    <t>Chiller - Air Cooled without Condenser</t>
  </si>
  <si>
    <t>ENERGY STAR</t>
  </si>
  <si>
    <t>Conditioned space</t>
  </si>
  <si>
    <t>Unconditioned space</t>
  </si>
  <si>
    <t>no requirement</t>
  </si>
  <si>
    <t>All</t>
  </si>
  <si>
    <t>Maximum allowable glazing area</t>
  </si>
  <si>
    <t>Nonmetal framing</t>
  </si>
  <si>
    <t>Metal framing (entrance door)</t>
  </si>
  <si>
    <t>Metal framing (all other)</t>
  </si>
  <si>
    <t>Doors - Opaque</t>
  </si>
  <si>
    <r>
      <t xml:space="preserve"> </t>
    </r>
    <r>
      <rPr>
        <b/>
        <sz val="10"/>
        <color indexed="8"/>
        <rFont val="Calibri"/>
        <family val="2"/>
        <scheme val="minor"/>
      </rPr>
      <t xml:space="preserve">Item </t>
    </r>
    <r>
      <rPr>
        <sz val="10"/>
        <rFont val="Calibri"/>
        <family val="2"/>
        <scheme val="minor"/>
      </rPr>
      <t xml:space="preserve"> </t>
    </r>
  </si>
  <si>
    <r>
      <t xml:space="preserve"> </t>
    </r>
    <r>
      <rPr>
        <b/>
        <sz val="10"/>
        <color indexed="8"/>
        <rFont val="Calibri"/>
        <family val="2"/>
        <scheme val="minor"/>
      </rPr>
      <t xml:space="preserve">Component </t>
    </r>
    <r>
      <rPr>
        <sz val="10"/>
        <rFont val="Calibri"/>
        <family val="2"/>
        <scheme val="minor"/>
      </rPr>
      <t xml:space="preserve"> </t>
    </r>
  </si>
  <si>
    <r>
      <rPr>
        <sz val="10"/>
        <color indexed="8"/>
        <rFont val="Calibri"/>
        <family val="2"/>
        <scheme val="minor"/>
      </rPr>
      <t xml:space="preserve">Insulation entirely above deck </t>
    </r>
    <r>
      <rPr>
        <sz val="10"/>
        <rFont val="Calibri"/>
        <family val="2"/>
        <scheme val="minor"/>
      </rPr>
      <t xml:space="preserve"> </t>
    </r>
  </si>
  <si>
    <t>Ducts</t>
  </si>
  <si>
    <t>2.80 COP / 3.05 IPLV</t>
  </si>
  <si>
    <t>4.20 COP / 5.05 IPLV</t>
  </si>
  <si>
    <t>4.90 COP / 5.20 IPLV</t>
  </si>
  <si>
    <t>5.50 COP / 5.60 IPLV</t>
  </si>
  <si>
    <t>5.00 COP / 5.25 IPLV</t>
  </si>
  <si>
    <t>5.55 COP / 5.90 IPLV</t>
  </si>
  <si>
    <t>6.10 COP / 6.40 IPLV</t>
  </si>
  <si>
    <t>0.60 COP</t>
  </si>
  <si>
    <t>1.00 COP / 1.05 IPLV</t>
  </si>
  <si>
    <t>1.00 COP / 1.00 IPLV</t>
  </si>
  <si>
    <t>0.70 COP</t>
  </si>
  <si>
    <r>
      <rPr>
        <b/>
        <sz val="10"/>
        <color indexed="8"/>
        <rFont val="Calibri"/>
        <family val="2"/>
        <scheme val="minor"/>
      </rPr>
      <t xml:space="preserve">Ventilation </t>
    </r>
    <r>
      <rPr>
        <b/>
        <sz val="10"/>
        <rFont val="Calibri"/>
        <family val="2"/>
        <scheme val="minor"/>
      </rPr>
      <t xml:space="preserve"> </t>
    </r>
  </si>
  <si>
    <r>
      <rPr>
        <b/>
        <sz val="10"/>
        <color indexed="8"/>
        <rFont val="Calibri"/>
        <family val="2"/>
        <scheme val="minor"/>
      </rPr>
      <t xml:space="preserve">Envelope </t>
    </r>
    <r>
      <rPr>
        <b/>
        <sz val="10"/>
        <rFont val="Calibri"/>
        <family val="2"/>
        <scheme val="minor"/>
      </rPr>
      <t xml:space="preserve"> </t>
    </r>
  </si>
  <si>
    <r>
      <rPr>
        <sz val="10"/>
        <color indexed="8"/>
        <rFont val="Calibri"/>
        <family val="2"/>
        <scheme val="minor"/>
      </rPr>
      <t xml:space="preserve">Steel-framed </t>
    </r>
    <r>
      <rPr>
        <sz val="10"/>
        <rFont val="Calibri"/>
        <family val="2"/>
        <scheme val="minor"/>
      </rPr>
      <t xml:space="preserve"> </t>
    </r>
  </si>
  <si>
    <t>R-10.0 for 24 in. vertical or horizontal</t>
  </si>
  <si>
    <t>80% Et</t>
  </si>
  <si>
    <t>Heated (radiant)</t>
  </si>
  <si>
    <t>Appliances</t>
  </si>
  <si>
    <t>Roof Insulation</t>
  </si>
  <si>
    <t>Requirement Met</t>
  </si>
  <si>
    <t>Nominal R-value (minimum)</t>
  </si>
  <si>
    <t>Oil or Gas: 85% Et</t>
  </si>
  <si>
    <t>Unheated (non-radiant) and on-grade</t>
  </si>
  <si>
    <t>Not permitted in any space using this approach</t>
  </si>
  <si>
    <t>Electric Resistance space heating</t>
  </si>
  <si>
    <t>Plumbing Fixtures</t>
  </si>
  <si>
    <t>Water heater efficiency: Hot Water Supply Boiler</t>
  </si>
  <si>
    <t>Heating and Cooling</t>
  </si>
  <si>
    <t xml:space="preserve">Occupancy controls  </t>
  </si>
  <si>
    <t>Common Area Lighting</t>
  </si>
  <si>
    <t>Domestic Water Heating</t>
  </si>
  <si>
    <t>Metal framing (curtainwall/storefront)</t>
  </si>
  <si>
    <t>Water heater efficiency: 
In-Unit Electric or Gas Water Heaters (storage or instantaneous)</t>
  </si>
  <si>
    <t>Motors</t>
  </si>
  <si>
    <t>Supply duct Insulation level</t>
  </si>
  <si>
    <t>Envelope</t>
  </si>
  <si>
    <r>
      <rPr>
        <b/>
        <sz val="10"/>
        <color indexed="8"/>
        <rFont val="Calibri"/>
        <family val="2"/>
        <scheme val="minor"/>
      </rPr>
      <t xml:space="preserve">Vertical Glazing (including partially glazed doors) </t>
    </r>
    <r>
      <rPr>
        <b/>
        <sz val="10"/>
        <rFont val="Calibri"/>
        <family val="2"/>
        <scheme val="minor"/>
      </rPr>
      <t xml:space="preserve"> </t>
    </r>
  </si>
  <si>
    <t>Ventilation and Infiltration</t>
  </si>
  <si>
    <t>Garages</t>
  </si>
  <si>
    <t>Garage Ventilation</t>
  </si>
  <si>
    <t>Garage Exhaust Fan Controls</t>
  </si>
  <si>
    <t>Direct-drive; variable speed control</t>
  </si>
  <si>
    <t>Direct-drive; variable speed control; ECM</t>
  </si>
  <si>
    <t>In-Unit Lighting</t>
  </si>
  <si>
    <t>Exterior Lighting</t>
  </si>
  <si>
    <t>Efficacies and location</t>
  </si>
  <si>
    <t>Lighting allowance and controls</t>
  </si>
  <si>
    <r>
      <t>Illumination Levels</t>
    </r>
    <r>
      <rPr>
        <sz val="10"/>
        <color indexed="8"/>
        <rFont val="Calibri"/>
        <family val="2"/>
        <scheme val="minor"/>
      </rPr>
      <t xml:space="preserve"> (footcandles) and maximum allowed lighting power density (LPD), W/ft2</t>
    </r>
  </si>
  <si>
    <t>Metal Building</t>
  </si>
  <si>
    <t>R-38.0</t>
  </si>
  <si>
    <t>Attic and Other</t>
  </si>
  <si>
    <t>R-49.0</t>
  </si>
  <si>
    <t>R-30.0</t>
  </si>
  <si>
    <t>R-2.0</t>
  </si>
  <si>
    <t>R-15.0 for 24 in. vertical or horizontal</t>
  </si>
  <si>
    <t>R-15.0 for 24in. vertical or horizontal</t>
  </si>
  <si>
    <t>R-20.0 for 48 in. vertical or horizontal</t>
  </si>
  <si>
    <t>Maximum
not to exceed ASHRAE 62.1 by more than 50%</t>
  </si>
  <si>
    <t>Minimum
ASHRAE 62.2-2007</t>
  </si>
  <si>
    <t xml:space="preserve">Minimum
ASHRAE 62.1-2007
</t>
  </si>
  <si>
    <t>30% Window-to-Wall Ratio</t>
  </si>
  <si>
    <t>Refrigerators (where provided)</t>
  </si>
  <si>
    <t>Dishwashers (where provided)</t>
  </si>
  <si>
    <t>Above Grade Wall Insulation</t>
  </si>
  <si>
    <t>Below Grade Wall Insulation</t>
  </si>
  <si>
    <t>Floor Insulation</t>
  </si>
  <si>
    <t>Slab Insulation</t>
  </si>
  <si>
    <t>Central Exhaust Duct Leakage (test procedure in T&amp;V)</t>
  </si>
  <si>
    <t>When garage exhaust is required by code, CO sensors must be installed that control exhaust fan operation.</t>
  </si>
  <si>
    <t>Steel-Joist</t>
  </si>
  <si>
    <t>Heating and Cooling Equipment Minimum Efficiencies</t>
  </si>
  <si>
    <t>Water heater efficiency (Gas)</t>
  </si>
  <si>
    <t>Water heater efficiency (Electric)</t>
  </si>
  <si>
    <t>Hot Water Supply Boiler (Oil or Gas)</t>
  </si>
  <si>
    <t>R Value</t>
  </si>
  <si>
    <t>U Value</t>
  </si>
  <si>
    <t>String</t>
  </si>
  <si>
    <t>Above Grade Wall</t>
  </si>
  <si>
    <t>Below Grade Wall</t>
  </si>
  <si>
    <t>Unconditioned</t>
  </si>
  <si>
    <t>Wood-framed and other</t>
  </si>
  <si>
    <t>Vertical Glazing (including partially glazed doors)</t>
  </si>
  <si>
    <t>Energy Star</t>
  </si>
  <si>
    <t>SHGC</t>
  </si>
  <si>
    <t>U-0.85/SHGC-0.40</t>
  </si>
  <si>
    <t>U-0.80/SHGC-0.40</t>
  </si>
  <si>
    <t>IPLV</t>
  </si>
  <si>
    <t>EER/Et</t>
  </si>
  <si>
    <t>COP</t>
  </si>
  <si>
    <t>Control cooling tower to maximize heat pump EER; VFD on cooling tower fans</t>
  </si>
  <si>
    <t>R-6</t>
  </si>
  <si>
    <t>footcandles</t>
  </si>
  <si>
    <t>Common Area Lighting (Interior)</t>
  </si>
  <si>
    <t>Stairs</t>
  </si>
  <si>
    <t>Corridors</t>
  </si>
  <si>
    <t>Lobby</t>
  </si>
  <si>
    <t>Elec/mech</t>
  </si>
  <si>
    <t>Active Storage</t>
  </si>
  <si>
    <t>Inactive Storage</t>
  </si>
  <si>
    <t>Multipurpose</t>
  </si>
  <si>
    <t>Office</t>
  </si>
  <si>
    <t>Uncovered Parking</t>
  </si>
  <si>
    <t>Walkways</t>
  </si>
  <si>
    <t>Building Entrance</t>
  </si>
  <si>
    <t>Building façade (including apartment balconies) (floor)</t>
  </si>
  <si>
    <t>Building façade (including apartment balconies) (wall)</t>
  </si>
  <si>
    <t>Mass Wall</t>
  </si>
  <si>
    <t>Mass Floor</t>
  </si>
  <si>
    <t xml:space="preserve">Insulation entirely above deck  </t>
  </si>
  <si>
    <t xml:space="preserve">Steel-framed  </t>
  </si>
  <si>
    <t>Assembly Max. U/SHGC</t>
  </si>
  <si>
    <t xml:space="preserve">Albany </t>
  </si>
  <si>
    <t xml:space="preserve">Allegany </t>
  </si>
  <si>
    <t xml:space="preserve">Bronx </t>
  </si>
  <si>
    <t xml:space="preserve">Broome </t>
  </si>
  <si>
    <t xml:space="preserve">Cattaraugus </t>
  </si>
  <si>
    <t xml:space="preserve">Cayuga </t>
  </si>
  <si>
    <t xml:space="preserve">Chautauqua </t>
  </si>
  <si>
    <t xml:space="preserve">Chemung </t>
  </si>
  <si>
    <t xml:space="preserve">Chenango </t>
  </si>
  <si>
    <t xml:space="preserve">Clinton </t>
  </si>
  <si>
    <t xml:space="preserve">Columbia </t>
  </si>
  <si>
    <t xml:space="preserve">Cortland </t>
  </si>
  <si>
    <t xml:space="preserve">Delaware </t>
  </si>
  <si>
    <t xml:space="preserve">Dutchess </t>
  </si>
  <si>
    <t xml:space="preserve">Erie </t>
  </si>
  <si>
    <t xml:space="preserve">Essex </t>
  </si>
  <si>
    <t xml:space="preserve">Franklin </t>
  </si>
  <si>
    <t xml:space="preserve">Fulton </t>
  </si>
  <si>
    <t xml:space="preserve">Genessee </t>
  </si>
  <si>
    <t xml:space="preserve">Greene </t>
  </si>
  <si>
    <t xml:space="preserve">Hamilton </t>
  </si>
  <si>
    <t xml:space="preserve">Herkimer </t>
  </si>
  <si>
    <t xml:space="preserve">Jefferson </t>
  </si>
  <si>
    <t xml:space="preserve">Kings </t>
  </si>
  <si>
    <t xml:space="preserve">Lewis </t>
  </si>
  <si>
    <t xml:space="preserve">Livingston </t>
  </si>
  <si>
    <t xml:space="preserve">Madison </t>
  </si>
  <si>
    <t xml:space="preserve">Monroe </t>
  </si>
  <si>
    <t xml:space="preserve">Montgomery </t>
  </si>
  <si>
    <t xml:space="preserve">Nassau </t>
  </si>
  <si>
    <t xml:space="preserve">New York </t>
  </si>
  <si>
    <t xml:space="preserve">Niagara </t>
  </si>
  <si>
    <t xml:space="preserve">Oneida </t>
  </si>
  <si>
    <t xml:space="preserve">Onondaga </t>
  </si>
  <si>
    <t xml:space="preserve">Ontario </t>
  </si>
  <si>
    <t xml:space="preserve">Orange </t>
  </si>
  <si>
    <t xml:space="preserve">Orleans </t>
  </si>
  <si>
    <t xml:space="preserve">Oswego </t>
  </si>
  <si>
    <t xml:space="preserve">Otsego </t>
  </si>
  <si>
    <t xml:space="preserve">Putnam </t>
  </si>
  <si>
    <t xml:space="preserve">Queens </t>
  </si>
  <si>
    <t xml:space="preserve">Rensselaer </t>
  </si>
  <si>
    <t xml:space="preserve">Richmond </t>
  </si>
  <si>
    <t xml:space="preserve">Rockland </t>
  </si>
  <si>
    <t xml:space="preserve">Saratoga </t>
  </si>
  <si>
    <t xml:space="preserve">Schenectady </t>
  </si>
  <si>
    <t xml:space="preserve">Schoharie </t>
  </si>
  <si>
    <t xml:space="preserve">Schuyler </t>
  </si>
  <si>
    <t xml:space="preserve">Seneca </t>
  </si>
  <si>
    <t xml:space="preserve">Steuben </t>
  </si>
  <si>
    <t xml:space="preserve">Suffolk </t>
  </si>
  <si>
    <t xml:space="preserve">Sullivan </t>
  </si>
  <si>
    <t xml:space="preserve">Tioga </t>
  </si>
  <si>
    <t xml:space="preserve">Tompkins </t>
  </si>
  <si>
    <t xml:space="preserve">Ulster </t>
  </si>
  <si>
    <t xml:space="preserve">Warren </t>
  </si>
  <si>
    <t xml:space="preserve">Washington </t>
  </si>
  <si>
    <t xml:space="preserve">Wayne </t>
  </si>
  <si>
    <t xml:space="preserve">Westchester </t>
  </si>
  <si>
    <t xml:space="preserve">Wyoming </t>
  </si>
  <si>
    <t xml:space="preserve">Yates </t>
  </si>
  <si>
    <t xml:space="preserve">COUNTY </t>
  </si>
  <si>
    <t xml:space="preserve">WINTER DESIGN DRY-BULB TEMPERATURE </t>
  </si>
  <si>
    <t xml:space="preserve">SUMMER DESIGN DRY-BULB TEMPERATURE </t>
  </si>
  <si>
    <t xml:space="preserve">COINCIDENT WET-BULB TEMPERATURE </t>
  </si>
  <si>
    <t xml:space="preserve">HEATING DEGREE DAYS </t>
  </si>
  <si>
    <t xml:space="preserve">CLIMATE ZONE </t>
  </si>
  <si>
    <t xml:space="preserve">RESIDENTIAL </t>
  </si>
  <si>
    <t>COMMERCIAL</t>
  </si>
  <si>
    <t>14A</t>
  </si>
  <si>
    <t>11B</t>
  </si>
  <si>
    <t>13A</t>
  </si>
  <si>
    <t>10B</t>
  </si>
  <si>
    <t>12B</t>
  </si>
  <si>
    <t>R-20.0 c.i.</t>
  </si>
  <si>
    <t>R-19.0</t>
  </si>
  <si>
    <t>R-11.4 c.i.</t>
  </si>
  <si>
    <t>R-13.0 + R-7.5 c.i.</t>
  </si>
  <si>
    <t>R-13.0 + R-3.8 c.i.</t>
  </si>
  <si>
    <t>R-7.5 c.i.</t>
  </si>
  <si>
    <t>R-10.4 c.i.</t>
  </si>
  <si>
    <t>U-0.50/SHGC-0.40</t>
  </si>
  <si>
    <t>U-0.55/SHGC-0.40</t>
  </si>
  <si>
    <t>R-12.5 c.i.</t>
  </si>
  <si>
    <t>U-0.45/SHGC-0.40</t>
  </si>
  <si>
    <t>R-13.3 c.i.</t>
  </si>
  <si>
    <t>R-15.2 c.i.</t>
  </si>
  <si>
    <t>R-14.6 c.i.</t>
  </si>
  <si>
    <t>11.0 EER</t>
  </si>
  <si>
    <t>80% Ec</t>
  </si>
  <si>
    <t>SEER</t>
  </si>
  <si>
    <t>13.0 SEER/7.7 HSPF</t>
  </si>
  <si>
    <t>12.0 EER, 4.2 Htg COP</t>
  </si>
  <si>
    <t>3.10 COP / 3.45 IPLV</t>
  </si>
  <si>
    <t>SqFt</t>
  </si>
  <si>
    <t>MMBtu/h</t>
  </si>
  <si>
    <t>Unit</t>
  </si>
  <si>
    <t>MMBtu</t>
  </si>
  <si>
    <t>Each</t>
  </si>
  <si>
    <t>CFM</t>
  </si>
  <si>
    <t>Corridors:0.5, 10 fc</t>
  </si>
  <si>
    <t>Stairs:0.6, 15 fc</t>
  </si>
  <si>
    <t>Non-24 Hours Spaces</t>
  </si>
  <si>
    <t>Clothes Washers - In-unit (where provided)</t>
  </si>
  <si>
    <t>Clothes Washers - Common-area</t>
  </si>
  <si>
    <t>CLH</t>
  </si>
  <si>
    <t>EER</t>
  </si>
  <si>
    <t>HLH</t>
  </si>
  <si>
    <t>Gallons Per Day Calculations</t>
  </si>
  <si>
    <t>Cold Water Temp</t>
  </si>
  <si>
    <t>Water heater eff. Gas</t>
  </si>
  <si>
    <t>Water heater eff. Electric</t>
  </si>
  <si>
    <t>Incremental Cost</t>
  </si>
  <si>
    <t>Totals</t>
  </si>
  <si>
    <t>Year</t>
  </si>
  <si>
    <t>Lifetime</t>
  </si>
  <si>
    <t>TRC</t>
  </si>
  <si>
    <t>Proposed</t>
  </si>
  <si>
    <t>Baseline</t>
  </si>
  <si>
    <t xml:space="preserve">COOLING DEGREE DAYS </t>
  </si>
  <si>
    <t># shafts x # floors</t>
  </si>
  <si>
    <t>Apartment SqFt</t>
  </si>
  <si>
    <t>Non-24 hour space SqFt</t>
  </si>
  <si>
    <t>Tons</t>
  </si>
  <si>
    <r>
      <rPr>
        <b/>
        <sz val="10"/>
        <color indexed="8"/>
        <rFont val="Calibri"/>
        <family val="2"/>
        <scheme val="minor"/>
      </rPr>
      <t xml:space="preserve">Insulation entirely above deck </t>
    </r>
    <r>
      <rPr>
        <b/>
        <sz val="10"/>
        <rFont val="Calibri"/>
        <family val="2"/>
        <scheme val="minor"/>
      </rPr>
      <t xml:space="preserve"> </t>
    </r>
  </si>
  <si>
    <t>Baseline kWh</t>
  </si>
  <si>
    <t>Baseline Therms</t>
  </si>
  <si>
    <t>Proposed kWh</t>
  </si>
  <si>
    <t>Proposed Therms</t>
  </si>
  <si>
    <t>Performance Rating</t>
  </si>
  <si>
    <t xml:space="preserve">Appliances  </t>
  </si>
  <si>
    <t xml:space="preserve">Vertical Glazing (including partially glazed doors)  </t>
  </si>
  <si>
    <t xml:space="preserve">Ventilation  </t>
  </si>
  <si>
    <t>HVAC_d
Refridge</t>
  </si>
  <si>
    <t>HVAC_c
Refridge</t>
  </si>
  <si>
    <t>HVAC_g
Refridge</t>
  </si>
  <si>
    <t>Item</t>
  </si>
  <si>
    <t>Component</t>
  </si>
  <si>
    <t>Partner Fees</t>
  </si>
  <si>
    <t>Total Partner Fees &amp; Costs</t>
  </si>
  <si>
    <t>$</t>
  </si>
  <si>
    <t>Central Hudson</t>
  </si>
  <si>
    <t>Con Ed</t>
  </si>
  <si>
    <t>NYSEG</t>
  </si>
  <si>
    <t>O &amp; R</t>
  </si>
  <si>
    <t>RG &amp; E</t>
  </si>
  <si>
    <t>Utilities</t>
  </si>
  <si>
    <t>Present Value Factor Calculations</t>
  </si>
  <si>
    <t>Discount rate:</t>
  </si>
  <si>
    <t>Avoided Cost Forecast</t>
  </si>
  <si>
    <t>Residual Oil</t>
  </si>
  <si>
    <t>Co2 Adder per KWh</t>
  </si>
  <si>
    <t>Co2 Adder per MMBtu Nat Gas</t>
  </si>
  <si>
    <t>Co2 Adder per MMBtu Oil (place holder values)</t>
  </si>
  <si>
    <t>Avoided Cost Present Value Forecast</t>
  </si>
  <si>
    <t>UtilityLookup</t>
  </si>
  <si>
    <t>Metal Building Walls</t>
  </si>
  <si>
    <t>ENERGY STAR Qualified</t>
  </si>
  <si>
    <t>Infiltration Credit</t>
  </si>
  <si>
    <t>Infiltration</t>
  </si>
  <si>
    <t>kWh/1000 SF</t>
  </si>
  <si>
    <t>therms/1000 SF</t>
  </si>
  <si>
    <t>Upstate (non-cooling)</t>
  </si>
  <si>
    <t>Upstate (cooling)</t>
  </si>
  <si>
    <t>Downstate (cooling)</t>
  </si>
  <si>
    <t>Downstate (non-cooling)</t>
  </si>
  <si>
    <t>PV of Cooling kWh Savings</t>
  </si>
  <si>
    <t>PV of Non-Cooling kWh Savings</t>
  </si>
  <si>
    <t>PV of kW Savings</t>
  </si>
  <si>
    <t>PV of Heating MMBtu Savings</t>
  </si>
  <si>
    <t>PV of Water Savings</t>
  </si>
  <si>
    <t>PV of Electric CO2</t>
  </si>
  <si>
    <t>PV of Gas CO2</t>
  </si>
  <si>
    <t>Present Value of Benefits</t>
  </si>
  <si>
    <t>Non-Cooling kWh Savings</t>
  </si>
  <si>
    <t>Cooling kWh Savings</t>
  </si>
  <si>
    <t>Heating Therm Savings</t>
  </si>
  <si>
    <t>Non-Heating Therm Savings</t>
  </si>
  <si>
    <t>KEDLI</t>
  </si>
  <si>
    <t>GasUtility</t>
  </si>
  <si>
    <t>Other</t>
  </si>
  <si>
    <t>Wood-framed and other Walls</t>
  </si>
  <si>
    <r>
      <rPr>
        <b/>
        <sz val="10"/>
        <color indexed="8"/>
        <rFont val="Calibri"/>
        <family val="2"/>
        <scheme val="minor"/>
      </rPr>
      <t xml:space="preserve">Wood-framed and other </t>
    </r>
    <r>
      <rPr>
        <b/>
        <sz val="10"/>
        <rFont val="Calibri"/>
        <family val="2"/>
        <scheme val="minor"/>
      </rPr>
      <t>Walls</t>
    </r>
  </si>
  <si>
    <t>R-30.0 ci</t>
  </si>
  <si>
    <t>R-25.0 ci</t>
  </si>
  <si>
    <t>R-13.3 ci</t>
  </si>
  <si>
    <t>R-19.0 + R-11 ls</t>
  </si>
  <si>
    <t>R-25.0 + R-11 ls</t>
  </si>
  <si>
    <t>R-15.2 ci</t>
  </si>
  <si>
    <t>R-20 ci</t>
  </si>
  <si>
    <t>R-13.0 + R-13 ci</t>
  </si>
  <si>
    <t>R-13.0 + R-10 ci</t>
  </si>
  <si>
    <t>R-13.0 + R-7.5 ci</t>
  </si>
  <si>
    <t>R-10 ci</t>
  </si>
  <si>
    <t>R-12.5 ci</t>
  </si>
  <si>
    <t>R-30.0 + R-7.5 ci</t>
  </si>
  <si>
    <t>R-14.6 ci</t>
  </si>
  <si>
    <t>R-30.0 + 7.5 ci</t>
  </si>
  <si>
    <t>R-38.0 + R-12.5 ci</t>
  </si>
  <si>
    <t>R-15.0 for 24 in.</t>
  </si>
  <si>
    <t>R-20.0 for 24 in.</t>
  </si>
  <si>
    <t>R-15.0 for 36 in. + R-5 ci below</t>
  </si>
  <si>
    <t>--</t>
  </si>
  <si>
    <t>U-0.40 / SHGC-0.40</t>
  </si>
  <si>
    <t>U-0.75 / SHGC-0.40</t>
  </si>
  <si>
    <t>U-0.35 / SHGC-0.40</t>
  </si>
  <si>
    <t>U-0.45 / SHGC-0.40</t>
  </si>
  <si>
    <t>U-0.70 / SHGC-0.40</t>
  </si>
  <si>
    <t>Electric (EF): 0.97 - (0.001 * tank gal capacity)</t>
  </si>
  <si>
    <t>Room AC (window, through‐wall, ductless, mini‐splits)</t>
  </si>
  <si>
    <t>11.5 EER/12.0 IEER</t>
  </si>
  <si>
    <t>10.0 EER/10.5 IEER</t>
  </si>
  <si>
    <t>Warm air furnace (&lt;225 KBtu/h, common areas)</t>
  </si>
  <si>
    <t>Warm air furnace (&lt;225 KBtu/h, apartments)</t>
  </si>
  <si>
    <t>Warm air furnace (&gt;225 KBtu/h)</t>
  </si>
  <si>
    <t>80% Et (gas) / 81% Et (oil)</t>
  </si>
  <si>
    <t>Electric Resistance Heating</t>
  </si>
  <si>
    <t>95% AFUE (gas) or 90% AFUE (oil)</t>
  </si>
  <si>
    <t>Packaged terminal air conditioner (PTAC)</t>
  </si>
  <si>
    <t>Packaged terminal heat pump (PTHP)</t>
  </si>
  <si>
    <t>Air cooled heat pump (≥13 and &lt;65 KBtu/h)</t>
  </si>
  <si>
    <t>Air cooled heat pump (≥240 KBtu/h)</t>
  </si>
  <si>
    <t>Cooling: 11.1 EER/11.6 IEER
Heating: 3.3 COP (@47°F DB)</t>
  </si>
  <si>
    <t>Cooling: 9.6 EER/9.6 IEER
Heating: 3.2 COP (@47°F DB)</t>
  </si>
  <si>
    <t>Water source heat pump (&lt;135 KBtu/h)</t>
  </si>
  <si>
    <t>Cooling: 14.0 EER
Heating: 4.2 COP</t>
  </si>
  <si>
    <t>Boilers, hot water (&lt;300,000 Btu/h)</t>
  </si>
  <si>
    <t>Boilers, hot water (≥300,000 Btu/hr)</t>
  </si>
  <si>
    <t>VRF Air Conditioners and Heat Pumps</t>
  </si>
  <si>
    <t>See Tables 6.8.1I and 6.8.1J of ASHRAE 90.1‐2010</t>
  </si>
  <si>
    <t>Air conditioners, air cooled (&lt;13 KBtu/h)</t>
  </si>
  <si>
    <t>Air conditioners, air cooled
(≥13 and &lt;65 KBtu/h)</t>
  </si>
  <si>
    <t>Air conditioners, air cooled
(≥65 and &lt;135 KBtu/h)</t>
  </si>
  <si>
    <t>Air conditioners, air cooled
(≥135 and &lt;240 KBtu/h)</t>
  </si>
  <si>
    <t>Air conditioners, air cooled
(≥240 and &lt;760 KBtu/h)</t>
  </si>
  <si>
    <t>ENERGY STAR qualified</t>
  </si>
  <si>
    <t>Air cooled heat pump (≥65 and &lt;135 KBtu/h)</t>
  </si>
  <si>
    <t>Air cooled heat pump (≥135 and &lt;240 KBtu/h)</t>
  </si>
  <si>
    <t>10.0 EER (full load) / 12.5 EER (IPLV)</t>
  </si>
  <si>
    <t>Water‐cooled chiller, positive displacement (&lt;75 tons)</t>
  </si>
  <si>
    <t>Water‐cooled chiller, positive displacement (75‐150 tons)</t>
  </si>
  <si>
    <t>Water‐cooled chiller, positive displacement (150‐300 tons)</t>
  </si>
  <si>
    <t>Water‐cooled chiller, positive displacement (&gt;300 tons)</t>
  </si>
  <si>
    <t>Water‐cooled chiller, centrifugal (≥300 tons and &lt;600 tons)</t>
  </si>
  <si>
    <t>Water‐cooled chiller, centrifugal (≥600 tons)</t>
  </si>
  <si>
    <t>Air‐cooled absorption single effect chiller</t>
  </si>
  <si>
    <t>Water‐cooled absorption single effect chiller</t>
  </si>
  <si>
    <t>Absorption double effect indirect‐fired chiller</t>
  </si>
  <si>
    <t>Absorption double effect direct‐fired chiller</t>
  </si>
  <si>
    <t>Open‐loop propeller or axial fan cooling towers</t>
  </si>
  <si>
    <t>Closed‐loop propeller or axial fan cooling towers</t>
  </si>
  <si>
    <t>Open‐loop centrifugal fan cooling towers</t>
  </si>
  <si>
    <t>Closed‐loop centrifugal fan cooling towers</t>
  </si>
  <si>
    <t>0.780 kW/ton (full load) / 0.630 kW/ton (IPLV)</t>
  </si>
  <si>
    <t>0.775 kW/ton (full load) / 0.615 kW/ton (IPLV)</t>
  </si>
  <si>
    <t>0.680 kW/ton (full load) / 0.580 kW/ton (IPLV)</t>
  </si>
  <si>
    <t>0.620 kW/ton (full load) / 0.540 kW/ton (IPLV)</t>
  </si>
  <si>
    <t>0.634 kW/ton (full load) / 0.596 kW/ton (IPLV)</t>
  </si>
  <si>
    <t>0.576 kW/ton (full load) / 0.549 kW/ton (IPLV)</t>
  </si>
  <si>
    <t>0.570 kW/ton (full load) / 0.539 kW/ton (IPLV)</t>
  </si>
  <si>
    <t>&gt;40 gpm/hp (@95°F entering water, 85°F leaving water, 75°F wb entering air)</t>
  </si>
  <si>
    <t>&gt;15 gpm/hp (@102°F entering water, 90°F leaving water, 75°F wb entering air)</t>
  </si>
  <si>
    <t>&gt;22 gpm/hp (@95°F entering water, 85°F leaving water, 75°F wb entering air)</t>
  </si>
  <si>
    <t>&gt;8 gpm/hp (@102°F entering water, 90°F leaving water, 75°F wb entering air)</t>
  </si>
  <si>
    <t>Water‐cooled chiller, centrifugal (&lt;150 tons)</t>
  </si>
  <si>
    <t>Water‐cooled chiller, centrifugal (≥150 tons and &lt;300 tons)</t>
  </si>
  <si>
    <t>Cooling: 14.0 – (0.3 X (1/1000) X Cap(Btu/h)) EER
Heating: 3.7 – (0.052 X (1/1000) X Cap(Btu/h)) COP</t>
  </si>
  <si>
    <t>13.8 – (0.300 X (1/1000) X Cap(Btu/h)) EER</t>
  </si>
  <si>
    <r>
      <t xml:space="preserve"> </t>
    </r>
    <r>
      <rPr>
        <b/>
        <sz val="10"/>
        <color indexed="8"/>
        <rFont val="Calibri"/>
        <family val="2"/>
        <scheme val="minor"/>
      </rPr>
      <t>Requirement (Minimum or Maximum)</t>
    </r>
  </si>
  <si>
    <t>13.8 – (0.300 X (Cap/1000) EER</t>
  </si>
  <si>
    <t>Cooling: 14.0 – (0.3 X Cap/1000) EER
Heating: 3.7 – (0.052 X Cap/1000) COP</t>
  </si>
  <si>
    <t>80% AFUE</t>
  </si>
  <si>
    <t>R-1.4</t>
  </si>
  <si>
    <t>NYC</t>
  </si>
  <si>
    <t>Yes</t>
  </si>
  <si>
    <t>N/A</t>
  </si>
  <si>
    <t>No</t>
  </si>
  <si>
    <t>Vending Machines</t>
  </si>
  <si>
    <t>Not Applicable</t>
  </si>
  <si>
    <t>Costs</t>
  </si>
  <si>
    <t xml:space="preserve">Project Name: </t>
  </si>
  <si>
    <t xml:space="preserve">Select County: </t>
  </si>
  <si>
    <t xml:space="preserve">Select Electric Utility: </t>
  </si>
  <si>
    <t xml:space="preserve">Select Gas Utility: </t>
  </si>
  <si>
    <t xml:space="preserve">Located in NYC? </t>
  </si>
  <si>
    <t>gallons/unit</t>
  </si>
  <si>
    <t>MMBtu/unit</t>
  </si>
  <si>
    <t>Include in Project-Level TRC?</t>
  </si>
  <si>
    <t>PV for Project Level TRC</t>
  </si>
  <si>
    <t>Measure Cost for Project Level TRC</t>
  </si>
  <si>
    <t>EEPS-Gas</t>
  </si>
  <si>
    <t>EEPS-Electric</t>
  </si>
  <si>
    <t>SIR</t>
  </si>
  <si>
    <t>Cost Savings</t>
  </si>
  <si>
    <t>Weighted Lifetime</t>
  </si>
  <si>
    <t>Refrigerators</t>
  </si>
  <si>
    <t>Clothes Dryers</t>
  </si>
  <si>
    <t>HVAC_g</t>
  </si>
  <si>
    <t>Fan Cooling Tower - CV no Econ kWh/ton</t>
  </si>
  <si>
    <t>Motors serving hydronic heating w/ VFD &gt; 5 HP</t>
  </si>
  <si>
    <t>Motors serving hydronic cooling w/ VFD &gt; 5 HP</t>
  </si>
  <si>
    <t>Fan Motors &gt; 5 HP</t>
  </si>
  <si>
    <t xml:space="preserve"> VRF Service?</t>
  </si>
  <si>
    <t>Clothes Washers - In-unit</t>
  </si>
  <si>
    <t>Total # of bedrooms in building</t>
  </si>
  <si>
    <t>Occupants:</t>
  </si>
  <si>
    <t>Avg Occupants/Apt:</t>
  </si>
  <si>
    <t># Apts</t>
  </si>
  <si>
    <t># Bathrooms</t>
  </si>
  <si>
    <t>Proposed EER (averaged)</t>
  </si>
  <si>
    <t>Proposed SEER (averaged)</t>
  </si>
  <si>
    <t>Proposed AFUE (averaged)</t>
  </si>
  <si>
    <t>R-13.0 + R-5.6 c.i.</t>
  </si>
  <si>
    <t>AFUE</t>
  </si>
  <si>
    <t>Total Heating MMBtu/hr</t>
  </si>
  <si>
    <t>Total Cooling MMBtu/hr</t>
  </si>
  <si>
    <t>Use Data From</t>
  </si>
  <si>
    <t>Albany</t>
  </si>
  <si>
    <t>Binghamton</t>
  </si>
  <si>
    <t>Buffalo</t>
  </si>
  <si>
    <t>Syracuse</t>
  </si>
  <si>
    <t>Massena</t>
  </si>
  <si>
    <t>Poughkeepsie</t>
  </si>
  <si>
    <t>kW/1000 SF</t>
  </si>
  <si>
    <t>R-Value (Assembly)</t>
  </si>
  <si>
    <t>therm/1000 SF</t>
  </si>
  <si>
    <t>Steel-framed  walls</t>
  </si>
  <si>
    <t>Metal Building Roof</t>
  </si>
  <si>
    <t>Saint Lawrence</t>
  </si>
  <si>
    <t>Water Savings (gallons)</t>
  </si>
  <si>
    <t>Demand Savings (kW)</t>
  </si>
  <si>
    <t>kWh/100 SF</t>
  </si>
  <si>
    <t>kW/100 SF</t>
  </si>
  <si>
    <t>therm/100 SF</t>
  </si>
  <si>
    <t>Windows</t>
  </si>
  <si>
    <t>10.8 EER</t>
  </si>
  <si>
    <t>9.8 EER/9.5 IPLV</t>
  </si>
  <si>
    <t>EER =12.5-(0.213 * Cap/1000)</t>
  </si>
  <si>
    <t>COP =3.2-(0.026*Cap/1000); 
EER = 12.3-(0.213*Cap/1000)</t>
  </si>
  <si>
    <t>10.8 EER/11.0 IPLV/3.3 Htg COP</t>
  </si>
  <si>
    <t>10.4 EER/11.5 IPLV/3.2 Htg COP</t>
  </si>
  <si>
    <t>9.3 EER/9.0 IPLV/3.2 Htg COP</t>
  </si>
  <si>
    <t>4.90 COP / 5.60 IPLV</t>
  </si>
  <si>
    <t>5.50 COP / 6.15 IPLV</t>
  </si>
  <si>
    <t>COP (full load)</t>
  </si>
  <si>
    <t>COP (IPLV)</t>
  </si>
  <si>
    <t>Lobby:1.3, 16 fc</t>
  </si>
  <si>
    <t>WLHP Pump
kWh/hp</t>
  </si>
  <si>
    <t>WLHP
kW/hp</t>
  </si>
  <si>
    <t>All hard-wired lighting fixtures and ceiling fans installed within apartments shall meet or exceed ENERGY STAR efficacies.  Overall in-unit LPD may not exceed 0.7 W/SF.  When calculating overall LPD, use 0.7 W/SF for spaces where lighting is not specified.</t>
  </si>
  <si>
    <t>HP (Sum of motors serving hydronic heating &gt; 5 HP)</t>
  </si>
  <si>
    <t>HP (Sum of motors serving hydronic cooling &gt; 5 HP)</t>
  </si>
  <si>
    <t>Motors in circulating pumps serving hydronic heating or cooling &gt; 5 HP</t>
  </si>
  <si>
    <r>
      <t xml:space="preserve">NEMA </t>
    </r>
    <r>
      <rPr>
        <b/>
        <u/>
        <sz val="10"/>
        <color indexed="8"/>
        <rFont val="Calibri"/>
        <family val="2"/>
        <scheme val="minor"/>
      </rPr>
      <t>Premium</t>
    </r>
    <r>
      <rPr>
        <b/>
        <sz val="10"/>
        <color indexed="8"/>
        <rFont val="Calibri"/>
        <family val="2"/>
        <scheme val="minor"/>
      </rPr>
      <t xml:space="preserve"> </t>
    </r>
    <r>
      <rPr>
        <sz val="10"/>
        <color indexed="8"/>
        <rFont val="Calibri"/>
        <family val="2"/>
        <scheme val="minor"/>
      </rPr>
      <t xml:space="preserve">efficiency motors and variable frequency drives. </t>
    </r>
  </si>
  <si>
    <t>Central exhaust and in-line exhaust serving apartments</t>
  </si>
  <si>
    <t>Self-balancing dampers required at each grille.</t>
  </si>
  <si>
    <t>Central exhaust fans &lt; 1/16 HP</t>
  </si>
  <si>
    <t>Central exhaust fans 1/16 &lt; HP &lt; 1</t>
  </si>
  <si>
    <t>Central exhaust fans &gt; 1 HP</t>
  </si>
  <si>
    <t>NEMA Premium efficiency motors</t>
  </si>
  <si>
    <t>Powered common area laundry ventilation</t>
  </si>
  <si>
    <t>Automatic demand control required to turn off ventilation fans when no dryers are operating.</t>
  </si>
  <si>
    <t>R-10.0 for 24 in. + R-5 ci below</t>
  </si>
  <si>
    <t>R-16.7 ci</t>
  </si>
  <si>
    <t>Number of occupancy sensors in stairs, corridors and lobby</t>
  </si>
  <si>
    <t>Self-balancing dampers</t>
  </si>
  <si>
    <t>RS Mean City Cost Indicator</t>
  </si>
  <si>
    <t>Technical Manual</t>
  </si>
  <si>
    <t>Technical Manual and ENERGY STAR Calculator for Clothes Washers</t>
  </si>
  <si>
    <t>Energy savings calculation source</t>
  </si>
  <si>
    <t>Project Quantity</t>
  </si>
  <si>
    <t>ASHRAE Handbook of Fundamentals</t>
  </si>
  <si>
    <t>Occupancy Sensors</t>
  </si>
  <si>
    <t>Ventilation</t>
  </si>
  <si>
    <t>n/a</t>
  </si>
  <si>
    <t>HP (Sum of motors &lt; 1/16 HP)</t>
  </si>
  <si>
    <t>HP (Sum of motors  1/16 &lt; HP &lt; 1)</t>
  </si>
  <si>
    <t>Dishwashers</t>
  </si>
  <si>
    <t>Ceiling Fans</t>
  </si>
  <si>
    <t>ENERGY STAR Calculator for Ceiling Fans</t>
  </si>
  <si>
    <t>Ceiling Fan</t>
  </si>
  <si>
    <t>Gas (EF): 0.69 - (0.002 * tank gal capacity)</t>
  </si>
  <si>
    <t>Heating and cooling supply and return ductwork shall be insulated to a minimum R-4 in conditioned space and R‐8 in unconditioned space.</t>
  </si>
  <si>
    <t>All non-apartment spaces, except those where automatic shutoff would endanger the safety of occupants, must have occupancy sensors or automatic bi-level lighting controls. This includes spaces intended for 24-hour operation such as corridors and stairwells.</t>
  </si>
  <si>
    <t>24 Hour Spaces</t>
  </si>
  <si>
    <t>Non-24 Hour Spaces</t>
  </si>
  <si>
    <t xml:space="preserve">Design Ventilation Rates - In-Unit (whole building and exhaust)  </t>
  </si>
  <si>
    <t>Maximum
not to exceed ASHRAE 62.2 by more than 50%</t>
  </si>
  <si>
    <t>Design Ventilation Rates - Common Area</t>
  </si>
  <si>
    <t>Water heater eff. Hot Water Supply Boiler</t>
  </si>
  <si>
    <r>
      <t xml:space="preserve">Motors serving ventilation 1 </t>
    </r>
    <r>
      <rPr>
        <u/>
        <sz val="10"/>
        <color theme="1"/>
        <rFont val="Calibri"/>
        <family val="2"/>
        <scheme val="minor"/>
      </rPr>
      <t>&lt;</t>
    </r>
    <r>
      <rPr>
        <sz val="10"/>
        <color theme="1"/>
        <rFont val="Calibri"/>
        <family val="2"/>
        <scheme val="minor"/>
      </rPr>
      <t xml:space="preserve"> HP </t>
    </r>
    <r>
      <rPr>
        <u/>
        <sz val="10"/>
        <color theme="1"/>
        <rFont val="Calibri"/>
        <family val="2"/>
        <scheme val="minor"/>
      </rPr>
      <t>&lt;</t>
    </r>
    <r>
      <rPr>
        <sz val="10"/>
        <color theme="1"/>
        <rFont val="Calibri"/>
        <family val="2"/>
        <scheme val="minor"/>
      </rPr>
      <t xml:space="preserve"> 5</t>
    </r>
  </si>
  <si>
    <r>
      <t xml:space="preserve">Motors serving hydronic heating 1 </t>
    </r>
    <r>
      <rPr>
        <u/>
        <sz val="10"/>
        <color theme="1"/>
        <rFont val="Calibri"/>
        <family val="2"/>
        <scheme val="minor"/>
      </rPr>
      <t>&lt;</t>
    </r>
    <r>
      <rPr>
        <sz val="10"/>
        <color theme="1"/>
        <rFont val="Calibri"/>
        <family val="2"/>
        <scheme val="minor"/>
      </rPr>
      <t xml:space="preserve"> HP </t>
    </r>
    <r>
      <rPr>
        <u/>
        <sz val="10"/>
        <color theme="1"/>
        <rFont val="Calibri"/>
        <family val="2"/>
        <scheme val="minor"/>
      </rPr>
      <t>&lt;</t>
    </r>
    <r>
      <rPr>
        <sz val="10"/>
        <color theme="1"/>
        <rFont val="Calibri"/>
        <family val="2"/>
        <scheme val="minor"/>
      </rPr>
      <t xml:space="preserve"> 5</t>
    </r>
  </si>
  <si>
    <r>
      <t xml:space="preserve">Motors serving hydronic cooling 1 </t>
    </r>
    <r>
      <rPr>
        <u/>
        <sz val="10"/>
        <color theme="1"/>
        <rFont val="Calibri"/>
        <family val="2"/>
        <scheme val="minor"/>
      </rPr>
      <t>&lt;</t>
    </r>
    <r>
      <rPr>
        <sz val="10"/>
        <color theme="1"/>
        <rFont val="Calibri"/>
        <family val="2"/>
        <scheme val="minor"/>
      </rPr>
      <t xml:space="preserve"> HP </t>
    </r>
    <r>
      <rPr>
        <u/>
        <sz val="10"/>
        <color theme="1"/>
        <rFont val="Calibri"/>
        <family val="2"/>
        <scheme val="minor"/>
      </rPr>
      <t>&lt;</t>
    </r>
    <r>
      <rPr>
        <sz val="10"/>
        <color theme="1"/>
        <rFont val="Calibri"/>
        <family val="2"/>
        <scheme val="minor"/>
      </rPr>
      <t xml:space="preserve"> 5</t>
    </r>
  </si>
  <si>
    <r>
      <rPr>
        <b/>
        <sz val="11"/>
        <color indexed="8"/>
        <rFont val="Calibri"/>
        <family val="2"/>
        <scheme val="minor"/>
      </rPr>
      <t xml:space="preserve">Appliances </t>
    </r>
    <r>
      <rPr>
        <b/>
        <sz val="11"/>
        <rFont val="Calibri"/>
        <family val="2"/>
        <scheme val="minor"/>
      </rPr>
      <t xml:space="preserve"> </t>
    </r>
  </si>
  <si>
    <t>Value for selected Climate Zone</t>
  </si>
  <si>
    <t>Costs for CZ 4</t>
  </si>
  <si>
    <t>Costs for CZ 5</t>
  </si>
  <si>
    <t>Costs for CZ 6</t>
  </si>
  <si>
    <t>30% WWR</t>
  </si>
  <si>
    <t>Costs for selected Climate Zone</t>
  </si>
  <si>
    <t>Measure</t>
  </si>
  <si>
    <t>Climate Zone
4</t>
  </si>
  <si>
    <t>Climate Zone
5</t>
  </si>
  <si>
    <t>Climate Zone
6</t>
  </si>
  <si>
    <t>Apartment in-line and ceiling exhaust fans</t>
  </si>
  <si>
    <t>Range Hoods (up to 500 CFM)</t>
  </si>
  <si>
    <t>Select type of fan</t>
  </si>
  <si>
    <t>CFM/W</t>
  </si>
  <si>
    <t>Baseline EER</t>
  </si>
  <si>
    <t>Baseline SEER</t>
  </si>
  <si>
    <t>Baseline AFUE</t>
  </si>
  <si>
    <t>Shower Flow Rate (gpm)</t>
  </si>
  <si>
    <t>Faucet Flow Rate (gpm</t>
  </si>
  <si>
    <t>Efficiency or GPM</t>
  </si>
  <si>
    <t>COP/SEER</t>
  </si>
  <si>
    <t>Not permitted</t>
  </si>
  <si>
    <r>
      <t>W/ft</t>
    </r>
    <r>
      <rPr>
        <b/>
        <vertAlign val="superscript"/>
        <sz val="11"/>
        <color theme="1"/>
        <rFont val="Calibri"/>
        <family val="2"/>
        <scheme val="minor"/>
      </rPr>
      <t>2</t>
    </r>
  </si>
  <si>
    <t>Bathroom and Utility Room Fans (10 - 89 CFM)</t>
  </si>
  <si>
    <t>Bathroom and Utility Room Fans (90 - 500 CFM)</t>
  </si>
  <si>
    <t>In-line Fans</t>
  </si>
  <si>
    <t>Fan Type</t>
  </si>
  <si>
    <t>CO Demand Controls of Garage</t>
  </si>
  <si>
    <r>
      <t xml:space="preserve">Motors serving ventilation 1 </t>
    </r>
    <r>
      <rPr>
        <u/>
        <sz val="11"/>
        <color theme="1"/>
        <rFont val="Calibri"/>
        <family val="2"/>
        <scheme val="minor"/>
      </rPr>
      <t>&lt;</t>
    </r>
    <r>
      <rPr>
        <sz val="11"/>
        <color theme="1"/>
        <rFont val="Calibri"/>
        <family val="2"/>
        <scheme val="minor"/>
      </rPr>
      <t xml:space="preserve"> HP </t>
    </r>
    <r>
      <rPr>
        <u/>
        <sz val="11"/>
        <color theme="1"/>
        <rFont val="Calibri"/>
        <family val="2"/>
        <scheme val="minor"/>
      </rPr>
      <t>&lt;</t>
    </r>
    <r>
      <rPr>
        <sz val="11"/>
        <color theme="1"/>
        <rFont val="Calibri"/>
        <family val="2"/>
        <scheme val="minor"/>
      </rPr>
      <t xml:space="preserve"> 5</t>
    </r>
  </si>
  <si>
    <r>
      <t xml:space="preserve">Motors serving hydronic heating 1 </t>
    </r>
    <r>
      <rPr>
        <u/>
        <sz val="11"/>
        <color theme="1"/>
        <rFont val="Calibri"/>
        <family val="2"/>
        <scheme val="minor"/>
      </rPr>
      <t>&lt;</t>
    </r>
    <r>
      <rPr>
        <sz val="11"/>
        <color theme="1"/>
        <rFont val="Calibri"/>
        <family val="2"/>
        <scheme val="minor"/>
      </rPr>
      <t xml:space="preserve"> HP </t>
    </r>
    <r>
      <rPr>
        <u/>
        <sz val="11"/>
        <color theme="1"/>
        <rFont val="Calibri"/>
        <family val="2"/>
        <scheme val="minor"/>
      </rPr>
      <t>&lt;</t>
    </r>
    <r>
      <rPr>
        <sz val="11"/>
        <color theme="1"/>
        <rFont val="Calibri"/>
        <family val="2"/>
        <scheme val="minor"/>
      </rPr>
      <t xml:space="preserve"> 5</t>
    </r>
  </si>
  <si>
    <r>
      <t xml:space="preserve">Motors serving hydronic cooling 1 </t>
    </r>
    <r>
      <rPr>
        <u/>
        <sz val="11"/>
        <color theme="1"/>
        <rFont val="Calibri"/>
        <family val="2"/>
        <scheme val="minor"/>
      </rPr>
      <t>&lt;</t>
    </r>
    <r>
      <rPr>
        <sz val="11"/>
        <color theme="1"/>
        <rFont val="Calibri"/>
        <family val="2"/>
        <scheme val="minor"/>
      </rPr>
      <t xml:space="preserve"> HP </t>
    </r>
    <r>
      <rPr>
        <u/>
        <sz val="11"/>
        <color theme="1"/>
        <rFont val="Calibri"/>
        <family val="2"/>
        <scheme val="minor"/>
      </rPr>
      <t>&lt;</t>
    </r>
    <r>
      <rPr>
        <sz val="11"/>
        <color theme="1"/>
        <rFont val="Calibri"/>
        <family val="2"/>
        <scheme val="minor"/>
      </rPr>
      <t xml:space="preserve"> 5</t>
    </r>
  </si>
  <si>
    <t>Faucet Flow Rate (gpm)</t>
  </si>
  <si>
    <t>Garage Exhaust</t>
  </si>
  <si>
    <t>Climate Zone 4</t>
  </si>
  <si>
    <t>Climate Zone 5</t>
  </si>
  <si>
    <t>Climate Zone 6</t>
  </si>
  <si>
    <t>Not Permitted</t>
  </si>
  <si>
    <t>hp</t>
  </si>
  <si>
    <t>Duct leakage</t>
  </si>
  <si>
    <t>Infiltration reduction</t>
  </si>
  <si>
    <t>ASHRAE 90.1-2007</t>
  </si>
  <si>
    <t>EPA Simulation Guidelines</t>
  </si>
  <si>
    <t>All light fixtures in non-apartment spaces shall have combined lamp and ballast efficacies meeting or exceeding ENERGY STAR efficacies. Lighting power density cannot exceed ASHRAE 90.1 - 2010 levels and IESNA illumination requirements (fc) must be met.</t>
  </si>
  <si>
    <t xml:space="preserve">Photosensors required.  Lighting allowance at or below ASHRAE 90.1 - 2010 Levels.  
</t>
  </si>
  <si>
    <t>ENERGY STAR Qualified; 8.5 HSPF</t>
  </si>
  <si>
    <t>ENERGY STAR Qualified; 9.25 HSPF</t>
  </si>
  <si>
    <t>ENERGY STAR Qualified; 9.5 HSPF</t>
  </si>
  <si>
    <t>ENERGY STAR Qualified; 90% AFUE</t>
  </si>
  <si>
    <t>Stairs: 0.69 W/SF, 15 fc</t>
  </si>
  <si>
    <t>Corridors: 0.66 W/SF, 10 fc</t>
  </si>
  <si>
    <t>Lobby: 0.9 W/SF, 16 fc</t>
  </si>
  <si>
    <t>Elec/mech: 0.95 W/SF, 30 fc
Storage: 0.63 W/SF, 20 fc
Multipurpose: 1.23 W/SF, 30 fc
Office: 1.11 W/SF, 35 fc</t>
  </si>
  <si>
    <t>Value</t>
  </si>
  <si>
    <t>Look-Up Value</t>
  </si>
  <si>
    <t>Oil values are not used in any calculations. Please test this, and then we can delete the data. DO NOT DELETE ROW, delete values and put comment in cell.</t>
  </si>
  <si>
    <t>Avoided energy per kWh with line loss -Upstate(2008$)</t>
  </si>
  <si>
    <t>Avoided energy per kWh with line loss -Lower Hudson(2008$)</t>
  </si>
  <si>
    <t>Avoided energy per kWh with line loss -NYC(2008$)</t>
  </si>
  <si>
    <t>Avoided Capacity per KW with reserve margin, line loss and avoided distribution -Upstate(2008$)</t>
  </si>
  <si>
    <t>Avoided Capacity per KW with reserve margin, line loss and avoided distribution -NYC(2008$)</t>
  </si>
  <si>
    <t>Avoided gas $/MMBtu (Heating) -Downstate 2008$</t>
  </si>
  <si>
    <t>Avoided gas $/MMBtu (Heating) -Upstate2008$</t>
  </si>
  <si>
    <t>Natural gas $ per MMBtu (Hot Water) - Downstate</t>
  </si>
  <si>
    <t>Natural gas $ per MMBtu (Hot Water) - Upstate</t>
  </si>
  <si>
    <t>Avoided energy per kWh with line loss -Upstate (Zones A-F, 2012$)</t>
  </si>
  <si>
    <t>Avoided energy per kWh with line loss -Lower Hudson (Zones G-I, 2012$)</t>
  </si>
  <si>
    <t>Avoided energy per kWh with line loss -NYC (Zone J, 2012$)</t>
  </si>
  <si>
    <t>Avoided Capacity per KW with reserve margin, line loss and avoided distribution -Upstate (Zones A-F &amp; G-I, 2012$)</t>
  </si>
  <si>
    <t>Avoided Capacity per KW with reserve margin, line loss and avoided distribution -NYC (Zone J, 2012$)</t>
  </si>
  <si>
    <t>Avoided gas $/MMBtu (Heating) -Downstate 2012$</t>
  </si>
  <si>
    <t>Avoided gas $/MMBtu (Heating) -Upstate 2012$</t>
  </si>
  <si>
    <t>Natural gas $ per MMBtu (Hot Water) - Downstate (2012$)</t>
  </si>
  <si>
    <t>Natural gas $ per MMBtu (Hot Water) - Upstate (2012$)</t>
  </si>
  <si>
    <t>Co2 Adder per kWh ($2012) with line loss</t>
  </si>
  <si>
    <t>Co2 Adder per MMBtu (2012$)</t>
  </si>
  <si>
    <t>Co2 Adder per MMBtu Oil (2012$)</t>
  </si>
  <si>
    <t>NatGrid</t>
  </si>
  <si>
    <t>KEDNY</t>
  </si>
  <si>
    <t>PV of Non-Heating MMBtu Savings</t>
  </si>
  <si>
    <t xml:space="preserve">Design Ventilation Rates - Common Area            </t>
  </si>
  <si>
    <t>Design Ventilation Rates - In-Unit</t>
  </si>
  <si>
    <t>Number of Units:</t>
  </si>
  <si>
    <t>Housing Income Classification:</t>
  </si>
  <si>
    <t>Gut Rehab?</t>
  </si>
  <si>
    <t>NYSERDA would like to thank the EPA for allowing us to base this spreadsheet heavily on their ENERGY STAR MFHR T&amp;V Worksheets.</t>
  </si>
  <si>
    <t>Instructions</t>
  </si>
  <si>
    <r>
      <t xml:space="preserve">Click the link below or paste the web address into your browser to watch the </t>
    </r>
    <r>
      <rPr>
        <b/>
        <i/>
        <sz val="11"/>
        <color indexed="8"/>
        <rFont val="Calibri"/>
        <family val="2"/>
      </rPr>
      <t>T&amp;V Worksheets</t>
    </r>
    <r>
      <rPr>
        <b/>
        <sz val="11"/>
        <color indexed="8"/>
        <rFont val="Calibri"/>
        <family val="2"/>
      </rPr>
      <t xml:space="preserve"> Training Video (</t>
    </r>
    <r>
      <rPr>
        <b/>
        <u/>
        <sz val="11"/>
        <color indexed="8"/>
        <rFont val="Calibri"/>
        <family val="2"/>
      </rPr>
      <t>not</t>
    </r>
    <r>
      <rPr>
        <b/>
        <sz val="11"/>
        <color indexed="8"/>
        <rFont val="Calibri"/>
        <family val="2"/>
      </rPr>
      <t xml:space="preserve"> specific to this Modified version):</t>
    </r>
  </si>
  <si>
    <t>http://www.youtube.com/watch?v=gco7heVBBZY</t>
  </si>
  <si>
    <t>General Formatting</t>
  </si>
  <si>
    <t>Cells</t>
  </si>
  <si>
    <t>= Proposed ERM. Enter data in these colored cells on the ERMs tabs, on all other tabs they are linked.</t>
  </si>
  <si>
    <t>= Comments made during Plan Review.  Do not fill in these color cells in on the ERMs or Overview tab, they are linked.</t>
  </si>
  <si>
    <t xml:space="preserve">= Fill data in this cell after site Inspection </t>
  </si>
  <si>
    <t xml:space="preserve">= Information in this cell is fed to other spreadsheets </t>
  </si>
  <si>
    <t>Tabs</t>
  </si>
  <si>
    <t>= Introductory tabs</t>
  </si>
  <si>
    <t>= Performance Values &amp; Deliverables</t>
  </si>
  <si>
    <t>= Worksheets for inspections typically done Pre-Drywall/During Drywall</t>
  </si>
  <si>
    <t>= Worksheets for inspections typically done during Finishes</t>
  </si>
  <si>
    <t>= Worksheets for inspections typically done at Construction Completion</t>
  </si>
  <si>
    <t>Summary</t>
  </si>
  <si>
    <r>
      <t>Energy reduction measures are first described in the 'ERMs' Tab in the column labeled "Proposed Method of Compliance".  Energy reduction measures are determined</t>
    </r>
    <r>
      <rPr>
        <sz val="10"/>
        <rFont val="Arial"/>
        <family val="2"/>
      </rPr>
      <t xml:space="preserve"> by the requirements listed in the </t>
    </r>
    <r>
      <rPr>
        <i/>
        <sz val="10"/>
        <rFont val="Arial"/>
        <family val="2"/>
      </rPr>
      <t>Modified Prescriptive Path</t>
    </r>
    <r>
      <rPr>
        <sz val="10"/>
        <rFont val="Arial"/>
        <family val="2"/>
      </rPr>
      <t xml:space="preserve"> for your climate zone.</t>
    </r>
  </si>
  <si>
    <r>
      <t xml:space="preserve">The "Proposed Method of Compliance" column is linked to relevant cells/tabs throughout the individual </t>
    </r>
    <r>
      <rPr>
        <i/>
        <sz val="10"/>
        <rFont val="Arial"/>
        <family val="2"/>
      </rPr>
      <t>T&amp;V Worksheets</t>
    </r>
    <r>
      <rPr>
        <sz val="10"/>
        <rFont val="Arial"/>
        <family val="2"/>
      </rPr>
      <t>. This provides the person responsible for reviewing construction documents and on site inspections necessary information to confirm whether program goals and design intent have been met.</t>
    </r>
  </si>
  <si>
    <r>
      <t xml:space="preserve">After the construction documents have been reviewed and feedback provided in the </t>
    </r>
    <r>
      <rPr>
        <i/>
        <sz val="10"/>
        <rFont val="Arial"/>
        <family val="2"/>
      </rPr>
      <t>T&amp;V Worksheets</t>
    </r>
    <r>
      <rPr>
        <sz val="10"/>
        <rFont val="Arial"/>
        <family val="2"/>
      </rPr>
      <t xml:space="preserve">, it is linked back to the 'Overview' tab which serves as a summary of the plan review. The next step is either to make revisions to the modeling inputs and/or provide feedback to the project team on how to bring the design in line with the requirements as specified in the </t>
    </r>
    <r>
      <rPr>
        <i/>
        <sz val="10"/>
        <rFont val="Arial"/>
        <family val="2"/>
      </rPr>
      <t>Modified Prescriptive Path</t>
    </r>
    <r>
      <rPr>
        <sz val="10"/>
        <rFont val="Arial"/>
        <family val="2"/>
      </rPr>
      <t>.  The 'Overview' tab can also be used as the deliverable to provide feedback to the project team.  Rows and columns can be hidden as review items become closed, or if the deliverable is being sent to the project Architect or Engineer and only certain items are applicable.  This helps minimize the size and makes the document a more manageable discussion piece.</t>
    </r>
  </si>
  <si>
    <r>
      <t xml:space="preserve">After the final plan review confirms all recommendations have been integrated in to the construction documents, the </t>
    </r>
    <r>
      <rPr>
        <i/>
        <sz val="10"/>
        <rFont val="Arial"/>
        <family val="2"/>
      </rPr>
      <t>T&amp;V Worksheets</t>
    </r>
    <r>
      <rPr>
        <sz val="10"/>
        <rFont val="Arial"/>
        <family val="2"/>
      </rPr>
      <t xml:space="preserve"> are intended to be printed and brought to the field.  They list measures and building components to be inspected as well as mandatory requirements to be confirmed and any additional relevant information identified during the plan review.</t>
    </r>
  </si>
  <si>
    <t>Post-inspection feedback entered into each worksheet is linked back to the 'ERMs' tab as a summary for identifing measures needing corrections.  They are also linked to the 'Overview' tab serving as a project overview from design to completion.</t>
  </si>
  <si>
    <r>
      <t>The</t>
    </r>
    <r>
      <rPr>
        <i/>
        <sz val="10"/>
        <rFont val="Arial"/>
        <family val="2"/>
      </rPr>
      <t xml:space="preserve"> T&amp;V Worksheets</t>
    </r>
    <r>
      <rPr>
        <sz val="10"/>
        <rFont val="Arial"/>
        <family val="2"/>
      </rPr>
      <t xml:space="preserve"> in the As-Built submittal will represent the conditions of the Final Building and do not need to include information from each site visit as long as the Final Building meets the requirements of the </t>
    </r>
    <r>
      <rPr>
        <i/>
        <sz val="10"/>
        <rFont val="Arial"/>
        <family val="2"/>
      </rPr>
      <t>Modified Prescriptive Path</t>
    </r>
    <r>
      <rPr>
        <sz val="10"/>
        <rFont val="Arial"/>
        <family val="2"/>
      </rPr>
      <t xml:space="preserve">.  In other words, it's not necessary to update the digital version of the worksheets after each site visit, as long as the final conditions are documented in the submitted version.  At a minimum, </t>
    </r>
    <r>
      <rPr>
        <i/>
        <sz val="10"/>
        <rFont val="Arial"/>
        <family val="2"/>
      </rPr>
      <t>T&amp;V Worksheets</t>
    </r>
    <r>
      <rPr>
        <sz val="10"/>
        <rFont val="Arial"/>
        <family val="2"/>
      </rPr>
      <t xml:space="preserve"> filled in by hand at each inspection shall be kept on file in the case further information is requested by NYSERDA.</t>
    </r>
  </si>
  <si>
    <t>Navigating</t>
  </si>
  <si>
    <r>
      <t xml:space="preserve">The tab labeled 'Table of Contents' can be used to quickly jump to the desired </t>
    </r>
    <r>
      <rPr>
        <i/>
        <sz val="10"/>
        <rFont val="Arial"/>
        <family val="2"/>
      </rPr>
      <t>T&amp;V Worksheet</t>
    </r>
    <r>
      <rPr>
        <sz val="10"/>
        <rFont val="Arial"/>
        <family val="2"/>
      </rPr>
      <t>.  Additionally each worksheet has a link in the top left corner labeled "TOC" that brings you back to the 'Table of Contents' tab.</t>
    </r>
  </si>
  <si>
    <r>
      <rPr>
        <b/>
        <i/>
        <sz val="11"/>
        <color indexed="8"/>
        <rFont val="Calibri"/>
        <family val="2"/>
      </rPr>
      <t>T&amp;V Worksheets</t>
    </r>
    <r>
      <rPr>
        <b/>
        <sz val="11"/>
        <color indexed="8"/>
        <rFont val="Calibri"/>
        <family val="2"/>
      </rPr>
      <t xml:space="preserve"> - Overview</t>
    </r>
  </si>
  <si>
    <r>
      <t xml:space="preserve">Each </t>
    </r>
    <r>
      <rPr>
        <i/>
        <sz val="10"/>
        <rFont val="Arial"/>
        <family val="2"/>
      </rPr>
      <t xml:space="preserve">T&amp;V Worksheet </t>
    </r>
    <r>
      <rPr>
        <sz val="10"/>
        <rFont val="Arial"/>
        <family val="2"/>
      </rPr>
      <t>is formatted similarly to easily locate the sections used at different stages throughout the project.  The header contains the name of the project, building component being reviewed/inspected and a box to enter the date inspections occur and who conducted them.</t>
    </r>
  </si>
  <si>
    <r>
      <t xml:space="preserve">Each </t>
    </r>
    <r>
      <rPr>
        <i/>
        <sz val="10"/>
        <rFont val="Arial"/>
        <family val="2"/>
      </rPr>
      <t>T&amp;V Worksheet</t>
    </r>
    <r>
      <rPr>
        <sz val="10"/>
        <rFont val="Arial"/>
        <family val="2"/>
      </rPr>
      <t xml:space="preserve"> also contains sections titled "Schedule", "Equipment Needed" and "Sampling Requirements".  The "Schedule" section gives recommendations about the appropriate time to begin inspecting that particular component and sometimes suggests the minimum number of inspections.  "Sampling Requirements" outlines appropriate sampling rates, minimum sample set requirements and mandatory photographs to be included as documentation.</t>
    </r>
  </si>
  <si>
    <r>
      <t xml:space="preserve">Most </t>
    </r>
    <r>
      <rPr>
        <i/>
        <sz val="10"/>
        <rFont val="Arial"/>
        <family val="2"/>
      </rPr>
      <t>T&amp;V Worksheets</t>
    </r>
    <r>
      <rPr>
        <sz val="10"/>
        <rFont val="Arial"/>
        <family val="2"/>
      </rPr>
      <t xml:space="preserve"> contain sections titled "Notes for Drawings and Specifications".  This is meant to be used in the plan review stage for easy access to language to be copied and pasted into the cells labeled "Plan Review Comment".  This section and any others not needed can be hidden when printing for the field to condense the size as much as possible.  The more complex building components, such as HVAC, do not have the "Notes for Drawings and Specifications" section because there are too many notes to put in one cell; they are broken up line by line in elements below.</t>
    </r>
  </si>
  <si>
    <r>
      <t xml:space="preserve">Some </t>
    </r>
    <r>
      <rPr>
        <i/>
        <sz val="10"/>
        <rFont val="Arial"/>
        <family val="2"/>
      </rPr>
      <t>T&amp;V Worksheets</t>
    </r>
    <r>
      <rPr>
        <sz val="10"/>
        <rFont val="Arial"/>
        <family val="2"/>
      </rPr>
      <t xml:space="preserve"> have schedules for building HVAC equipment or envelope assemblies for easier tracking of characteristics specific to that type of component.  These rows have been left unlocked so they can be copied for various assemblies, or rows can be inserted for additional equipment.</t>
    </r>
  </si>
  <si>
    <r>
      <t xml:space="preserve">Each </t>
    </r>
    <r>
      <rPr>
        <i/>
        <sz val="10"/>
        <rFont val="Arial"/>
        <family val="2"/>
      </rPr>
      <t>T&amp;V Worksheet</t>
    </r>
    <r>
      <rPr>
        <sz val="10"/>
        <rFont val="Arial"/>
        <family val="2"/>
      </rPr>
      <t xml:space="preserve"> lists the individual elements from the </t>
    </r>
    <r>
      <rPr>
        <i/>
        <sz val="10"/>
        <rFont val="Arial"/>
        <family val="2"/>
      </rPr>
      <t>ENERGY STAR MFHR Testing and Verification Protocols (T&amp;V Protocols)</t>
    </r>
    <r>
      <rPr>
        <sz val="10"/>
        <rFont val="Arial"/>
        <family val="2"/>
      </rPr>
      <t xml:space="preserve"> that needs to be checked either in the design phase and/or during construction. For both the "Plan Review" and "Inspection" columns, there is a comment box for feedback as well as a verification input where you can choose one of the following after reviewing that particular element. This information links back to the 'ERMs', 'Overview', and 'Prerequisites Checklist' tabs for easy reference when updating the model, communicating with the project team or NYSERDA.</t>
    </r>
  </si>
  <si>
    <t>a)  Yes - Verified</t>
  </si>
  <si>
    <t>b)  No - Not Verified</t>
  </si>
  <si>
    <t>c)  N/A - Not Applicable</t>
  </si>
  <si>
    <r>
      <t xml:space="preserve">After the plan review or inspection has been completed, the </t>
    </r>
    <r>
      <rPr>
        <i/>
        <sz val="10"/>
        <rFont val="Arial"/>
        <family val="2"/>
      </rPr>
      <t>T&amp;V Worksheets</t>
    </r>
    <r>
      <rPr>
        <sz val="10"/>
        <rFont val="Arial"/>
        <family val="2"/>
      </rPr>
      <t xml:space="preserve"> or sections of the 'Overview' tab can be printed and used as deliverables to provide feedback to the project team.</t>
    </r>
  </si>
  <si>
    <t>Help</t>
  </si>
  <si>
    <t>Send questions and comments to</t>
  </si>
  <si>
    <t>pgleeson@trcsolutions.com</t>
  </si>
  <si>
    <t>Compliance Path:</t>
  </si>
  <si>
    <t>Modified Prescriptive Path</t>
  </si>
  <si>
    <t xml:space="preserve">Address: </t>
  </si>
  <si>
    <t>City, State, Zip:</t>
  </si>
  <si>
    <t>Climate Zone:</t>
  </si>
  <si>
    <t>Is this project participating in NYSERDA's Multifamily Performance Program?</t>
  </si>
  <si>
    <t>Team</t>
  </si>
  <si>
    <t>First Name</t>
  </si>
  <si>
    <t>Last Name</t>
  </si>
  <si>
    <t>Email</t>
  </si>
  <si>
    <t>Office Phone</t>
  </si>
  <si>
    <t>Direct Line</t>
  </si>
  <si>
    <t>Developer</t>
  </si>
  <si>
    <t>Architect</t>
  </si>
  <si>
    <t>MEP Engineer</t>
  </si>
  <si>
    <t>General Contractor</t>
  </si>
  <si>
    <t>MEP Contractor</t>
  </si>
  <si>
    <t>For Prescriptive Path Projects Only</t>
  </si>
  <si>
    <t>Number of Stories</t>
  </si>
  <si>
    <t>Climate Zone</t>
  </si>
  <si>
    <t>Number of Units (per building)</t>
  </si>
  <si>
    <t>Typical SF of apartment</t>
  </si>
  <si>
    <t>Studio</t>
  </si>
  <si>
    <t>1 - Bedroom</t>
  </si>
  <si>
    <t>2 - Bedroom</t>
  </si>
  <si>
    <t>3 - Bedroom</t>
  </si>
  <si>
    <t>4 - Bedroom</t>
  </si>
  <si>
    <t>Building Areas (per building)</t>
  </si>
  <si>
    <t>Building Area</t>
  </si>
  <si>
    <t>Total Square Ft</t>
  </si>
  <si>
    <t>Apartment</t>
  </si>
  <si>
    <t>Storage, active</t>
  </si>
  <si>
    <t>Storage, inactive</t>
  </si>
  <si>
    <t>Corridor/Transition</t>
  </si>
  <si>
    <t>Stairs - Active</t>
  </si>
  <si>
    <t>Restroom</t>
  </si>
  <si>
    <t>Conference/meeting/multipurpose</t>
  </si>
  <si>
    <t>Electrical/Mechanical</t>
  </si>
  <si>
    <t>Workshop</t>
  </si>
  <si>
    <t>Parking garage</t>
  </si>
  <si>
    <t>Nonresidential Spaces (ie. commercial)</t>
  </si>
  <si>
    <t>Type of Garage</t>
  </si>
  <si>
    <t>T&amp;V Protocol Number and Description</t>
  </si>
  <si>
    <t>T&amp;V Worksheet</t>
  </si>
  <si>
    <t>Potential Inspection Schedule Categories</t>
  </si>
  <si>
    <t>Protocol 1.1 - ENERGY STAR Qualified Appliances</t>
  </si>
  <si>
    <t>1.1 - APPLIANCES</t>
  </si>
  <si>
    <t>Post-Completion</t>
  </si>
  <si>
    <t>Protocol 2.1 - Central DHW Systems (Serving 5 units or more)</t>
  </si>
  <si>
    <t>2.1-2.2, 5.1, 5.3 - HEATING&amp;DHW</t>
  </si>
  <si>
    <t>Finishes</t>
  </si>
  <si>
    <t>Protocol 2.2 - Distributed DHW (Individual Apartment) Systems</t>
  </si>
  <si>
    <t>Protocol 3.1 - Wall Construction/Insulation, R-value</t>
  </si>
  <si>
    <t>3.1 - ENV_BELOW GRADE WALL</t>
  </si>
  <si>
    <t>Pre-Drywall</t>
  </si>
  <si>
    <t>3.1 - ENV_ABOVE GRADE WALL</t>
  </si>
  <si>
    <t>8.1 - INF_EXT AIR BARRIER</t>
  </si>
  <si>
    <t>Protocol 3.2 - Roof Construction/Insulation, R-value</t>
  </si>
  <si>
    <t>3.2 - ENV_ROOF</t>
  </si>
  <si>
    <t>Protocol 3.3 - Floor Construction/Insulation, R-value</t>
  </si>
  <si>
    <t>3.3 - ENV_FLOORS</t>
  </si>
  <si>
    <t>Protocol 3.4 - Window Selection, U-value, and SHGC</t>
  </si>
  <si>
    <t>3.4 - ENV_WINDOWS</t>
  </si>
  <si>
    <t xml:space="preserve">Protocol 3.5 - Exterior Door Selection, Entranceway Design, Use of Vestibules, Weather-stripping, and Air Leakage </t>
  </si>
  <si>
    <t>3.5 - ENV_EXTERIOR DOORS</t>
  </si>
  <si>
    <t>Protocol 4.1 – Heating and Compartmentalization</t>
  </si>
  <si>
    <t>4.1 - GARAGES_CMPTZ &amp; HEATING</t>
  </si>
  <si>
    <t>Protocol 5.1 - Central Heating Systems (Serving 5 units or more)</t>
  </si>
  <si>
    <t>Protocol 5.2 - Central Cooling Systems (Serving 5 units or more)</t>
  </si>
  <si>
    <t>5.2, 5.4 - COOLING</t>
  </si>
  <si>
    <t>Protocol 5.3 - Distributed (Individual Apartment) Heating Systems</t>
  </si>
  <si>
    <t>Protocol 5.4 - Distributed (Individual Apartment) Cooling Systems</t>
  </si>
  <si>
    <t>Protocol 6.1 - Common Areas, In-Unit, Garage and Exterior Lighting</t>
  </si>
  <si>
    <t>6.1, 6.2, 6.3 - LIGHTING</t>
  </si>
  <si>
    <t>Protocol 6.2 – Emergency Lighting (Exit Signs)</t>
  </si>
  <si>
    <t>Protocol 6.3 – Controls</t>
  </si>
  <si>
    <t>Protocol 7.1 - Motors</t>
  </si>
  <si>
    <t>7.1 - MOTORS</t>
  </si>
  <si>
    <t>Protocol 8.1 - Envelope Air Sealing and Total Air Leakage - Common Area, Apartments, and Exterior</t>
  </si>
  <si>
    <t>8.1-INF_COMPTZN VIS INSPECTION</t>
  </si>
  <si>
    <t>8.1 - INF_BLOWER DOOR TEST</t>
  </si>
  <si>
    <t>Protocol 8.2 - Common Area and In-Unit Ventilation (CFM), Intake Source, and Intake/Exhaust Fan Efficiency</t>
  </si>
  <si>
    <t>8.2 - VENT_SCHEDULE&amp;TAB REPORT</t>
  </si>
  <si>
    <t>8.2 - VENT_DUCT TIGHTNESS</t>
  </si>
  <si>
    <t>Protocol 9.1 - Metering Configuration</t>
  </si>
  <si>
    <t>9.1 - METERS</t>
  </si>
  <si>
    <r>
      <t xml:space="preserve">1) Review plan review comments to confirm project specifications meet or exceed the requirements listed in the </t>
    </r>
    <r>
      <rPr>
        <i/>
        <sz val="10"/>
        <color indexed="8"/>
        <rFont val="Arial"/>
        <family val="2"/>
      </rPr>
      <t>Modified Prescriptive Path</t>
    </r>
    <r>
      <rPr>
        <sz val="10"/>
        <color indexed="8"/>
        <rFont val="Arial"/>
        <family val="2"/>
      </rPr>
      <t>.</t>
    </r>
  </si>
  <si>
    <r>
      <t xml:space="preserve">2) Review inspection comments to confirm the Final Building meets or exceeds the requirements listed in the </t>
    </r>
    <r>
      <rPr>
        <i/>
        <sz val="10"/>
        <color indexed="8"/>
        <rFont val="Arial"/>
        <family val="2"/>
      </rPr>
      <t>Modified Prescriptive Path</t>
    </r>
    <r>
      <rPr>
        <sz val="10"/>
        <color indexed="8"/>
        <rFont val="Arial"/>
        <family val="2"/>
      </rPr>
      <t>.</t>
    </r>
  </si>
  <si>
    <t xml:space="preserve">Building Component </t>
  </si>
  <si>
    <t>Modified Prescriptive Path Requirement</t>
  </si>
  <si>
    <t>Date Revised:
By:</t>
  </si>
  <si>
    <t># REVIEW:  75% and 100% Design Completion Review
Prepared by:
Date:</t>
  </si>
  <si>
    <t>Proposed Method of Compliance 
(by PM/client)</t>
  </si>
  <si>
    <t xml:space="preserve">Plan Review Comments </t>
  </si>
  <si>
    <t>Location (dwg / spec)</t>
  </si>
  <si>
    <t xml:space="preserve">Inspection Comments </t>
  </si>
  <si>
    <t>APPLIANCES</t>
  </si>
  <si>
    <t>Dryer</t>
  </si>
  <si>
    <t xml:space="preserve">No requirements.  Enter Fuel: Gas or Electric         </t>
  </si>
  <si>
    <t>DOMESTIC HOT WATER</t>
  </si>
  <si>
    <t xml:space="preserve">DHW measures listed below must comply with ASHRAE Standard 90.1-2007 Section 7.4 and 7.5 in addition to the listed requirements below. </t>
  </si>
  <si>
    <t>Domestic Hot Water-Type &amp; Efficiency</t>
  </si>
  <si>
    <t>ENERGY STAR labeled, where applicable AND
Select one based on Proposed Design:
Central Oil or Gas Boiler: 85% Thermal Efficiency
In-Unit Gas Storage: 0.69-0.002V EF; 
In-Unit Electric Storage: 0.97-0.001V EF</t>
  </si>
  <si>
    <t>Domestic Hot Water - Storage Capacity</t>
  </si>
  <si>
    <t>If storage is provided, the maximum storage tank capacity shall be specified based on occupancy.</t>
  </si>
  <si>
    <t>Domestic Hot Water - Low Flow Fixtures</t>
  </si>
  <si>
    <t>Showerheads: 1.75 gpm and WaterSense labeled
Kitchen Faucets: 2.0 gpm
Lavatory Faucets: WaterSense labeled</t>
  </si>
  <si>
    <t xml:space="preserve">ENVELOPE </t>
  </si>
  <si>
    <t>The envelope measures listed below must comply with ASHRAE Standard 90.1-2007 Section 5.4 in addition to the listed requirements.</t>
  </si>
  <si>
    <t>Enter value from Table 2: Climate Specific Envelope Requirements for appropriate climate zone</t>
  </si>
  <si>
    <t>Floor Perimeter/Plank Edge Insulation</t>
  </si>
  <si>
    <t>Floor Insulation Above Unconditioned Space</t>
  </si>
  <si>
    <t>Below Grade Slab Floor Insulation</t>
  </si>
  <si>
    <t>Slab-on-Grade Insulation (unheated)</t>
  </si>
  <si>
    <t>Slab-on-Grade Insulation (embedded heated only)</t>
  </si>
  <si>
    <t>Exterior Doors</t>
  </si>
  <si>
    <t>HEATING &amp; COOLING</t>
  </si>
  <si>
    <t>The Heating and Cooling measures listed below must comply with ASHRAE Standard 90.1-2007 Section 6.4 and 6.5 in addition to the listed requirements below.</t>
  </si>
  <si>
    <t>Space Heating - Type &amp; Efficiency</t>
  </si>
  <si>
    <t>Enter value from Table 1 Modified Prescriptive Path – Minimum Heating and Cooling Equipment Efficiencies for appropriate climate zone and system</t>
  </si>
  <si>
    <t>Heating Terminal Units - Electric or Freeze Protection</t>
  </si>
  <si>
    <t>Not applicable in Baseline</t>
  </si>
  <si>
    <t>Space Heating - Sizing</t>
  </si>
  <si>
    <t>Load sizing calculations must reflect the design. The installed capacity cannot exceed design by more than 20%, except when smaller sizes are not available.</t>
  </si>
  <si>
    <t>Space Heating - Design Temperatures</t>
  </si>
  <si>
    <t>No requirements.</t>
  </si>
  <si>
    <t>Space Heating - Controls</t>
  </si>
  <si>
    <t>Terminal heating and cooling distribution equipment serving an apartment shall be controlled by a thermostat(s) within the same apartment.</t>
  </si>
  <si>
    <t>Thermostat Setting</t>
  </si>
  <si>
    <t>Space Cooling - Type and Efficiency</t>
  </si>
  <si>
    <t>Space Cooling - Sizing</t>
  </si>
  <si>
    <t>Space Cooling - Controls</t>
  </si>
  <si>
    <t xml:space="preserve">LIGHTING </t>
  </si>
  <si>
    <t>The lighting measures listed below must comply with ASHRAE Standard 90.1-2007 Section 9.4 in addition to the listed requirements.</t>
  </si>
  <si>
    <t>Lighting Controls</t>
  </si>
  <si>
    <t>Occupancy Sensors in all spaces iintended for 24-hour operation such as corridors and stairwell</t>
  </si>
  <si>
    <t>All light fixtures in non‐apartment spaces, including hallways, stairwells, lobbies, elevators and decorative fixtures, shall have combined lamp and ballast efficacies meeting or exceeding ENERGY STAR specifications. Alternatively, T‐5 or T‐8 lamps with electronic ballasts or ENERGY STAR qualified screw‐in lamps may be used.  Total specified lighting power for the combined non‐apartment spaces should not exceed ASHRAE 90.1‐2007 allowances for those combined spaces.</t>
  </si>
  <si>
    <t>Exit Signs</t>
  </si>
  <si>
    <t>5 W/face</t>
  </si>
  <si>
    <t>Exterior Lights</t>
  </si>
  <si>
    <t>All outdoor lighting fixtures shall have combined lamp and ballast efficacies meeting or exceeding ENERGY STAR specifications.  Overall in‐unit lighting power density may not exceed 0.7 W/ft2. When calculating
overall lighting power density, use 0.7 W/ft2 for spaces where lighting is not installed.For spaces where installed light fixtures do not meet illumination requirements and occupants are expected to provide supplemental lighting (e.g. bedrooms), assume the
installed light fixture can illuminate at most 3 ft2 per Watt installed.Total specified exterior lighting power cannot exceed ASHRAE 90.1‐2007 allowances.
Trade‐offs are only allowed as specified in ASHRAE 90.1‐2007 Table 9.4.5.</t>
  </si>
  <si>
    <t>Garage Lighting</t>
  </si>
  <si>
    <t>See above.</t>
  </si>
  <si>
    <t>All hard‐wired lighting fixtures and ceiling fans installed within apartments shall meet or exceed ENERGY STAR specifications (see Appendix B). ENERGY STAR qualified screw‐in lamps may be used in the following applications only: closets, storage spaces, and other locations that are not within habitable living space.</t>
  </si>
  <si>
    <t>MOTORS (3-PHASE , &gt; 1 HP)</t>
  </si>
  <si>
    <t>Heating Circulating Pumps</t>
  </si>
  <si>
    <t>All three-phase pump motors 1 horse-power or larger shall meet or exceed efficiency standards for NEMA Premium™ motors, where available. Motors 5 horse-power or larger for circulating pumps serving hydronic heating or cooling systems must be specified with variable frequency drives.</t>
  </si>
  <si>
    <t>Cooling Circulating Pumps and Cooling Tower Fans</t>
  </si>
  <si>
    <t>DHW Circulating Pumps</t>
  </si>
  <si>
    <t>All three-phase pump motors 1 horse-power or larger shall meet or exceed efficiency standards for NEMA Premium™ motors, where available.</t>
  </si>
  <si>
    <t>VENTILATION</t>
  </si>
  <si>
    <t>Ventilation: Thermal
(Apartments and Non-Corridor Spaces)</t>
  </si>
  <si>
    <t>Apartment: No less than ASHRAE 62.2-2007 rates, but not to exceed ASHRAE 62.2-2007 rates by more than 50%
Non-Corridor: No less than ASHRAE 62.1-2007 rates, but not to exceed ASHRAE 62.1-2007 rates by more than 50%</t>
  </si>
  <si>
    <t>Ventilation: Thermal
Corridors</t>
  </si>
  <si>
    <t>Corridor: No less than ASHRAE 62.1-2007 rates, but not to exceed ASHRAE 62.1-2007 rates by more than 50%</t>
  </si>
  <si>
    <t>Ventilation: Thermal
(Heat Recovery)</t>
  </si>
  <si>
    <t>Ventilation: Thermal
(Duct Sealing)</t>
  </si>
  <si>
    <t>10 CFM per floor per shaft for ventilation duct leakage for central systems</t>
  </si>
  <si>
    <t>Ventilation: Electric
(Apartments)</t>
  </si>
  <si>
    <t>Ventilation: Electric
(Non-Apartment)</t>
  </si>
  <si>
    <t>Ventilation: Demand  Control</t>
  </si>
  <si>
    <t>Ventilation: Thermal &amp; Electric
(Garage Exhaust fan)</t>
  </si>
  <si>
    <t>MISC.</t>
  </si>
  <si>
    <t>Renewables</t>
  </si>
  <si>
    <t>&lt;Enter information about renewable system if specified&gt;</t>
  </si>
  <si>
    <t>CHP</t>
  </si>
  <si>
    <r>
      <t xml:space="preserve">1) For </t>
    </r>
    <r>
      <rPr>
        <i/>
        <sz val="10"/>
        <color indexed="8"/>
        <rFont val="Arial"/>
        <family val="2"/>
      </rPr>
      <t>Modified Prescriptive Path</t>
    </r>
    <r>
      <rPr>
        <sz val="10"/>
        <color indexed="8"/>
        <rFont val="Arial"/>
        <family val="2"/>
      </rPr>
      <t xml:space="preserve"> projects, this tab confirms all requirements of the</t>
    </r>
    <r>
      <rPr>
        <i/>
        <sz val="10"/>
        <color indexed="8"/>
        <rFont val="Arial"/>
        <family val="2"/>
      </rPr>
      <t xml:space="preserve"> Modified Prescriptive Path</t>
    </r>
    <r>
      <rPr>
        <sz val="10"/>
        <color indexed="8"/>
        <rFont val="Arial"/>
        <family val="2"/>
      </rPr>
      <t xml:space="preserve"> have been met or exceeded.</t>
    </r>
  </si>
  <si>
    <r>
      <t xml:space="preserve">2) Complete all </t>
    </r>
    <r>
      <rPr>
        <i/>
        <sz val="10"/>
        <color indexed="8"/>
        <rFont val="Arial"/>
        <family val="2"/>
      </rPr>
      <t>T&amp;V Worksheets</t>
    </r>
    <r>
      <rPr>
        <sz val="10"/>
        <color indexed="8"/>
        <rFont val="Arial"/>
        <family val="2"/>
      </rPr>
      <t xml:space="preserve"> and this checklist will be automatically updated.</t>
    </r>
  </si>
  <si>
    <t>3) Review the checklist and add clarificaiton in the Comments column for any items that have not been verified or are not applicable.</t>
  </si>
  <si>
    <r>
      <t xml:space="preserve">4) Submit to NYSERDA twice, once after all </t>
    </r>
    <r>
      <rPr>
        <i/>
        <sz val="10"/>
        <color indexed="8"/>
        <rFont val="Arial"/>
        <family val="2"/>
      </rPr>
      <t>Modified Prescriptive Path</t>
    </r>
    <r>
      <rPr>
        <sz val="10"/>
        <color indexed="8"/>
        <rFont val="Arial"/>
        <family val="2"/>
      </rPr>
      <t xml:space="preserve"> requirements have been verified in design and again after the final inspection.</t>
    </r>
  </si>
  <si>
    <t>&lt;Select One - Plan Review or Final Inspection&gt;</t>
  </si>
  <si>
    <r>
      <rPr>
        <b/>
        <i/>
        <sz val="9"/>
        <rFont val="Arial"/>
        <family val="2"/>
      </rPr>
      <t>Modified Prescriptive Path</t>
    </r>
    <r>
      <rPr>
        <b/>
        <sz val="9"/>
        <rFont val="Arial"/>
        <family val="2"/>
      </rPr>
      <t xml:space="preserve">
The proposed design shall AT LEAST meet each of these requirements for each indicated measure or system, or applicable Local, State, or National codes, whichever is more stringent.
</t>
    </r>
  </si>
  <si>
    <t>Location in Specs/ DWGs</t>
  </si>
  <si>
    <t>Verified in Plan Review</t>
  </si>
  <si>
    <t>Verified by Inspector</t>
  </si>
  <si>
    <t>Comments</t>
  </si>
  <si>
    <t>EPA Multifamily Highrise Program - Unique Prescriptive Path Requirements</t>
  </si>
  <si>
    <t>NYSERDA Multifamily Performance Program - Unique Prescriptive Path Requirements</t>
  </si>
  <si>
    <t>1.  Appliances</t>
  </si>
  <si>
    <t>(a)  Appliances</t>
  </si>
  <si>
    <t xml:space="preserve">When provided in common areas and/or apartments, refrigerators, dishwashers, clothes washers, ceiling fans and vending machines must be ENERGY STAR qualified.
</t>
  </si>
  <si>
    <t>-</t>
  </si>
  <si>
    <t>2.  Domestic Water Heating</t>
  </si>
  <si>
    <t>(a) General</t>
  </si>
  <si>
    <t>Domestic water heating systems must comply with ASHRAE 90.1-2007 Sections 7.4 and 7.5.</t>
  </si>
  <si>
    <t>(b) Water Heating Type and Efficiency</t>
  </si>
  <si>
    <r>
      <t xml:space="preserve">Domestic water heating equipment shall be ENERGY STAR qualified, where applicable, and meet minimum efficiencies below. Atmospherically vented gas water heaters, tankless coils and side-arm water heaters shall not be specified.
</t>
    </r>
    <r>
      <rPr>
        <u/>
        <sz val="9"/>
        <color indexed="8"/>
        <rFont val="Arial"/>
        <family val="2"/>
      </rPr>
      <t>Water Heater Minimum Efficiencies</t>
    </r>
    <r>
      <rPr>
        <sz val="9"/>
        <color indexed="8"/>
        <rFont val="Arial"/>
        <family val="2"/>
      </rPr>
      <t xml:space="preserve">
      •  In-Unit Electric OR Gas Water Heaters (storage or instantaneous)
         - Gas (EF): 0.69-(0.002 x Tank Gallon Capacity)
         - Electric (EF): 0.97-(0.001 x Tank Gallon Capacity)
      •  Hot Water Supply Boiler (Oil or Gas): 85% Et</t>
    </r>
  </si>
  <si>
    <t>(c) Water Heating Temperature</t>
  </si>
  <si>
    <t>The temperature setting of in-unit storage water heaters must not exceed 140°F. For both in-unit and central DHW systems, temperatures measured at faucets and showerheads must not exceed 125°F.</t>
  </si>
  <si>
    <t>(d) Water Heating Controls</t>
  </si>
  <si>
    <t>Self-contained or electronic mixing valves shall be used to control hot water temperature for central domestic water heating systems.</t>
  </si>
  <si>
    <t>(e) Water Heating Pipe Insulation</t>
  </si>
  <si>
    <t>Piping carrying liquid with temperatures greater than 105°F must have a minimum of 1” of insulation. Pipes over 1.5” in diameter must have a minimum of 1.5” of insulation. Extent and location to be determined by ASHRAE 90.1-2007 Section 7.4.3 or local code.</t>
  </si>
  <si>
    <t>(f) Plumbing Fixtures</t>
  </si>
  <si>
    <t xml:space="preserve">• The average flow rate for all showers must be ≤ 1.75 gallons per minute per stall (as rated at 80 psi) and all showerheads must be WaterSense labeled. 
• All lavatory faucets or aerators must be WaterSense labeled. 
• The average flow rate for all other faucets must be ≤ 2.0 gallons per minute (as rated at 80 psi). </t>
  </si>
  <si>
    <t>3.  Envelope</t>
  </si>
  <si>
    <r>
      <t xml:space="preserve">Assembly U-value determinations must follow ASHRAE 90.1-2007, Appendix A.
</t>
    </r>
    <r>
      <rPr>
        <sz val="9"/>
        <color indexed="8"/>
        <rFont val="Arial"/>
        <family val="2"/>
      </rPr>
      <t>See Tables 2 and 3 for climate specific envelope requirements for the following components: roof insulation; above grade and below grade wall insulation; floor and slab insulation; exterior doors; and vertical glazing.</t>
    </r>
  </si>
  <si>
    <t>• Below Grade Walls</t>
  </si>
  <si>
    <t>• Above Grade Walls</t>
  </si>
  <si>
    <t>• Floor Perimeter/ Plank Edges</t>
  </si>
  <si>
    <t>• Roof</t>
  </si>
  <si>
    <t>• Floors Over Unconditioned Spaces</t>
  </si>
  <si>
    <t>• Below Grade Slab Floors</t>
  </si>
  <si>
    <t>• Slab-On-Grade Floors (unheated Only)</t>
  </si>
  <si>
    <t>• Slab-On-Grade Floors (embedded heated Only)</t>
  </si>
  <si>
    <t>• Exterior Doors</t>
  </si>
  <si>
    <t>The envelope components must comply with ASHRAE 90.1-2007 Sections 5.4.
All roof, wall, floor and slab insulation shall achieve RESNET-defined Grade I installation or, alternatively, Grade II for surfaces with continuous insulation (≥R-3 in CZ1-4 and ≥R-5 in CZ 5-8).</t>
  </si>
  <si>
    <t>For steel-framed and metal buildings, continuous exterior insulation is required on above grade walls. For masonry buildings with metal framing, continuous interior or exterior insulation is required on above grade walls.</t>
  </si>
  <si>
    <t>(b) Vertical Glazing</t>
  </si>
  <si>
    <t>Specified windows must be double or triple-pane, with low-emissivity glass or coatings. 
Based on the climate zone, the specified windows meet the Prescriptive requirements.</t>
  </si>
  <si>
    <t>Specified windows must be double or triple-pane, with low-emissivity glass or coatings. 
Based on the climate zone, the specified windows meet the Prescriptive requirements.
Window frames must be separated from conductive framing (metal &amp; masonry studs, lintels &amp; sills) with insulation designed to serve as a thermal break.</t>
  </si>
  <si>
    <t>Maximum allowable glazing area: 40% Window-to-Wall Ratio</t>
  </si>
  <si>
    <t>(c) Vestibules</t>
  </si>
  <si>
    <t>When required by local building code, entranceways shall be designed with vestibules with weather-stripping hard-fastened to the door or frame.</t>
  </si>
  <si>
    <t>(d) AC Sleeves</t>
  </si>
  <si>
    <t>If installing sleeves for through-wall AC units, insulated covers (R-7 or higher) must be provided by the building for use during heating season and when AC units are not installed.</t>
  </si>
  <si>
    <t>4. Garages and Sidewalks</t>
  </si>
  <si>
    <t>(a) Air Infiltration</t>
  </si>
  <si>
    <t>Attached garages shall be fully compartmentalized from the rest of the building through air sealing.  All pipe and conduit penetrations shall be sealed with material compatible with the surface and resilient to temperature fluctuations.</t>
  </si>
  <si>
    <t>(b) Heated Garages</t>
  </si>
  <si>
    <t>Garages shall not be heated for comfort or to prevent pipes from freezing.  Piping design and layout shall locate piping within conditioned spaces or grouped and properly insulated to prevent freezing. Heat tracing for freeze protection may not be used.</t>
  </si>
  <si>
    <t>(c) Ice Prevention</t>
  </si>
  <si>
    <t>Radiant heating, either wall or ceiling-mounted or within the garage floor (or sidewalks) may be used to prevent ice formation on the ground as a safety feature only and temperature-based controls  must comply with ASHRAE 90.1-2007 Section 6.4.3.8.</t>
  </si>
  <si>
    <t>5. Heating and Cooling</t>
  </si>
  <si>
    <t>The heating and cooling systems must comply with ASHRAE 90.1-2007 Sections 6.4 and 6.5.</t>
  </si>
  <si>
    <t>• Heating</t>
  </si>
  <si>
    <t>• Cooling</t>
  </si>
  <si>
    <t>(b) Heating System Type</t>
  </si>
  <si>
    <t>Atmospherically vented gas furnaces and boilers shall not be specified.</t>
  </si>
  <si>
    <t xml:space="preserve">Heating equipment shall be ENERGY STAR qualified, where applicable. Atmospherically vented gas furnaces and boilers shall not be specified. </t>
  </si>
  <si>
    <t>(c) Electric Resistance Heating</t>
  </si>
  <si>
    <t>Electric resistance space heating not permitted in any space.
If the prescriptive Heating Season Performance Factors are met for air-source heat pumps, electric resistance back-up heating is allowed, if programmable thermostats with adaptive recovery technology are installed.</t>
  </si>
  <si>
    <t>(d) Heating System Sizing and Efficiency</t>
  </si>
  <si>
    <t>Load sizing calculations must reflect the design; installed capacity cannot exceed design by more than 20%, except when smaller sizes are not available.
Heating loads shall be calculated, equipment capacity shall be selected, and duct systems shall be sized according to the latest editions of ACCA Manual J, S, &amp; D, respectively, ASHRAE 2009 Handbook of Fundamentals, or a substantively equivalent procedure. Indoor temperatures shall be 70°F for heating, outdoor temperatures shall be the 99.0% design temperature, as published by the ASHRAE Handbook of Fundamentals.</t>
  </si>
  <si>
    <t>Based on the climate zone, the specified heating equipment meets the Prescriptive requirements for efficiency.</t>
  </si>
  <si>
    <t>(e) Cooling System Sizing and Efficiency</t>
  </si>
  <si>
    <t>Load sizing calculations must reflect the design; installed capacity cannot exceed design by more than 20%, except when smaller sizes are not available.
Cooling loads shall be calculated, equipment capacity shall be selected, and duct systems shall be sized according to the latest editions of ACCA Manual J, S, &amp; D, respectively, ASHRAE 2009 Handbook of Fundamentals, or a substantively equivalent procedure. Indoor temperatures shall be 75°F for cooling, outdoor temperatures shall be the 1.0% design temperature, as published by the ASHRAE Handbook of Fundamentals.</t>
  </si>
  <si>
    <t xml:space="preserve">Based on the climate zone, the specified cooling equipment meets the Prescriptive requirements for efficiency. </t>
  </si>
  <si>
    <t>Based on the climate zone, the specified cooling equipment meets the Prescriptive requirements for efficiency.  Cooling equipment shall be ENERGY STAR qualified, where applicable.</t>
  </si>
  <si>
    <t>(f) Control Valves</t>
  </si>
  <si>
    <t>For hydronic distribution systems, all terminal heating and cooling distribution equipment must be separated from the riser or distribution loop by a control valve or terminal distribution pump, so that heated or cooled fluid is not delivered to the apartment distribution equipment when there is no call from the apartment thermostats.</t>
  </si>
  <si>
    <t>(f) Flexible Ducts</t>
  </si>
  <si>
    <r>
      <t xml:space="preserve">Heating and cooling ductwork that is specified as flex duct shall follow the Sheet Metal and Air Conditioning Contractors’ (SMACNA) installation standards for flex ducts (see Appendix A of the </t>
    </r>
    <r>
      <rPr>
        <i/>
        <sz val="9"/>
        <color indexed="8"/>
        <rFont val="Arial"/>
        <family val="2"/>
      </rPr>
      <t>Modified Prescriptive Path</t>
    </r>
    <r>
      <rPr>
        <sz val="9"/>
        <color indexed="8"/>
        <rFont val="Arial"/>
        <family val="2"/>
      </rPr>
      <t>).</t>
    </r>
  </si>
  <si>
    <t>(h) Duct Sealing and Insulation</t>
  </si>
  <si>
    <t>Heating and cooling ductwork shall be sealed at all transverse joints and connections, including ductwork connections through drywall or other finish materials, using UL‐181 compliant methods and materials. Construction documents shall specify that ductwork must be inspected before access is covered up.</t>
  </si>
  <si>
    <r>
      <t>Total duct leakage for in-unit systems shall be ≤8 CFM25 per 100 ft</t>
    </r>
    <r>
      <rPr>
        <vertAlign val="superscript"/>
        <sz val="9"/>
        <color indexed="8"/>
        <rFont val="Arial"/>
        <family val="2"/>
      </rPr>
      <t>2</t>
    </r>
    <r>
      <rPr>
        <sz val="9"/>
        <color indexed="8"/>
        <rFont val="Arial"/>
        <family val="2"/>
      </rPr>
      <t xml:space="preserve"> of conditioned floor area</t>
    </r>
    <r>
      <rPr>
        <sz val="9"/>
        <color indexed="8"/>
        <rFont val="Arial"/>
        <family val="2"/>
      </rPr>
      <t xml:space="preserve">. Sampling procedures and tolerances are described in the </t>
    </r>
    <r>
      <rPr>
        <i/>
        <sz val="9"/>
        <color indexed="8"/>
        <rFont val="Arial"/>
        <family val="2"/>
      </rPr>
      <t>T&amp;V Worksheets</t>
    </r>
    <r>
      <rPr>
        <sz val="9"/>
        <color indexed="8"/>
        <rFont val="Arial"/>
        <family val="2"/>
      </rPr>
      <t>.</t>
    </r>
  </si>
  <si>
    <t>Heating and cooling supply and return ductwork shall be insulated to a minimum R-8 in unconditioned space.</t>
  </si>
  <si>
    <t>Heating and cooling supply and return ductwork shall be insulated to a minimum R-8 in unconditioned space and R-4 in conditioned space.</t>
  </si>
  <si>
    <t>(i) Piping Insulation</t>
  </si>
  <si>
    <t>Piping carrying fluid with temperatures less than 60°F, must have a minimum of 1” of insulation. Pipes over 1.5” in diameter must have a minimum of 1.5” of insulation.  Construction documents shall specify that the piping must be inspected before access is covered up. Extent and location to be determined by ASHRAE 90.1-2007 Section 6.4.4.1.3 or local code.</t>
  </si>
  <si>
    <t xml:space="preserve">Piping carrying fluid or steam with temperatures greater than 105°F, must have a minimum of 1” of insulation. Pipes over 1.5” in diameter must have a minimum of 1.5” of insulation.  Construction documents shall specify that the piping must be inspected before access is covered up. Extent and location to be determined by ASHRAE 90.1-2007 Section 6.4.4.1.3 or local code.  </t>
  </si>
  <si>
    <t>(j) Outside Air Dampers</t>
  </si>
  <si>
    <t>For systems designed with outdoor-air supplied to the heating, cooling, or ventilation distribution system, provide motorized dampers that will automatically shut when systems or spaces are not in use.  Continuously running ventilation would not be subject to either damper, as they are always in use.</t>
  </si>
  <si>
    <t>• Ventilation</t>
  </si>
  <si>
    <t>(k) Thermostats</t>
  </si>
  <si>
    <t>(l) Hydronic Distribution Design</t>
  </si>
  <si>
    <t>For hydronic distribution systems, all supply/return headers must be designed in a “reverse return” configuration (i.e. first riser supplied is the last returned, etc.) and/or sized based on a water velocity of less than 4 ft/s.  Total pressure drop of terminal unit branch piping and fittings between a supply and return riser must be significantly greater than the total pressure drop from the top to the bottom of these risers.</t>
  </si>
  <si>
    <t>Calculations and assumptions for sizing circulating pumps must meet Chapter 43 of the ASHRAE Handbook, HVAC Systems and Equipment or equivalent industry accepted standard.</t>
  </si>
  <si>
    <t>(m) Duct Distribution Design</t>
  </si>
  <si>
    <r>
      <t xml:space="preserve">For in-unit forced air distribution systems, perform design calculations (using </t>
    </r>
    <r>
      <rPr>
        <i/>
        <sz val="9"/>
        <color indexed="8"/>
        <rFont val="Arial"/>
        <family val="2"/>
      </rPr>
      <t>ACCA Manuals J and D</t>
    </r>
    <r>
      <rPr>
        <sz val="9"/>
        <color indexed="8"/>
        <rFont val="Arial"/>
        <family val="2"/>
      </rPr>
      <t xml:space="preserve">, the ASHRAE Handbook of Fundamentals, or an equivalent procedure) and install ducts accordingly. </t>
    </r>
  </si>
  <si>
    <t>Bedroom must be pressure-balanced using any combination of transfer grills, jump ducts, dedicated return ducts, and/or undercut doors.</t>
  </si>
  <si>
    <t>6.  Lighting</t>
  </si>
  <si>
    <t/>
  </si>
  <si>
    <t>(a) Occupancy Controls</t>
  </si>
  <si>
    <t>All non-apartment spaces, except those where automatic shutoff would endanger the safety of occupants, must have occupancy sensors or automatic bi-level lighting controls. Automatic controls must be specified for spaces intended for 24-hour operation such as corridors and stairwells.</t>
  </si>
  <si>
    <t>(b) Common Area Lighting</t>
  </si>
  <si>
    <t>80% of installed light fixtures must be ENERGY STAR qualified or have ENERGY STAR qualified lamps installed.</t>
  </si>
  <si>
    <t>All light fixtures in non-apartments spaces, including hallways, stairwells, lobbies, elevators and decorative fixtures, shall have a combined lamp and ballast efficacies meeting or exceeding ENERGY STAR specifications.  Alternatively, T-5 or T-8 lamps with electronic ballasts or ENERGY STAR qualified screw-in lamps may be used.</t>
  </si>
  <si>
    <r>
      <t xml:space="preserve">Total specified lighting power for the combined non-apartment spaces must not exceed ASHRAE 90.1-2010 allowances for those combined spaces. 
Lighting power densities and allowances must be determined using ASHRAE 90.1-2010, Table 9.5.1 or Table 9.6.1. For senior living, an increase in lighting power densities and allowances corresponding to the increase in footcandles, is permitted.
If following the </t>
    </r>
    <r>
      <rPr>
        <i/>
        <sz val="9"/>
        <rFont val="Arial"/>
        <family val="2"/>
      </rPr>
      <t>Modified Prescriptive Path</t>
    </r>
    <r>
      <rPr>
        <sz val="9"/>
        <rFont val="Arial"/>
        <family val="2"/>
      </rPr>
      <t xml:space="preserve">, when calculating overall lighting power density, use 1.1 W/ft2 for spaces where lighting is not installed.
</t>
    </r>
  </si>
  <si>
    <t>(c) Exit Signs</t>
  </si>
  <si>
    <t>All exit signs shall be specified as LED (not to exceed 5W per face) or photo-luminescent and shall conform to local building code; fixtures located above stairwell doors and other forms of egress shall contain a battery back-up feature.</t>
  </si>
  <si>
    <t>(d) Exterior Lighting</t>
  </si>
  <si>
    <t>Fixtures must include automatic switching on timers or photocell controls except fixtures intended for 24-hour operation, required for security, or located on apartment balconies.</t>
  </si>
  <si>
    <t xml:space="preserve">80% of outdoor lighting fixtures shall be ENERGY STAR qualified or have ENERGY STAR qualified lamps installed.        </t>
  </si>
  <si>
    <t>All outdoor lighting fixtures shall have combined lamp and ballast efficacies meeting or exceeding ENERGY STAR specifications.</t>
  </si>
  <si>
    <t xml:space="preserve">Total specified exterior lighting power cannot exceed ASHRAE 90.1-2010 allowances.                    </t>
  </si>
  <si>
    <t>(e) In-Unit Lighting</t>
  </si>
  <si>
    <t>80% of installed light fixtures must be ENERGY STAR qualified or have ENERGY STAR qualified lamps installed.
Overall in-unit lighting power density may not exceed 0.75 W/ft2.</t>
  </si>
  <si>
    <t>All hard-wired lighting fixtures and ceiling fans installed within apartments shall meet or exceed ENERGY STAR specifications.  ENERGY STAR qualified screw-in lamps may be used in  the following applications only:  Closets, storage spaces, and other locations that are not within habitable living space.
Overall in-unit lighting power density may not exceed 0.7 W/ft2.</t>
  </si>
  <si>
    <t>(f) Illumination Levels</t>
  </si>
  <si>
    <r>
      <t xml:space="preserve">At a minimum, interior lighting must be designed to meet light levels (footcandles) by space type as recommended by the Illumination Engineering Society (IESNA) Lighting Handbook, 9th edition. Values for commonly used spaces are listed in the Prescriptive Path. For senior housing, minimum illumination requirements may follow recommendations in IESNA’s 2007 Lighting and the Visual Environment for Senior Living. See Appendix B of the </t>
    </r>
    <r>
      <rPr>
        <i/>
        <sz val="9"/>
        <color indexed="8"/>
        <rFont val="Arial"/>
        <family val="2"/>
      </rPr>
      <t xml:space="preserve">Modified Prescriptive Path </t>
    </r>
    <r>
      <rPr>
        <sz val="9"/>
        <color indexed="8"/>
        <rFont val="Arial"/>
        <family val="2"/>
      </rPr>
      <t>to determine lamp lumens.</t>
    </r>
  </si>
  <si>
    <t>7.  Motors</t>
  </si>
  <si>
    <t>(a) Heating Pump Motor Efficiency</t>
  </si>
  <si>
    <t>(a) Cooling Pump Motor Efficiency</t>
  </si>
  <si>
    <r>
      <t xml:space="preserve">All three-phase pump motors 1 horse-power or larger shall meet or exceed efficiency standards for NEMA Premium™ motors, where available.
</t>
    </r>
    <r>
      <rPr>
        <sz val="9"/>
        <color indexed="8"/>
        <rFont val="Arial"/>
        <family val="2"/>
      </rPr>
      <t xml:space="preserve">
Motors 5 horse-power or larger for circulating pumps serving hydronic cooling systems must be specified with variable frequency drives.
Cooling tower fan motors must be equipped with VFD controlled by a temperature sensor on the condenser water supply pipe.
</t>
    </r>
  </si>
  <si>
    <t>(a) DHW Pump Motor Efficiency</t>
  </si>
  <si>
    <t>8.  Ventilation &amp; Infiltration</t>
  </si>
  <si>
    <t>(a) Building Air Barrier</t>
  </si>
  <si>
    <t>The building plans shall demonstrate a continuous, unbroken air barrier separating the conditioned space of the building from the exterior, unconditioned spaces within the building, commercial spaces, mechanical rooms vented with unconditioned air, mechanical chases opening to unconditioned spaces, elevator shafts, and garages or other vehicle/equipment storage facilities.</t>
  </si>
  <si>
    <t>(b) Apartment Infiltration</t>
  </si>
  <si>
    <t>Apartments shall be sealed to reduce air exchange between the apartment and outside as well as the apartment and other adjacent spaces.  A maximum air leakage rate of 0.30 CFM50 per square feet of enclosure is allowed.</t>
  </si>
  <si>
    <t>(c) Non-Apartment Ventilation</t>
  </si>
  <si>
    <t>Common area ventilation systems shall be designed and tested to satisfy minimum requirements of ASHRAE 62.1-2007, without exceeding the minimum ventilation rates by more than 50%.</t>
  </si>
  <si>
    <t>Central exhaust fans 1/16 HP and less must be direct-drive and have variable speed controllers.
Central exhaust fans greater than 1/16 HP and less than 1 HP must be direct-drive with ECM motors and variable speed controllers.
Central exhaust fans 1 HP and larger must have NEMA Premium efficient motors.</t>
  </si>
  <si>
    <t xml:space="preserve">Powered common laundry ventilation must be installed with automatic demand control to turn off ventilation fans when no dryers are operating.  </t>
  </si>
  <si>
    <t>(d) In-Unit Ventilation</t>
  </si>
  <si>
    <t xml:space="preserve">Apartment ventilation systems shall be designed and tested to satisfy minimum requirements of ASHRAE 62.2-2007 based upon the anticipated occupancy, without reliance on natural ventilation and without exceeding the minimum ventilation rates by more than 50%. </t>
  </si>
  <si>
    <t>Apartment ventilation systems shall be designed and tested to satisfy minimum requirements of ASHRAE 62.2-2007 based upon the anticipated occupancy, without reliance on natural ventilation and without exceeding the minimum ventilation rates by more than 50%. 
Outdoor air must be provided to each unit directly from the outdoors.  Projects using exhaust ventilation systems must specify how outside air is delivered at the flow rate required by ASHRAE 62.2-2007.  Systems that rely on transfer air from pressurized hallways or corridors, adjacent to dwelling units, attics, etc., are prohibited.</t>
  </si>
  <si>
    <t>Central exhaust and in-line exhaust systems serving apartments must have self-balancing dampers at each grill.</t>
  </si>
  <si>
    <t>Plan Review</t>
  </si>
  <si>
    <t>Final Inspection</t>
  </si>
  <si>
    <t>Apartment in-line and ceiling exhaust fans must be ENERGY STAR qualified.</t>
  </si>
  <si>
    <t>(e) Duct sealing at joints and connections</t>
  </si>
  <si>
    <t>Ventilation system ductwork shall be sealed at all transverse joints and connections including boot to wall/ceiling connections through drywall using UL-181 compliant materials and methods. Central exhaust systems must be tested for duct leakage, which cannot exceed 10 CFM50 per floor per shaft.</t>
  </si>
  <si>
    <t>Ductwork penetrating the building envelope shall be sealed to prevent air leakage through the duct system and/or the building envelope. This includes but is not limited to roof curbs and exterior wall exhaust/intake vents.</t>
  </si>
  <si>
    <t>(f) Garage Ventilation Control</t>
  </si>
  <si>
    <t>9.  Metering</t>
  </si>
  <si>
    <t>(a) Nonresidential Associated Spaces</t>
  </si>
  <si>
    <t>Post-construction, the utility consumption of the residential-associated spaces must be capable of evaluation independent of any commercial/retail spaces. These nonresidential associated parts of the building shall be separately metered (or sub-metered) for electricity, gas, fuel oil, water, steam, and hot water for domestic and/or space heating purposes.</t>
  </si>
  <si>
    <t>(b) Direct-Metered Utilities</t>
  </si>
  <si>
    <t xml:space="preserve">For buildings that are direct-metered for utilities to the apartments, the building owner must secure signed releases from individual apartment occupants to allow for benchmarking or find alternative methods to assessing whole building energy consumption, such as a whole-building meter or asking the utility for aggregated data. All data uploaded to Portfolio Manager is strictly confidential and only used to estimate the energy performance of the building as a whole, not of individual apartments. </t>
  </si>
  <si>
    <r>
      <t xml:space="preserve">[1] Many motors are NEMA labeled and this label alone does not ensure that a motor is energy-efficient.  This requirement refers specifically to the </t>
    </r>
    <r>
      <rPr>
        <b/>
        <sz val="9"/>
        <rFont val="Times New Roman"/>
        <family val="1"/>
      </rPr>
      <t>NEMA Premium</t>
    </r>
    <r>
      <rPr>
        <sz val="9"/>
        <rFont val="Times New Roman"/>
        <family val="1"/>
      </rPr>
      <t xml:space="preserve"> energy efficient motors program.  Product specifications for NEMA Premium Motors may be found at </t>
    </r>
  </si>
  <si>
    <t>http://www.nema.org/stds/complimentary-docs/upload/MG1premium.pdf</t>
  </si>
  <si>
    <r>
      <t>Table 1</t>
    </r>
    <r>
      <rPr>
        <b/>
        <i/>
        <sz val="10"/>
        <rFont val="Arial"/>
        <family val="2"/>
      </rPr>
      <t xml:space="preserve"> Modified Prescriptive Path</t>
    </r>
    <r>
      <rPr>
        <b/>
        <sz val="10"/>
        <rFont val="Arial"/>
        <family val="2"/>
      </rPr>
      <t xml:space="preserve"> – Minimum Heating and Cooling Equipment Efficiencies</t>
    </r>
  </si>
  <si>
    <t>Equipment Type</t>
  </si>
  <si>
    <t>Minimum Efficiency per ASHRAE 90.1 2007 Climate Zones</t>
  </si>
  <si>
    <t>Room AC ( window, through-wall, ductless  mini-splits)</t>
  </si>
  <si>
    <t xml:space="preserve">ENERGY STAR qualified </t>
  </si>
  <si>
    <t>Air conditioner (&lt;13 KBtu/h)</t>
  </si>
  <si>
    <t>Air conditioner (≥13 and &lt;65 KBtu/h)</t>
  </si>
  <si>
    <t>Air conditioner ((≥65 and &lt;240 KBtu/h)</t>
  </si>
  <si>
    <t>Air conditioner (≥240  and &lt; 760 KBtu/h)</t>
  </si>
  <si>
    <t>Electric resistance space heating</t>
  </si>
  <si>
    <t xml:space="preserve">Not permitted in any space using this approach </t>
  </si>
  <si>
    <t>Warm-Air Furnace (&lt;225 KBtu/h, common areas)</t>
  </si>
  <si>
    <r>
      <t>Warm-Air Furnace (</t>
    </r>
    <r>
      <rPr>
        <b/>
        <u/>
        <sz val="8"/>
        <color indexed="8"/>
        <rFont val="Arial"/>
        <family val="2"/>
      </rPr>
      <t>&gt;</t>
    </r>
    <r>
      <rPr>
        <b/>
        <sz val="8"/>
        <color indexed="8"/>
        <rFont val="Arial"/>
        <family val="2"/>
      </rPr>
      <t>225 KBtu/h)</t>
    </r>
  </si>
  <si>
    <t>80% Et (gas)    or 81% Et (oil)</t>
  </si>
  <si>
    <t>Packaged Terminal Air Conditioner (PTAC)</t>
  </si>
  <si>
    <t>13.8 – (0.300 X Cap/1000) EER</t>
  </si>
  <si>
    <t xml:space="preserve">Packaged Terminal Heat Pump (PTHP) </t>
  </si>
  <si>
    <t>Cooling: 14.0– (0.3 X Cap/1000) EER        Heating:  3.7– (0.052 X Cap/1000) COP</t>
  </si>
  <si>
    <t xml:space="preserve">ENERGY STAR qualified
8.5HSPF </t>
  </si>
  <si>
    <t xml:space="preserve">ENERGY STAR qualified
9.25HSPF </t>
  </si>
  <si>
    <t xml:space="preserve">ENERGY STAR qualified
9.5HSPF </t>
  </si>
  <si>
    <t>Air cooled heat pump (≥65 and &lt;240 KBtu/h)</t>
  </si>
  <si>
    <t>Cooling: 11.1 EER/11.6 IEER                     Heating: 3.3 COP (@47°F DB)</t>
  </si>
  <si>
    <t>Cooling:   9.6 EER/9.6 IEER                      Heating: 3.2 COP (@47°F DB)</t>
  </si>
  <si>
    <t>Water-source  heat pump (&lt;135 KBtu/h)</t>
  </si>
  <si>
    <t>Cooling: 14.0 EER(86°F entering water) Heating: 4.2 COP(68°F entering water)</t>
  </si>
  <si>
    <t xml:space="preserve">90% AFUE </t>
  </si>
  <si>
    <t>Boilers, hot water (≥300,000 Btu/h)</t>
  </si>
  <si>
    <t>86% Et  (89% Et if using heat pumps)</t>
  </si>
  <si>
    <t>See Tables 6.8.1I and 6.8.1J of ASHRAE 90.1-2010</t>
  </si>
  <si>
    <t xml:space="preserve">Air-cooled chillers with or without condenser </t>
  </si>
  <si>
    <t xml:space="preserve">10.0 EER / 12.5 IPLV </t>
  </si>
  <si>
    <t>Water-cooled chiller, positive displacement (&lt;75 tons)</t>
  </si>
  <si>
    <t xml:space="preserve">0.780 kW/ton (Full load) /  0.630 kW/ton (IPLV) </t>
  </si>
  <si>
    <t>Water-cooled chiller, positive displacement (75-150 tons)</t>
  </si>
  <si>
    <t xml:space="preserve">0.775 kW/ton (Full load) /  0.615 kW/ton (IPLV) </t>
  </si>
  <si>
    <t>Water-cooled chiller, positive displacement (150-300tons)</t>
  </si>
  <si>
    <t xml:space="preserve">0.680 kW/ton (Full load) /  0.580 kW/ton (IPLV) </t>
  </si>
  <si>
    <t>Water-cooled chiller, positive displacement (&gt;300 tons)</t>
  </si>
  <si>
    <t xml:space="preserve">0.620 kW/ton (Full load) /  0.540 kW/ton (IPLV) </t>
  </si>
  <si>
    <t>Water-cooled, centrifugal ( &lt;300  tons)</t>
  </si>
  <si>
    <t>0.634 kW/ton (Full load) /  0.596 kW/ton (IPLV)</t>
  </si>
  <si>
    <t>Water-cooled, centrifugal (≥300 and &lt;600  tons)</t>
  </si>
  <si>
    <t>0.576 kW/ton (Full load) /  0.549 kW/ton (IPLV)</t>
  </si>
  <si>
    <t>Water-cooled, centrifugal (≥600 tons)</t>
  </si>
  <si>
    <t>0.570 kW/ton (Full load) /  0.539 kW/ton (IPLV)</t>
  </si>
  <si>
    <t>Air-cooled absorption single effect chiller</t>
  </si>
  <si>
    <t>0.6 COP</t>
  </si>
  <si>
    <t>Water-cooled absorption single effect chiller</t>
  </si>
  <si>
    <t>Absorption double effect indirect-fired chiller</t>
  </si>
  <si>
    <t>Absorption double effect direct-fired chiller</t>
  </si>
  <si>
    <r>
      <t>Open-loop propeller or axial fan cooling towers</t>
    </r>
    <r>
      <rPr>
        <b/>
        <vertAlign val="superscript"/>
        <sz val="8"/>
        <rFont val="Arial"/>
        <family val="2"/>
      </rPr>
      <t>2</t>
    </r>
  </si>
  <si>
    <t>&gt;40 gpm/hp (@95°F entering water, 85°F leaving water, 75°F web entering air)</t>
  </si>
  <si>
    <r>
      <t>Closed-loop propeller or axial fan cooling towers</t>
    </r>
    <r>
      <rPr>
        <b/>
        <vertAlign val="superscript"/>
        <sz val="8"/>
        <rFont val="Arial"/>
        <family val="2"/>
      </rPr>
      <t>2</t>
    </r>
  </si>
  <si>
    <r>
      <t>Open-loop centrifugal fan cooling towers</t>
    </r>
    <r>
      <rPr>
        <b/>
        <vertAlign val="superscript"/>
        <sz val="8"/>
        <rFont val="Arial"/>
        <family val="2"/>
      </rPr>
      <t>2</t>
    </r>
  </si>
  <si>
    <r>
      <t>Closed-loop centrifugal fan cooling towers</t>
    </r>
    <r>
      <rPr>
        <b/>
        <vertAlign val="superscript"/>
        <sz val="8"/>
        <rFont val="Arial"/>
        <family val="2"/>
      </rPr>
      <t>2</t>
    </r>
  </si>
  <si>
    <t>1.    In Climates Zones 1 through 6, if the prescriptive Heating Season Performance Factors are met for air-source heat pumps, electric resistance back-up heating is allowed, if programmable thermostats with adaptive recovery technology are installed.</t>
  </si>
  <si>
    <t xml:space="preserve">2.     In Climate Zone 7 and 8, dual-fuel backup is not required for ENERGY STAR qualified heat pumps that have no backup heating because the heat pump is capable of meeting 100% of the design heating load. </t>
  </si>
  <si>
    <t>3.     Cooling tower fan motors must be equipped with VFD controlled by a temperature sensor on the condenser water supply pipe.</t>
  </si>
  <si>
    <t>Tables 2 &amp; 3 Climate Specific Envelope Requirements for Climate Zones 1-8</t>
  </si>
  <si>
    <t>Envelope Component</t>
  </si>
  <si>
    <t>Nominal   R Value (Minimum)</t>
  </si>
  <si>
    <t>Assembly U-Value (maximum)</t>
  </si>
  <si>
    <t>Climate Zone 1</t>
  </si>
  <si>
    <t>Climate Zone 2</t>
  </si>
  <si>
    <t>Climate Zone 3</t>
  </si>
  <si>
    <t>Climate Zone 7</t>
  </si>
  <si>
    <t>Climate Zone 8</t>
  </si>
  <si>
    <t>Insulation entirely above deck</t>
  </si>
  <si>
    <t>R-25.0 continuous</t>
  </si>
  <si>
    <t>R-30.0 continuous</t>
  </si>
  <si>
    <t>U-0.039</t>
  </si>
  <si>
    <t>U-0.032</t>
  </si>
  <si>
    <t>U-0.028</t>
  </si>
  <si>
    <t>R-19.0 +    R-11.0 Ls</t>
  </si>
  <si>
    <t>R-25.0 +    R-11.0 Ls</t>
  </si>
  <si>
    <t>U-0.035</t>
  </si>
  <si>
    <t>U-0.031</t>
  </si>
  <si>
    <t>U-0.029</t>
  </si>
  <si>
    <t>U-0.021</t>
  </si>
  <si>
    <t>U-0.017</t>
  </si>
  <si>
    <t>Mass</t>
  </si>
  <si>
    <t>R-13.3 continuous</t>
  </si>
  <si>
    <t>R-15.2 continuous</t>
  </si>
  <si>
    <t>R-20.0 continuous</t>
  </si>
  <si>
    <t>U-0.123</t>
  </si>
  <si>
    <t>U-0.104</t>
  </si>
  <si>
    <t>U-0.090</t>
  </si>
  <si>
    <t>U-0.080</t>
  </si>
  <si>
    <t>U-0.071</t>
  </si>
  <si>
    <t>U-0.060</t>
  </si>
  <si>
    <t>U-0.043</t>
  </si>
  <si>
    <t>R-13.0 +  R-13.0 ci</t>
  </si>
  <si>
    <t>U-0.079</t>
  </si>
  <si>
    <t>U-0.052</t>
  </si>
  <si>
    <t>Steel-Framed</t>
  </si>
  <si>
    <t>R-13.0 + R-10.0 c.i.</t>
  </si>
  <si>
    <t>U-0.077</t>
  </si>
  <si>
    <t>U-0.055</t>
  </si>
  <si>
    <t>U-0.037</t>
  </si>
  <si>
    <t>U-0.033</t>
  </si>
  <si>
    <t>R-13.0 +  R-7.5 ci</t>
  </si>
  <si>
    <t>U-0.064</t>
  </si>
  <si>
    <t>U-0.051</t>
  </si>
  <si>
    <t>U-0.045</t>
  </si>
  <si>
    <t>Conditioned and Indirectly Conditioned space</t>
  </si>
  <si>
    <t>R-10.0 continuous</t>
  </si>
  <si>
    <t xml:space="preserve">R-10.0 continuous </t>
  </si>
  <si>
    <t>NR</t>
  </si>
  <si>
    <t>U-0.092</t>
  </si>
  <si>
    <t>U-0.075</t>
  </si>
  <si>
    <t>U-0.063</t>
  </si>
  <si>
    <t>U-0.137</t>
  </si>
  <si>
    <t>U-0.087</t>
  </si>
  <si>
    <t>U-0.057</t>
  </si>
  <si>
    <t>R-38.0 +  R-12.5 ci</t>
  </si>
  <si>
    <t>U-0.038</t>
  </si>
  <si>
    <t>U-0.023</t>
  </si>
  <si>
    <t>R-30.0 +  R-7.5 ci</t>
  </si>
  <si>
    <t>U-0.026</t>
  </si>
  <si>
    <t>R-15.0 for 24 in. + R-5 ci below</t>
  </si>
  <si>
    <t>R-10.0 for 24 in. + R-5 ci  below</t>
  </si>
  <si>
    <t>R-7.5 for 12 in. + R-5 ci below</t>
  </si>
  <si>
    <t xml:space="preserve">R-20.0 for 36 in. + R-5 ci below </t>
  </si>
  <si>
    <t>Opaque - All</t>
  </si>
  <si>
    <t>U-0.6</t>
  </si>
  <si>
    <t>U-0.4</t>
  </si>
  <si>
    <t>Vertical Glazing</t>
  </si>
  <si>
    <t>Assembly Max U.</t>
  </si>
  <si>
    <t>Assembly Max. SHGC</t>
  </si>
  <si>
    <t xml:space="preserve">Metal framing (curtain wall/ storefront) </t>
  </si>
  <si>
    <t>U-0.40</t>
  </si>
  <si>
    <t>U-0.35</t>
  </si>
  <si>
    <t>SHGC-0.25</t>
  </si>
  <si>
    <t>SHGC-0.40</t>
  </si>
  <si>
    <t>SHGC-NR</t>
  </si>
  <si>
    <t>U-0.75</t>
  </si>
  <si>
    <t>U-0.70</t>
  </si>
  <si>
    <t>U-0.45</t>
  </si>
  <si>
    <t>1) This tab serves as an overview of a project's energy efficiency components including modeling assumptions, plan review and inspection comments.</t>
  </si>
  <si>
    <t>2) The columns on the right serve as a quick visual aid to see which components were not verified, red means not verified.</t>
  </si>
  <si>
    <t>3) Rows and columns can be hidden and adjusted to condense as much as possible before printing to send to members of the project team.</t>
  </si>
  <si>
    <t>Project Code:</t>
  </si>
  <si>
    <t>Item #</t>
  </si>
  <si>
    <t xml:space="preserve">BUILDING COMPONENT </t>
  </si>
  <si>
    <r>
      <t>#</t>
    </r>
    <r>
      <rPr>
        <b/>
        <vertAlign val="superscript"/>
        <sz val="14"/>
        <rFont val="Arial"/>
        <family val="2"/>
      </rPr>
      <t xml:space="preserve"> </t>
    </r>
    <r>
      <rPr>
        <b/>
        <sz val="14"/>
        <rFont val="Arial"/>
        <family val="2"/>
      </rPr>
      <t xml:space="preserve">REVIEW:  75% and 100% Design Completion Review
</t>
    </r>
    <r>
      <rPr>
        <sz val="14"/>
        <rFont val="Arial"/>
        <family val="2"/>
      </rPr>
      <t>Prepared by:
Date:</t>
    </r>
  </si>
  <si>
    <r>
      <t xml:space="preserve">AS BUILT REVIEW: 
</t>
    </r>
    <r>
      <rPr>
        <sz val="14"/>
        <rFont val="Arial"/>
        <family val="2"/>
      </rPr>
      <t xml:space="preserve">Prepared by:
Date: </t>
    </r>
  </si>
  <si>
    <r>
      <t xml:space="preserve">Proposed ERM 
</t>
    </r>
    <r>
      <rPr>
        <sz val="14"/>
        <rFont val="Arial"/>
        <family val="2"/>
      </rPr>
      <t>(Method of Compliance 
by Client)</t>
    </r>
  </si>
  <si>
    <t>Dwg/Spec</t>
  </si>
  <si>
    <t>Verified</t>
  </si>
  <si>
    <t>Team Comments</t>
  </si>
  <si>
    <t>APPLIANCES - ENERGY STAR</t>
  </si>
  <si>
    <t>1.1.1</t>
  </si>
  <si>
    <t>1.1.2</t>
  </si>
  <si>
    <t>1.1.3</t>
  </si>
  <si>
    <t>1.1.4</t>
  </si>
  <si>
    <t>1.1.6</t>
  </si>
  <si>
    <t>1.1.8</t>
  </si>
  <si>
    <t>Dryers</t>
  </si>
  <si>
    <t>1.1.9</t>
  </si>
  <si>
    <t>Statement of Substantial Completion</t>
  </si>
  <si>
    <t>NA</t>
  </si>
  <si>
    <t xml:space="preserve">DOMESTIC HOT WATER </t>
  </si>
  <si>
    <t>2.1.1</t>
  </si>
  <si>
    <t>Compliance Statement</t>
  </si>
  <si>
    <t>MODELING INPUTS</t>
  </si>
  <si>
    <t>2.2.1</t>
  </si>
  <si>
    <t>DHW - Type &amp; Efficiency</t>
  </si>
  <si>
    <t>2.2.2</t>
  </si>
  <si>
    <t>DHW - Storage Insulation</t>
  </si>
  <si>
    <t>2.2.3</t>
  </si>
  <si>
    <t>DHW - Low Flow Fixtures</t>
  </si>
  <si>
    <t>DHW CONFIGURATION, CONTROLS, DISTRIBUTION &amp; DOCUMENTATION</t>
  </si>
  <si>
    <t>2.3.1</t>
  </si>
  <si>
    <t>DHW Central Plant - Boiler room location and venting</t>
  </si>
  <si>
    <t>2.3.2</t>
  </si>
  <si>
    <t>DHW - Insulation for Piping</t>
  </si>
  <si>
    <t>2.3.3</t>
  </si>
  <si>
    <t>DHW - Temperature</t>
  </si>
  <si>
    <t>2.3.4</t>
  </si>
  <si>
    <t>DHW - Controls</t>
  </si>
  <si>
    <t>2.3.5</t>
  </si>
  <si>
    <t>DHW - Training and Manuals</t>
  </si>
  <si>
    <t>2.3.6</t>
  </si>
  <si>
    <t>DHW - Manufacturer's Product Data</t>
  </si>
  <si>
    <t>2.3.7</t>
  </si>
  <si>
    <t>Statement of Substantial Completion - HVAC</t>
  </si>
  <si>
    <t>BELOW GRADE WALLS</t>
  </si>
  <si>
    <t>3.1.1</t>
  </si>
  <si>
    <t>Below Grade Walls - Notes for Drawings and Specifications</t>
  </si>
  <si>
    <t>3.1.2</t>
  </si>
  <si>
    <t>Overall U-Value for Below Grade Walls</t>
  </si>
  <si>
    <t>3.1.3</t>
  </si>
  <si>
    <t>Below Grade Walls - Compliance Statement</t>
  </si>
  <si>
    <t>3.1.4</t>
  </si>
  <si>
    <t>Below Grade Walls - Insulation and Initial Framing Inspection</t>
  </si>
  <si>
    <t>3.1.5</t>
  </si>
  <si>
    <t>Below Grade Walls - Wood-Framed Construction</t>
  </si>
  <si>
    <t>3.1.6</t>
  </si>
  <si>
    <t>Below Grade Walls - Final Inspection</t>
  </si>
  <si>
    <t>ABOVE GRADE WALLS</t>
  </si>
  <si>
    <t>3.2.1</t>
  </si>
  <si>
    <t>Above Grade Walls - Notes for Drawings and Specifications</t>
  </si>
  <si>
    <t>3.2.2</t>
  </si>
  <si>
    <t>Overall U-Value for Above Grade Walls</t>
  </si>
  <si>
    <t>3.2.3</t>
  </si>
  <si>
    <t>Overall U-Value for Floor Perimeter/Plan Edge</t>
  </si>
  <si>
    <t>3.2.4</t>
  </si>
  <si>
    <t>Above Grade Walls - Compliance Statement</t>
  </si>
  <si>
    <t>3.2.5</t>
  </si>
  <si>
    <t>Above Grade Walls - Insulation and Initial Framing Inspection</t>
  </si>
  <si>
    <t>3.2.6</t>
  </si>
  <si>
    <t>Above Grade Walls - Floor Perimeter/Plank Edge - Insulation and Framing Inspection</t>
  </si>
  <si>
    <t>3.2.7</t>
  </si>
  <si>
    <t>Above Grade Walls - Continuous Insulation Requirements</t>
  </si>
  <si>
    <t>3.2.8</t>
  </si>
  <si>
    <t>Above Grade Walls - Wood-Framed Construction</t>
  </si>
  <si>
    <t>3.2.9</t>
  </si>
  <si>
    <t>Above Grade Walls - Final Inspection</t>
  </si>
  <si>
    <t>ROOF</t>
  </si>
  <si>
    <t>3.3.1</t>
  </si>
  <si>
    <t>Roof - Notes for Drawings and Specifications</t>
  </si>
  <si>
    <t>3.3.2</t>
  </si>
  <si>
    <t>Overall U-Value for Roofs</t>
  </si>
  <si>
    <t>3.3.3</t>
  </si>
  <si>
    <t>Roof - Compliance Statement</t>
  </si>
  <si>
    <t>3.3.4</t>
  </si>
  <si>
    <t>Roof - Insulation and Initial Framing Inspection</t>
  </si>
  <si>
    <t>3.3.5</t>
  </si>
  <si>
    <t>Wood-Framed Construction</t>
  </si>
  <si>
    <t>3.3.6</t>
  </si>
  <si>
    <t>FLOORS</t>
  </si>
  <si>
    <t>3.4.1</t>
  </si>
  <si>
    <t>Floor - Notes for Drawings and Specifications</t>
  </si>
  <si>
    <t>3.4.2</t>
  </si>
  <si>
    <t>Overall U-Value for Floors Over Conditioned Spaces</t>
  </si>
  <si>
    <t>3.4.3</t>
  </si>
  <si>
    <t>Overall U-Value for Below Grade Slab Floors</t>
  </si>
  <si>
    <t>3.4.4</t>
  </si>
  <si>
    <t>Overall U-Value for Slab-On-Grade (unheated only) Floors</t>
  </si>
  <si>
    <t>3.4.5</t>
  </si>
  <si>
    <t>Overall U-Value for Slab-On-Grade (embedded only) Floors</t>
  </si>
  <si>
    <t>3.4.6</t>
  </si>
  <si>
    <t>Floors - Compliance Statement</t>
  </si>
  <si>
    <t>3.4.7</t>
  </si>
  <si>
    <t>Floor Insulation Above Unconditioned Space - Insulation and Initial Framing Inspection</t>
  </si>
  <si>
    <t>3.4.8</t>
  </si>
  <si>
    <t>Below Grade Slab Floor- Insulation Inspection</t>
  </si>
  <si>
    <t>3.4.9</t>
  </si>
  <si>
    <t>Slab-on-Grade (unheated) - Insulation Inspection</t>
  </si>
  <si>
    <t>3.4.10</t>
  </si>
  <si>
    <t>Slab-on-Grade (embedded heated only) - Insulation Inspection</t>
  </si>
  <si>
    <t>3.4.11</t>
  </si>
  <si>
    <t>3.4.12</t>
  </si>
  <si>
    <t>WINDOWS</t>
  </si>
  <si>
    <t>3.5.1</t>
  </si>
  <si>
    <t>Windows - Notes for Drawings and Specifications</t>
  </si>
  <si>
    <t>3.5.2</t>
  </si>
  <si>
    <t>Windows - Compliance Statement</t>
  </si>
  <si>
    <t>3.5.3</t>
  </si>
  <si>
    <t>Window-to-Wall Ratio</t>
  </si>
  <si>
    <t>3.5.4</t>
  </si>
  <si>
    <t>Rough Openings</t>
  </si>
  <si>
    <t>3.5.5</t>
  </si>
  <si>
    <t>Window/Wall Mock Up</t>
  </si>
  <si>
    <t>3.5.6</t>
  </si>
  <si>
    <t>On-Going Site Inspections</t>
  </si>
  <si>
    <t>3.5.7</t>
  </si>
  <si>
    <t>Air Tightness</t>
  </si>
  <si>
    <t>3.5.8</t>
  </si>
  <si>
    <t>Windows - Manufacturer's Product Data</t>
  </si>
  <si>
    <t>3.5.9</t>
  </si>
  <si>
    <t>DOORS</t>
  </si>
  <si>
    <t>3.6.1</t>
  </si>
  <si>
    <t>Doors - Notes for Drawings and Specifications</t>
  </si>
  <si>
    <t>3.6.2</t>
  </si>
  <si>
    <t>Exterior Doors - Compliance Statement</t>
  </si>
  <si>
    <t>3.6.3</t>
  </si>
  <si>
    <t>Vestibules and Entryways</t>
  </si>
  <si>
    <t>3.6.4</t>
  </si>
  <si>
    <t>Operation and Fit</t>
  </si>
  <si>
    <t>3.6.5</t>
  </si>
  <si>
    <t>Weather-Stripping</t>
  </si>
  <si>
    <t>3.6.6</t>
  </si>
  <si>
    <t>Smoke Testing</t>
  </si>
  <si>
    <t>3.6.7</t>
  </si>
  <si>
    <t xml:space="preserve">GARAGES </t>
  </si>
  <si>
    <t>4.1.1</t>
  </si>
  <si>
    <t>Garage Heating and Compartmentalization - Notes for Drawings and Specifications</t>
  </si>
  <si>
    <t>4.1.2</t>
  </si>
  <si>
    <t>Garage Heating</t>
  </si>
  <si>
    <t>Garage Freeze Protection</t>
  </si>
  <si>
    <t>4.1.3</t>
  </si>
  <si>
    <t>Garage Compartmentalization</t>
  </si>
  <si>
    <t>4.1.4</t>
  </si>
  <si>
    <t>4.1.5</t>
  </si>
  <si>
    <t>Doors Between Garage and Building</t>
  </si>
  <si>
    <t>HEATING</t>
  </si>
  <si>
    <t>5.1.1</t>
  </si>
  <si>
    <t>5.1.2</t>
  </si>
  <si>
    <t>5.1.3</t>
  </si>
  <si>
    <t>5.1.4</t>
  </si>
  <si>
    <t>Heating Terminal Units - Electric Resistance or Freeze Protection</t>
  </si>
  <si>
    <t>5.1.6</t>
  </si>
  <si>
    <t>5.1.7</t>
  </si>
  <si>
    <t>BOILER CONFIGURATION AND HYDRONIC DISTRIBUTION</t>
  </si>
  <si>
    <t>5.2.1</t>
  </si>
  <si>
    <t>Space Heating Central Plant - Boiler room location and venting</t>
  </si>
  <si>
    <t>5.2.2</t>
  </si>
  <si>
    <t>Space Heating - Insulation for Piping</t>
  </si>
  <si>
    <t>5.2.3</t>
  </si>
  <si>
    <t>Heating Distribution - Piping Configuration</t>
  </si>
  <si>
    <t>5.2.4</t>
  </si>
  <si>
    <t>Heating Distribution - Pump Sizing</t>
  </si>
  <si>
    <t>5.2.5</t>
  </si>
  <si>
    <t>Heating Distribution - Pressure Control Set-points</t>
  </si>
  <si>
    <t>5.2.6</t>
  </si>
  <si>
    <t>Heating Terminal Units - Thermostatic Controls</t>
  </si>
  <si>
    <t>ALL FORCED AIR HEATING SYSTEMS (Including Heat Pumps where applicable)</t>
  </si>
  <si>
    <t>5.3.1</t>
  </si>
  <si>
    <t>Heating Distribution - Outdoor Air Damper</t>
  </si>
  <si>
    <t>5.3.2</t>
  </si>
  <si>
    <t>Heating Distribution - Flex Duct Installation</t>
  </si>
  <si>
    <t>5.3.3</t>
  </si>
  <si>
    <t>Heating Distribution - Duct Insulation</t>
  </si>
  <si>
    <t>5.3.4</t>
  </si>
  <si>
    <t>Heating Distribution - Duct Sealing Details</t>
  </si>
  <si>
    <t>5.3.5</t>
  </si>
  <si>
    <t>Heating System - Combustion Venting</t>
  </si>
  <si>
    <t>5.3.6</t>
  </si>
  <si>
    <t>Heating System - Refrigerant Charge, Airflow and Nameplate Data</t>
  </si>
  <si>
    <t>IN-UNIT FORCED AIR HEATING SYSTEMS</t>
  </si>
  <si>
    <t>5.4.1</t>
  </si>
  <si>
    <t>Heating Distribution - In-Unit Duct Sizing</t>
  </si>
  <si>
    <t>5.4.2</t>
  </si>
  <si>
    <t>Heating Distribution - In-Unit Pressure Balancing</t>
  </si>
  <si>
    <t>5.4.3</t>
  </si>
  <si>
    <t>Heating Distribution - In-Unit Duct Leakage Testing</t>
  </si>
  <si>
    <t>5.4.4</t>
  </si>
  <si>
    <t>Heating Distribution - HVAC Contractor Checklist</t>
  </si>
  <si>
    <t>HEATING SYSTEMS MISC</t>
  </si>
  <si>
    <t>5.5.1</t>
  </si>
  <si>
    <t>Heating Distribution - Thermostat</t>
  </si>
  <si>
    <t>5.5.2</t>
  </si>
  <si>
    <t>Space Heating - Training and Manuals</t>
  </si>
  <si>
    <t>5.5.3</t>
  </si>
  <si>
    <t>Space Heating - Manufacturer's Product Data</t>
  </si>
  <si>
    <t>5.5.4</t>
  </si>
  <si>
    <t>COOLING</t>
  </si>
  <si>
    <t>5.6.1</t>
  </si>
  <si>
    <t>5.6.2</t>
  </si>
  <si>
    <t>Space Cooling  - Sizing</t>
  </si>
  <si>
    <t>5.6.3</t>
  </si>
  <si>
    <t>Space Cooling  - Type and Efficiency</t>
  </si>
  <si>
    <t>5.6.5</t>
  </si>
  <si>
    <t>Space Cooling  - Controls</t>
  </si>
  <si>
    <t>CHILLED WATER AND CONDENSER WATER SYSTEMS</t>
  </si>
  <si>
    <t>5.7.1</t>
  </si>
  <si>
    <t>Cooling Distribution - Piping Configuration</t>
  </si>
  <si>
    <t>5.7.2</t>
  </si>
  <si>
    <t>Cooling Distribution - Pump Sizing</t>
  </si>
  <si>
    <t>5.7.3</t>
  </si>
  <si>
    <t>Cooling Distribution - Pressure Control Set-points</t>
  </si>
  <si>
    <t>5.7.4</t>
  </si>
  <si>
    <t>Cooling Distribution - Pipe Insulation</t>
  </si>
  <si>
    <t>5.7.5</t>
  </si>
  <si>
    <t>Cooling Terminal Units - Thermostatic Controls</t>
  </si>
  <si>
    <t>5.7.6</t>
  </si>
  <si>
    <t>Cooling System - Airflow and Nameplate Data</t>
  </si>
  <si>
    <t>ALL FORCED AIR COOLING SYSTEMS (Including heat pumps, split system ACs, PTACs and room ACs where applicable)</t>
  </si>
  <si>
    <t>5.8.1</t>
  </si>
  <si>
    <t>Cooling Distribution System - In-Unit Duct Sizing</t>
  </si>
  <si>
    <t>5.8.2</t>
  </si>
  <si>
    <t>Cooling Distribution System - In-Unit Pressure Balancing</t>
  </si>
  <si>
    <t>5.8.3</t>
  </si>
  <si>
    <t>Cooling Distribution - Duct Insulation</t>
  </si>
  <si>
    <t>5.8.4</t>
  </si>
  <si>
    <t>Cooling System - Outdoor Air Damper</t>
  </si>
  <si>
    <t>5.8.5</t>
  </si>
  <si>
    <t>Cooling Distribution - Duct Sealing Details</t>
  </si>
  <si>
    <t>5.8.6</t>
  </si>
  <si>
    <t>Cooling Distribution - Flex Duct Installation</t>
  </si>
  <si>
    <t>5.8.7</t>
  </si>
  <si>
    <t>Cooling Distribution - In-Unit Duct Leakage Testing</t>
  </si>
  <si>
    <t>5.8.8</t>
  </si>
  <si>
    <t>Cooling System - HVAC Contractor Checklist</t>
  </si>
  <si>
    <t>5.8.9</t>
  </si>
  <si>
    <t>Cooling System - Refrigerant Charge, Airflow and Nameplate Data</t>
  </si>
  <si>
    <t>COOLING SYSTEMS MISC</t>
  </si>
  <si>
    <t>5.9.1</t>
  </si>
  <si>
    <t>Cooling - A/C Sleeves</t>
  </si>
  <si>
    <t>5.9.2</t>
  </si>
  <si>
    <t>Cooling Distribution - Thermostat</t>
  </si>
  <si>
    <t>5.9.3</t>
  </si>
  <si>
    <t>Cooling - Training and Manuals</t>
  </si>
  <si>
    <t>5.9.4</t>
  </si>
  <si>
    <t>Cooling - Manufacturer's Product Data</t>
  </si>
  <si>
    <t>5.9.5</t>
  </si>
  <si>
    <t>LIGHTING</t>
  </si>
  <si>
    <t>6.1.1</t>
  </si>
  <si>
    <t>Common Area, In-Unit, Garage and Exterior Lighting - Notes for Drawings and Specifications</t>
  </si>
  <si>
    <t>6.1.2</t>
  </si>
  <si>
    <t>Emergency Lighting, Exit Signs - Notes for Drawings and Specifications</t>
  </si>
  <si>
    <t>6.1.3</t>
  </si>
  <si>
    <t>Lighting Controls - Notes for Drawings and Specifications</t>
  </si>
  <si>
    <t>6.1.3a</t>
  </si>
  <si>
    <t>6.1.4</t>
  </si>
  <si>
    <t>Lighting Power Density</t>
  </si>
  <si>
    <t>6.1.5</t>
  </si>
  <si>
    <t>Lighting Controls - Verification</t>
  </si>
  <si>
    <t>6.1.6</t>
  </si>
  <si>
    <t>Common Area Lighting - ENERGY STAR</t>
  </si>
  <si>
    <t>6.1.7</t>
  </si>
  <si>
    <t>Common Area Lighting - LPD</t>
  </si>
  <si>
    <t>6.1.8</t>
  </si>
  <si>
    <t>Emergency Lighting - Exit Signs</t>
  </si>
  <si>
    <t>6.1.9</t>
  </si>
  <si>
    <t>Exterior Lighting - Controls</t>
  </si>
  <si>
    <t>6.1.10</t>
  </si>
  <si>
    <t>Exterior Lighting - ENERGY STAR</t>
  </si>
  <si>
    <t>6.1.11</t>
  </si>
  <si>
    <r>
      <t xml:space="preserve">Exterior Lighting - LPD </t>
    </r>
    <r>
      <rPr>
        <b/>
        <i/>
        <sz val="14"/>
        <rFont val="Arial"/>
        <family val="2"/>
      </rPr>
      <t>(Prescriptive Path)</t>
    </r>
  </si>
  <si>
    <t>6.1.12</t>
  </si>
  <si>
    <t>6.1.13</t>
  </si>
  <si>
    <t xml:space="preserve">In-Unit Lighting  </t>
  </si>
  <si>
    <t>INSPECTION ONLY</t>
  </si>
  <si>
    <t>6.2.1</t>
  </si>
  <si>
    <t>Lighting - Ballasts</t>
  </si>
  <si>
    <t>6.2.2</t>
  </si>
  <si>
    <t>Lighting - Statement of Substantial Completion - Non 24/7 Spaces</t>
  </si>
  <si>
    <t>MOTORS</t>
  </si>
  <si>
    <t>7.1.1</t>
  </si>
  <si>
    <t>Motors - Notes for Drawings and Specifications</t>
  </si>
  <si>
    <t>7.1.3</t>
  </si>
  <si>
    <t>Heating Distribution - Motors</t>
  </si>
  <si>
    <t>7.1.4</t>
  </si>
  <si>
    <t>Cooling Distribution - Motors</t>
  </si>
  <si>
    <t>7.1.5</t>
  </si>
  <si>
    <t>DHW Distribution - Motors</t>
  </si>
  <si>
    <t>7.1.6</t>
  </si>
  <si>
    <t>Motors- Manufacturer's Product Data</t>
  </si>
  <si>
    <t>7.1.7</t>
  </si>
  <si>
    <t>Heating and DHW - Training and Manuals</t>
  </si>
  <si>
    <t>7.1.8</t>
  </si>
  <si>
    <t>INFILTRATION</t>
  </si>
  <si>
    <t>EXTERIOR AIR BARRIERS</t>
  </si>
  <si>
    <t>8.1.1</t>
  </si>
  <si>
    <t>General Exterior Enclosure - Notes for Drawings and Specifications</t>
  </si>
  <si>
    <t>8.1.2</t>
  </si>
  <si>
    <t>Exterior Enclosure Air Barriers - Notes for Drawings and Specifications</t>
  </si>
  <si>
    <t>8.1.3</t>
  </si>
  <si>
    <t>Exterior Air Barrier - Compliance Statement</t>
  </si>
  <si>
    <t>8.1.4</t>
  </si>
  <si>
    <t>8.1.5</t>
  </si>
  <si>
    <r>
      <t>Masonry Wall Preparation</t>
    </r>
    <r>
      <rPr>
        <sz val="10"/>
        <rFont val="Arial"/>
        <family val="2"/>
      </rPr>
      <t/>
    </r>
  </si>
  <si>
    <t>8.1.6</t>
  </si>
  <si>
    <r>
      <t>Gypsum Sheathing Wall Preparation</t>
    </r>
    <r>
      <rPr>
        <sz val="10"/>
        <rFont val="Arial"/>
        <family val="2"/>
      </rPr>
      <t/>
    </r>
  </si>
  <si>
    <t>8.1.7</t>
  </si>
  <si>
    <r>
      <t>General Coverage - Liquid Membrane</t>
    </r>
    <r>
      <rPr>
        <sz val="10"/>
        <rFont val="Arial"/>
        <family val="2"/>
      </rPr>
      <t/>
    </r>
  </si>
  <si>
    <t>8.1.8</t>
  </si>
  <si>
    <t>General Coverage at Adjacent Building Conditions - Liquid Membrane</t>
  </si>
  <si>
    <t>8.1.9</t>
  </si>
  <si>
    <t>General Coverage / Transition Membrane - Seams</t>
  </si>
  <si>
    <t>8.1.10</t>
  </si>
  <si>
    <t>Air Barrier Penetrations</t>
  </si>
  <si>
    <t>8.1.11</t>
  </si>
  <si>
    <r>
      <t>Rough Openings (Concrete Masonry Construction) - Windows and Doors</t>
    </r>
    <r>
      <rPr>
        <sz val="10"/>
        <rFont val="Arial"/>
        <family val="2"/>
      </rPr>
      <t/>
    </r>
  </si>
  <si>
    <t>8.1.12</t>
  </si>
  <si>
    <t>Rough Openings (Steel Stud Construction) - Windows and Doors</t>
  </si>
  <si>
    <t>8.1.13</t>
  </si>
  <si>
    <r>
      <t>Rough Openings - Pipes, Conduits, Ducts, Etc</t>
    </r>
    <r>
      <rPr>
        <sz val="10"/>
        <rFont val="Arial"/>
        <family val="2"/>
      </rPr>
      <t/>
    </r>
  </si>
  <si>
    <t>8.1.14</t>
  </si>
  <si>
    <r>
      <t>Rough Openings - Cast Stone Sills</t>
    </r>
    <r>
      <rPr>
        <sz val="10"/>
        <rFont val="Arial"/>
        <family val="2"/>
      </rPr>
      <t/>
    </r>
  </si>
  <si>
    <t>8.1.15</t>
  </si>
  <si>
    <t>Rough Openings - Gap at Window Frame</t>
  </si>
  <si>
    <t>8.1.16</t>
  </si>
  <si>
    <t>Rough Openings - Gap at Door Frame</t>
  </si>
  <si>
    <t>8.1.17</t>
  </si>
  <si>
    <t>Rough Openings - A/C Sleeves</t>
  </si>
  <si>
    <t>8.1.18</t>
  </si>
  <si>
    <t>Plank Edges (Steel Stud Construction) - At plank / exterior sheathing joint</t>
  </si>
  <si>
    <t>8.1.19</t>
  </si>
  <si>
    <t>Plank Edges (Concrete Masonry Construction) -
At plank / CMU joint</t>
  </si>
  <si>
    <t>8.1.20</t>
  </si>
  <si>
    <t>Plank Edges - At plank / steel girder joint</t>
  </si>
  <si>
    <t>8.1.21</t>
  </si>
  <si>
    <t>Steel Columns - Steel / CMU joints</t>
  </si>
  <si>
    <t>8.1.22</t>
  </si>
  <si>
    <t>Wall to Roof Connections</t>
  </si>
  <si>
    <t>8.1.23</t>
  </si>
  <si>
    <t>Transition between foundations and walls</t>
  </si>
  <si>
    <t>8.1.24</t>
  </si>
  <si>
    <t>Transition between one wall type and another</t>
  </si>
  <si>
    <t>8.1.25</t>
  </si>
  <si>
    <t xml:space="preserve">Transition at inside and outside corners
</t>
  </si>
  <si>
    <t>8.1.26</t>
  </si>
  <si>
    <t xml:space="preserve">Transition between exterior enclosure and interior walls, floors and ceilings that bound non-conditioned spaces </t>
  </si>
  <si>
    <t>8.1.27</t>
  </si>
  <si>
    <t>COMPARTMENTALIZATION - VISUAL INSPECTION</t>
  </si>
  <si>
    <t>8.2.1</t>
  </si>
  <si>
    <t>Compartmentalization - Notes for Drawings and Specifications</t>
  </si>
  <si>
    <t>8.2.2</t>
  </si>
  <si>
    <t>Compartmentalization Visual Inspection - General</t>
  </si>
  <si>
    <t>8.2.3</t>
  </si>
  <si>
    <t>Sample Unit - Visual Inspection</t>
  </si>
  <si>
    <t>8.2.4</t>
  </si>
  <si>
    <t>Inspect framing layout</t>
  </si>
  <si>
    <t>8.2.5</t>
  </si>
  <si>
    <t xml:space="preserve">Gypsum board to concrete floor plank connection </t>
  </si>
  <si>
    <t>8.2.6</t>
  </si>
  <si>
    <t>Gypsum board to concrete ceiling plank connection</t>
  </si>
  <si>
    <t>8.2.7</t>
  </si>
  <si>
    <t>Window to interior gypsum board</t>
  </si>
  <si>
    <t>8.2.8</t>
  </si>
  <si>
    <r>
      <t>A/C Sleeve Cover (if A/Cs provided by building)</t>
    </r>
    <r>
      <rPr>
        <sz val="10"/>
        <rFont val="Arial"/>
        <family val="2"/>
      </rPr>
      <t/>
    </r>
  </si>
  <si>
    <t>8.2.9</t>
  </si>
  <si>
    <t>Air conditioner sleeve sealed to drywall</t>
  </si>
  <si>
    <t>8.2.10</t>
  </si>
  <si>
    <t>Outlet/Electrical Box - Exterior and Demising Walls</t>
  </si>
  <si>
    <t>8.2.11</t>
  </si>
  <si>
    <t>Heating pipe penetrations through exterior walls</t>
  </si>
  <si>
    <t>8.2.12</t>
  </si>
  <si>
    <t>Heating pipe penetrations through interior partitions</t>
  </si>
  <si>
    <t>8.2.13</t>
  </si>
  <si>
    <t>Plumbing / Sprinkler Pipe Penetrations</t>
  </si>
  <si>
    <t>8.2.14</t>
  </si>
  <si>
    <t>Range Gas Line Penetration</t>
  </si>
  <si>
    <t>8.2.15</t>
  </si>
  <si>
    <t>Gap between take off duct and gypsum board</t>
  </si>
  <si>
    <t>8.2.16</t>
  </si>
  <si>
    <t>Electrical Panel</t>
  </si>
  <si>
    <t>8.2.17</t>
  </si>
  <si>
    <t>HVAC Access Doors</t>
  </si>
  <si>
    <t>8.2.18</t>
  </si>
  <si>
    <t>Thermostats</t>
  </si>
  <si>
    <t>8.2.19</t>
  </si>
  <si>
    <t>Intercoms</t>
  </si>
  <si>
    <t>8.2.20</t>
  </si>
  <si>
    <t>Lighting Fixtures</t>
  </si>
  <si>
    <t>8.2.21</t>
  </si>
  <si>
    <t>Door Latch Hole</t>
  </si>
  <si>
    <t>8.2.22</t>
  </si>
  <si>
    <t>Medicine Cabinet</t>
  </si>
  <si>
    <t>8.2.23</t>
  </si>
  <si>
    <t>BLOWER DOOR TESTING</t>
  </si>
  <si>
    <t>8.3.1</t>
  </si>
  <si>
    <t>Blower Door Test - Notes for Drawings and Specifications</t>
  </si>
  <si>
    <t>8.3.2</t>
  </si>
  <si>
    <t>Blower Door Test - Compliance Statement</t>
  </si>
  <si>
    <t>8.3.3</t>
  </si>
  <si>
    <t>Preliminary Testing</t>
  </si>
  <si>
    <t>8.3.4</t>
  </si>
  <si>
    <t>Final Verification Testing</t>
  </si>
  <si>
    <t>8.3.5</t>
  </si>
  <si>
    <t>Fan Pressure Testing Method</t>
  </si>
  <si>
    <t>8.5.1</t>
  </si>
  <si>
    <t>Ventilation - Notes for Drawings and Specifications</t>
  </si>
  <si>
    <t>8.5.2</t>
  </si>
  <si>
    <r>
      <t xml:space="preserve">Ventilation </t>
    </r>
    <r>
      <rPr>
        <b/>
        <i/>
        <sz val="14"/>
        <rFont val="Arial"/>
        <family val="2"/>
      </rPr>
      <t xml:space="preserve">Prescriptive Path </t>
    </r>
    <r>
      <rPr>
        <b/>
        <sz val="14"/>
        <rFont val="Arial"/>
        <family val="2"/>
      </rPr>
      <t>- Notes for Drawings and Specifications</t>
    </r>
  </si>
  <si>
    <t>8.5.3</t>
  </si>
  <si>
    <t>Garage Ventilation - Notes for Drawings and Specifications</t>
  </si>
  <si>
    <t>COMPLIANCE STATEMENT</t>
  </si>
  <si>
    <t>8.6.1</t>
  </si>
  <si>
    <t>MODELING INPUTS - SIZING AND BALANCING</t>
  </si>
  <si>
    <t>8.6.2</t>
  </si>
  <si>
    <t>Non - Apartment Fan Efficiency</t>
  </si>
  <si>
    <t>8.6.3</t>
  </si>
  <si>
    <t>Apartment Fan Efficiency (Roof)</t>
  </si>
  <si>
    <t>8.6.4</t>
  </si>
  <si>
    <t>Apartment Fan Efficiency (In-Unit)</t>
  </si>
  <si>
    <t>8.6.5</t>
  </si>
  <si>
    <t>Apartment and Non-Corridor - Capacity, Testing and Balancing</t>
  </si>
  <si>
    <t>8.6.6</t>
  </si>
  <si>
    <t>Demand Controls</t>
  </si>
  <si>
    <t>8.6.7</t>
  </si>
  <si>
    <t>Central Supply to Corridor</t>
  </si>
  <si>
    <t>8.6.8</t>
  </si>
  <si>
    <t>Heat Recovery</t>
  </si>
  <si>
    <t>GARAGE VENTILATION</t>
  </si>
  <si>
    <t>8.7.1</t>
  </si>
  <si>
    <t>Garage Exhaust Fan CFM and Efficiency</t>
  </si>
  <si>
    <t>8.7.2</t>
  </si>
  <si>
    <t>Test Sensor Operation</t>
  </si>
  <si>
    <t>8.7.3</t>
  </si>
  <si>
    <t>CO Sensor Locations</t>
  </si>
  <si>
    <t>8.7.4</t>
  </si>
  <si>
    <t>Garage Fan and CO Sensor - Manufacturer's Product Data</t>
  </si>
  <si>
    <t>VENTILATION MISC</t>
  </si>
  <si>
    <t>8.8.1</t>
  </si>
  <si>
    <t>Toilet, Kitchen, General Exhaust Grilles and Corridor Supply Ventilation Grilles</t>
  </si>
  <si>
    <t>8.8.2</t>
  </si>
  <si>
    <t>Intake  Systems - Operating Sequence</t>
  </si>
  <si>
    <t>8.8.3</t>
  </si>
  <si>
    <t>Make Up Air Systems</t>
  </si>
  <si>
    <t>8.8.4</t>
  </si>
  <si>
    <t>Common Area Supply Ventilation - Outdoor Air Damper</t>
  </si>
  <si>
    <t>8.8.5</t>
  </si>
  <si>
    <t>Smoke Vents</t>
  </si>
  <si>
    <t>8.8.6</t>
  </si>
  <si>
    <t>Passive Intake Systems (Trickle Vents)</t>
  </si>
  <si>
    <t>8.8.7</t>
  </si>
  <si>
    <t>Ventilation - Manufacturer's Product Data</t>
  </si>
  <si>
    <t>8.8.8</t>
  </si>
  <si>
    <t>Ventilation - Training and Manuals</t>
  </si>
  <si>
    <t>8.8.9</t>
  </si>
  <si>
    <t>DUCT TIGHTNESS</t>
  </si>
  <si>
    <t>8.9.1</t>
  </si>
  <si>
    <t>Duct Tightness - Notes for Drawings and Specifications</t>
  </si>
  <si>
    <t>8.9.2</t>
  </si>
  <si>
    <t>Duct Tightness - Compliance Statement</t>
  </si>
  <si>
    <t>8.9.3</t>
  </si>
  <si>
    <t>Duct Tightness - Roof Curbs</t>
  </si>
  <si>
    <t>8.9.4</t>
  </si>
  <si>
    <t>Duct Leakage Testing - Central Exhaust Systems</t>
  </si>
  <si>
    <t>8.9.5</t>
  </si>
  <si>
    <t>Roof Curb (Central)</t>
  </si>
  <si>
    <t>8.9.6</t>
  </si>
  <si>
    <t>Transverse Joints (Central and Through Wall)</t>
  </si>
  <si>
    <t>8.9.7</t>
  </si>
  <si>
    <t>Transitions (Central and Through Wall)</t>
  </si>
  <si>
    <t>8.9.8</t>
  </si>
  <si>
    <t>Pinned Ducts  (Central and Through Wall)</t>
  </si>
  <si>
    <t>8.9.9</t>
  </si>
  <si>
    <t>Elbow Joints (Round Duct Work)</t>
  </si>
  <si>
    <t>8.9.10</t>
  </si>
  <si>
    <t>Exterior Wall Connection  (Through Wall)</t>
  </si>
  <si>
    <t>8.9.11</t>
  </si>
  <si>
    <t>METERS</t>
  </si>
  <si>
    <t>9.1.1</t>
  </si>
  <si>
    <t>Location - Residential</t>
  </si>
  <si>
    <t>9.1.2</t>
  </si>
  <si>
    <t>Location - Non Residential</t>
  </si>
  <si>
    <t>9.1.3</t>
  </si>
  <si>
    <t>Type</t>
  </si>
  <si>
    <t>9.1.4</t>
  </si>
  <si>
    <t>Configuration</t>
  </si>
  <si>
    <t>9.1.5</t>
  </si>
  <si>
    <t>Utility Release Forms</t>
  </si>
  <si>
    <t>9.1.6</t>
  </si>
  <si>
    <t>TOC</t>
  </si>
  <si>
    <t>NYSERDA</t>
  </si>
  <si>
    <t>MULTIFAMILY PERFORMANCE PROGRAM</t>
  </si>
  <si>
    <t>APPLIANCES - PROTOCOL 1.1</t>
  </si>
  <si>
    <t>Date:</t>
  </si>
  <si>
    <t>Field Verified By:</t>
  </si>
  <si>
    <t>MM/DD/YY</t>
  </si>
  <si>
    <t>Schedule:</t>
  </si>
  <si>
    <t>1) The developer or GC shall ensure that deliveries are inspected prior to accepting them to verify that product substitutions by the distributor or manufacturer have not resulted in non-ENERGY STAR qualified appliances.</t>
  </si>
  <si>
    <t xml:space="preserve">2) Minimum of one on-site inspection required, preferably immediately after installation so that corrective action can be taken if necessary.  Delivery tickets may be used to verify complete shipments but on-site inspections of a sample of installed appliances is required.
</t>
  </si>
  <si>
    <t>Equipment Needed</t>
  </si>
  <si>
    <t>1) Camera</t>
  </si>
  <si>
    <t>2) Installation Schedule</t>
  </si>
  <si>
    <t>3) Floor Plans</t>
  </si>
  <si>
    <t>Sampling Requirements:</t>
  </si>
  <si>
    <r>
      <t xml:space="preserve">1) For spaces containing appliances, follow the modified RESNET sampling protocol outlined in the </t>
    </r>
    <r>
      <rPr>
        <i/>
        <sz val="10"/>
        <rFont val="Arial"/>
        <family val="2"/>
      </rPr>
      <t>How to Use this Manual</t>
    </r>
    <r>
      <rPr>
        <sz val="11"/>
        <color theme="1"/>
        <rFont val="Calibri"/>
        <family val="2"/>
        <scheme val="minor"/>
      </rPr>
      <t xml:space="preserve"> section of the </t>
    </r>
    <r>
      <rPr>
        <i/>
        <sz val="10"/>
        <rFont val="Arial"/>
        <family val="2"/>
      </rPr>
      <t>Testing and Verification Protocols</t>
    </r>
    <r>
      <rPr>
        <sz val="11"/>
        <color theme="1"/>
        <rFont val="Calibri"/>
        <family val="2"/>
        <scheme val="minor"/>
      </rPr>
      <t>.</t>
    </r>
  </si>
  <si>
    <t xml:space="preserve">2) For buildings with common laundry rooms, RESNET sampling protocols are modified to require inspection of all the clothes washers in at least one (1) laundry room. </t>
  </si>
  <si>
    <t>3) *PHOTOS REQUIRED*</t>
  </si>
  <si>
    <t xml:space="preserve">- Photograph one (1) representative appliance faceplate of each type of appliance being inspected.  </t>
  </si>
  <si>
    <t>- Photograph ENERGY STAR label and/or attach cut sheet proving ENERGY STAR qualification.</t>
  </si>
  <si>
    <t>NOTES FOR DRAWINGS AND SPECIFICATIONS</t>
  </si>
  <si>
    <t>• Include a schedule with location and quantity.
• Require ENERGY STAR qualified products and appliances.</t>
  </si>
  <si>
    <t>PATH REQUIREMENT</t>
  </si>
  <si>
    <t>PROPOSED 
ERM</t>
  </si>
  <si>
    <t>MFR</t>
  </si>
  <si>
    <t>MODEL #</t>
  </si>
  <si>
    <t>QUANTITY</t>
  </si>
  <si>
    <t>LOCATION</t>
  </si>
  <si>
    <r>
      <t xml:space="preserve">ENERGY STAR
</t>
    </r>
    <r>
      <rPr>
        <sz val="10"/>
        <rFont val="Arial"/>
        <family val="2"/>
      </rPr>
      <t>(Yes/No)</t>
    </r>
  </si>
  <si>
    <t>PLAN REVIEW COMMENTS</t>
  </si>
  <si>
    <r>
      <t xml:space="preserve">LOCATION
</t>
    </r>
    <r>
      <rPr>
        <sz val="10"/>
        <rFont val="Arial"/>
        <family val="2"/>
      </rPr>
      <t>(dwg/spec)</t>
    </r>
  </si>
  <si>
    <t>PLAN REVIEW</t>
  </si>
  <si>
    <t>INSPECTION</t>
  </si>
  <si>
    <r>
      <t xml:space="preserve">INSPECTION COMMENTS 
</t>
    </r>
    <r>
      <rPr>
        <sz val="10"/>
        <rFont val="Arial"/>
        <family val="2"/>
      </rPr>
      <t>(Problems, sample details/apt #s, etc.)</t>
    </r>
  </si>
  <si>
    <r>
      <rPr>
        <b/>
        <sz val="10"/>
        <rFont val="Arial"/>
        <family val="2"/>
      </rPr>
      <t>Compliance Statement</t>
    </r>
    <r>
      <rPr>
        <sz val="10"/>
        <rFont val="Arial"/>
        <family val="2"/>
      </rPr>
      <t xml:space="preserve">
</t>
    </r>
    <r>
      <rPr>
        <sz val="10"/>
        <rFont val="Arial"/>
        <family val="2"/>
      </rPr>
      <t>•</t>
    </r>
    <r>
      <rPr>
        <sz val="10"/>
        <rFont val="Arial"/>
        <family val="2"/>
      </rPr>
      <t xml:space="preserve"> All refrigerators, dishwashers and clothes washers are consistent with the project specifications and Proposed Design model or meet or exceed the requirements listed in the </t>
    </r>
    <r>
      <rPr>
        <i/>
        <sz val="10"/>
        <rFont val="Arial"/>
        <family val="2"/>
      </rPr>
      <t xml:space="preserve">Modified Prescriptive Path.
</t>
    </r>
    <r>
      <rPr>
        <sz val="10"/>
        <rFont val="Arial"/>
        <family val="2"/>
      </rPr>
      <t>Note: Kitchen range hoods are not required to be ENERGY STAR qualified.</t>
    </r>
  </si>
  <si>
    <t>Clothes Washers</t>
  </si>
  <si>
    <t>PROTOCOL</t>
  </si>
  <si>
    <r>
      <rPr>
        <b/>
        <sz val="10"/>
        <rFont val="Arial"/>
        <family val="2"/>
      </rPr>
      <t xml:space="preserve">Dryers
</t>
    </r>
    <r>
      <rPr>
        <sz val="10"/>
        <rFont val="Arial"/>
        <family val="2"/>
      </rPr>
      <t>• E</t>
    </r>
    <r>
      <rPr>
        <sz val="10"/>
        <rFont val="Arial"/>
        <family val="2"/>
      </rPr>
      <t>lectric or Gas</t>
    </r>
  </si>
  <si>
    <r>
      <rPr>
        <b/>
        <sz val="10"/>
        <rFont val="Arial"/>
        <family val="2"/>
      </rPr>
      <t xml:space="preserve">Statement of Substantial Completion
</t>
    </r>
    <r>
      <rPr>
        <sz val="10"/>
        <rFont val="Arial"/>
        <family val="2"/>
      </rPr>
      <t xml:space="preserve">• A Statement of Substantial Completion or approved proxy may be used to establish completion of the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</si>
  <si>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t>HVAC - DHW SYSTEMS - PROTOCOL 2.1, 2.2</t>
  </si>
  <si>
    <t>1) The quality assurance and verification procedures occur during the pre-construction, construction, and post-construction phases of system installation.  Refer to the appropriate standards (eg. NFPA) to determine exact timing of inspections.</t>
  </si>
  <si>
    <t>2) Commissioning of the system occurs during pre-construction and construction phases of installation. Inspection, testing, and final commissioning are conducted during the turn over/accpetance phase of the installation of the system.</t>
  </si>
  <si>
    <t xml:space="preserve">3) Training shall occur following installation of the system and completion of all quality assurance and verification procedures.  
</t>
  </si>
  <si>
    <r>
      <t xml:space="preserve">4) The developer or GC shall ensure that deliveries are inspected prior to accepting them to verify that product substitutions by the distributor or manufacturer have not resulted in plumbing fixtures with higher flow rates than those required by the </t>
    </r>
    <r>
      <rPr>
        <i/>
        <sz val="10"/>
        <rFont val="Arial"/>
        <family val="2"/>
      </rPr>
      <t>Modified Prescriptive Path</t>
    </r>
    <r>
      <rPr>
        <sz val="10"/>
        <rFont val="Arial"/>
        <family val="2"/>
      </rPr>
      <t>.</t>
    </r>
  </si>
  <si>
    <t xml:space="preserve">5) Minimum of one (1) on-site inspection required, preferably immediately after installation so that corrective action can be taken if necessary.  Delivery tickets may be used to verify complete shipments but on-site inspections of a sample of installed plumbing fixtures is required.
</t>
  </si>
  <si>
    <t>1) Mechanical Schedule and Floor Plans</t>
  </si>
  <si>
    <t>2) Camera</t>
  </si>
  <si>
    <t xml:space="preserve">1)  100% of centralized primary equipment (i.e. DHW plants) shall be inspected in the quality assurance and verification process.  </t>
  </si>
  <si>
    <r>
      <t xml:space="preserve">2)  Individual spaces or apartments containing electric or fossil-fuel DHW systems shall be inspected and tested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</si>
  <si>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r>
      <t xml:space="preserve">3)  Spaces containing terminal devices (fan coils, PTHPS, unit heaters, VAV boxes) must be inspected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</si>
  <si>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r>
      <t xml:space="preserve">4)  All spaces with Domestic Hot Water service (i.e. bathrooms, kitchens, etc.) shall be tested for hot water delivery temperature and pressure following the modified RESNET sampling protocol outlined in the How to Use this Manual section on page 11 of the </t>
    </r>
    <r>
      <rPr>
        <i/>
        <sz val="10"/>
        <rFont val="Arial"/>
        <family val="2"/>
      </rPr>
      <t>T&amp;V Protocols</t>
    </r>
    <r>
      <rPr>
        <sz val="10"/>
        <rFont val="Arial"/>
        <family val="2"/>
      </rPr>
      <t>, with the additional requirement that, for each central DHW system, the spaces sampled must include the first space supplied by the system and the last space supplied by the longest run of the system.</t>
    </r>
  </si>
  <si>
    <r>
      <t xml:space="preserve">5)  Inspect all spaces containing plumbing fixtures following the modified RESNET sampling protocol outlined in the </t>
    </r>
    <r>
      <rPr>
        <i/>
        <sz val="10"/>
        <rFont val="Arial"/>
        <family val="2"/>
      </rPr>
      <t>How to Use this Manual</t>
    </r>
    <r>
      <rPr>
        <sz val="10"/>
        <rFont val="Arial"/>
        <family val="2"/>
      </rPr>
      <t xml:space="preserve"> section on page 11 of this document.</t>
    </r>
  </si>
  <si>
    <r>
      <t xml:space="preserve">6) </t>
    </r>
    <r>
      <rPr>
        <b/>
        <sz val="10"/>
        <rFont val="Arial"/>
        <family val="2"/>
      </rPr>
      <t>*PHOTOS REQUIRED*</t>
    </r>
    <r>
      <rPr>
        <sz val="10"/>
        <rFont val="Arial"/>
        <family val="2"/>
      </rPr>
      <t xml:space="preserve"> </t>
    </r>
  </si>
  <si>
    <t>-Provide photos of the domestic hot water system and faceplates to verify proper installation and compliance with proposed design.
-Photograph one (1) representative fixture of each type of plumbing fixture being inspected.</t>
  </si>
  <si>
    <t>ID</t>
  </si>
  <si>
    <t>DESCRIPTION</t>
  </si>
  <si>
    <r>
      <t xml:space="preserve">INPUT (BTU/H)
</t>
    </r>
    <r>
      <rPr>
        <b/>
        <i/>
        <sz val="10"/>
        <rFont val="Arial"/>
        <family val="2"/>
      </rPr>
      <t>(kW)</t>
    </r>
  </si>
  <si>
    <r>
      <t xml:space="preserve">OUTPUT (BTU/H)
</t>
    </r>
    <r>
      <rPr>
        <b/>
        <i/>
        <sz val="10"/>
        <rFont val="Arial"/>
        <family val="2"/>
      </rPr>
      <t>(kW)</t>
    </r>
  </si>
  <si>
    <t>EFFICIENCY</t>
  </si>
  <si>
    <t>HORSEPOWER (HP)</t>
  </si>
  <si>
    <r>
      <t>INSPECTION COMMENTS</t>
    </r>
    <r>
      <rPr>
        <sz val="11"/>
        <color theme="1"/>
        <rFont val="Calibri"/>
        <family val="2"/>
        <scheme val="minor"/>
      </rPr>
      <t xml:space="preserve"> 
Problems, sample details/apt #s, etc.</t>
    </r>
  </si>
  <si>
    <r>
      <rPr>
        <b/>
        <sz val="10"/>
        <rFont val="Arial"/>
        <family val="2"/>
      </rPr>
      <t xml:space="preserve">Compliance Statement
</t>
    </r>
    <r>
      <rPr>
        <sz val="10"/>
        <rFont val="Arial"/>
        <family val="2"/>
      </rPr>
      <t xml:space="preserve">• All DHW systems meet or exceed the requirements listed in the </t>
    </r>
    <r>
      <rPr>
        <i/>
        <sz val="10"/>
        <rFont val="Arial"/>
        <family val="2"/>
      </rPr>
      <t>Modified</t>
    </r>
    <r>
      <rPr>
        <sz val="10"/>
        <rFont val="Arial"/>
        <family val="2"/>
      </rPr>
      <t xml:space="preserve"> </t>
    </r>
    <r>
      <rPr>
        <i/>
        <sz val="10"/>
        <rFont val="Arial"/>
        <family val="2"/>
      </rPr>
      <t>Prescriptive Path.</t>
    </r>
  </si>
  <si>
    <t>See below</t>
  </si>
  <si>
    <r>
      <t xml:space="preserve">DHW - Type &amp; Efficiency
</t>
    </r>
    <r>
      <rPr>
        <sz val="10"/>
        <rFont val="Arial"/>
        <family val="2"/>
      </rPr>
      <t>• Provide Proposed DHW system type, efficiency, capacity, fuel; include number, efficiency and HP of pumps, and whether VFD is specified in the MOTOR section.</t>
    </r>
  </si>
  <si>
    <r>
      <t>DHW - Storage</t>
    </r>
    <r>
      <rPr>
        <sz val="10"/>
        <rFont val="Arial"/>
        <family val="2"/>
      </rPr>
      <t xml:space="preserve">
• Ensure storage tanks are sized based on occupancy.</t>
    </r>
  </si>
  <si>
    <r>
      <t xml:space="preserve">DHW - Low Flow fixtures
</t>
    </r>
    <r>
      <rPr>
        <sz val="10"/>
        <rFont val="Arial"/>
        <family val="2"/>
      </rPr>
      <t xml:space="preserve">• Plumbing fixture flow rates for all showerheads, bath faucets and kitchen faucets meet or exceed the requirements listed in the </t>
    </r>
    <r>
      <rPr>
        <i/>
        <sz val="10"/>
        <rFont val="Arial"/>
        <family val="2"/>
      </rPr>
      <t>Modified Prescriptive Path</t>
    </r>
    <r>
      <rPr>
        <sz val="10"/>
        <rFont val="Arial"/>
        <family val="2"/>
      </rPr>
      <t>.
• A schedule showing plumbing fixtures with GPM, location and quantity has been included in the construction documents.</t>
    </r>
  </si>
  <si>
    <r>
      <t xml:space="preserve">DHW Central Plant - Boiler room location and venting
</t>
    </r>
    <r>
      <rPr>
        <sz val="10"/>
        <rFont val="Arial"/>
        <family val="2"/>
      </rPr>
      <t>• Verify location of domestic hot water systems (e.g., cellar or roof), combustion air venting configuration (e.g., combustion air piped to boilers, boiler room air used for combustion), and venting configuration (e.g., inducer fan specified and sequence of operation verified, if required).</t>
    </r>
  </si>
  <si>
    <r>
      <t xml:space="preserve">DHW - Insulation for Piping
</t>
    </r>
    <r>
      <rPr>
        <sz val="10"/>
        <rFont val="Arial"/>
        <family val="2"/>
      </rPr>
      <t>• Piping carrying fluid with temperatures greater than 105°F, must have a minimum of 1” of insulation. Pipes over 1.5” in diameter must have a minimum of 1.5” of insulation.  Construction documents shall specify that the piping must be inspected before access is covered up. Extent and location for domestic hot water systems to be determined by ASHRAE 90.1-2007 Section 7.4.3 or local code.</t>
    </r>
  </si>
  <si>
    <r>
      <t>DHW - Temperature</t>
    </r>
    <r>
      <rPr>
        <sz val="11"/>
        <color theme="1"/>
        <rFont val="Calibri"/>
        <family val="2"/>
        <scheme val="minor"/>
      </rPr>
      <t xml:space="preserve">
• The temperature setting of in-unit storage water heaters must not exceed 140°F. For both in-unit and central DHW systems, temperatures measured at faucets and showerheads must not exceed 125°F.</t>
    </r>
  </si>
  <si>
    <r>
      <t xml:space="preserve">DHW - Controls
</t>
    </r>
    <r>
      <rPr>
        <sz val="10"/>
        <rFont val="Arial"/>
        <family val="2"/>
      </rPr>
      <t>• Verify a self-contained or electronic mix</t>
    </r>
    <r>
      <rPr>
        <sz val="10"/>
        <rFont val="Arial"/>
        <family val="2"/>
      </rPr>
      <t>ing valve is used to control hot water temperature for central domestic water heating systems. Mechanical valves shall not be specified. Verify mixing valve temperature set point.</t>
    </r>
  </si>
  <si>
    <r>
      <t xml:space="preserve">DHW - Training and Manuals
</t>
    </r>
    <r>
      <rPr>
        <sz val="10"/>
        <rFont val="Arial"/>
        <family val="2"/>
      </rPr>
      <t xml:space="preserve">• </t>
    </r>
    <r>
      <rPr>
        <sz val="11"/>
        <color theme="1"/>
        <rFont val="Calibri"/>
        <family val="2"/>
        <scheme val="minor"/>
      </rPr>
      <t>Summarize the training performed and personnel involved.  Confirm that all applicable operating and specification manuals are delivered to the building staff.  Verify that staff members have been trained and are aware of their responsibilities to maintain and operate the systems properly.</t>
    </r>
  </si>
  <si>
    <r>
      <t xml:space="preserve">DHW - Manufacturer's Product Data
</t>
    </r>
    <r>
      <rPr>
        <sz val="10"/>
        <rFont val="Arial"/>
        <family val="2"/>
      </rPr>
      <t>• Review manufacturer’s cut sheets or invoice detailing system manufacturer, model, size, and location, and keep with the building file.  These should also be used to prove ENERGY STAR qualification and efficiency rating.</t>
    </r>
  </si>
  <si>
    <r>
      <t>Statement of Substantial Completion - HVAC</t>
    </r>
    <r>
      <rPr>
        <sz val="10"/>
        <rFont val="Arial"/>
        <family val="2"/>
      </rPr>
      <t xml:space="preserve">
• A Statement of Substantial Completion or approved proxy may be used to establish completion of the work associated with this protocol. A Statement of Substantial Completion must be completed by a third-party qualified representative on company letter head, complete with all information, photographs, cut sheets, etc., required in this protocol and in the corresponding </t>
    </r>
    <r>
      <rPr>
        <i/>
        <sz val="10"/>
        <rFont val="Arial"/>
        <family val="2"/>
      </rPr>
      <t>T&amp;V Worksheet.</t>
    </r>
  </si>
  <si>
    <t>ENVELOPE - BELOW GRADE WALLS - PROTOCOL 3.1</t>
  </si>
  <si>
    <t>1) Inspections must take place during construction:  before pouring slab, before back-filling foundation walls, at framing (pre-insulation), post-insulation and pre-drywall, and post-completion.</t>
  </si>
  <si>
    <t>2) Inspections of interior and cavity insulation must take place during construction:  at framing pre-insulation, post-insulation and pre-drywall, and post-completion.</t>
  </si>
  <si>
    <t xml:space="preserve">3) Inspections of exterior insulation, air, vapor, and weather barrier systems must be completed prior to enclosure.
</t>
  </si>
  <si>
    <t>2) Measuring Tape or ruler</t>
  </si>
  <si>
    <t>Insulation Type</t>
  </si>
  <si>
    <t>Typical Thermal Resistance R-value per Inch</t>
  </si>
  <si>
    <t>Application</t>
  </si>
  <si>
    <t>3) Relevant Wall Sections and Details</t>
  </si>
  <si>
    <t>Extruded polystyrene (XPS)</t>
  </si>
  <si>
    <t>Walls, Roof, Slab</t>
  </si>
  <si>
    <t>4) Cellar Plan</t>
  </si>
  <si>
    <t>Extruded polystyrene Ultra (XPS Ultra)</t>
  </si>
  <si>
    <t>Walls</t>
  </si>
  <si>
    <t>Mineral Wool Batts</t>
  </si>
  <si>
    <t>Walls, Attic, Floor</t>
  </si>
  <si>
    <t>Fiberglass Batts</t>
  </si>
  <si>
    <r>
      <t xml:space="preserve">1) Each unique </t>
    </r>
    <r>
      <rPr>
        <sz val="10"/>
        <rFont val="Arial"/>
        <family val="2"/>
      </rPr>
      <t>assembly shall be inspected.  (For example:  If unique sections of the building are constructed differently, all distinct areas must be inspected independently; Also, if insulation specifications are different for living areas vs. common areas or other special use areas, each different specification shall be inspected independently.)</t>
    </r>
  </si>
  <si>
    <t>Low-Density Sprayed Polyurethane Foam; “½ pound foam” (e.g. Icynene)</t>
  </si>
  <si>
    <t>2) Sampling may be used to inspect wall assemblies that are consistent throughout large sections of the building.  Inspections done from the exterior shall sample at least 15% of each wall area.  For inspections done from interior spaces, follow the modified RESNET sampling protocol outlined in the How to Use this Manual section on page 11 of the T&amp;V Protocols, for each unique wall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</si>
  <si>
    <t>High-Density Sprayed Polyurethane Foam; “2 pound foam” (e.g. Corbond)</t>
  </si>
  <si>
    <t>5.0-7.0</t>
  </si>
  <si>
    <t>3) Documentation of post-repair conditions is required for correction of problems that represent large surface areas (greater than 50 square feet) and/or systemic problems (e.g. all corner units are insulated improperly).  On-site inspection to verify corrections is preferable, but if this is not possible/practical due to construction schedules, photographic documentation of repairs submitted to the responsible party by the GC are an acceptable alternative.</t>
  </si>
  <si>
    <t>Cellulose</t>
  </si>
  <si>
    <t>4) *PHOTOS REQUIRED*</t>
  </si>
  <si>
    <t>Polyisocyanurate (Polyiso)</t>
  </si>
  <si>
    <t xml:space="preserve">Walls, Roof </t>
  </si>
  <si>
    <t>- Photo clearly identifying type of insulation to be installed and thickness using measuring tape or ruler (can do each individual piece of insulation or entire assembly)
- Photo showing continuous insulation around sample corner and other challenging details
- Photo of pre-insulation showing application of water/vapor/air barrier
- Photo of post-installation</t>
  </si>
  <si>
    <t>Expanded Polystyrene (EPS)</t>
  </si>
  <si>
    <t>Walls, Roof</t>
  </si>
  <si>
    <t>• Interior and cavity insulation must be protected from air intrusion,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Insulation that is intended to be continuous (interior or exterior) must be installed without breaks and at full thickness at all locations.
• Insulation must be installed such that they achieve RESNET-defined Grade I installation or, alternatively, Grade II for walls with continuous insulation.
• Vapor impermeable air barriers for general coverage should only be specified on the warm side of insulation (i.e. interior side of insulation in predominately heating dominated climates). Vapor permeable air barriers should be specified in other cases.</t>
  </si>
  <si>
    <r>
      <t xml:space="preserve">WALL TYPE:  </t>
    </r>
    <r>
      <rPr>
        <sz val="10"/>
        <rFont val="Arial"/>
        <family val="2"/>
      </rPr>
      <t>This section can be duplicated, copy and insert rows</t>
    </r>
  </si>
  <si>
    <r>
      <t xml:space="preserve">DESCRIPTION
</t>
    </r>
    <r>
      <rPr>
        <sz val="10"/>
        <rFont val="Arial"/>
        <family val="2"/>
      </rPr>
      <t>(Type/Thickness)</t>
    </r>
  </si>
  <si>
    <r>
      <t xml:space="preserve">LOCATION
</t>
    </r>
    <r>
      <rPr>
        <sz val="10"/>
        <rFont val="Arial"/>
        <family val="2"/>
      </rPr>
      <t>dwg / spec</t>
    </r>
  </si>
  <si>
    <r>
      <t xml:space="preserve">INSPECTION COMMENTS 
</t>
    </r>
    <r>
      <rPr>
        <sz val="10"/>
        <rFont val="Arial"/>
        <family val="2"/>
      </rPr>
      <t>(P</t>
    </r>
    <r>
      <rPr>
        <sz val="10"/>
        <rFont val="Arial"/>
        <family val="2"/>
      </rPr>
      <t>roblems, sample details/apt #s, etc.)</t>
    </r>
  </si>
  <si>
    <t>BG WALL ASSEMBLY 1</t>
  </si>
  <si>
    <t>Layer 1</t>
  </si>
  <si>
    <t>Layer 2</t>
  </si>
  <si>
    <t>Layer 3</t>
  </si>
  <si>
    <t>Layer 4</t>
  </si>
  <si>
    <t>Layer 5</t>
  </si>
  <si>
    <t>BG ASSEMBLY 1 U-VALUE</t>
  </si>
  <si>
    <t>Overall U-value</t>
  </si>
  <si>
    <t>BG WALL ASSEMBLY 2</t>
  </si>
  <si>
    <t>PROPOSED
ERM</t>
  </si>
  <si>
    <t>Overall Below Grade Wall U-Value</t>
  </si>
  <si>
    <r>
      <rPr>
        <b/>
        <sz val="10"/>
        <rFont val="Arial"/>
        <family val="2"/>
      </rPr>
      <t xml:space="preserve">INSPECTION COMMENTS </t>
    </r>
    <r>
      <rPr>
        <sz val="10"/>
        <rFont val="Arial"/>
        <family val="2"/>
      </rPr>
      <t xml:space="preserve">
(Problems, sample details/apt #s, etc.)</t>
    </r>
  </si>
  <si>
    <r>
      <rPr>
        <b/>
        <sz val="10"/>
        <rFont val="Arial"/>
        <family val="2"/>
      </rPr>
      <t>Compliance Statement</t>
    </r>
    <r>
      <rPr>
        <sz val="10"/>
        <rFont val="Arial"/>
        <family val="2"/>
      </rPr>
      <t xml:space="preserve">
• All assemblies are compliant with the  requirements of the </t>
    </r>
    <r>
      <rPr>
        <i/>
        <sz val="10"/>
        <rFont val="Arial"/>
        <family val="2"/>
      </rPr>
      <t>Modified Prescriptive Path</t>
    </r>
    <r>
      <rPr>
        <sz val="10"/>
        <rFont val="Arial"/>
        <family val="2"/>
      </rPr>
      <t>, including framing factor assumptions.</t>
    </r>
  </si>
  <si>
    <r>
      <t xml:space="preserve">Below Grade Walls - Insulation and Initial Framing Inspection
</t>
    </r>
    <r>
      <rPr>
        <sz val="10"/>
        <rFont val="Arial"/>
        <family val="2"/>
      </rPr>
      <t>• Verify insulation type, thickness, location, coverage, and installation.  Improperly installed insulation must be derated*.
• Verify location and continuity of air and vapor barriers (if specified).
• Protection from air and moisture intrusion of interior and cavity insulation will also be verified.</t>
    </r>
  </si>
  <si>
    <r>
      <rPr>
        <b/>
        <sz val="10"/>
        <rFont val="Arial"/>
        <family val="2"/>
      </rPr>
      <t>Wood-Framed Construction</t>
    </r>
    <r>
      <rPr>
        <sz val="10"/>
        <rFont val="Arial"/>
        <family val="2"/>
      </rPr>
      <t xml:space="preserve">
• For wood-framed construction, Version 3.0 of the </t>
    </r>
    <r>
      <rPr>
        <i/>
        <sz val="10"/>
        <rFont val="Arial"/>
        <family val="2"/>
      </rPr>
      <t>ENERGY STAR Qualified Homes Thermal Enclosure System Rater Checklist Sections 3 and 5</t>
    </r>
    <r>
      <rPr>
        <sz val="10"/>
        <rFont val="Arial"/>
        <family val="2"/>
      </rPr>
      <t xml:space="preserve"> must be followed in addition to all applicable </t>
    </r>
    <r>
      <rPr>
        <i/>
        <sz val="10"/>
        <rFont val="Arial"/>
        <family val="2"/>
      </rPr>
      <t>T&amp;V Protocols.</t>
    </r>
  </si>
  <si>
    <r>
      <rPr>
        <b/>
        <sz val="10"/>
        <rFont val="Arial"/>
        <family val="2"/>
      </rPr>
      <t>Final Inspection</t>
    </r>
    <r>
      <rPr>
        <sz val="10"/>
        <rFont val="Arial"/>
        <family val="2"/>
      </rPr>
      <t xml:space="preserve">
• Verify proper enclosure of insulated cavities through visual inspection.</t>
    </r>
  </si>
  <si>
    <r>
      <rPr>
        <b/>
        <sz val="10"/>
        <rFont val="Arial"/>
        <family val="2"/>
      </rPr>
      <t>*</t>
    </r>
    <r>
      <rPr>
        <sz val="10"/>
        <rFont val="Arial"/>
        <family val="2"/>
      </rPr>
      <t xml:space="preserve">Estimated R-values for insulation that is improperly installed must be derated using the standards and procedures described in the </t>
    </r>
    <r>
      <rPr>
        <i/>
        <sz val="10"/>
        <rFont val="Arial"/>
        <family val="2"/>
      </rPr>
      <t xml:space="preserve">Mortgage Industry’s National Home Energy Rating Systems, Section 303.4.1.4.2 and Appendix A, “On-Site Inspection Procedures for Minimum Rated Features”.
</t>
    </r>
  </si>
  <si>
    <t>ENVELOPE - ABOVE GRADE WALLS - PROTOCOL 3.1</t>
  </si>
  <si>
    <t>A minimum of three (3) and as many as five (5) separate site visits are required for most multifamily high-rise buildings.</t>
  </si>
  <si>
    <t>1) Inspections of interior and cavity insulation must take place during construction:  at framing pre-insulation, post-insulation and pre-drywall, and post-completion.</t>
  </si>
  <si>
    <t xml:space="preserve">2) Inspections of exterior insulation, air, vapor, and weather barrier systems must be completed prior to enclosure.
</t>
  </si>
  <si>
    <t>4) Floor Plans</t>
  </si>
  <si>
    <t>1) Each unique wall assembly shall be inspected.  (For example:  if the basement walls are constructed differently from the upper floors, both areas must be inspected independently; also, if insulation specifications are different for living areas vs. common areas or other special use areas, each different specification shall be inspected independently.)</t>
  </si>
  <si>
    <r>
      <t xml:space="preserve">2) Sampling may be used to inspect wall assemblies that are consistent throughout large sections of the building.  Inspections done from the exterior shall sample at least 15% of each wall area.  For inspections done from interior spaces, follow the modified RESNET sampling protocol outlined in the How to Use this Manual section on page 11 of the </t>
    </r>
    <r>
      <rPr>
        <i/>
        <sz val="10"/>
        <rFont val="Arial"/>
        <family val="2"/>
      </rPr>
      <t>T&amp;V Protocols</t>
    </r>
    <r>
      <rPr>
        <sz val="10"/>
        <rFont val="Arial"/>
        <family val="2"/>
      </rPr>
      <t>, for each unique wall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r>
  </si>
  <si>
    <r>
      <t>- Photo clearly identifying type of insulation to be installed and thickness using measuring tape or ruler (can do each individual piece of insulation or entire assembly)
- Photo showing continuous insulation around sample corner and other challenging details
- Photo of pre-insulation showing application of water/vapor/air barrier</t>
    </r>
    <r>
      <rPr>
        <sz val="10"/>
        <rFont val="Arial"/>
        <family val="2"/>
      </rPr>
      <t xml:space="preserve">
- Photo of pre-installation to verify framing construction
- Photo of post insulation indicating proper installation
- Photo of completion showing proper drywall installation
- Photo of Plank/Slab Edge and Rim Joist Insulation between ceiling/floor levels before cladding is installed
</t>
    </r>
  </si>
  <si>
    <t>• Interior and cavity insulation must be protected from air intrusion,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For steel-framed and metal buildings, continuous exterior insulation is required on above grade walls. For masonry buildings with metal framing, continuous interior or exterior insulation is required on above grade walls. 
• Insulation that is intended to be continuous (interior or exterior) must be installed without breaks and at full thickness at all locations.
• Air barrier must be continuous around the entire building.  Air barrier must be detailed at all penetrations and transitions including structural components, connections between dissimilar materials, and window rough openings. Flashing materials and sealants must be used at window openings, through-wall duct penetrations, the transition between the wall and roof barrier, and the transition between the wall and foundation barrier.
• Insulation must be installed such that they achieve RESNET-defined Grade I installation or, alternatively, Grade II for walls with continuous insulation.
• Vapor impermeable air barriers for general coverage should only be specified on the warm side of insulation (i.e. interior side of insulation in predominately heating dominated climates). Vapor permeable air barriers should be specified in other cases.</t>
  </si>
  <si>
    <r>
      <t xml:space="preserve">WALL TYPE </t>
    </r>
    <r>
      <rPr>
        <sz val="10"/>
        <rFont val="Arial"/>
        <family val="2"/>
      </rPr>
      <t>This section can be duplicated, copy and insert rows</t>
    </r>
  </si>
  <si>
    <r>
      <t xml:space="preserve">DESCRIPTION 
</t>
    </r>
    <r>
      <rPr>
        <sz val="10"/>
        <rFont val="Arial"/>
        <family val="2"/>
      </rPr>
      <t>(Type / Thickness)</t>
    </r>
  </si>
  <si>
    <r>
      <t>WALL ASSEMBLY  1</t>
    </r>
    <r>
      <rPr>
        <sz val="11"/>
        <color theme="1"/>
        <rFont val="Calibri"/>
        <family val="2"/>
        <scheme val="minor"/>
      </rPr>
      <t xml:space="preserve">
</t>
    </r>
  </si>
  <si>
    <t xml:space="preserve">Name: </t>
  </si>
  <si>
    <t xml:space="preserve">Location:  </t>
  </si>
  <si>
    <t>Layer 6</t>
  </si>
  <si>
    <t>ASSEMBLY 1 WHOLE WALL U-VALUE</t>
  </si>
  <si>
    <r>
      <t>WALL ASSEMBLY  2</t>
    </r>
    <r>
      <rPr>
        <sz val="11"/>
        <color theme="1"/>
        <rFont val="Calibri"/>
        <family val="2"/>
        <scheme val="minor"/>
      </rPr>
      <t/>
    </r>
  </si>
  <si>
    <t>ASSEMBLY 2 WHOLE WALL U-VALUE</t>
  </si>
  <si>
    <t>Overall Above Grade Wall U-Value</t>
  </si>
  <si>
    <t>An area weighted average of the U-factors of the wall and floor perimeter assemblies is acceptable. When calculating the
U-factor of the floor perimeter, the full R-value for any exterior insulation can only be used for portions of the assembly
where shelf angles or other continuous metal fastened to the wall are not used. For portions of this assembly where shelf angles or other continuous metal fastened to the wall are used, an overall U-value shall be calculated based on an area weighted ratio.</t>
  </si>
  <si>
    <t xml:space="preserve">FLOOR EDGE ASSEMBLY 1
</t>
  </si>
  <si>
    <t>ASSEMBLY 1 - WHOLE WALL U-VALUE</t>
  </si>
  <si>
    <t xml:space="preserve">FLOOR EDGE ASSEMBLY
</t>
  </si>
  <si>
    <t>ASSEMBLY 2 - WHOLE WALL U-VALUE</t>
  </si>
  <si>
    <t>Overall Floor Edge Assembly U-Value</t>
  </si>
  <si>
    <r>
      <t xml:space="preserve">An area weighted average of the U-factors of the wall and floor perimeter assemblies is acceptable. When calculating the
U-factor, the full R-value for any exterior insulation can only be used for portions of the assembly
where shelf angles or other continuous metal fastened to the wall are not used. For portions of this assembly where shelf angles or other continuous metal fastened to the wall are used, an overall U-value shall be calculated based on an area weighted ratio.
Non-vision glazing areas of window wall systems are to be treated as opaque walls per ASHRAE and when determining minimum </t>
    </r>
    <r>
      <rPr>
        <i/>
        <sz val="10"/>
        <rFont val="Arial"/>
        <family val="2"/>
      </rPr>
      <t>Modified Prescriptive Path</t>
    </r>
    <r>
      <rPr>
        <sz val="10"/>
        <rFont val="Arial"/>
        <family val="2"/>
      </rPr>
      <t xml:space="preserve"> U-values. </t>
    </r>
  </si>
  <si>
    <r>
      <rPr>
        <b/>
        <sz val="10"/>
        <rFont val="Arial"/>
        <family val="2"/>
      </rPr>
      <t xml:space="preserve">Compliance Statement
</t>
    </r>
    <r>
      <rPr>
        <sz val="10"/>
        <rFont val="Arial"/>
        <family val="2"/>
      </rPr>
      <t>• All assemblies are compliant with the requirements of the</t>
    </r>
    <r>
      <rPr>
        <i/>
        <sz val="10"/>
        <rFont val="Arial"/>
        <family val="2"/>
      </rPr>
      <t xml:space="preserve"> Modified Prescriptive Path</t>
    </r>
    <r>
      <rPr>
        <sz val="10"/>
        <rFont val="Arial"/>
        <family val="2"/>
      </rPr>
      <t>, including framing factor assumptions.</t>
    </r>
  </si>
  <si>
    <r>
      <t xml:space="preserve">Above Grade Walls - Insulation and Initial Framing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</si>
  <si>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r>
      <t xml:space="preserve">Floor Perimeter/Plank Edge - Insulation and Framing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</si>
  <si>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r>
      <t xml:space="preserve">Continuous Insulation Requirements
</t>
    </r>
    <r>
      <rPr>
        <sz val="10"/>
        <rFont val="Arial"/>
        <family val="2"/>
      </rPr>
      <t>• For steel-framed and metal buildings, continuous exterior insulation is required on above grade walls. For masonry buildings with metal framing, continuous interior or exterior insulation is required on above grade walls.</t>
    </r>
  </si>
  <si>
    <r>
      <rPr>
        <b/>
        <sz val="10"/>
        <rFont val="Arial"/>
        <family val="2"/>
      </rPr>
      <t>Wood-Framed Construction</t>
    </r>
    <r>
      <rPr>
        <sz val="10"/>
        <rFont val="Arial"/>
        <family val="2"/>
      </rPr>
      <t xml:space="preserve">
• For wood-framed construction, Version 3.0 of the </t>
    </r>
    <r>
      <rPr>
        <i/>
        <sz val="10"/>
        <rFont val="Arial"/>
        <family val="2"/>
      </rPr>
      <t xml:space="preserve">ENERGY STAR Qualified Homes Thermal Enclosure System Rater Checklist Sections 3 and 5 </t>
    </r>
    <r>
      <rPr>
        <sz val="10"/>
        <rFont val="Arial"/>
        <family val="2"/>
      </rPr>
      <t xml:space="preserve">must be followed in addition to all applicable </t>
    </r>
    <r>
      <rPr>
        <i/>
        <sz val="10"/>
        <rFont val="Arial"/>
        <family val="2"/>
      </rPr>
      <t>T&amp;V Protocols.</t>
    </r>
  </si>
  <si>
    <t>ENVELOPE - ROOF - PROTOCOL 3.2</t>
  </si>
  <si>
    <t>1) Inspections must take place during construction:  pre-insulation, post-insulation and pre-drywall or prior to roof finish, and post-completion.</t>
  </si>
  <si>
    <t>3) Relevant Wall and Roof Sections and Details</t>
  </si>
  <si>
    <t>4) Roof Plan</t>
  </si>
  <si>
    <t>1) Each unique roof assembly shall be inspected.  (For example:  If there are exposed roofs on lower levels, that are constructed differently from the upper floors, both areas must be inspected independently; Also, if insulation specifications are different for living areas vs. common areas or other special use areas, each different specification shall be inspected independently.)</t>
  </si>
  <si>
    <r>
      <t xml:space="preserve">2) Sampling may be used to inspect roof assemblies that are consistent throughout large sections of the building.  Inspections done from the exterior shall sample at least 15% of each roof area.  For inspections done from interior spaces,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for each unique roof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r>
  </si>
  <si>
    <t>3) To verify the predicted overall R-value, 100% of locations where roof insulation achieves the minimum thickness are to be inspected.  Insulation thickness at roof perimeters shall be inspected at one (1) location per 70 feet of roof perimeter. This shall include, at a minimum, two (2) instances where the roof insulation achieves its maximum thickness.  Each location inspected cannot be within 70 feet of each other along the roof perimeter.</t>
  </si>
  <si>
    <t>4) Documentation of post-repair conditions is required for correction of problems that represent large surface areas (greater than 50 square feet) and/or systemic problems (e.g. all corner units are insulated improperly).  On-site inspection to verify corrections is preferable, but if this is not possible/practical due to construction schedules, photographic documentation of repairs submitted to the responsible party by the GC are an acceptable alternative.</t>
  </si>
  <si>
    <t>5) *PHOTOS REQUIRED*</t>
  </si>
  <si>
    <t>- Photo clearly identifying type of insulation to be installed and thickness using measuring tape or ruler (can do each individual piece of insulation or entire assembly)
- Photo showing continuous insulation around sample corner and other challenging details
- Post insulation photo (pre-drywall for cavity insulation, prior to roof finish for exterior rigid insulation) showing complete and even distribution of insulation
- Photo of proper enclosure of insulated cavities (if applicable)</t>
  </si>
  <si>
    <t>• Interior and cavity insulation must be protected from air and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Insulation that is intended to be continuous (interior or exterior) must be installed without breaks and at full thickness at all locations.
• Insulation must be installed such that they achieve RESNET-defined Grade I installation or, alternatively, Grade II for roofs with continuous insulation.
• Vapor impermeable air barriers for general coverage should only be specified on the warm side of insulation (i.e. interior side of insulation in predominately heating dominated climates). Vapor permeable air barriers should be specified in other cases.
• Sprinkler systems to be designed to not interfere with the performance of thermal and air barriers
• For built-up insulation on flat roofs, minimum and average R-value for roof surfaces must be specified.  Specifications must require contractor to submit roof insulation software calculator results (e.g. ‘Taper Plus” or equivalent) which will be used to verify effective R-value.</t>
  </si>
  <si>
    <r>
      <t xml:space="preserve">ROOF TYPE:  </t>
    </r>
    <r>
      <rPr>
        <sz val="10"/>
        <rFont val="Arial"/>
        <family val="2"/>
      </rPr>
      <t>This section can be duplicated, copy and insert rows</t>
    </r>
    <r>
      <rPr>
        <b/>
        <sz val="10"/>
        <rFont val="Arial"/>
        <family val="2"/>
      </rPr>
      <t xml:space="preserve">
</t>
    </r>
    <r>
      <rPr>
        <sz val="10"/>
        <rFont val="Arial"/>
        <family val="2"/>
      </rPr>
      <t>(assembly name or number)</t>
    </r>
  </si>
  <si>
    <r>
      <t xml:space="preserve">DESCRIPTION 
</t>
    </r>
    <r>
      <rPr>
        <sz val="10"/>
        <rFont val="Arial"/>
        <family val="2"/>
      </rPr>
      <t>(Type and Thickness)</t>
    </r>
  </si>
  <si>
    <t>ROOF ASSEMBLY 1</t>
  </si>
  <si>
    <r>
      <t>PITCH (</t>
    </r>
    <r>
      <rPr>
        <i/>
        <sz val="10"/>
        <rFont val="Arial"/>
        <family val="2"/>
      </rPr>
      <t>Pitched Plank, Built Up Roof)</t>
    </r>
  </si>
  <si>
    <t>ROOF ASSEMBLY 1 U-VALUE</t>
  </si>
  <si>
    <t>ROOF ASSEMBLY 2</t>
  </si>
  <si>
    <t>ROOF ASSEMBLY 2 U-VALUE</t>
  </si>
  <si>
    <t>Overall Roof U-Value</t>
  </si>
  <si>
    <r>
      <rPr>
        <b/>
        <sz val="10"/>
        <rFont val="Arial"/>
        <family val="2"/>
      </rPr>
      <t xml:space="preserve">Compliance Statement
</t>
    </r>
    <r>
      <rPr>
        <sz val="10"/>
        <rFont val="Arial"/>
        <family val="2"/>
      </rPr>
      <t xml:space="preserve">• All assemblies are compliant with the requirements of the </t>
    </r>
    <r>
      <rPr>
        <i/>
        <sz val="10"/>
        <rFont val="Arial"/>
        <family val="2"/>
      </rPr>
      <t>Modified Prescriptive Path</t>
    </r>
    <r>
      <rPr>
        <sz val="10"/>
        <rFont val="Arial"/>
        <family val="2"/>
      </rPr>
      <t>, including framing factor assumptions.</t>
    </r>
  </si>
  <si>
    <r>
      <rPr>
        <b/>
        <sz val="10"/>
        <rFont val="Arial"/>
        <family val="2"/>
      </rPr>
      <t xml:space="preserve">Roof - Insulation and Initial Framing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</si>
  <si>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r>
      <rPr>
        <b/>
        <sz val="10"/>
        <rFont val="Arial"/>
        <family val="2"/>
      </rPr>
      <t>Wood-Framed Construction</t>
    </r>
    <r>
      <rPr>
        <sz val="10"/>
        <rFont val="Arial"/>
        <family val="2"/>
      </rPr>
      <t xml:space="preserve">
• For wood-framed construction, Version 3.0 of the </t>
    </r>
    <r>
      <rPr>
        <i/>
        <sz val="10"/>
        <rFont val="Arial"/>
        <family val="2"/>
      </rPr>
      <t>ENERGY STAR Qualified Homes Thermal Enclosure System Rater Checklist Sections 3 and 5</t>
    </r>
    <r>
      <rPr>
        <sz val="10"/>
        <rFont val="Arial"/>
        <family val="2"/>
      </rPr>
      <t xml:space="preserve"> must be followed in addition to all applicable </t>
    </r>
    <r>
      <rPr>
        <i/>
        <sz val="10"/>
        <rFont val="Arial"/>
        <family val="2"/>
      </rPr>
      <t>T&amp;V Protocols</t>
    </r>
    <r>
      <rPr>
        <sz val="10"/>
        <rFont val="Arial"/>
        <family val="2"/>
      </rPr>
      <t>.</t>
    </r>
  </si>
  <si>
    <t>ENVELOPE - FLOORS ABOVE UNCONDITIONED SPACES - PROTOCOL 3.3</t>
  </si>
  <si>
    <t>3) Relevant Floor Plan Sections and Details</t>
  </si>
  <si>
    <t>1) Each unique floor assembly shall be inspected.  (For example:  If unique sections of the building are constructed differently, all distinct areas must be inspected independently; Also, if insulation specifications are different for living areas vs. common areas or other special use areas, each different specification shall be inspected independently.)</t>
  </si>
  <si>
    <t>2) Sampling may be used to inspect floor assemblies that are consistent throughout large sections of the building.  At each stage of the inspection process, a minimum of 15% of total floor area must be inspected for each unique floor type.  If problems are found in the sample set, additional inspections must be conducted to determine the full extent of the problems and to ensure that repairs are completed in all areas of the building where they are needed.</t>
  </si>
  <si>
    <t xml:space="preserve">- Photo clearly identifying type of insulation installed and thickness using measuring tape or ruler (can do each individual piece of insulation or entire assembly)
- Photo showing continuous insulation around sample corner and/or trouble area
- Sub Slab insulation – Photo of insulation before pouring of concrete or backfill of foundation
- If moisture or insect protection is required, photo of proper installation is required
- Framed floors – Photo of post-insulation to show proper installation showing no signs of compromised R-Value
</t>
  </si>
  <si>
    <t>• Interior and cavity insulation must be protected from air intrusion and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Insulation that is intended to be continuous (interior or exterior) must be installed without breaks and at full thickness at all locations.
• Insulation must be installed such that they achieve RESNET-defined Grade I installation or, alternatively, Grade II for floors with continuous insulation.
• Vapor impermeable air barriers for general coverage should only be specified on the warm side of insulation (i.e. interior side of insulation in predominately heating dominated climates). Vapor permeable air barriers should be specified in other cases.
• If specified, rim joists between ceiling/floor levels must be insulated around the entire perimeter, and necessity of shelf angles should be evaluated by structural engineer.</t>
  </si>
  <si>
    <r>
      <t xml:space="preserve">FLOOR TYPE: </t>
    </r>
    <r>
      <rPr>
        <sz val="10"/>
        <rFont val="Arial"/>
        <family val="2"/>
      </rPr>
      <t>This section can be duplicated, copy and insert rows</t>
    </r>
    <r>
      <rPr>
        <b/>
        <sz val="10"/>
        <rFont val="Arial"/>
        <family val="2"/>
      </rPr>
      <t xml:space="preserve"> </t>
    </r>
  </si>
  <si>
    <t>FLOOR OVER UNCONDITIONED SPACE ASSEMBLY 1</t>
  </si>
  <si>
    <t>FLOOR OVER UNCONDITIONED SPACE ASSEMBLY 1 U-VALUE</t>
  </si>
  <si>
    <t>Overall Floor Over Unconditioned Space U-Value</t>
  </si>
  <si>
    <t>BG SLAB FLOOR ASSEMBLY 1</t>
  </si>
  <si>
    <t>BG SLAB FLOOR ASSEMBLY 1 U-VALUE</t>
  </si>
  <si>
    <t>Overall Below Grade Slab Floor  U-Value</t>
  </si>
  <si>
    <t>SLAB-ON-GRADE (unheated) ASSEMBLY 1</t>
  </si>
  <si>
    <t>SLAB-ON-GRADE (unheated) ASSEMBLY 1 U-VALUE</t>
  </si>
  <si>
    <t>Overall Slab-On-Grade (heated only) U-Value</t>
  </si>
  <si>
    <t>SLAB-ON-GRADE (embedded heated only) ASSEMBLY 1</t>
  </si>
  <si>
    <t>SLAB-ON-GRADE FLOOR (embedded heated only)</t>
  </si>
  <si>
    <t>Overall Slab-On-Grade (embedded heated only) U-Value</t>
  </si>
  <si>
    <t>PLAN REVIEW 
COMMENTS</t>
  </si>
  <si>
    <r>
      <rPr>
        <b/>
        <sz val="10"/>
        <rFont val="Arial"/>
        <family val="2"/>
      </rPr>
      <t>INSPECTION COMMENTS</t>
    </r>
    <r>
      <rPr>
        <sz val="10"/>
        <rFont val="Arial"/>
        <family val="2"/>
      </rPr>
      <t xml:space="preserve"> 
(Problems, sample details/apt #s, etc.)</t>
    </r>
  </si>
  <si>
    <r>
      <rPr>
        <b/>
        <sz val="10"/>
        <rFont val="Arial"/>
        <family val="2"/>
      </rPr>
      <t xml:space="preserve">Compliance Statement
</t>
    </r>
    <r>
      <rPr>
        <sz val="10"/>
        <rFont val="Arial"/>
        <family val="2"/>
      </rPr>
      <t xml:space="preserve">• All assemblies are compliant with the requirements of the </t>
    </r>
    <r>
      <rPr>
        <i/>
        <sz val="10"/>
        <rFont val="Arial"/>
        <family val="2"/>
      </rPr>
      <t>Modified</t>
    </r>
    <r>
      <rPr>
        <sz val="10"/>
        <rFont val="Arial"/>
        <family val="2"/>
      </rPr>
      <t xml:space="preserve"> </t>
    </r>
    <r>
      <rPr>
        <i/>
        <sz val="10"/>
        <rFont val="Arial"/>
        <family val="2"/>
      </rPr>
      <t>Prescriptive Path</t>
    </r>
    <r>
      <rPr>
        <sz val="10"/>
        <rFont val="Arial"/>
        <family val="2"/>
      </rPr>
      <t xml:space="preserve">, including framing factor assumptions. </t>
    </r>
  </si>
  <si>
    <r>
      <t xml:space="preserve">Floor Insulation Above Unconditioned Space - Insulation and Initial Framing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</si>
  <si>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r>
      <t xml:space="preserve">Below Grade Slab Floor- Insulation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</si>
  <si>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r>
      <t xml:space="preserve">Slab-on-Grade (unheated) - Insulation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</si>
  <si>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r>
      <t xml:space="preserve">Slab-on-Grade (embedded heated only) - Insulation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</si>
  <si>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t>ENVELOPE - WINDOWS - PROTOCOL 3.4</t>
  </si>
  <si>
    <t>1) If the developer has elected, the initial sample installation shall be inspected upon completion.  If problems are identified with the sample installation, a return site visit may be necessary to verify that the problems were properly addressed and corrected before proceeding with the installation of windows building-wide.</t>
  </si>
  <si>
    <t>2) All other window inspections will take place on an ongoing basis during construction at the same time that other building envelope components are inspected to ensure specifications are being met throughout the construction process.</t>
  </si>
  <si>
    <t>3) Window Schedule and Relevant Details</t>
  </si>
  <si>
    <r>
      <t xml:space="preserve">1)  For spaces containing windows, follow the modified RESNET sampling protocol outlined in the </t>
    </r>
    <r>
      <rPr>
        <i/>
        <sz val="10"/>
        <rFont val="Arial"/>
        <family val="2"/>
      </rPr>
      <t>How to Use this Manual</t>
    </r>
    <r>
      <rPr>
        <sz val="11"/>
        <color theme="1"/>
        <rFont val="Calibri"/>
        <family val="2"/>
        <scheme val="minor"/>
      </rPr>
      <t xml:space="preserve"> section on page 11 of the </t>
    </r>
    <r>
      <rPr>
        <i/>
        <sz val="10"/>
        <rFont val="Arial"/>
        <family val="2"/>
      </rPr>
      <t>T&amp;V Protocols</t>
    </r>
    <r>
      <rPr>
        <sz val="11"/>
        <color theme="1"/>
        <rFont val="Calibri"/>
        <family val="2"/>
        <scheme val="minor"/>
      </rPr>
      <t>, which shall include, at a minimum, one of each different type of window installation based on different window types (fixed, double hung, etc.) and different energy performance specifications (e.g. if low e glass is specified on part of the building but not all of it).</t>
    </r>
  </si>
  <si>
    <t xml:space="preserve">2)  In addition, the sample set shall include, at a minimum, the inspection of all windows in a representative apartment from each apartment style or type. </t>
  </si>
  <si>
    <t>3)  If problems are identified, additional windows must be inspected to determine if problems are systemic.  Problems found will be reported to the GC for correction and re-inspection on an ongoing basis throughout construction.</t>
  </si>
  <si>
    <t>- Photo of each unique window type with third party verification (NFRC label if applicable) of U-Value, SHGC, and ENERGY STAR qualification (if applicable)
- Photo of installed window that verifies proper fit and effective connections to envelope’s weather and air barriers
- Photo with low-e sensor device verifying low-e</t>
  </si>
  <si>
    <t>• Include selection of window type (by operation, e.g. double-hung, single-hung, casement, fixed, etc.), dimensions, frame, U-value, low-emissivity, gas fill, SHGC, visual transmittance, and labeling by an independent third party (e.g. NFRC).
• The specified windows shall be double or triple-pane, with low-emissivity glass or coatings.
• Windows shall be installed properly to ensure weather tightness and air tightness performance within manufacturer’s specifications in addition to proper operation.
• All joints between window frame and rough opening should be sealed with minimum 20-year sealant compatible with all surfaces.
• Specifications could include, at the discretion of the developer, the inspection of a sample mock-up installation by the responsible party prior to installation of windows building-wide.</t>
  </si>
  <si>
    <r>
      <t xml:space="preserve">WINDOW TYPE
</t>
    </r>
    <r>
      <rPr>
        <i/>
        <sz val="10"/>
        <rFont val="Arial"/>
        <family val="2"/>
      </rPr>
      <t>(Double hung, awning, casement, fixed)</t>
    </r>
  </si>
  <si>
    <t>MFR/MODEL</t>
  </si>
  <si>
    <r>
      <t xml:space="preserve">WINDOW FRAME 
</t>
    </r>
    <r>
      <rPr>
        <i/>
        <sz val="10"/>
        <rFont val="Arial"/>
        <family val="2"/>
      </rPr>
      <t>(Alum, Fiberglass)</t>
    </r>
  </si>
  <si>
    <r>
      <t xml:space="preserve">GAS FILL
</t>
    </r>
    <r>
      <rPr>
        <i/>
        <sz val="10"/>
        <rFont val="Arial"/>
        <family val="2"/>
      </rPr>
      <t>(Air / Argon)</t>
    </r>
  </si>
  <si>
    <t xml:space="preserve">CENTER OF GLASS U-VALUE </t>
  </si>
  <si>
    <t>ASSEMBLY U-VALUE</t>
  </si>
  <si>
    <t xml:space="preserve">SHGC </t>
  </si>
  <si>
    <r>
      <t xml:space="preserve">LOW-E
</t>
    </r>
    <r>
      <rPr>
        <sz val="10"/>
        <rFont val="Arial"/>
        <family val="2"/>
      </rPr>
      <t>(Yes/No)</t>
    </r>
  </si>
  <si>
    <r>
      <t xml:space="preserve">INSPECTION COMMENTS
</t>
    </r>
    <r>
      <rPr>
        <sz val="10"/>
        <rFont val="Arial"/>
        <family val="2"/>
      </rPr>
      <t>(Window has proper orientation, fit, and is easily opened)</t>
    </r>
  </si>
  <si>
    <r>
      <rPr>
        <b/>
        <sz val="10"/>
        <rFont val="Arial"/>
        <family val="2"/>
      </rPr>
      <t xml:space="preserve">Compliance Statement
</t>
    </r>
    <r>
      <rPr>
        <sz val="10"/>
        <rFont val="Arial"/>
        <family val="2"/>
      </rPr>
      <t>• C</t>
    </r>
    <r>
      <rPr>
        <sz val="10"/>
        <rFont val="Arial"/>
        <family val="2"/>
      </rPr>
      <t>onfirm that the</t>
    </r>
    <r>
      <rPr>
        <sz val="10"/>
        <rFont val="Arial"/>
        <family val="2"/>
      </rPr>
      <t xml:space="preserve"> assembly U-values and SHGC for the climate zone meet or exceed the </t>
    </r>
    <r>
      <rPr>
        <i/>
        <sz val="10"/>
        <rFont val="Arial"/>
        <family val="2"/>
      </rPr>
      <t>Modified Prescriptive Path</t>
    </r>
    <r>
      <rPr>
        <sz val="10"/>
        <rFont val="Arial"/>
        <family val="2"/>
      </rPr>
      <t xml:space="preserve"> requirements.</t>
    </r>
  </si>
  <si>
    <r>
      <rPr>
        <b/>
        <sz val="10"/>
        <rFont val="Arial"/>
        <family val="2"/>
      </rPr>
      <t>Window-to-Wall Ratio</t>
    </r>
    <r>
      <rPr>
        <sz val="10"/>
        <rFont val="Arial"/>
        <family val="2"/>
      </rPr>
      <t xml:space="preserve">
• Window-to-Wall ratio is taken as the sum of all window area divided by the total exterior above-grade wall area. All decorative glass and skylight window area contribute to the total window area to above-grade wall ratio (WWR). In addition, non-vision glazing areas must be treated as opaque walls (not fenestration) when calculating window-to-wall ratios. Maximum allowable glazing area for </t>
    </r>
    <r>
      <rPr>
        <i/>
        <sz val="10"/>
        <rFont val="Arial"/>
        <family val="2"/>
      </rPr>
      <t>Modified Prescriptive Path</t>
    </r>
    <r>
      <rPr>
        <sz val="10"/>
        <rFont val="Arial"/>
        <family val="2"/>
      </rPr>
      <t xml:space="preserve">: 40% WWR
</t>
    </r>
  </si>
  <si>
    <r>
      <rPr>
        <b/>
        <sz val="10"/>
        <rFont val="Arial"/>
        <family val="2"/>
      </rPr>
      <t>Rough Openings</t>
    </r>
    <r>
      <rPr>
        <sz val="10"/>
        <rFont val="Arial"/>
        <family val="2"/>
      </rPr>
      <t xml:space="preserve">
• The installation subcontractor is responsible for verifying that rough openings are properly constructed including: structural soundness of sill, header, and jambs; opening shall be square, level, and plumb; and building materials should be protected from moisture damage prior to window installation.  Construction deficiencies should be reported to the developer or GC and corrected prior to installation of windows.</t>
    </r>
  </si>
  <si>
    <r>
      <rPr>
        <b/>
        <sz val="10"/>
        <rFont val="Arial"/>
        <family val="2"/>
      </rPr>
      <t xml:space="preserve">Window/Wall Mock Up
</t>
    </r>
    <r>
      <rPr>
        <sz val="10"/>
        <rFont val="Arial"/>
        <family val="2"/>
      </rPr>
      <t>• If approved by the developer, the responsible party shall inspect a sample installation of the window prior to the installation of windows building-wide.  The manufacturer’s data shall be inspected to verify energy performance specifications (window type, frame, U-value factor, gas fill, SHGC).  In addition, the installed window must be inspected for proper fit and operation and effective connections to the building envelope weather barrier and air barrier.  Low-e glass must be verified using a low-e meter.</t>
    </r>
  </si>
  <si>
    <r>
      <rPr>
        <b/>
        <sz val="10"/>
        <rFont val="Arial"/>
        <family val="2"/>
      </rPr>
      <t>On-Going Site Inspections</t>
    </r>
    <r>
      <rPr>
        <sz val="10"/>
        <rFont val="Arial"/>
        <family val="2"/>
      </rPr>
      <t xml:space="preserve">
• On inspection site visits, the responsible party shall check newly installed windows for compliance with the installation specifications and confirm the assumptions in the Proposed Design model. As an alternative to the modeling approach, verify all window requirements listed in the </t>
    </r>
    <r>
      <rPr>
        <i/>
        <sz val="10"/>
        <rFont val="Arial"/>
        <family val="2"/>
      </rPr>
      <t>Modified Prescriptive Path</t>
    </r>
    <r>
      <rPr>
        <sz val="10"/>
        <rFont val="Arial"/>
        <family val="2"/>
      </rPr>
      <t xml:space="preserve"> have been met or exceeded.</t>
    </r>
  </si>
  <si>
    <r>
      <rPr>
        <b/>
        <sz val="10"/>
        <rFont val="Arial"/>
        <family val="2"/>
      </rPr>
      <t>Air Tightness</t>
    </r>
    <r>
      <rPr>
        <sz val="10"/>
        <rFont val="Arial"/>
        <family val="2"/>
      </rPr>
      <t xml:space="preserve">
• Visually confirm all joints between window frame and rough opening have been sealed.  Optional: To verify air tightness of the weather stripping and window installation, use a smoke pencil around the window, casing, and frame.</t>
    </r>
  </si>
  <si>
    <r>
      <rPr>
        <b/>
        <sz val="10"/>
        <rFont val="Arial"/>
        <family val="2"/>
      </rPr>
      <t xml:space="preserve">Windows - Manufacturer's Product Data
</t>
    </r>
    <r>
      <rPr>
        <sz val="10"/>
        <rFont val="Arial"/>
        <family val="2"/>
      </rPr>
      <t>• Review manufacturer’s cut sheet or invoice detailing window construction, U-Value, SHGC, low–e, and ENERGY STAR qualification (if applicable)</t>
    </r>
  </si>
  <si>
    <r>
      <rPr>
        <b/>
        <sz val="10"/>
        <rFont val="Arial"/>
        <family val="2"/>
      </rPr>
      <t xml:space="preserve">Statement of Substantial Completion
</t>
    </r>
    <r>
      <rPr>
        <sz val="10"/>
        <rFont val="Arial"/>
        <family val="2"/>
      </rPr>
      <t xml:space="preserve">• A Statement of Substantial Completion or approved proxy may be used to establish completion of the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r>
      <rPr>
        <sz val="10"/>
        <rFont val="Arial"/>
        <family val="2"/>
      </rPr>
      <t>.</t>
    </r>
  </si>
  <si>
    <t>ENVELOPE - EXTERIOR DOORS - PROTOCOL 3.5</t>
  </si>
  <si>
    <t>1)  Final inspection may occur anytime following completion of installations .</t>
  </si>
  <si>
    <t>4) Door Manufacturer's Specifications</t>
  </si>
  <si>
    <t>5) As-built Door Schedule provided by the developer</t>
  </si>
  <si>
    <t>6) Smoke Pencil (Optional)</t>
  </si>
  <si>
    <t>1)  100% of entryways and designed vestibule areas shall be inspected.</t>
  </si>
  <si>
    <r>
      <t xml:space="preserve">2)  Visually verify proper installation of at least 50% of all common area exterior doors and check the manufacturer and model of all doors using the As-Built building door schedule provided by the developer.  For garden-style apartments with doors to the exterior,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MFHR Testing and Verification Protocol</t>
    </r>
    <r>
      <rPr>
        <sz val="10"/>
        <rFont val="Arial"/>
        <family val="2"/>
      </rPr>
      <t>.</t>
    </r>
  </si>
  <si>
    <t>- Photo of installed door that verifies proper fit and effective connections to envelope’s weather and air barriers.
- Photo of each unique door type with third party verification, NFRC and/or ENERGY STAR qualification (if applicable).</t>
  </si>
  <si>
    <r>
      <t xml:space="preserve">• Design and specifications for exterior doors shall meet or exceed the requirements listed in the </t>
    </r>
    <r>
      <rPr>
        <i/>
        <sz val="10"/>
        <rFont val="Arial"/>
        <family val="2"/>
      </rPr>
      <t>Modified</t>
    </r>
    <r>
      <rPr>
        <sz val="10"/>
        <rFont val="Arial"/>
        <family val="2"/>
      </rPr>
      <t xml:space="preserve"> </t>
    </r>
    <r>
      <rPr>
        <i/>
        <sz val="10"/>
        <rFont val="Arial"/>
        <family val="2"/>
      </rPr>
      <t>Prescriptive Path</t>
    </r>
    <r>
      <rPr>
        <sz val="10"/>
        <rFont val="Arial"/>
        <family val="2"/>
      </rPr>
      <t>.  
• Weather stripping shall be applied on all cellar/mechanical doors, doors between corridors and stairwells, all exterior doors, doors between apartments and corridors, doors separating unconditioned or vented spaces. 
• Weather stripping shall be installed with a rigid fastener and replaceable foam gasket specified for durability and less maintenance.
• Weather stripping shall be installed to not interfere with door closing properly.</t>
    </r>
  </si>
  <si>
    <t>FLOOR / LOCATION</t>
  </si>
  <si>
    <r>
      <t xml:space="preserve">ENERGY STAR </t>
    </r>
    <r>
      <rPr>
        <sz val="10"/>
        <rFont val="Arial"/>
        <family val="2"/>
      </rPr>
      <t>(Yes/No)</t>
    </r>
  </si>
  <si>
    <t>U-VALUE</t>
  </si>
  <si>
    <r>
      <t xml:space="preserve">WEATHERSTRIPPING
</t>
    </r>
    <r>
      <rPr>
        <sz val="10"/>
        <rFont val="Arial"/>
        <family val="2"/>
      </rPr>
      <t>(Yes/No)</t>
    </r>
  </si>
  <si>
    <r>
      <t xml:space="preserve">SELF CLOSING DEVICE
</t>
    </r>
    <r>
      <rPr>
        <sz val="10"/>
        <rFont val="Arial"/>
        <family val="2"/>
      </rPr>
      <t>(Yes/No)</t>
    </r>
  </si>
  <si>
    <r>
      <t xml:space="preserve">VESTIBULE
</t>
    </r>
    <r>
      <rPr>
        <sz val="10"/>
        <rFont val="Arial"/>
        <family val="2"/>
      </rPr>
      <t>(Yes/No)</t>
    </r>
  </si>
  <si>
    <r>
      <t xml:space="preserve">INSPECTION COMMENTS
</t>
    </r>
    <r>
      <rPr>
        <sz val="10"/>
        <rFont val="Arial"/>
        <family val="2"/>
      </rPr>
      <t>(Door has proper orientation, fit, and weather-stripping)</t>
    </r>
  </si>
  <si>
    <t>Overall Exterior Door U-Value</t>
  </si>
  <si>
    <r>
      <rPr>
        <b/>
        <sz val="10"/>
        <rFont val="Arial"/>
        <family val="2"/>
      </rPr>
      <t xml:space="preserve">Compliance Statement
</t>
    </r>
    <r>
      <rPr>
        <sz val="10"/>
        <rFont val="Arial"/>
        <family val="2"/>
      </rPr>
      <t xml:space="preserve">• Assembly is consistent with the requirements listed in the </t>
    </r>
    <r>
      <rPr>
        <i/>
        <sz val="10"/>
        <rFont val="Arial"/>
        <family val="2"/>
      </rPr>
      <t>Modified Prescriptive Path.</t>
    </r>
  </si>
  <si>
    <r>
      <rPr>
        <b/>
        <sz val="10"/>
        <rFont val="Arial"/>
        <family val="2"/>
      </rPr>
      <t xml:space="preserve">Vestibules and Entryways
</t>
    </r>
    <r>
      <rPr>
        <sz val="10"/>
        <rFont val="Arial"/>
        <family val="2"/>
      </rPr>
      <t xml:space="preserve">• Inspect vestibule and entryway areas to verify construction is consistent with design specifications. </t>
    </r>
  </si>
  <si>
    <r>
      <rPr>
        <b/>
        <sz val="10"/>
        <rFont val="Arial"/>
        <family val="2"/>
      </rPr>
      <t>Operation and Fit</t>
    </r>
    <r>
      <rPr>
        <sz val="10"/>
        <rFont val="Arial"/>
        <family val="2"/>
      </rPr>
      <t xml:space="preserve">
• Inspect exterior doors for proper operation, fit, and weather stripping.</t>
    </r>
  </si>
  <si>
    <r>
      <rPr>
        <b/>
        <sz val="10"/>
        <rFont val="Arial"/>
        <family val="2"/>
      </rPr>
      <t xml:space="preserve">Weather Stripping
</t>
    </r>
    <r>
      <rPr>
        <sz val="10"/>
        <rFont val="Arial"/>
        <family val="2"/>
      </rPr>
      <t>• When required by local building code, verify entranceways contain vestibules with weather-stripping hard-fastened to the door or frame.
• Verify weather stripping on all cellar/mechanical doors, doors between corridors and stairwells, all exterior doors, doors between apartments and corridors, doors separating unconditioned or vented spaces.
• Verify weather stripping is installed with a rigid fastener and replaceable foam gasket specified for durability and less maintenance.</t>
    </r>
  </si>
  <si>
    <r>
      <rPr>
        <b/>
        <sz val="10"/>
        <rFont val="Arial"/>
        <family val="2"/>
      </rPr>
      <t xml:space="preserve">Smoke Testing
</t>
    </r>
    <r>
      <rPr>
        <sz val="10"/>
        <rFont val="Arial"/>
        <family val="2"/>
      </rPr>
      <t>• Option:  Use a smoke pencil with the building under pressurization (or depressurization) from the ventilation system to verify air tightness of components.</t>
    </r>
  </si>
  <si>
    <t>GARAGES - HEATING &amp; COMPARTMENTALIZATION - PROTOCOL 4.1</t>
  </si>
  <si>
    <t xml:space="preserve">1) Inspect air sealing details at framing before insulation is installed.
</t>
  </si>
  <si>
    <t>2) Inspect insulation after installation and prior to enclosure with finish materials.</t>
  </si>
  <si>
    <t xml:space="preserve">3) Final inspection may occur anytime following completion of installations.
</t>
  </si>
  <si>
    <t>1) Relevant floor plans and wall sections</t>
  </si>
  <si>
    <t>1) Inspect 100% of the connections between the garage and the conditioned space of the building for air sealing.</t>
  </si>
  <si>
    <t>2) Inspect 100% of heating elements and controls.</t>
  </si>
  <si>
    <t>• Provide piping layout or insulation details that demonstrate that the garage space is heated. Radiant heating, either wall or ceiling-mounted or within the garage floor (or sidewalks), may be used to prevent ice formation on the ground as a safety feature only. 
• Include a list of elements to be sealed in the garage that would minimize air flow between the garage and the rest of the building, including entrance door(s) leading into building from garage.</t>
  </si>
  <si>
    <r>
      <t xml:space="preserve">INSPECTION COMMENTS 
</t>
    </r>
    <r>
      <rPr>
        <sz val="10"/>
        <rFont val="Arial"/>
        <family val="2"/>
      </rPr>
      <t>(Problems, sample details/floor #s, etc.)</t>
    </r>
  </si>
  <si>
    <r>
      <rPr>
        <b/>
        <sz val="10"/>
        <rFont val="Arial"/>
        <family val="2"/>
      </rPr>
      <t xml:space="preserve">Garage Heating
</t>
    </r>
    <r>
      <rPr>
        <sz val="10"/>
        <rFont val="Arial"/>
        <family val="2"/>
      </rPr>
      <t xml:space="preserve">• Confirm that the </t>
    </r>
    <r>
      <rPr>
        <i/>
        <sz val="10"/>
        <rFont val="Arial"/>
        <family val="2"/>
      </rPr>
      <t>Modified Prescriptive Path</t>
    </r>
    <r>
      <rPr>
        <sz val="10"/>
        <rFont val="Arial"/>
        <family val="2"/>
      </rPr>
      <t xml:space="preserve"> requirements are met or exceeded.</t>
    </r>
  </si>
  <si>
    <r>
      <rPr>
        <b/>
        <sz val="10"/>
        <rFont val="Arial"/>
        <family val="2"/>
      </rPr>
      <t>Parage Freeze Protection</t>
    </r>
    <r>
      <rPr>
        <sz val="10"/>
        <rFont val="Arial"/>
        <family val="2"/>
      </rPr>
      <t xml:space="preserve">
• Verify radiant heating, either wall or ceiling-mounted or within the garage floor (or sidewalks) may be used to prevent ice formation on the ground as a safety feature only and shall include automatic controls capable of shutting off the systems when outdoor air temperatures are above 40°F or when the conditions of the protected fluid will prevent freezing. Snow- and ice-melting systems shall include automatic controls capable of shutting off the systems when the pavement temperature is above 50°F and no precipitation is falling and an automatic or manual control that will allow shutoff when the outdoor temperature is above 40°F so that the potential for snow or ice accumulation is negligible.</t>
    </r>
  </si>
  <si>
    <r>
      <rPr>
        <b/>
        <sz val="10"/>
        <rFont val="Arial"/>
        <family val="2"/>
      </rPr>
      <t xml:space="preserve">Compartmentalization
</t>
    </r>
    <r>
      <rPr>
        <sz val="10"/>
        <rFont val="Arial"/>
        <family val="2"/>
      </rPr>
      <t>• Attached garages shall be fully compartmentalized from the rest of the building through air sealing.  All pipe and conduit penetrations shall be sealed with material compatible with the surface and resilient to temperature fluctuations.</t>
    </r>
  </si>
  <si>
    <r>
      <rPr>
        <b/>
        <sz val="10"/>
        <rFont val="Arial"/>
        <family val="2"/>
      </rPr>
      <t xml:space="preserve">Doors Between Garage and Building
</t>
    </r>
    <r>
      <rPr>
        <sz val="10"/>
        <rFont val="Arial"/>
        <family val="2"/>
      </rPr>
      <t>• Inspect the door(s) leading into the building from the garage for proper operation, fit, and weather stripping.  Optional: Use a smoke pencil around the door, casing, and frame with the garage ventilation system running.</t>
    </r>
  </si>
  <si>
    <t>HVAC - HEATING SYSTEMS - PROTOCOL 5.1, 5.3</t>
  </si>
  <si>
    <t xml:space="preserve">1)  100% of centralized primary equipment (i.e. heating plants) shall be inspected in the quality assurance and verification process.  </t>
  </si>
  <si>
    <r>
      <t xml:space="preserve">2)  Individual spaces or apartments containing electric or fossil-fuel heating systems shall be inspected and tested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</si>
  <si>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r>
      <t xml:space="preserve">4) </t>
    </r>
    <r>
      <rPr>
        <b/>
        <sz val="10"/>
        <rFont val="Arial"/>
        <family val="2"/>
      </rPr>
      <t>*PHOTOS REQUIRED*</t>
    </r>
    <r>
      <rPr>
        <sz val="10"/>
        <rFont val="Arial"/>
        <family val="2"/>
      </rPr>
      <t xml:space="preserve"> </t>
    </r>
  </si>
  <si>
    <t>-Provide photos of the space heating and domestic hot water systems and faceplates to verify proper installation and compliance with proposed design.
-Photograph one (1) representative fixture of each type of plumbing fixture being inspected.</t>
  </si>
  <si>
    <r>
      <rPr>
        <b/>
        <sz val="10"/>
        <rFont val="Arial"/>
        <family val="2"/>
      </rPr>
      <t xml:space="preserve">Compliance Statement
</t>
    </r>
    <r>
      <rPr>
        <sz val="10"/>
        <rFont val="Arial"/>
        <family val="2"/>
      </rPr>
      <t xml:space="preserve">• All heating systems  meet or exceed the requirements listed in the </t>
    </r>
    <r>
      <rPr>
        <i/>
        <sz val="10"/>
        <rFont val="Arial"/>
        <family val="2"/>
      </rPr>
      <t>Modified Prescriptive Path.</t>
    </r>
  </si>
  <si>
    <r>
      <t xml:space="preserve">Space Heating - Sizing
</t>
    </r>
    <r>
      <rPr>
        <sz val="10"/>
        <rFont val="Arial"/>
        <family val="2"/>
      </rPr>
      <t xml:space="preserve">• Heating loads shall be calculated, equipment capacity shall be selected, and duct systems shall be sized according to the latest editions of </t>
    </r>
    <r>
      <rPr>
        <i/>
        <sz val="10"/>
        <rFont val="Arial"/>
        <family val="2"/>
      </rPr>
      <t xml:space="preserve">Air-Conditioning Contractors Association (ACCA) Manual J, S, &amp; D </t>
    </r>
    <r>
      <rPr>
        <sz val="10"/>
        <rFont val="Arial"/>
        <family val="2"/>
      </rPr>
      <t>respectively, ASHRAE 2009 Handbook of Fundamentals, or a substantively equivalent procedure, and provided by the design engineer to the responsible party. Indoor temperatures shall be 70°F for heating, outdoor temperatures shall be the 99.0% design temperatures as published by the ASHRAE Handbook of Fundamentals. Installed capacity cannot exceed design by more than 20%, except when smaller sizes are not available.  For condensing boilers, plans must specify return water temperature at design conditions.</t>
    </r>
  </si>
  <si>
    <r>
      <t xml:space="preserve">Space Heating - Type &amp; Efficiency
</t>
    </r>
    <r>
      <rPr>
        <sz val="10"/>
        <rFont val="Arial"/>
        <family val="2"/>
      </rPr>
      <t>• Provide Proposed space heating system type, efficiency, capacity, fuel; include number, efficiency and HP of pumps, and whether VFD is specified in the MOTOR section.
• Based on the climate zone, the specified heating equipment must meet the Modified Prescriptive requirements for efficiency in Table 1, a list of equipment and minimum efficiencies per ASHRAE 90.1 – 2007 Climate Zones. Part load minimum efficiencies listed are only applicable to equipment with capacity modulation. See ASHRAE 189.1-2009, Appendix C, for equipment not listed in Table 1.
• The appropriate climate zone for each building site shall be determined by ASHRAE 90.1–2007, Table B-1.</t>
    </r>
  </si>
  <si>
    <r>
      <t xml:space="preserve">Heating Terminal Units - Electric Resistance or Freeze Protection
</t>
    </r>
    <r>
      <rPr>
        <sz val="10"/>
        <rFont val="Arial"/>
        <family val="2"/>
      </rPr>
      <t xml:space="preserve">• </t>
    </r>
    <r>
      <rPr>
        <sz val="11"/>
        <color theme="1"/>
        <rFont val="Calibri"/>
        <family val="2"/>
        <scheme val="minor"/>
      </rPr>
      <t xml:space="preserve">Electric resistance space heating is not permitted in any space.
</t>
    </r>
  </si>
  <si>
    <r>
      <t xml:space="preserve">Space Heating - Design Temperatures
</t>
    </r>
    <r>
      <rPr>
        <sz val="10"/>
        <rFont val="Arial"/>
        <family val="2"/>
      </rPr>
      <t xml:space="preserve">• Plans must specify supply and return water temperature at design conditions.  
</t>
    </r>
    <r>
      <rPr>
        <sz val="10"/>
        <rFont val="Arial"/>
        <family val="2"/>
      </rPr>
      <t>• Verify installation of temperature gauges and temperature readings during inspection</t>
    </r>
    <r>
      <rPr>
        <sz val="10"/>
        <color indexed="10"/>
        <rFont val="Arial"/>
        <family val="2"/>
      </rPr>
      <t xml:space="preserve">.
</t>
    </r>
    <r>
      <rPr>
        <sz val="10"/>
        <rFont val="Arial"/>
        <family val="2"/>
      </rPr>
      <t>• Verify return water temperature meets design for condensing boiler systems.</t>
    </r>
  </si>
  <si>
    <r>
      <t xml:space="preserve">Space Heating - Controls
</t>
    </r>
    <r>
      <rPr>
        <sz val="10"/>
        <rFont val="Arial"/>
        <family val="2"/>
      </rPr>
      <t xml:space="preserve">• System controls and settings shall  meet or exceed the requirements listed in the </t>
    </r>
    <r>
      <rPr>
        <i/>
        <sz val="10"/>
        <rFont val="Arial"/>
        <family val="2"/>
      </rPr>
      <t>Modified Prescriptive Path</t>
    </r>
    <r>
      <rPr>
        <sz val="10"/>
        <rFont val="Arial"/>
        <family val="2"/>
      </rPr>
      <t>. At a minimum, controls for central heating systems shall have the capability for outdoor reset of supply water temperature, warm weather shut down and night setback. Individual apartment heating system controls shall have the capability for night setback, which may be provided via a programmable thermostat.
• Verify outdoor temperature sensor is functioning properly.
• Verify supply temperature is set correctly and sensor is functioning properly.</t>
    </r>
  </si>
  <si>
    <r>
      <t xml:space="preserve">Space Heating Central Plant - Boiler room location and venting
</t>
    </r>
    <r>
      <rPr>
        <sz val="10"/>
        <rFont val="Arial"/>
        <family val="2"/>
      </rPr>
      <t>• Verify location of heating system (e.g., cellar or roof), combustion air venting configuration (e.g., combustion air piped to boilers, boiler room air used for combustion), and venting configuration (e.g., inducer fan specified and sequence of operation verified, if required).</t>
    </r>
  </si>
  <si>
    <r>
      <t xml:space="preserve">Space Heating / DHW - Insulation for Piping
</t>
    </r>
    <r>
      <rPr>
        <sz val="10"/>
        <rFont val="Arial"/>
        <family val="2"/>
      </rPr>
      <t>• Piping carrying fluid or steam with temperatures greater than 105°F, must have a minimum of 1” of insulation. Pipes over 1.5” in diameter must have a minimum of 1.5” of insulation.  Construction documents shall specify that the piping must be inspected before access is covered up. Extent and location for space heating systems to be determined by ASHRAE 90.1-2007 Section 6.4.4.1.3 or local code.</t>
    </r>
  </si>
  <si>
    <r>
      <t xml:space="preserve">Heating Distribution - Piping Configuration
</t>
    </r>
    <r>
      <rPr>
        <sz val="10"/>
        <rFont val="Arial"/>
        <family val="2"/>
      </rPr>
      <t xml:space="preserve">• Specifications for distribution system (supply and return) piping configuration, mixing valves, and zoning shall meet or exceed the requirements listed in the </t>
    </r>
    <r>
      <rPr>
        <i/>
        <sz val="10"/>
        <rFont val="Arial"/>
        <family val="2"/>
      </rPr>
      <t>Modified Prescriptive Path</t>
    </r>
    <r>
      <rPr>
        <sz val="10"/>
        <rFont val="Arial"/>
        <family val="2"/>
      </rPr>
      <t xml:space="preserve">. </t>
    </r>
    <r>
      <rPr>
        <sz val="10"/>
        <rFont val="Arial"/>
        <family val="2"/>
      </rPr>
      <t xml:space="preserve">
• All supply/return headers must be designed in a “reverse return” configuration (i.e. first riser supplied is the last returned, etc.) and/or sized based on a water velocity of less than 4 ft/s.  Total pressure drop of terminal unit branch piping and fittings between a supply and return riser must be significantly greater than the total pressure drop from the top to the bottom of these risers.</t>
    </r>
  </si>
  <si>
    <r>
      <t xml:space="preserve">Heating Distribution - Pump Sizing
</t>
    </r>
    <r>
      <rPr>
        <sz val="10"/>
        <rFont val="Arial"/>
        <family val="2"/>
      </rPr>
      <t>• Calculations and assumptions for sizing circulating pumps must meet Chapter 43 of the ASHRAE Handbook, HVAC Systems and Equipment or equivalent industry accepted standard and keep with the building file.</t>
    </r>
  </si>
  <si>
    <r>
      <t xml:space="preserve">Heating Distribution - Pressure Control Set-points
</t>
    </r>
    <r>
      <rPr>
        <sz val="10"/>
        <rFont val="Arial"/>
        <family val="2"/>
      </rPr>
      <t>• Although not required, EPA recommends adding a Note requiring heating circulator pressure controls to be adjusted to ensure that: (1) at terminal units furthest from the pump, sufficient GPM is achieved and (2) at terminal units closest to the pump, differential pressure across terminal unit zone valves when closed does not exceed valve manufacturer guidelines.</t>
    </r>
  </si>
  <si>
    <r>
      <t xml:space="preserve">Heating Terminal Units - Thermostatic Controls
</t>
    </r>
    <r>
      <rPr>
        <sz val="10"/>
        <rFont val="Arial"/>
        <family val="2"/>
      </rPr>
      <t>• All terminal heating distribution equipment must be separated from the riser or distribution loop by a control valve or terminal distribution pump, so that heated fluid is not delivered to the apartment distribution equipment when there is no call for heat from the apartment thermostats.</t>
    </r>
  </si>
  <si>
    <t>ALL FORCED AIR HEATING SYSTEMS (Including Heat Pumps)</t>
  </si>
  <si>
    <r>
      <t xml:space="preserve">Heating Distribution - Outdoor Air Damper
</t>
    </r>
    <r>
      <rPr>
        <sz val="10"/>
        <rFont val="Arial"/>
        <family val="2"/>
      </rPr>
      <t xml:space="preserve">• </t>
    </r>
    <r>
      <rPr>
        <sz val="11"/>
        <color theme="1"/>
        <rFont val="Calibri"/>
        <family val="2"/>
        <scheme val="minor"/>
      </rPr>
      <t>For systems designed with outdoor-air supplied to the heating distribution system, provide motorized dampers that will automatically shut when systems or spaces are not in use. Continuously running ventilation would not be subject to either damper, as they are always in use.</t>
    </r>
  </si>
  <si>
    <r>
      <t xml:space="preserve">Heating Distribution - Flex Duct Installation
</t>
    </r>
    <r>
      <rPr>
        <sz val="10"/>
        <rFont val="Arial"/>
        <family val="2"/>
      </rPr>
      <t xml:space="preserve">• </t>
    </r>
    <r>
      <rPr>
        <sz val="11"/>
        <color theme="1"/>
        <rFont val="Calibri"/>
        <family val="2"/>
        <scheme val="minor"/>
      </rPr>
      <t xml:space="preserve">Verify that all heating ductwork that has been specified as flex duct meets the Sheet Metal Air Conditioning Contractors National Association (SMACNA) installation standards  (see </t>
    </r>
    <r>
      <rPr>
        <i/>
        <sz val="10"/>
        <rFont val="Arial"/>
        <family val="2"/>
      </rPr>
      <t>Appendix A</t>
    </r>
    <r>
      <rPr>
        <sz val="11"/>
        <color theme="1"/>
        <rFont val="Calibri"/>
        <family val="2"/>
        <scheme val="minor"/>
      </rPr>
      <t xml:space="preserve"> of the </t>
    </r>
    <r>
      <rPr>
        <i/>
        <sz val="10"/>
        <rFont val="Arial"/>
        <family val="2"/>
      </rPr>
      <t>Prescriptive Path)</t>
    </r>
    <r>
      <rPr>
        <sz val="11"/>
        <color theme="1"/>
        <rFont val="Calibri"/>
        <family val="2"/>
        <scheme val="minor"/>
      </rPr>
      <t>.</t>
    </r>
  </si>
  <si>
    <r>
      <t xml:space="preserve">Heating Distribution - Duct Insulation
</t>
    </r>
    <r>
      <rPr>
        <sz val="10"/>
        <rFont val="Arial"/>
        <family val="2"/>
      </rPr>
      <t xml:space="preserve">• </t>
    </r>
    <r>
      <rPr>
        <sz val="11"/>
        <color theme="1"/>
        <rFont val="Calibri"/>
        <family val="2"/>
        <scheme val="minor"/>
      </rPr>
      <t>Heating supply and return ductwork shall be insulated to a minimum R-6 in unconditioned spaces and R-8 in unconditioned spaces.</t>
    </r>
  </si>
  <si>
    <r>
      <t xml:space="preserve">Heating Distribution - Duct Sealing Details
</t>
    </r>
    <r>
      <rPr>
        <sz val="10"/>
        <rFont val="Arial"/>
        <family val="2"/>
      </rPr>
      <t xml:space="preserve">• </t>
    </r>
    <r>
      <rPr>
        <sz val="11"/>
        <color theme="1"/>
        <rFont val="Calibri"/>
        <family val="2"/>
        <scheme val="minor"/>
      </rPr>
      <t xml:space="preserve">Call out a preliminary list of duct sealing details to be integrated into the construction documents and inspected must include the following at a minimum.  This criteria also applies to heat pump units:
a  Roof curb penetration has been sealed  
b. Mastic or other UL-181 compliant material has been applied within temperature range and according to all other manufacturer's requirements at ALL transverse joints and take offs.
c. All duct transitional junctions have been sealed with mastic or other UL-181 compliant material.
d. Gap between take off duct and gypsum board has been effectively sealed.
</t>
    </r>
  </si>
  <si>
    <r>
      <t xml:space="preserve">Heating System - Combustion Venting
</t>
    </r>
    <r>
      <rPr>
        <sz val="10"/>
        <rFont val="Arial"/>
        <family val="2"/>
      </rPr>
      <t xml:space="preserve">• </t>
    </r>
    <r>
      <rPr>
        <sz val="11"/>
        <color theme="1"/>
        <rFont val="Calibri"/>
        <family val="2"/>
        <scheme val="minor"/>
      </rPr>
      <t xml:space="preserve">Visual inspection of combustion venting system to verify conformance with the requirements listed in the </t>
    </r>
    <r>
      <rPr>
        <i/>
        <sz val="10"/>
        <rFont val="Arial"/>
        <family val="2"/>
      </rPr>
      <t>Prescriptive Path</t>
    </r>
    <r>
      <rPr>
        <sz val="11"/>
        <color theme="1"/>
        <rFont val="Calibri"/>
        <family val="2"/>
        <scheme val="minor"/>
      </rPr>
      <t>, and appropriate National Fire Protection Association (NFPA)  standards.  This criteria also applies to heat pump units.
• For gas systems reference NFPA 54 (National Fuel Gas Code).  For oil systems reference NFPA 31.</t>
    </r>
  </si>
  <si>
    <r>
      <t xml:space="preserve">Heating System - Refrigerant Charge, Airflow and Nameplate Data
</t>
    </r>
    <r>
      <rPr>
        <sz val="10"/>
        <rFont val="Arial"/>
        <family val="2"/>
      </rPr>
      <t>• Obtain and keep documentation on file showing correct field measured refrigerant charge, field measured airflow over condenser coil, field measured airflow over heat exchanger, nameplate efficiency, and nameplate heat exchange capacity consistent with manufacturer’s specifications.</t>
    </r>
  </si>
  <si>
    <r>
      <t xml:space="preserve">Heating Distribution - In-Unit Duct Sizing
</t>
    </r>
    <r>
      <rPr>
        <sz val="10"/>
        <rFont val="Arial"/>
        <family val="2"/>
      </rPr>
      <t xml:space="preserve">• In-unit duct systems shall be designed and installed to effectively meet the heating loads for the spaces served using the </t>
    </r>
    <r>
      <rPr>
        <i/>
        <sz val="10"/>
        <rFont val="Arial"/>
        <family val="2"/>
      </rPr>
      <t>Air Conditioning Contractors Association (ACCA) Manuals J, and D ASHRAE 2009 Handbook of Fundamentals</t>
    </r>
    <r>
      <rPr>
        <sz val="10"/>
        <rFont val="Arial"/>
        <family val="2"/>
      </rPr>
      <t>, or a substantively equivalent procedure, and provided by the design engineer to the responsible party.</t>
    </r>
  </si>
  <si>
    <r>
      <t xml:space="preserve">Heating Distribution - In-Unit Pressure Balancing
</t>
    </r>
    <r>
      <rPr>
        <sz val="10"/>
        <rFont val="Arial"/>
        <family val="2"/>
      </rPr>
      <t>• Verify that bedrooms have been provided with any combination of transfer grills, jump ducts, dedicated return ducts, and/or undercut doors to provide pressure-balancing.</t>
    </r>
  </si>
  <si>
    <r>
      <t xml:space="preserve">Heating Distribution - In-Unit Duct Leakage Testing
</t>
    </r>
    <r>
      <rPr>
        <sz val="11"/>
        <color theme="1"/>
        <rFont val="Calibri"/>
        <family val="2"/>
        <scheme val="minor"/>
      </rPr>
      <t xml:space="preserve">• Following the procedures outlined in your duct leakage tester operation manual, a one-point test for total duct leakage in the main duct shaft using a calibrated fan measured under depressurization or pressurization is acceptable for this measurement.  Per the </t>
    </r>
    <r>
      <rPr>
        <i/>
        <sz val="10"/>
        <rFont val="Arial"/>
        <family val="2"/>
      </rPr>
      <t>Performance Path Checklist</t>
    </r>
    <r>
      <rPr>
        <sz val="11"/>
        <color theme="1"/>
        <rFont val="Calibri"/>
        <family val="2"/>
        <scheme val="minor"/>
      </rPr>
      <t xml:space="preserve"> the total duct leakage for in-unit systems shall be ≤8 CFM25 per 100 ft^2 conditioned floor area.
• When conducting a duct leakage depressurization test, the flow conditioner and one of the flow rings must always be installed.
• Provide a summary of results of any duct leakage or ventilation performance testing; a sample table is provided below.
• Ensure duct systems can be physically sealed and pressurized for duct leakage testing. For ventilation systems that utilize an intake duct to the return side of the HVAC system without motorized dampers, GC must provide interior or exterior access to the intake duct so that it can be sealed during testing.</t>
    </r>
  </si>
  <si>
    <r>
      <t xml:space="preserve">Heating Distribution - HVAC Contractor Checklist
</t>
    </r>
    <r>
      <rPr>
        <sz val="10"/>
        <rFont val="Arial"/>
        <family val="2"/>
      </rPr>
      <t xml:space="preserve">• For improved performance, EPA recommends, but does not require compliance with all items of Version 3.0 of the </t>
    </r>
    <r>
      <rPr>
        <i/>
        <sz val="10"/>
        <rFont val="Arial"/>
        <family val="2"/>
      </rPr>
      <t>ENERGY STAR Qualified Homes HVAC System Quality Installation Rater and Contractor Checklists</t>
    </r>
    <r>
      <rPr>
        <sz val="10"/>
        <rFont val="Arial"/>
        <family val="2"/>
      </rPr>
      <t>, where applicable to forced air heating systems.</t>
    </r>
    <r>
      <rPr>
        <sz val="11"/>
        <color theme="1"/>
        <rFont val="Calibri"/>
        <family val="2"/>
        <scheme val="minor"/>
      </rPr>
      <t>This criteria also applies to heat pump units.</t>
    </r>
  </si>
  <si>
    <r>
      <t xml:space="preserve">Heating Distribution - Thermostat
</t>
    </r>
    <r>
      <rPr>
        <sz val="10"/>
        <rFont val="Arial"/>
        <family val="2"/>
      </rPr>
      <t>• Verify all terminal heating distribution equipment serving an apartment shall be controlled by a thermostat(s) within the same apartment.</t>
    </r>
  </si>
  <si>
    <r>
      <t xml:space="preserve">Space Heating - Training and Manuals
</t>
    </r>
    <r>
      <rPr>
        <sz val="10"/>
        <rFont val="Arial"/>
        <family val="2"/>
      </rPr>
      <t xml:space="preserve">• </t>
    </r>
    <r>
      <rPr>
        <sz val="11"/>
        <color theme="1"/>
        <rFont val="Calibri"/>
        <family val="2"/>
        <scheme val="minor"/>
      </rPr>
      <t>Summarize the training performed and personnel involved.  Confirm that all applicable operating and specification manuals are delivered to the building staff.  Verify that staff members have been trained and are aware of their responsibilities to maintain and operate the systems properly.</t>
    </r>
  </si>
  <si>
    <r>
      <t xml:space="preserve">Space Heating - Manufacturer's Product Data
</t>
    </r>
    <r>
      <rPr>
        <sz val="10"/>
        <rFont val="Arial"/>
        <family val="2"/>
      </rPr>
      <t>• Review manufacturer’s cut sheets or invoice detailing system manufacturer, model, size, and location,  (including all space heating systems, e.g. vestibule) and keep with the building file.  These should also be used to prove ENERGY STAR qualification and efficiency rating.</t>
    </r>
  </si>
  <si>
    <r>
      <t>Duct Leakage Summary:</t>
    </r>
    <r>
      <rPr>
        <sz val="10"/>
        <rFont val="Arial"/>
        <family val="2"/>
      </rPr>
      <t xml:space="preserve"> This section can be duplicated, copy and insert rows </t>
    </r>
  </si>
  <si>
    <t>Apartment #</t>
  </si>
  <si>
    <t>Floor #</t>
  </si>
  <si>
    <t>Unit Type 
(e.g. A, B, C)</t>
  </si>
  <si>
    <t># of Bedrooms</t>
  </si>
  <si>
    <t>Floor Area</t>
  </si>
  <si>
    <t>Design CFM</t>
  </si>
  <si>
    <t>CFM25 Total Leakage</t>
  </si>
  <si>
    <t>CFM25 / 100 ft^2</t>
  </si>
  <si>
    <t>% Leakage of Design CFM</t>
  </si>
  <si>
    <t>HVAC - COOLING - PROTOCOL 5.2, 5.4</t>
  </si>
  <si>
    <t xml:space="preserve">2) Commissioning of the system occurs during pre-construction and construction phases of installation. Inspection, testing, and commissioning are conducted during the turn of over/acceptance phase of the installation system. </t>
  </si>
  <si>
    <t>1) Mechanical Schedule, relevant floor plans and details</t>
  </si>
  <si>
    <t xml:space="preserve">1)  100% of centralized primary equipment (i.e. cooling plants) shall be inspected in the quality assurance and verification process.  </t>
  </si>
  <si>
    <r>
      <t xml:space="preserve">2)  Spaces containing terminal devices (fan coils, PTHPS, VAV boxes) must be inspected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</si>
  <si>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r>
      <t xml:space="preserve">3) </t>
    </r>
    <r>
      <rPr>
        <b/>
        <sz val="10"/>
        <rFont val="Arial"/>
        <family val="2"/>
      </rPr>
      <t>*PHOTOS REQUIRED*</t>
    </r>
  </si>
  <si>
    <t>-Photos of cooling system equipment and faceplates to verify proper installation and compliance with Proposed Design.</t>
  </si>
  <si>
    <t>AHRI CERT#</t>
  </si>
  <si>
    <t>INPUT (BTU/H)</t>
  </si>
  <si>
    <t>OUTPUT (BTU/H)</t>
  </si>
  <si>
    <t>HORSEPOWER (HP)
/Watts</t>
  </si>
  <si>
    <r>
      <t>INSPECTION COMMENTS</t>
    </r>
    <r>
      <rPr>
        <sz val="11"/>
        <color theme="1"/>
        <rFont val="Calibri"/>
        <family val="2"/>
        <scheme val="minor"/>
      </rPr>
      <t xml:space="preserve"> 
(Problems, sample details/apt #s, etc.)</t>
    </r>
  </si>
  <si>
    <r>
      <rPr>
        <b/>
        <sz val="10"/>
        <rFont val="Arial"/>
        <family val="2"/>
      </rPr>
      <t xml:space="preserve">Compliance Statement
</t>
    </r>
    <r>
      <rPr>
        <sz val="10"/>
        <rFont val="Arial"/>
        <family val="2"/>
      </rPr>
      <t xml:space="preserve">• All cooling systems meet or exceed the requirements listed in the </t>
    </r>
    <r>
      <rPr>
        <i/>
        <sz val="10"/>
        <rFont val="Arial"/>
        <family val="2"/>
      </rPr>
      <t xml:space="preserve">Modified Prescriptive Path.
</t>
    </r>
  </si>
  <si>
    <t>see below</t>
  </si>
  <si>
    <r>
      <t xml:space="preserve">Space Cooling - Sizing
</t>
    </r>
    <r>
      <rPr>
        <sz val="10"/>
        <rFont val="Arial"/>
        <family val="2"/>
      </rPr>
      <t xml:space="preserve">• Cooling loads shall be calculated, equipment capacity shall be selected, and duct systems shall be sized according to the latest editions of </t>
    </r>
    <r>
      <rPr>
        <i/>
        <sz val="10"/>
        <rFont val="Arial"/>
        <family val="2"/>
      </rPr>
      <t>Air-Conditioning Contractors Association (ACCA) Manual J, S, &amp; D</t>
    </r>
    <r>
      <rPr>
        <sz val="10"/>
        <rFont val="Arial"/>
        <family val="2"/>
      </rPr>
      <t xml:space="preserve"> respectively, ASHRAE 2009 Handbook of Fundamentals, or a substantively equivalent procedure, and provided by the design engineer to the responsible party. Indoor temperatures shall be 75°F for cooling, outdoor temperatures shall be the 1.0% design temperatures as published by the ASHRAE Handbook of Fundamentals. Installed capacity cannot exceed design by more than 20%, except when smaller sizes are not available.  </t>
    </r>
  </si>
  <si>
    <r>
      <t xml:space="preserve">Space Cooling - Type and Efficiency
</t>
    </r>
    <r>
      <rPr>
        <sz val="10"/>
        <rFont val="Arial"/>
        <family val="2"/>
      </rPr>
      <t xml:space="preserve">• Specifications for the cooling system type, location and efficiency shall meet or exceed the requirements listed in the </t>
    </r>
    <r>
      <rPr>
        <i/>
        <sz val="10"/>
        <rFont val="Arial"/>
        <family val="2"/>
      </rPr>
      <t>Modified</t>
    </r>
    <r>
      <rPr>
        <sz val="10"/>
        <rFont val="Arial"/>
        <family val="2"/>
      </rPr>
      <t xml:space="preserve"> </t>
    </r>
    <r>
      <rPr>
        <i/>
        <sz val="10"/>
        <rFont val="Arial"/>
        <family val="2"/>
      </rPr>
      <t>Prescriptive Path</t>
    </r>
    <r>
      <rPr>
        <sz val="10"/>
        <rFont val="Arial"/>
        <family val="2"/>
      </rPr>
      <t>.
• The appropriate climate zone for each building site shall be determined by ASHRAE 90.1–2007, Table B-1. Exception: The appropriate climate zone for each building site in California will be determined by Title 24.
• See Table 1 for list of equipment and minimum efficiencies per ASHRAE 90.1 – 2007 Climate Zones. Part load minimum efficiencies listed are only applicable to equipment with capacity modulation. See ASHRAE 189.1-2009, Appendix C, for equipment not listed in Table 1.</t>
    </r>
  </si>
  <si>
    <r>
      <t xml:space="preserve">Space Cooling  - Controls
</t>
    </r>
    <r>
      <rPr>
        <sz val="10"/>
        <rFont val="Arial"/>
        <family val="2"/>
      </rPr>
      <t xml:space="preserve">• System controls and settings shall meet or exceed the requirements listed in the </t>
    </r>
    <r>
      <rPr>
        <i/>
        <sz val="10"/>
        <rFont val="Arial"/>
        <family val="2"/>
      </rPr>
      <t>Modified Prescriptive Path</t>
    </r>
    <r>
      <rPr>
        <sz val="10"/>
        <rFont val="Arial"/>
        <family val="2"/>
      </rPr>
      <t>.</t>
    </r>
  </si>
  <si>
    <r>
      <t xml:space="preserve">Cooling Distribution - Piping Configuration
</t>
    </r>
    <r>
      <rPr>
        <sz val="10"/>
        <rFont val="Arial"/>
        <family val="2"/>
      </rPr>
      <t xml:space="preserve">• Verification procedures must confirm that the system meets or exceeds the requirements listed in the </t>
    </r>
    <r>
      <rPr>
        <i/>
        <sz val="10"/>
        <rFont val="Arial"/>
        <family val="2"/>
      </rPr>
      <t>Modified Prescriptive Path</t>
    </r>
    <r>
      <rPr>
        <sz val="10"/>
        <rFont val="Arial"/>
        <family val="2"/>
      </rPr>
      <t>.  A commissioning agent can be hired to complete this inspection and verification or the Partner may be able to perform them.  
• All supply/return headers must be designed in a “reverse return” configuration (i.e. first riser supplied is the last returned, etc.) and/or sized based on a water velocity of less than 4 ft/s.  Total pressure drop of terminal unit branch piping and fittings between a supply and return riser must be significantly greater than the total pressure drop from the top to the bottom of these risers.</t>
    </r>
  </si>
  <si>
    <r>
      <t xml:space="preserve">Cooling Distribution - Pump Sizing
</t>
    </r>
    <r>
      <rPr>
        <sz val="10"/>
        <rFont val="Arial"/>
        <family val="2"/>
      </rPr>
      <t>• Calculations and assumptions for sizing circulating pumps must meet Chapter 43 of the ASHRAE Handbook, HVAC Systems and Equipment or equivalent industry accepted standard and keep with the building file.</t>
    </r>
  </si>
  <si>
    <r>
      <t xml:space="preserve">Cooling Distribution - Pressure Control Set-points
</t>
    </r>
    <r>
      <rPr>
        <sz val="10"/>
        <rFont val="Arial"/>
        <family val="2"/>
      </rPr>
      <t>• Although not required, EPA recommends adding a Note requiring cooling circulator pressure controls to be adjusted to ensure that: (1) at terminal units furthest from the pump, sufficient GPM is achieved and (2) at terminal units closest to the pump, differential pressure across terminal unit zone valves when closed does not exceed valve manufacturer guidelines.</t>
    </r>
  </si>
  <si>
    <r>
      <t xml:space="preserve">Cooling Distribution - Pipe Insulation
</t>
    </r>
    <r>
      <rPr>
        <sz val="10"/>
        <rFont val="Arial"/>
        <family val="2"/>
      </rPr>
      <t>• Piping carrying fluid with temperatures less than 60°F, must have a minimum of 1” of insulation. Pipes over 1.5” in diameter must have a minimum of 1.5” of insulation.  Construction documents shall specify that the piping must be inspected before access is covered up. Extent and location to be determined by ASHRAE 90.1-2007 Section 6.4.4.1.3 or local code.</t>
    </r>
  </si>
  <si>
    <r>
      <t xml:space="preserve">Cooling Terminal Units - Thermostatic Controls
</t>
    </r>
    <r>
      <rPr>
        <sz val="10"/>
        <rFont val="Arial"/>
        <family val="2"/>
      </rPr>
      <t>• Verify all terminal cooling distribution equipment must be separated from the riser or distribution loop by a control valve or terminal distribution pump, so that cooled fluid is not delivered to the apartment distribution equipment when there is no call for cooling from the apartment thermostats.</t>
    </r>
  </si>
  <si>
    <r>
      <t xml:space="preserve">Cooling Distribution - Airflow and Nameplate Data
</t>
    </r>
    <r>
      <rPr>
        <sz val="10"/>
        <rFont val="Arial"/>
        <family val="2"/>
      </rPr>
      <t>• Obtain and keep documentation on file showing correct field measured airflow over evaporator coil, nameplate efficiency, and nameplate heat exchange capacity consistent with manufacturer’s specifications.</t>
    </r>
  </si>
  <si>
    <t>ALL FORCED AIR COOLING SYSTEMS (Including heat pumps, split system ACs, PTACs and room ACs)</t>
  </si>
  <si>
    <r>
      <t xml:space="preserve">Cooling Distribution System - In-Unit Duct Sizing
</t>
    </r>
    <r>
      <rPr>
        <sz val="10"/>
        <rFont val="Arial"/>
        <family val="2"/>
      </rPr>
      <t xml:space="preserve">• In-unit duct systems shall be designed and installed to effectively meet the cooling loads for the spaces served using the </t>
    </r>
    <r>
      <rPr>
        <i/>
        <sz val="10"/>
        <rFont val="Arial"/>
        <family val="2"/>
      </rPr>
      <t>Air Conditioning Contractors Association (ACCA) Manuals J and D ASHRAE 2009 Handbook of Fundamentals</t>
    </r>
    <r>
      <rPr>
        <sz val="10"/>
        <rFont val="Arial"/>
        <family val="2"/>
      </rPr>
      <t>, or a substantively equivalent procedure, and provided by the design engineer to the responsible party.</t>
    </r>
  </si>
  <si>
    <r>
      <t xml:space="preserve">Cooling Distribution System - In-Unit Pressure Balancing
</t>
    </r>
    <r>
      <rPr>
        <sz val="10"/>
        <rFont val="Arial"/>
        <family val="2"/>
      </rPr>
      <t>• Verify that bedrooms have been provided with any combination of transfer grills, jump ducts, dedicated return ducts, and/or undercut doors to provide pressure-balancing.</t>
    </r>
  </si>
  <si>
    <r>
      <t xml:space="preserve">Cooling Distribution - Duct Insulation
</t>
    </r>
    <r>
      <rPr>
        <sz val="10"/>
        <rFont val="Arial"/>
        <family val="2"/>
      </rPr>
      <t>• Verify cooling supply/return ductwork shall be insulated to a minimum R-6 for unconditioned spaces and R-8 for unconditioned spaces</t>
    </r>
    <r>
      <rPr>
        <i/>
        <sz val="10"/>
        <rFont val="Arial"/>
        <family val="2"/>
      </rPr>
      <t>.</t>
    </r>
  </si>
  <si>
    <r>
      <t xml:space="preserve">Cooling System - Outdoor Air Damper
</t>
    </r>
    <r>
      <rPr>
        <sz val="10"/>
        <rFont val="Arial"/>
        <family val="2"/>
      </rPr>
      <t>• For systems designed with outdoor-air supplied to the cooling distribution system, provide motorized dampers that will automatically shut when systems or spaces are not in use.  Continuously running ventilation would not be subject to either damper, as they are always in use.</t>
    </r>
  </si>
  <si>
    <r>
      <t xml:space="preserve">Cooling Distribution - Duct Sealing Details
</t>
    </r>
    <r>
      <rPr>
        <sz val="10"/>
        <rFont val="Arial"/>
        <family val="2"/>
      </rPr>
      <t xml:space="preserve">• Call out a preliminary list of duct sealing details to be integrated into the construction documents and inspected must include the following at a minimum:
a  Roof curb penetration has been sealed  
b. Mastic or other UL-181 compliant material has been applied within temperature range and according to all other manufacturer's requirements at ALL transverse joints and take offs.
c. All duct transitional junctions have been sealed with mastic or other UL-181 compliant material.
d. Gap between take off duct and gypsum board has been effectively sealed.
</t>
    </r>
  </si>
  <si>
    <r>
      <t xml:space="preserve">Cooling Distribution - Flex Duct Installation
</t>
    </r>
    <r>
      <rPr>
        <sz val="10"/>
        <rFont val="Arial"/>
        <family val="2"/>
      </rPr>
      <t xml:space="preserve">• Verify that all cooling ductwork that has been specified as flex duct meets the Sheet Metal Air Conditioning Contractors National Association (SMACNA) installation standards (see </t>
    </r>
    <r>
      <rPr>
        <i/>
        <sz val="10"/>
        <rFont val="Arial"/>
        <family val="2"/>
      </rPr>
      <t xml:space="preserve">Appendix A </t>
    </r>
    <r>
      <rPr>
        <sz val="10"/>
        <rFont val="Arial"/>
        <family val="2"/>
      </rPr>
      <t xml:space="preserve">of the </t>
    </r>
    <r>
      <rPr>
        <i/>
        <sz val="10"/>
        <rFont val="Arial"/>
        <family val="2"/>
      </rPr>
      <t>Modified Prescriptive Path</t>
    </r>
    <r>
      <rPr>
        <sz val="10"/>
        <rFont val="Arial"/>
        <family val="2"/>
      </rPr>
      <t>).</t>
    </r>
  </si>
  <si>
    <r>
      <t xml:space="preserve">Cooling Distribution - In-Unit Duct Leakage Testing
</t>
    </r>
    <r>
      <rPr>
        <sz val="10"/>
        <rFont val="Arial"/>
        <family val="2"/>
      </rPr>
      <t>• Following the procedures outlined in your duct leakage tester operation manual, a one-point test for total duct leakage in the main duct shaft using a calibrated fan measured under depressurization or pressurization is acceptable for this measurement.  The total duct leakage for in-unit systems shall be ≤8 CFM25 per 100 ft</t>
    </r>
    <r>
      <rPr>
        <vertAlign val="superscript"/>
        <sz val="10"/>
        <rFont val="Arial"/>
        <family val="2"/>
      </rPr>
      <t>2</t>
    </r>
    <r>
      <rPr>
        <sz val="10"/>
        <rFont val="Arial"/>
        <family val="2"/>
      </rPr>
      <t xml:space="preserve"> of conditioned floor area. This criteria also applies to heat pump units.
• When conducting a duct leakage depressurization test, the flow conditioner and one of the flow rings must always be installed.
• Provide a summary of results of any duct leakage or ventilation performance testing; a sample table is provided below.
• Ensure duct systems can be physically sealed and pressurized for duct leakage testing. For ventilation systems that utilize an intake duct to the return side of the HVAC system without motorized dampers, GC must provide interior or exterior access to the intake duct so that it can be sealed during testing.</t>
    </r>
  </si>
  <si>
    <r>
      <t xml:space="preserve">Cooling System - HVAC Contractor Checklist
</t>
    </r>
    <r>
      <rPr>
        <sz val="10"/>
        <rFont val="Arial"/>
        <family val="2"/>
      </rPr>
      <t xml:space="preserve">• For improved performance, EPA recommends, but does not require compliance with all items of Version 3.0 of the </t>
    </r>
    <r>
      <rPr>
        <i/>
        <sz val="10"/>
        <rFont val="Arial"/>
        <family val="2"/>
      </rPr>
      <t>ENERGY STAR Qualified Homes HVAC System Quality Installation Rater and Contractor Checklists</t>
    </r>
    <r>
      <rPr>
        <sz val="10"/>
        <rFont val="Arial"/>
        <family val="2"/>
      </rPr>
      <t>, where applicable to forced air heating systems.</t>
    </r>
    <r>
      <rPr>
        <sz val="11"/>
        <color theme="1"/>
        <rFont val="Calibri"/>
        <family val="2"/>
        <scheme val="minor"/>
      </rPr>
      <t xml:space="preserve"> This criteria also applies to heat pumps.</t>
    </r>
  </si>
  <si>
    <t xml:space="preserve">  </t>
  </si>
  <si>
    <r>
      <t xml:space="preserve">Cooling System - Refrigerant Charge, Airflow and Nameplate Data
</t>
    </r>
    <r>
      <rPr>
        <sz val="10"/>
        <rFont val="Arial"/>
        <family val="2"/>
      </rPr>
      <t>• Obtain and keep documentation on file showing correct field measured refrigerant charge, field measured airflow over evaporator coil, nameplate efficiency, and nameplate heat exchange capacity consistent with manufacturer’s specifications.</t>
    </r>
  </si>
  <si>
    <r>
      <t xml:space="preserve">Cooling - A/C Sleeves
</t>
    </r>
    <r>
      <rPr>
        <sz val="10"/>
        <rFont val="Arial"/>
        <family val="2"/>
      </rPr>
      <t xml:space="preserve">• </t>
    </r>
    <r>
      <rPr>
        <sz val="11"/>
        <color theme="1"/>
        <rFont val="Calibri"/>
        <family val="2"/>
        <scheme val="minor"/>
      </rPr>
      <t>If installing sleeves for through-wall AC units, insulated covers (R-7 or higher) must be provided by the building for use during heating season and when AC units are not installed.</t>
    </r>
  </si>
  <si>
    <r>
      <t xml:space="preserve">Cooling Distribution - Thermostat
</t>
    </r>
    <r>
      <rPr>
        <sz val="10"/>
        <rFont val="Arial"/>
        <family val="2"/>
      </rPr>
      <t xml:space="preserve">• Verify all </t>
    </r>
    <r>
      <rPr>
        <sz val="11"/>
        <color theme="1"/>
        <rFont val="Calibri"/>
        <family val="2"/>
        <scheme val="minor"/>
      </rPr>
      <t>terminal cooling distribution equipment serving an apartment shall be controlled by a thermostat(s) within the same apartment.</t>
    </r>
  </si>
  <si>
    <r>
      <t xml:space="preserve">Cooling - Training and Manuals
</t>
    </r>
    <r>
      <rPr>
        <sz val="10"/>
        <rFont val="Arial"/>
        <family val="2"/>
      </rPr>
      <t xml:space="preserve">• </t>
    </r>
    <r>
      <rPr>
        <sz val="11"/>
        <color theme="1"/>
        <rFont val="Calibri"/>
        <family val="2"/>
        <scheme val="minor"/>
      </rPr>
      <t>Summarize the training performed and personnel involved.  Confirm that all applicable operating and specification manuals are delivered to the building staff.  Verify that staff members have been trained and are aware of their responsibilities to maintain and operate the systems properly.</t>
    </r>
  </si>
  <si>
    <r>
      <t xml:space="preserve">Cooling - Manufacturer's Product Data
</t>
    </r>
    <r>
      <rPr>
        <sz val="10"/>
        <rFont val="Arial"/>
        <family val="2"/>
      </rPr>
      <t>• Review manufacturer’s cut sheets or invoice detailing system manufacturer model, size, and location (including all space cooling systems, e.g. lobby).  These should also be used to prove ENERGY STAR qualification and efficiency rating.</t>
    </r>
  </si>
  <si>
    <r>
      <t>Statement of Substantial Completion - HVAC</t>
    </r>
    <r>
      <rPr>
        <sz val="10"/>
        <rFont val="Arial"/>
        <family val="2"/>
      </rPr>
      <t xml:space="preserve">
• A Statement of Substantial Completion or approved proxy may be used to establish completion of the work associated with this protocol. For HVAC protocols, a Statement of Substantial Completion must be completed by a third-party qualified representative on company letter head, complete with all information, photographs, cut sheets, etc., required in this protocol and in the corresponding </t>
    </r>
    <r>
      <rPr>
        <i/>
        <sz val="10"/>
        <rFont val="Arial"/>
        <family val="2"/>
      </rPr>
      <t>T&amp;V Worksheet.</t>
    </r>
  </si>
  <si>
    <t>CFM / 100 ft^2</t>
  </si>
  <si>
    <t>LIGHTING - COMMON AREA, IN-UNIT, OUTDOOR &amp; EMERGENCY LIGHTING - PROTOCOL 6.1-6.3</t>
  </si>
  <si>
    <t>1) Begin lighting inspections as early in the construction process as possible.  Verify make, manufacturer, ENERGY STAR qualification, and rated wattage upon delivery or when lighting installations commence or during construction if earlier access (before ceiling closure) is needed to check circuiting layouts (e.g. for day lighting control). This will allow time for corrections before all of the fixtures have been installed.</t>
  </si>
  <si>
    <t>2) If possible, ask to have a sample installation completed for verification and testing before the electrician proceeds with all installations.</t>
  </si>
  <si>
    <t>1) Lighting Schedule (with fixture type and lamp wattage)</t>
  </si>
  <si>
    <t>2) Modeler's Lighting Schedule from Performance Path Calculator</t>
  </si>
  <si>
    <t>3) Floor Plans (with fixture locations)</t>
  </si>
  <si>
    <t>4) Contractor Submittals</t>
  </si>
  <si>
    <t>6) Camera</t>
  </si>
  <si>
    <r>
      <t xml:space="preserve">1)  Inspect 100% of unique common areas (basements, lobbies) with 24/7 lighting and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for similar, or repetitive spaces (stairwells, corridors, trash chute rooms, etc.).</t>
    </r>
  </si>
  <si>
    <r>
      <t xml:space="preserve">2)  For all other spaces with non-24/7 lighting (apartments, storage rooms, mechanical rooms, etc.)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This shall include, at a minimum, one representative apartment from each floor.</t>
    </r>
  </si>
  <si>
    <t>3)  *PHOTOS REQUIRED*</t>
  </si>
  <si>
    <t xml:space="preserve">-Take a photo of one sample of each fixture type with ENERGY STAR qualification affixed, where applicable.
- Photographs of CFLs must show they are pin based.
- Take a photo of each type of lighting control specified for each unique space (motion sensors, timers, and daylight sensors) .
- If there are sensors in the stairwell and corridor, provide representative photo of each space and clearly label their location.
- Provide photo showing bi-level lighting is installed (half the lamps on in a fixture, or all fixtures dimmed)
- Exterior lighting with timers, provide a photo of the controls and provide lighting schedule that demonstrates hours of operation. 
- To document daylight sensor performance, take one photo showing the light fixture is off during the day and another photo showing the fixture is on when the daylight sensor is covered.
</t>
  </si>
  <si>
    <t xml:space="preserve">PLAN REVIEW COMMENTS </t>
  </si>
  <si>
    <r>
      <rPr>
        <b/>
        <sz val="10"/>
        <rFont val="Arial"/>
        <family val="2"/>
      </rPr>
      <t>Common Area, In-Unit, Garage and Exterior Lighting</t>
    </r>
    <r>
      <rPr>
        <sz val="10"/>
        <rFont val="Arial"/>
        <family val="2"/>
      </rPr>
      <t xml:space="preserve">
Construction documents must include performance criteria for lighting including: 
• Total specified lighting power for the combined non-apartment spaces shall not exceed ASHRAE 90.1-2010 allowances for those combined spaces.  
• Include a schedule with manufacturer, model, total wattage, bulb type, control, location, and quantity of each type of lighting fixture.
• Include location of fixtures on plans.
• All light fixtures in non-apartments spaces, including hallways, stairwells, lobbies, elevators and decorative fixtures, shall have a combined lamp and ballast efficacies meeting or exceeding ENERGY STAR specifications.  Alternatively, T-5 or T-8 lamps with electronic ballasts or ENERGY STAR qualified screw-in lamps may be used.
• All hard-wired lighting fixtures and ceiling fans installed within apartments shall meet or exceed ENERGY STAR specifications.  ENERGY STAR qualified screw-in lamps may be used in  the following applications only:  Closets, storage spaces, and other locations that are not within habitable living space.
• When ENERGY STAR qualified fixtures are specified, label shall remain affixed to fixture.
• Lighting must comply with ASHRAE 90.1-2007, Section 9.4. At a minimum, interior lighting must be designed to meet light levels (footcandles) by space type as recommended by the </t>
    </r>
    <r>
      <rPr>
        <i/>
        <sz val="10"/>
        <rFont val="Arial"/>
        <family val="2"/>
      </rPr>
      <t xml:space="preserve">Illumination Engineering Society (IESNA) Lighting Handbook, 9th edition. </t>
    </r>
    <r>
      <rPr>
        <sz val="10"/>
        <rFont val="Arial"/>
        <family val="2"/>
      </rPr>
      <t xml:space="preserve">
• Overall in-unit lighting power density may not exceed 0.7 W/ft2. When calculating overall lighting power density, use 0.7 W/ft2 for spaces where lighting is not installed. 
• For spaces where installed light fixtures do not meet illumination requirements and occupants are expected to provide supplemental lighting (ie. bedrooms, living rooms), assume the installed light fixture can illuminate at most 3 ft</t>
    </r>
    <r>
      <rPr>
        <vertAlign val="superscript"/>
        <sz val="10"/>
        <rFont val="Arial"/>
        <family val="2"/>
      </rPr>
      <t>2</t>
    </r>
    <r>
      <rPr>
        <sz val="10"/>
        <rFont val="Arial"/>
        <family val="2"/>
      </rPr>
      <t xml:space="preserve"> per Watt installed. 
• All outdoor lighting fixtures shall have combined lamp and ballast efficacies meeting or exceeding ENERGY STAR specifications.
• The total specified exterior lighting power cannot exceed ASHRAE 90.1-2010 allowances.
</t>
    </r>
  </si>
  <si>
    <r>
      <rPr>
        <b/>
        <sz val="10"/>
        <rFont val="Arial"/>
        <family val="2"/>
      </rPr>
      <t>Emergency Lighting - Exit Signs</t>
    </r>
    <r>
      <rPr>
        <sz val="10"/>
        <rFont val="Arial"/>
        <family val="2"/>
      </rPr>
      <t xml:space="preserve">
</t>
    </r>
    <r>
      <rPr>
        <sz val="10"/>
        <rFont val="Arial"/>
        <family val="2"/>
      </rPr>
      <t>• All exit signs shall be specified as LED (not to exceed 5W per face) or photo-luminescent and shall conform to local building code. 
• Fixtures located above stairwell doors and other forms of egress shall contain a battery back-up feature.</t>
    </r>
  </si>
  <si>
    <r>
      <rPr>
        <b/>
        <sz val="10"/>
        <rFont val="Arial"/>
        <family val="2"/>
      </rPr>
      <t>Controls</t>
    </r>
    <r>
      <rPr>
        <sz val="10"/>
        <rFont val="Arial"/>
        <family val="2"/>
      </rPr>
      <t xml:space="preserve">
</t>
    </r>
    <r>
      <rPr>
        <sz val="10"/>
        <rFont val="Arial"/>
        <family val="2"/>
      </rPr>
      <t>• All non-apartment spaces, except those intended for 24-hour operation or where automatic shutoff would endanger the safety of occupants, must have occupancy sensors or automatic bi-level lighting controls.
• Fixtures must include automatic switching on timers or photocell controls except fixtures intended for 24-hour operation, required for security, or located on apartment balconies.
• Specify operational sensitivity settings (adjust so lights turn on when occupant enters controlled area, but remain off while unoccupied, i.e. unaffected by HVAC and VAV systems, etc.) and shut-off delay period (5 minutes or owner preference).
• Specify power settings (as low as possible while still meeting any code requirements).
• Include type and count of controls and associated fixtures in lighting schedule.
• Note all locations of sensors on plans, and indicate which fixtures each sensor controls.</t>
    </r>
  </si>
  <si>
    <t>LIGHT FIXTURE SCHEDULE:</t>
  </si>
  <si>
    <t>FIXTURE CODE</t>
  </si>
  <si>
    <t>FIXTURE TYPE</t>
  </si>
  <si>
    <t>WATTS/FIXTURE</t>
  </si>
  <si>
    <t>LUMENS/FIXTURE</t>
  </si>
  <si>
    <t>MANUFACTURE/MODEL</t>
  </si>
  <si>
    <t>GENERAL LOCATION</t>
  </si>
  <si>
    <t>ENERGY STAR? (Y/N)</t>
  </si>
  <si>
    <t>24/7?</t>
  </si>
  <si>
    <r>
      <t xml:space="preserve">INSPECTION COMMENTS </t>
    </r>
    <r>
      <rPr>
        <sz val="11"/>
        <color theme="1"/>
        <rFont val="Calibri"/>
        <family val="2"/>
        <scheme val="minor"/>
      </rPr>
      <t xml:space="preserve">
(Problems, sample details/apt #s, etc.)</t>
    </r>
  </si>
  <si>
    <t>COMMON AREA:</t>
  </si>
  <si>
    <t>FLOOR</t>
  </si>
  <si>
    <t>SQUARE FOOTAGE</t>
  </si>
  <si>
    <t>ROOM NAME</t>
  </si>
  <si>
    <t>ASHRAE SPACE TYPE</t>
  </si>
  <si>
    <t>INSTALLED QUANTITY</t>
  </si>
  <si>
    <t>FIXTURE CODE (A, B, C, ETC.)</t>
  </si>
  <si>
    <t>FIXTURE INSTALLED WATTAGE</t>
  </si>
  <si>
    <t>FLOOR MULTIPLIER</t>
  </si>
  <si>
    <t>TOTAL INSTALLED WATTAGE</t>
  </si>
  <si>
    <t>APARTMENTS:</t>
  </si>
  <si>
    <t>NUMBER OF SUCH ROOMS IN THE BUILDING</t>
  </si>
  <si>
    <r>
      <rPr>
        <b/>
        <sz val="10"/>
        <rFont val="Arial"/>
        <family val="2"/>
      </rPr>
      <t xml:space="preserve">Compliance Statement
</t>
    </r>
    <r>
      <rPr>
        <sz val="10"/>
        <rFont val="Arial"/>
        <family val="2"/>
      </rPr>
      <t xml:space="preserve">• All lighting systems meet or exceed the requirements listed in the </t>
    </r>
    <r>
      <rPr>
        <i/>
        <sz val="10"/>
        <rFont val="Arial"/>
        <family val="2"/>
      </rPr>
      <t>Modified Prescriptive Path</t>
    </r>
    <r>
      <rPr>
        <sz val="10"/>
        <rFont val="Arial"/>
        <family val="2"/>
      </rPr>
      <t xml:space="preserve">.
</t>
    </r>
  </si>
  <si>
    <r>
      <rPr>
        <b/>
        <sz val="10"/>
        <rFont val="Arial"/>
        <family val="2"/>
      </rPr>
      <t xml:space="preserve">Lighting Power Density
</t>
    </r>
    <r>
      <rPr>
        <sz val="10"/>
        <rFont val="Arial"/>
        <family val="2"/>
      </rPr>
      <t xml:space="preserve">• Assemble documentation from plans, specs and submittals.
• Verify that interior lighting is designed to meet light levels by space type as recommended by the </t>
    </r>
    <r>
      <rPr>
        <i/>
        <sz val="10"/>
        <rFont val="Arial"/>
        <family val="2"/>
      </rPr>
      <t>IESNA, Lighting Handbook, 9th edition</t>
    </r>
    <r>
      <rPr>
        <sz val="10"/>
        <rFont val="Arial"/>
        <family val="2"/>
      </rPr>
      <t xml:space="preserve">. See </t>
    </r>
    <r>
      <rPr>
        <i/>
        <sz val="10"/>
        <rFont val="Arial"/>
        <family val="2"/>
      </rPr>
      <t>Appendix B</t>
    </r>
    <r>
      <rPr>
        <sz val="10"/>
        <rFont val="Arial"/>
        <family val="2"/>
      </rPr>
      <t xml:space="preserve"> of</t>
    </r>
    <r>
      <rPr>
        <i/>
        <sz val="10"/>
        <rFont val="Arial"/>
        <family val="2"/>
      </rPr>
      <t xml:space="preserve"> Modified</t>
    </r>
    <r>
      <rPr>
        <sz val="10"/>
        <rFont val="Arial"/>
        <family val="2"/>
      </rPr>
      <t xml:space="preserve"> </t>
    </r>
    <r>
      <rPr>
        <i/>
        <sz val="10"/>
        <rFont val="Arial"/>
        <family val="2"/>
      </rPr>
      <t>Prescriptive Path</t>
    </r>
    <r>
      <rPr>
        <sz val="10"/>
        <rFont val="Arial"/>
        <family val="2"/>
      </rPr>
      <t xml:space="preserve"> to determine lamp lumens.
• Verify that all of the requirements listed in the </t>
    </r>
    <r>
      <rPr>
        <i/>
        <sz val="10"/>
        <rFont val="Arial"/>
        <family val="2"/>
      </rPr>
      <t>Modified Prescriptive Path</t>
    </r>
    <r>
      <rPr>
        <sz val="10"/>
        <rFont val="Arial"/>
        <family val="2"/>
      </rPr>
      <t xml:space="preserve"> have been met.
• Determine power density of each space by calculating the luminaire wattage as indicated in ASHRAE 90.1-2007, Section 9.1.4. ASHRAE 90.1-2007, Section 9.1.4a, requires that fixture wattage be calculated using the maximum labeled wattage of the fixture. EPA will allow light fixtures to be calculated based on the installed wattage of the lamps. Ex: A fixture with a 13 W screw-in CFL can be calculated as 13 W, plus any associated ballast power. See </t>
    </r>
    <r>
      <rPr>
        <i/>
        <sz val="10"/>
        <rFont val="Arial"/>
        <family val="2"/>
      </rPr>
      <t>Appendix B</t>
    </r>
    <r>
      <rPr>
        <sz val="10"/>
        <rFont val="Arial"/>
        <family val="2"/>
      </rPr>
      <t xml:space="preserve"> of </t>
    </r>
    <r>
      <rPr>
        <i/>
        <sz val="10"/>
        <rFont val="Arial"/>
        <family val="2"/>
      </rPr>
      <t>Modified Prescriptive Path</t>
    </r>
    <r>
      <rPr>
        <sz val="10"/>
        <rFont val="Arial"/>
        <family val="2"/>
      </rPr>
      <t xml:space="preserve"> to determine input power.  
• For spaces where installed light fixtures do not meet illumination requirements and occupants are expected to provide supplemental lighting (ie. bedrooms, living rooms), assume the installed light fixture can illuminate at most 3 ft2 per Watt installed.
• When calculating overall lighting power density, use 1.1 W/ft2 for spaces where lighting is not installed.
• Verify that total installed lighting power for the combined non-apartment spaces does not exceed ASHRAE 90.1-2010 allowances for those combined spaces. Also, verify that the total specified exterior lighting power does not exceed ASHRAE 90.1-2010 allowances.</t>
    </r>
  </si>
  <si>
    <r>
      <t xml:space="preserve">Lighting Controls - Verification
</t>
    </r>
    <r>
      <rPr>
        <sz val="10"/>
        <rFont val="Arial"/>
        <family val="2"/>
      </rPr>
      <t>• Check location of control types for conformance/deviation and count total number of controls in that space. 
• Confirm that each control type is operable:
• For occupancy sensors, step in and out of the zone, check for blind spots
• For timers, set timer to current time and confirm control of fixture.
• For photocells, cover or black-out photocell and confirm control of fixture.
• For day lighting controls, dim or black-out location to observe change in fixture light level.
• For occupancy dimmers, check lower power limit and on-time settings.
• A</t>
    </r>
    <r>
      <rPr>
        <sz val="10"/>
        <rFont val="Arial"/>
        <family val="2"/>
      </rPr>
      <t>utomatic controls must be specified for spaces intended for 24-hour operation such as corridors and stairwells.</t>
    </r>
  </si>
  <si>
    <r>
      <t xml:space="preserve">Common Area Lighting - 
</t>
    </r>
    <r>
      <rPr>
        <sz val="10"/>
        <rFont val="Arial"/>
        <family val="2"/>
      </rPr>
      <t xml:space="preserve">• Check quantity, locations, unit specifications for conformance/deviation with ENEGY STAR qualification.
</t>
    </r>
    <r>
      <rPr>
        <sz val="10"/>
        <rFont val="Arial"/>
        <family val="2"/>
      </rPr>
      <t>• Collect manufacturer and model data to verify that all light fixtures in non-apartments spaces, including hallways, stairwells, lobbies, elevators and decorative fixtures, have a combined lamp and ballast efficacies meeting or exceeding ENERGY STAR specifications.  Alternatively, T-5 or T-8 lamps with electronic ballasts or ENERGY STAR qualified screw-in lamps may be used.
• Take a photo of one sample of each fixture type with ENERGY STAR qualification affixed, where applicable. 
• Collect submittals/invoices for each unique fixture type showing ENERGY STAR qualification (where applicable) and wattage.</t>
    </r>
  </si>
  <si>
    <r>
      <t xml:space="preserve">Common Area Lighting - LPD
</t>
    </r>
    <r>
      <rPr>
        <sz val="10"/>
        <rFont val="Arial"/>
        <family val="2"/>
      </rPr>
      <t>• Check quantity, locations, unit specifications for conformance/deviation including types of fixtures, wattages of lamps, etc.</t>
    </r>
    <r>
      <rPr>
        <sz val="10"/>
        <rFont val="Arial"/>
        <family val="2"/>
      </rPr>
      <t xml:space="preserve">
</t>
    </r>
  </si>
  <si>
    <r>
      <t>Emergency Lighting - Exit Signs</t>
    </r>
    <r>
      <rPr>
        <sz val="11"/>
        <color theme="1"/>
        <rFont val="Calibri"/>
        <family val="2"/>
        <scheme val="minor"/>
      </rPr>
      <t xml:space="preserve">
• All exit signs shall be specified as LED (not to exceed 5W per face) or photo-luminescent and shall conform to local building code. 
• Fixtures located above stairwell doors and other forms of egress shall contain a battery back-up feature.
</t>
    </r>
  </si>
  <si>
    <r>
      <t xml:space="preserve">Exterior Lighting - Controls
</t>
    </r>
    <r>
      <rPr>
        <sz val="10"/>
        <rFont val="Arial"/>
        <family val="2"/>
      </rPr>
      <t>• Check location of control types for conformance/deviation. 
• Confirm that each control type is operable, see above for detailed instructions. 
• For timers, set timer to current time and confirm control of fixture.
• For photocells, cover or black-out photocell and confirm control of fixture.</t>
    </r>
  </si>
  <si>
    <r>
      <t xml:space="preserve">Exterior Lighting - ENERGY STAR
</t>
    </r>
    <r>
      <rPr>
        <sz val="10"/>
        <rFont val="Arial"/>
        <family val="2"/>
      </rPr>
      <t xml:space="preserve">• Check quantity, locations, unit specifications for conformance/deviation with ENEGY STAR qualification.
</t>
    </r>
    <r>
      <rPr>
        <sz val="10"/>
        <rFont val="Arial"/>
        <family val="2"/>
      </rPr>
      <t>• Collect manufacturer and model data to verify that all outdoor lighting fixtures have combined lamp and ballast efficacies meeting or exceeding ENERGY STAR specifications.
• Take a photo of one sample of each fixture type with ENERGY STAR qualification affixed, where applicable. 
• Collect submittals/invoices for each unique fixture type showing ENERGY STAR qualification (where applicable) and wattage.</t>
    </r>
  </si>
  <si>
    <r>
      <t>Exterior Lighting - LPD</t>
    </r>
    <r>
      <rPr>
        <b/>
        <sz val="10"/>
        <rFont val="Arial"/>
        <family val="2"/>
      </rPr>
      <t xml:space="preserve">
</t>
    </r>
    <r>
      <rPr>
        <sz val="10"/>
        <rFont val="Arial"/>
        <family val="2"/>
      </rPr>
      <t>• Check quantity, locations, unit specifications for conformance/deviation including types of fixtures, wattages of lamps, etc.</t>
    </r>
  </si>
  <si>
    <r>
      <t xml:space="preserve">Garage Lighting
</t>
    </r>
    <r>
      <rPr>
        <sz val="10"/>
        <rFont val="Arial"/>
        <family val="2"/>
      </rPr>
      <t>• Check quantity, locations, unit specifications for conformance/deviation including types of fixtures, wattages of lamps, etc.
• Check location of control types for conformance/deviation. 
• Confirm that each control type is operable, see above for detailed instructions.</t>
    </r>
  </si>
  <si>
    <r>
      <t xml:space="preserve">In-Unit Lighting  
</t>
    </r>
    <r>
      <rPr>
        <sz val="10"/>
        <rFont val="Arial"/>
        <family val="2"/>
      </rPr>
      <t>•</t>
    </r>
    <r>
      <rPr>
        <b/>
        <sz val="10"/>
        <rFont val="Arial"/>
        <family val="2"/>
      </rPr>
      <t xml:space="preserve"> </t>
    </r>
    <r>
      <rPr>
        <sz val="10"/>
        <rFont val="Arial"/>
        <family val="2"/>
      </rPr>
      <t>Check quantity, locations, unit specifications for conformance/deviation including types of fixtures, wattages of lamps, etc.
• Collect manufacturer and model data to verify that all hard-wired lighting fixtures and ceiling fans installed within apartments meet or exceed ENERGY STAR specifications.  ENERGY STAR qualified screw-in lamps may be used in  the following applications only:  Closets, storage spaces, and other locations that are not within habitable living space..
• Take a photo of one sample of each fixture type with ENERGY STAR qualification affixed, where applicable. 
• Collect submittals/invoices for each unique fixture type showing ENERGY STAR qualification (where applicable) and wattage.</t>
    </r>
  </si>
  <si>
    <r>
      <rPr>
        <b/>
        <sz val="10"/>
        <rFont val="Arial"/>
        <family val="2"/>
      </rPr>
      <t xml:space="preserve">Lighting - Ballasts
</t>
    </r>
    <r>
      <rPr>
        <sz val="10"/>
        <rFont val="Arial"/>
        <family val="2"/>
      </rPr>
      <t>• Fixtures specified with electronic ballasts must be confirmed in the field using an electronic ballast tester.</t>
    </r>
  </si>
  <si>
    <r>
      <rPr>
        <b/>
        <sz val="10"/>
        <rFont val="Arial"/>
        <family val="2"/>
      </rPr>
      <t>Lighting - Statement of Substantial Completion - Non 24/7 Spaces</t>
    </r>
    <r>
      <rPr>
        <sz val="10"/>
        <rFont val="Arial"/>
        <family val="2"/>
      </rPr>
      <t xml:space="preserve">
• A Statement of Substantial Completion or approved proxy must be used to establish completion of the work associated in all spaces with lighting not operating 24/7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</si>
  <si>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r>
      <rPr>
        <b/>
        <sz val="10"/>
        <rFont val="Arial"/>
        <family val="2"/>
      </rPr>
      <t>Lighting - Statement of Substantial Completion - 24/7 Spaces</t>
    </r>
    <r>
      <rPr>
        <sz val="10"/>
        <rFont val="Arial"/>
        <family val="2"/>
      </rPr>
      <t xml:space="preserve">
• A Statement of Substantial Completion or approved proxy may be used to establish completion of all other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</si>
  <si>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t>HVAC - MOTORS - PROTOCOL 7.1</t>
  </si>
  <si>
    <t>1) The developer or GC shall ensure that deliveries are inspected prior to accepting them to verify that product substitutions by the distributor or manufacturer have not resulted in motors with lower efficiencies than those in the Proposed Design.</t>
  </si>
  <si>
    <t>2) Minimum of one on-site inspection required, preferably immediately after installation so that corrective action can be taken if necessary.  Delivery tickets may be used to verify complete shipments but on-site inspections of a sample of installed motors is required.</t>
  </si>
  <si>
    <t>3) Commissioning is conducted upon completion of the installation of the system.</t>
  </si>
  <si>
    <t>4) Training shall occur following installation of the system and completion of all quality assurance and verification procedures.</t>
  </si>
  <si>
    <t>1) Commissioning Report</t>
  </si>
  <si>
    <t>2) Mechanical Schedule and Floor Plans</t>
  </si>
  <si>
    <t>3) Camera</t>
  </si>
  <si>
    <t>1)  100% of motors over 1 HP and all those servicing primary HVAC equipment (e.g. heating/cooling plants, domestic water heating systems, etc.) shall be inspected in the quality assurance and verification process.</t>
  </si>
  <si>
    <r>
      <t xml:space="preserve">2) </t>
    </r>
    <r>
      <rPr>
        <b/>
        <sz val="10"/>
        <rFont val="Arial"/>
        <family val="2"/>
      </rPr>
      <t>*PHOTOS REQUIRED*</t>
    </r>
    <r>
      <rPr>
        <sz val="10"/>
        <rFont val="Arial"/>
        <family val="2"/>
      </rPr>
      <t xml:space="preserve"> </t>
    </r>
  </si>
  <si>
    <t>- Photograph faceplate; and NEMA Premium label (if applicable) of one representative motor of each size. Given the number of motors and pumps in any given building make sure to clearly identify location and use of each motor represented.</t>
  </si>
  <si>
    <r>
      <rPr>
        <sz val="11"/>
        <color theme="1"/>
        <rFont val="Calibri"/>
        <family val="2"/>
        <scheme val="minor"/>
      </rPr>
      <t xml:space="preserve">• All three-phase pump motors 1 horse-power or larger shall meet or exceed efficiency standards for </t>
    </r>
    <r>
      <rPr>
        <b/>
        <sz val="10"/>
        <rFont val="Arial"/>
        <family val="2"/>
      </rPr>
      <t xml:space="preserve">NEMA </t>
    </r>
    <r>
      <rPr>
        <b/>
        <u/>
        <sz val="10"/>
        <rFont val="Arial"/>
        <family val="2"/>
      </rPr>
      <t>Premium™</t>
    </r>
    <r>
      <rPr>
        <sz val="11"/>
        <color theme="1"/>
        <rFont val="Calibri"/>
        <family val="2"/>
        <scheme val="minor"/>
      </rPr>
      <t xml:space="preserve"> motors. Note: Motors that are packaged as an integral component of mechanical equipment, as well as motors in fire and fresh water booster pumps are exempt from this requirement.
• Motors 5 horse-power or larger for circulating pumps serving hydronic heating or cooling systems must be specified with variable frequency drives.
• Motor size, type, design, and rated efficiency shall meet or exceed the requirements listed in the </t>
    </r>
    <r>
      <rPr>
        <i/>
        <sz val="10"/>
        <rFont val="Arial"/>
        <family val="2"/>
      </rPr>
      <t>Modified Prescriptive Path</t>
    </r>
    <r>
      <rPr>
        <sz val="11"/>
        <color theme="1"/>
        <rFont val="Calibri"/>
        <family val="2"/>
        <scheme val="minor"/>
      </rPr>
      <t xml:space="preserve">.
</t>
    </r>
  </si>
  <si>
    <r>
      <rPr>
        <b/>
        <sz val="10"/>
        <rFont val="Arial"/>
        <family val="2"/>
      </rPr>
      <t xml:space="preserve">Motor Schedule: </t>
    </r>
    <r>
      <rPr>
        <sz val="10"/>
        <rFont val="Arial"/>
        <family val="2"/>
      </rPr>
      <t xml:space="preserve">
Record manufacturer and model number of all non-ventilation motors over 1 HP (ventilation motors are covered in the ventilation section, </t>
    </r>
    <r>
      <rPr>
        <i/>
        <sz val="10"/>
        <rFont val="Arial"/>
        <family val="2"/>
      </rPr>
      <t>Protocol 8.2 - Common Area and In-Unit Ventilation (CFM), Intake Source, and Intake/Exhaust Fan Efficiency).</t>
    </r>
  </si>
  <si>
    <t>ENERGY STAR / NEMA PREMIUM</t>
  </si>
  <si>
    <r>
      <t xml:space="preserve">Heating Distribution - Motors
</t>
    </r>
    <r>
      <rPr>
        <sz val="10"/>
        <rFont val="Arial"/>
        <family val="2"/>
      </rPr>
      <t xml:space="preserve">• Confirm manufacturer and model number is </t>
    </r>
    <r>
      <rPr>
        <b/>
        <sz val="10"/>
        <rFont val="Arial"/>
        <family val="2"/>
      </rPr>
      <t xml:space="preserve">NEMA </t>
    </r>
    <r>
      <rPr>
        <b/>
        <u/>
        <sz val="10"/>
        <rFont val="Arial"/>
        <family val="2"/>
      </rPr>
      <t>Premium</t>
    </r>
    <r>
      <rPr>
        <b/>
        <sz val="10"/>
        <rFont val="Arial"/>
        <family val="2"/>
      </rPr>
      <t>*</t>
    </r>
    <r>
      <rPr>
        <sz val="10"/>
        <rFont val="Arial"/>
        <family val="2"/>
      </rPr>
      <t xml:space="preserve"> labeled and/or complies with minimum performance criteria established by that program.</t>
    </r>
  </si>
  <si>
    <r>
      <t xml:space="preserve">Cooling Distribution - Motors
</t>
    </r>
    <r>
      <rPr>
        <sz val="10"/>
        <rFont val="Arial"/>
        <family val="2"/>
      </rPr>
      <t xml:space="preserve">• Confirm manufacturer and model number is </t>
    </r>
    <r>
      <rPr>
        <b/>
        <sz val="10"/>
        <rFont val="Arial"/>
        <family val="2"/>
      </rPr>
      <t xml:space="preserve">NEMA </t>
    </r>
    <r>
      <rPr>
        <b/>
        <u/>
        <sz val="10"/>
        <rFont val="Arial"/>
        <family val="2"/>
      </rPr>
      <t>Premium</t>
    </r>
    <r>
      <rPr>
        <b/>
        <sz val="10"/>
        <rFont val="Arial"/>
        <family val="2"/>
      </rPr>
      <t>*</t>
    </r>
    <r>
      <rPr>
        <sz val="10"/>
        <rFont val="Arial"/>
        <family val="2"/>
      </rPr>
      <t xml:space="preserve"> labeled and/or complies with minimum performance criteria established by that program.</t>
    </r>
  </si>
  <si>
    <r>
      <t xml:space="preserve">DHW Distribution - Motors
</t>
    </r>
    <r>
      <rPr>
        <sz val="10"/>
        <rFont val="Arial"/>
        <family val="2"/>
      </rPr>
      <t xml:space="preserve">• Confirm manufacturer and model number is </t>
    </r>
    <r>
      <rPr>
        <b/>
        <sz val="10"/>
        <rFont val="Arial"/>
        <family val="2"/>
      </rPr>
      <t xml:space="preserve">NEMA </t>
    </r>
    <r>
      <rPr>
        <b/>
        <u/>
        <sz val="10"/>
        <rFont val="Arial"/>
        <family val="2"/>
      </rPr>
      <t>Premium</t>
    </r>
    <r>
      <rPr>
        <sz val="10"/>
        <rFont val="Arial"/>
        <family val="2"/>
      </rPr>
      <t>* labeled and/or complies with minimum performance criteria established by that program.</t>
    </r>
  </si>
  <si>
    <r>
      <t xml:space="preserve">Motors- Manufacturer's Product Data
</t>
    </r>
    <r>
      <rPr>
        <sz val="10"/>
        <rFont val="Arial"/>
        <family val="2"/>
      </rPr>
      <t xml:space="preserve">• </t>
    </r>
    <r>
      <rPr>
        <sz val="11"/>
        <color theme="1"/>
        <rFont val="Calibri"/>
        <family val="2"/>
        <scheme val="minor"/>
      </rPr>
      <t>Review manufacturer’s cut sheets or invoice verifying  motor size and efficiency.</t>
    </r>
  </si>
  <si>
    <r>
      <t xml:space="preserve">Motors - Training and Manuals
</t>
    </r>
    <r>
      <rPr>
        <sz val="10"/>
        <rFont val="Arial"/>
        <family val="2"/>
      </rPr>
      <t xml:space="preserve">• </t>
    </r>
    <r>
      <rPr>
        <sz val="11"/>
        <color theme="1"/>
        <rFont val="Calibri"/>
        <family val="2"/>
        <scheme val="minor"/>
      </rPr>
      <t>Summarize the training performed and personnel involved.  Confirm that all applicable operating and specification manuals are delivered to the building staff.  Verify that staff members have been trained and are aware of their responsibilities to maintain and operate the systems properly.</t>
    </r>
  </si>
  <si>
    <t>*Many motors are NEMA labeled and this label alone, does not ensure that a motor is energy-efficient.  This requirement refers specifically to the NEMA Premium energy efficient motors program.  Product specifications for NEMA Premium Motors may be found at http://www.nema.org/stds/complimentary-docs/upload/MG1premium.pdf.  Motors for fire pumps and booster pumps are exempt from this requirement.</t>
  </si>
  <si>
    <t>ENVELOPE - EXTERIOR AIR BARRIER - PROTOCOL 3.1 &amp; 8.1</t>
  </si>
  <si>
    <t xml:space="preserve">This process begins with the construction documentation.  A minimum of 3-5 site visits are recommended to properly inspect air sealing details. Each exterior, common area and in-unit element on the air sealing checklists must be inspected at each of the following stages to ensure use of proper materials and complete seals exist for each juncture or penetration:
</t>
  </si>
  <si>
    <t>1) Window/Wall Mock Up Inspection (If applicable)</t>
  </si>
  <si>
    <t>2) Load-bearing wall and slab-edge/rim-joist inspection:  air/vapor/weather barrier prior to enclosure</t>
  </si>
  <si>
    <t>3) Pre-drywall visual inspection of penetrations</t>
  </si>
  <si>
    <t xml:space="preserve">4) Sample apartment inspection and blower door test </t>
  </si>
  <si>
    <t>5) Post-correction testing of sample apartment</t>
  </si>
  <si>
    <t xml:space="preserve">6) Final inspection and testing of apartments post completion
</t>
  </si>
  <si>
    <t xml:space="preserve">
</t>
  </si>
  <si>
    <t>4) Relevant Wall and Window Sections and Details</t>
  </si>
  <si>
    <r>
      <t xml:space="preserve">2) Sampling may be used to inspect wall assemblies that are consistent throughout large sections of the building.  Inspections done from the exterior shall sample at least 15% of each wall area.  For inspections done from interior spaces,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for each unique wall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r>
  </si>
  <si>
    <t>3)  For elements that provide central services to the building (i.e. entry doors, central duct chases, utility service penetrations, etc.) a minimum 50% sample shall be inspected.  For elements that are repeated throughout the building or occur in every living unit (i.e. windows, wall/floor connections, air conditioner sleeves, etc.) follow RESNET sampling protocol.  If problems are identified, additional units must be inspected to determine if the problems are systemic so an appropriate repair order can be issued.</t>
  </si>
  <si>
    <t>Provide one representative photograph of continuous air barrier at all types of typical joints, junctions, and general coverage areas to include the following at a minimum:</t>
  </si>
  <si>
    <t>5a) Inspected from the exterior: Areas with liquid-applied membranes showing appropriate thickness; AC openings; Windows, Door openings, and Door frame; Transition between wall and roof barrier; Transition between wall and foundation barrier; Plank/Slab Edge (Masonry and Steel Construction) or Rim Joist (Wood Framed Construction)
5b)  Inspected from the interior: Rough openings to windows and doors, AC openings</t>
  </si>
  <si>
    <r>
      <rPr>
        <b/>
        <sz val="10"/>
        <rFont val="Arial"/>
        <family val="2"/>
      </rPr>
      <t xml:space="preserve">General Exterior Enclosure: </t>
    </r>
    <r>
      <rPr>
        <sz val="10"/>
        <rFont val="Arial"/>
        <family val="2"/>
      </rPr>
      <t xml:space="preserve">
• The construction drawings and specifications must clearly identify systems that manage the flow of rainwater (e.g. cladding, air gap and weather resistant barrier), heat (insulation) and air (air barriers) through the exterior enclosure.  Continuity of these three systems must be shown in section, plan and details.  Typical sections must show continuity from the center of the roof assembly, down the walls and fenestration, to the center of the foundation floor.  Submittal of shop drawings detailing continuity of these systems and installer qualifications must be required in the specifications.
• Exterior enclosure assemblies must be designed and constructed to prevent condensation within the assemblies during heating mode, cooling mode or both as the climate dictates.  Assemblies may be drawn from published guidance documents that include hygro-thermal performance analysis.  Alternatively assemblies should pass year – long, hourly hygro-thermal simulations conducted in accordance with ASHRAE 160P.</t>
    </r>
  </si>
  <si>
    <r>
      <rPr>
        <b/>
        <sz val="10"/>
        <rFont val="Arial"/>
        <family val="2"/>
      </rPr>
      <t>Exterior Enclosure Air barriers:</t>
    </r>
    <r>
      <rPr>
        <sz val="10"/>
        <rFont val="Arial"/>
        <family val="2"/>
      </rPr>
      <t xml:space="preserve">
• Bid and contract documents must demonstrate a continuous, unbroken air barrier separating the conditioned space of the building from the exterior, unconditioned spaces within the building, mechanical rooms vented with conditioned air, mechanical chases opening to unconditioned spaces, elevator shafts and garages or other vehicle/equipment storage facilities.   All air barrier materials must be compatible with other air barrier elements to which they connect.
• Bid and contract documents must include detailed information that shows the air barrier continuity through the various conditions of the exterior enclosure (e.g., transitions between dissimilar materials and penetrations) and that serves as an index to relevant details.
• Include list of elements to be sealed in construction documents.  List must include all elements identified in ASHRAE 90.1-2007, Section 5.4.3.1, or applicable state code, all elements listed in the Prerequisites Checklist, and any additional site-specific elements identified during plan review that shall be addressed to ensure air leakage in the exterior building envelope is effectively controlled.  Bid and contract documents must include locations to be sealed as well as acceptable methods and materials.
• When feasible all air barriers membranes and accessories (transition membranes, flashing membranes, mastics, sealants, primers and tapes) will be from the same manufacturer. When products from a variety of manufacturers are used, a letter must be obtained from at least one manufacturer of the products in contact stating the materials proposed for use are permanently chemically compatible and adhesively compatible with adjacent materials proposed for use. Gaps and joints must be primed and sealed with transition membrane, tape or sealant that is rated to withstand the thermal and structural deflection calculated for the joint in question. For joints that are anticipated to have more than ½” deflection, special details are needed to allow flexibility.
• Gaps and joints must be primed and sealed with transition membrane, tape or sealant that is rated to withstand the thermal and structural deflection calculated fort the joint in question. For joints that are anticipated to have more than ½” deflection special details are needed to allow flexibility.
• Specifications could include, at the discretion of the developer, the inspection of a sample mock-up installation by the responsible party prior to installation of windows building-wide.
</t>
    </r>
  </si>
  <si>
    <r>
      <t xml:space="preserve">INSPECTION COMMENTS 
</t>
    </r>
    <r>
      <rPr>
        <sz val="10"/>
        <rFont val="Arial"/>
        <family val="2"/>
      </rPr>
      <t>(Problems, sample details/apt #s, etc)</t>
    </r>
  </si>
  <si>
    <t>Air Barrier Component</t>
  </si>
  <si>
    <t>Fluid applied air barrier membrane</t>
  </si>
  <si>
    <t>Self-adhering air barrier membrane</t>
  </si>
  <si>
    <t>Mechanically attached air barrier membrane</t>
  </si>
  <si>
    <t>Board stock air barrier</t>
  </si>
  <si>
    <t>Spray applied polyurethane insulation</t>
  </si>
  <si>
    <t>Gypsum board, CMU or foam board substrate</t>
  </si>
  <si>
    <t>Sealants</t>
  </si>
  <si>
    <t>Primer</t>
  </si>
  <si>
    <t>Mastic</t>
  </si>
  <si>
    <t>Transition membrane</t>
  </si>
  <si>
    <t>Tapes</t>
  </si>
  <si>
    <r>
      <rPr>
        <b/>
        <sz val="10"/>
        <rFont val="Arial"/>
        <family val="2"/>
      </rPr>
      <t xml:space="preserve">Compliance Statement
</t>
    </r>
    <r>
      <rPr>
        <sz val="10"/>
        <rFont val="Arial"/>
        <family val="2"/>
      </rPr>
      <t xml:space="preserve">• Assembly meets or exceeds the requirements listed in the </t>
    </r>
    <r>
      <rPr>
        <i/>
        <sz val="10"/>
        <rFont val="Arial"/>
        <family val="2"/>
      </rPr>
      <t xml:space="preserve">Modified Prescriptive Path.
</t>
    </r>
    <r>
      <rPr>
        <sz val="10"/>
        <rFont val="Arial"/>
        <family val="2"/>
      </rPr>
      <t xml:space="preserve">
All air barrier materials must be compatible with other air barrier elements to which they connect.</t>
    </r>
  </si>
  <si>
    <r>
      <t xml:space="preserve">Wood-Framed Construction
</t>
    </r>
    <r>
      <rPr>
        <sz val="10"/>
        <rFont val="Arial"/>
        <family val="2"/>
      </rPr>
      <t>• For wood-framed construction, Version 3.0 of the E</t>
    </r>
    <r>
      <rPr>
        <i/>
        <sz val="10"/>
        <rFont val="Arial"/>
        <family val="2"/>
      </rPr>
      <t>NERGY STAR Qualified Homes Thermal Enclosure Rater Checklist</t>
    </r>
    <r>
      <rPr>
        <sz val="10"/>
        <rFont val="Arial"/>
        <family val="2"/>
      </rPr>
      <t xml:space="preserve"> must be followed in addition to all applicable </t>
    </r>
    <r>
      <rPr>
        <i/>
        <sz val="10"/>
        <rFont val="Arial"/>
        <family val="2"/>
      </rPr>
      <t>T&amp;V Protocols.</t>
    </r>
  </si>
  <si>
    <r>
      <t>Masonry Wall Preparation</t>
    </r>
    <r>
      <rPr>
        <sz val="11"/>
        <color theme="1"/>
        <rFont val="Calibri"/>
        <family val="2"/>
        <scheme val="minor"/>
      </rPr>
      <t xml:space="preserve">
</t>
    </r>
    <r>
      <rPr>
        <sz val="10"/>
        <rFont val="Arial"/>
        <family val="2"/>
      </rPr>
      <t xml:space="preserve">• </t>
    </r>
    <r>
      <rPr>
        <sz val="11"/>
        <color theme="1"/>
        <rFont val="Calibri"/>
        <family val="2"/>
        <scheme val="minor"/>
      </rPr>
      <t>Gaps are filled, Joints struck, CMU is dry, all snags are gone.</t>
    </r>
  </si>
  <si>
    <r>
      <t>Gypsum Board Sheathing Wall Preperation</t>
    </r>
    <r>
      <rPr>
        <sz val="11"/>
        <color theme="1"/>
        <rFont val="Calibri"/>
        <family val="2"/>
        <scheme val="minor"/>
      </rPr>
      <t xml:space="preserve">
• Gaps and joints primed and sealed with appropriate transition membrane or tape that is rated to withstand the thermal and structural deflection calculated for the joint in question
• Edges of transition membrane or tape (termination seams) sealed with compatible sealant where not sealed by liquid membrane
• Air barrier applied in accordance with manufacturer’s instructions.</t>
    </r>
  </si>
  <si>
    <r>
      <t>General Coverage - Liquid Membrane</t>
    </r>
    <r>
      <rPr>
        <sz val="11"/>
        <color theme="1"/>
        <rFont val="Calibri"/>
        <family val="2"/>
        <scheme val="minor"/>
      </rPr>
      <t xml:space="preserve">
</t>
    </r>
    <r>
      <rPr>
        <sz val="10"/>
        <rFont val="Arial"/>
        <family val="2"/>
      </rPr>
      <t xml:space="preserve">• </t>
    </r>
    <r>
      <rPr>
        <sz val="11"/>
        <color theme="1"/>
        <rFont val="Calibri"/>
        <family val="2"/>
        <scheme val="minor"/>
      </rPr>
      <t>Verify proper thickness of liquid-applied membranes using a wet mil gauge; at a minimum, substrate must not be visible.</t>
    </r>
  </si>
  <si>
    <r>
      <t>General Coverage at Adjacent Building Conditions - Liquid Membrane</t>
    </r>
    <r>
      <rPr>
        <sz val="11"/>
        <color theme="1"/>
        <rFont val="Calibri"/>
        <family val="2"/>
        <scheme val="minor"/>
      </rPr>
      <t xml:space="preserve">
• Where unable to install air barrier on the exterior of the building, a low VOC product shall be installed on the interior at full height (top of plank to bottom of plank at each floor). This shall happen before any interior framing is installed.</t>
    </r>
  </si>
  <si>
    <r>
      <t xml:space="preserve">General Coverage / Transition Membrane - Seams
</t>
    </r>
    <r>
      <rPr>
        <sz val="10"/>
        <rFont val="Arial"/>
        <family val="2"/>
      </rPr>
      <t>• All transition membranes should be installed and sealed before insulation is installed on top. Seams shall be sealed per manufacturer’s instructions.</t>
    </r>
  </si>
  <si>
    <r>
      <t xml:space="preserve">Air Barrier Penetrations
</t>
    </r>
    <r>
      <rPr>
        <sz val="10"/>
        <rFont val="Arial"/>
        <family val="2"/>
      </rPr>
      <t>• Post air barrier penetrations shall be sealed per air barrier manufacturer’s requirement.  Transition membranes shall be used to patch as necessary with seams sealed appropriately.</t>
    </r>
  </si>
  <si>
    <r>
      <t xml:space="preserve">Rough Openings (Concrete Masonry Construction) - Windows and Doors
</t>
    </r>
    <r>
      <rPr>
        <sz val="10"/>
        <rFont val="Arial"/>
        <family val="2"/>
      </rPr>
      <t xml:space="preserve">• </t>
    </r>
    <r>
      <rPr>
        <sz val="11"/>
        <color theme="1"/>
        <rFont val="Calibri"/>
        <family val="2"/>
        <scheme val="minor"/>
      </rPr>
      <t xml:space="preserve">Liquid air barrier shall wrap in at masonry rough openings to be flush with inside edge of window or door frame.
• Sheet membrane or metal panel enclosure can be used as alternative as long as it is clear the air barrier is continuous and any gaps are sealed per manufacturer’s instructions with backer rod as necessary.
</t>
    </r>
  </si>
  <si>
    <r>
      <t>Rough Openings (Steel Stud Construction) - Windows and Doors</t>
    </r>
    <r>
      <rPr>
        <sz val="10"/>
        <rFont val="Arial"/>
        <family val="2"/>
      </rPr>
      <t xml:space="preserve">
• Rough opening must be wrapped with sheet membrane all the way inside to be flush with inside edge.</t>
    </r>
  </si>
  <si>
    <r>
      <t xml:space="preserve">Rough Openings - Pipes, Conduits, Ducts, Etc.
</t>
    </r>
    <r>
      <rPr>
        <sz val="10"/>
        <rFont val="Arial"/>
        <family val="2"/>
      </rPr>
      <t xml:space="preserve">• </t>
    </r>
    <r>
      <rPr>
        <sz val="11"/>
        <color theme="1"/>
        <rFont val="Calibri"/>
        <family val="2"/>
        <scheme val="minor"/>
      </rPr>
      <t>Gaps shall be filled with backer rod as necessary and sealant compatible with all surfaces (Where smooth surfaces are present, mechanical gasket seals can be used). EPA recommends using a minimum 20 year sealant.</t>
    </r>
  </si>
  <si>
    <r>
      <t xml:space="preserve">Rough Openings - Cast Stone Sills
</t>
    </r>
    <r>
      <rPr>
        <sz val="10"/>
        <rFont val="Arial"/>
        <family val="2"/>
      </rPr>
      <t xml:space="preserve">• </t>
    </r>
    <r>
      <rPr>
        <sz val="11"/>
        <color theme="1"/>
        <rFont val="Calibri"/>
        <family val="2"/>
        <scheme val="minor"/>
      </rPr>
      <t>Cast stone sill shall be sealed to sill pan. EPA recommends using minimum 20 year compatible sealant where not sealed by grout.</t>
    </r>
  </si>
  <si>
    <r>
      <t xml:space="preserve">Rough Openings - Gap at Window Frames
</t>
    </r>
    <r>
      <rPr>
        <sz val="10"/>
        <rFont val="Arial"/>
        <family val="2"/>
      </rPr>
      <t>• Gaps between window frame (header, jambs, sill) and rough opening shall be sealed on the interior with backer rod as necessary and sealant that is compatible with all surfaces applied to.  EPA recommends using a minimum 20 year sealant.</t>
    </r>
  </si>
  <si>
    <r>
      <t xml:space="preserve">Rough Openings - Gap at Exterior Door Frames
</t>
    </r>
    <r>
      <rPr>
        <sz val="10"/>
        <rFont val="Arial"/>
        <family val="2"/>
      </rPr>
      <t>• Gaps between door frame (header, jambs, threshold) and rough opening shall be sealed on the interior with backer rod as necessary and sealant that is compatible with all surfaces applied to. EPA recommends using a minimum 20 year sealant.</t>
    </r>
  </si>
  <si>
    <r>
      <t xml:space="preserve">Rough Openings - A/C Sleeves
</t>
    </r>
    <r>
      <rPr>
        <sz val="10"/>
        <rFont val="Arial"/>
        <family val="2"/>
      </rPr>
      <t>• Gaps between A/C sleeves and rough openings to be sealed on the interior with backer rod as necessary and sealant that is compatible with all surfaces applied to. EPA recommends using a minimum 20 year sealant. Insulated interior cover with air tight compressible gasket must be provided.</t>
    </r>
  </si>
  <si>
    <r>
      <t>Plank Edges (Steel Stud Construction) - At plank / exterior sheathing joint</t>
    </r>
    <r>
      <rPr>
        <sz val="10"/>
        <rFont val="Arial"/>
        <family val="2"/>
      </rPr>
      <t xml:space="preserve">
• Transition Membrane must be installed over top spanning  the sheathing / plank edge joint creating a bellows with backer rod
• All termination seams must be sealed with compatible sealant. EPA recommends using a minimum 20 year sealant. 
</t>
    </r>
  </si>
  <si>
    <r>
      <t>Plank Edges (Concrete Masonry Construction) - At plank / CMU joint</t>
    </r>
    <r>
      <rPr>
        <sz val="10"/>
        <rFont val="Arial"/>
        <family val="2"/>
      </rPr>
      <t xml:space="preserve">
• Option 1 - If gap is greater than 1/4", Transition Membrane must be used to seal the gap with minimum 3" overlap
• Option 2 - If gap is less than 1/4", Liquid Membrane can be used to seal the gap
• Option 3 - When shelf angles are to be installed, through wall flashing must be draped from above to completely cover the joints at top and bottom edges of the plank and sealed to the shelf angle.  The Liquid Membrane shall be applied up to and continuing on the underside of the shelf angle to achieve continuity.</t>
    </r>
  </si>
  <si>
    <r>
      <t>Plank Edges - At plank / steel girder joint</t>
    </r>
    <r>
      <rPr>
        <sz val="10"/>
        <rFont val="Arial"/>
        <family val="2"/>
      </rPr>
      <t xml:space="preserve">
• Through wall flashing must be draped from above to completely cover this joint and the entire face of the girder and sealed to the shelf angle.
• This can be sealed with a transition membrane from the interior underside of the plank if the girder is solid and is allowed by local code.</t>
    </r>
  </si>
  <si>
    <r>
      <t xml:space="preserve">Steel Columns - Steel / CMU / Exterior Sheathing Joints
</t>
    </r>
    <r>
      <rPr>
        <sz val="10"/>
        <rFont val="Arial"/>
        <family val="2"/>
      </rPr>
      <t>• If allowed by local code, EPA suggests gaps shall be filled with backer rod as necessary and minimum 20 year sealant that is compatible with all surfaces applied to. Alternatively a transition membrane can be installed over top spanning the entire steel column, extending 3" beyond each edge of the column and adhered to the substrate per manufacturer's recommendations.</t>
    </r>
  </si>
  <si>
    <r>
      <t xml:space="preserve">Wall to Roof Connections
</t>
    </r>
    <r>
      <rPr>
        <sz val="10"/>
        <rFont val="Arial"/>
        <family val="2"/>
      </rPr>
      <t>• Liquid air barrier must be brought up over grout edge part of roof plank and shall be sealed over the plank / grout joint</t>
    </r>
  </si>
  <si>
    <r>
      <t xml:space="preserve">Transition between foundations and walls
</t>
    </r>
    <r>
      <rPr>
        <sz val="10"/>
        <rFont val="Arial"/>
        <family val="2"/>
      </rPr>
      <t>• Through wall flashing must be draped from above to completely cover this joint and adhered to the face of the foundation wall.
• This can be sealed with a transition membrane from the interior underside of the plank if the girder is solid and is allowed by local code.</t>
    </r>
  </si>
  <si>
    <r>
      <t xml:space="preserve">Transition between one wall type and another
</t>
    </r>
    <r>
      <rPr>
        <sz val="10"/>
        <rFont val="Arial"/>
        <family val="2"/>
      </rPr>
      <t>• Gaps and joints primed and sealed with appropriate transition membrane or tape that is rated to withstand the thermal and structural deflection calculated for the joint in question
• Edges of transition membrane or tape (termination seams) sealed with compatible sealant where not sealed by liquid membrane
• All termination seams must be sealed with minimum 20-year compatible sealant.</t>
    </r>
  </si>
  <si>
    <r>
      <t>Transition at inside and outside corners</t>
    </r>
    <r>
      <rPr>
        <sz val="10"/>
        <rFont val="Arial"/>
        <family val="2"/>
      </rPr>
      <t xml:space="preserve">
• Gaps and joints primed and sealed with appropriate transition membrane or tape that is rated to withstand the thermal and structural deflection calculated for the joint in question
• Edges of transition membrane or tape (termination seams) sealed with compatible sealant where not sealed by liquid membrane
• All termination seams must be sealed with minimum 20-year compatible sealant.</t>
    </r>
  </si>
  <si>
    <r>
      <t xml:space="preserve">Transition between exterior enclosure and interior walls, floors and ceilings that bound non-conditioned spaces (e.g. garages, some mechanical rooms, vented attics, vented crawlspaces)
• </t>
    </r>
    <r>
      <rPr>
        <sz val="10"/>
        <rFont val="Arial"/>
        <family val="2"/>
      </rPr>
      <t>At these transitions the rain water control elements remain as part of the exterior enclosure while the insulation, air barrier and condensation control functions connect to the interior walls, floors and ceilings.</t>
    </r>
  </si>
  <si>
    <r>
      <t xml:space="preserve">Other
</t>
    </r>
    <r>
      <rPr>
        <sz val="10"/>
        <rFont val="Arial"/>
        <family val="2"/>
      </rPr>
      <t>• Use this worksheet to identify areas to be inspected based on building geometry, construction, location of mechanicals and building utilities, etc.  The list is not exhaustive and the responsible party must still review building plans and field conditions to identify additional leakage sources to be sealed.</t>
    </r>
  </si>
  <si>
    <t>INFILTRATION - COMPARTMENTALIZATION - PROTOCOL 8.1</t>
  </si>
  <si>
    <t>3) Floor Plans and Relevant Details</t>
  </si>
  <si>
    <t>1)  For elements that provide central services to the building (i.e. entry doors, central duct chases, utility service penetrations, etc.) a minimum 50% sample shall be inspected.  For elements that are repeated throughout the building or occur in every living unit (i.e. windows, wall/floor connections, air conditioner sleeves, etc.) follow RESNET sampling protocol.  If problems are identified, additional units must be inspected to determine if the problems are systemic so an appropriate repair order can be issued.</t>
  </si>
  <si>
    <t>2) One sample apartment will be inspected and tested to ensure air sealing details are correct before building-wide installations continue.</t>
  </si>
  <si>
    <t>3) During construction, apartment units must be visually inspected prior to drywall and upon final completion following RESNET sampling protocol.  The sample set shall be representative of the variety of apartment types in the building, including:  end/corner units and inside units; top-floor, middle-floor, bottom-floor units; and at least one unit of each size/type (i.e., studios, 1-bed, 2-bed, etc.).</t>
  </si>
  <si>
    <t>Provide one representative photograph of continuous air barrier at all types of typical joints, junctions, and general coverage areas. Include the following at a minimum:</t>
  </si>
  <si>
    <t xml:space="preserve">5a)  Inspected from the interior: Window to interior gypsum board, Air conditioner sleeve sealed to drywall (cover is installed if ACs provided by building), Outlet/Electrical Box - Exterior and Demising Walls, Heating pipe penetrations through exterior walls, Heating pipe penetrations through interior partitions, Plumbing / Sprinkler Pipe Penetrations, Range Gas Line Penetration, Gypsum board to concrete ceiling plank connection - Exterior walls and all interior partition walls, Gap between take off duct and gypsum board, Electrical Panel, HVAC Access Doors, Thermostats, Intercoms, Lighting Fixtures, Door Latch Hole, Medicine Cabinet
</t>
  </si>
  <si>
    <t>• Walls, ceilings and floors that separate each apartment from neighboring apartments, corridors, common space, trash chutes, utility chases and trenches, upper floor, lower floors, stairwells and elevator shafts must be air sealed to form a continuous air barrier surrounding the apartment and connecting to the exterior enclosure air barrier system.
• As with the exterior air barrier, the compartmentalization air barrier bid and contract documents shall demonstrate a continuous, unbroken air barrier separating each apartment from surrounding spaces.  Air barrier materials and accessories shall be clearly identified in section, plan and details.</t>
  </si>
  <si>
    <r>
      <rPr>
        <b/>
        <sz val="10"/>
        <rFont val="Arial"/>
        <family val="2"/>
      </rPr>
      <t xml:space="preserve">Compliance Statement
</t>
    </r>
    <r>
      <rPr>
        <sz val="10"/>
        <rFont val="Arial"/>
        <family val="2"/>
      </rPr>
      <t>• Assembly meets or exceeds the requirements listed in the</t>
    </r>
    <r>
      <rPr>
        <i/>
        <sz val="10"/>
        <rFont val="Arial"/>
        <family val="2"/>
      </rPr>
      <t xml:space="preserve"> Modified Prescriptive Path.</t>
    </r>
  </si>
  <si>
    <r>
      <t xml:space="preserve">Sample Unit - Visual Inspection
</t>
    </r>
    <r>
      <rPr>
        <sz val="10"/>
        <rFont val="Arial"/>
        <family val="2"/>
      </rPr>
      <t>• The developer shall set up at least two sample units with both exterior enclosure and apartment compartmentalization air sealing details completed for initial inspection.  The units shall include a corner unit and a middle unit.  All air sealing details must be open to inspection – visible from the interior or exterior of the building.  The sample unit inspection will be used to identify problems with the exterior enclosure air sealing approach and apartment compartmentalization before building-wide construction and air sealing of apartments is completed.  The inspection may be spread over more than a single visit to accommodate schedules but all air sealing details must be inspected.  The sample units shall be used for Preliminary Fan Pressure Testing.</t>
    </r>
  </si>
  <si>
    <r>
      <rPr>
        <b/>
        <sz val="10"/>
        <rFont val="Arial"/>
        <family val="2"/>
      </rPr>
      <t>Inspect framing layout for interior demising (common) walls and interior partitions to ensure:</t>
    </r>
    <r>
      <rPr>
        <sz val="10"/>
        <rFont val="Arial"/>
        <family val="2"/>
      </rPr>
      <t xml:space="preserve">
• Demising wall air barrier (e.g.  sealed gypsum board or coated CMU) extends completely to all adjacent walls and is connected in an air tight way to the exterior enclosure air barriers.
• Demising wall air barrier (e.g.  sealed gypsum board or coated CMU)  extends completely to ceiling plank (or other solid ceiling material) where drop ceilings are present. 
</t>
    </r>
  </si>
  <si>
    <r>
      <t xml:space="preserve">Gypsum board to concrete ceiling plank connection
</t>
    </r>
    <r>
      <rPr>
        <sz val="10"/>
        <rFont val="Arial"/>
        <family val="2"/>
      </rPr>
      <t>• Exterior walls and all interior partition walls</t>
    </r>
  </si>
  <si>
    <r>
      <t xml:space="preserve">Gypsum board to concrete floor plank connection 
</t>
    </r>
    <r>
      <rPr>
        <sz val="10"/>
        <rFont val="Arial"/>
        <family val="2"/>
      </rPr>
      <t>• Exterior walls and all interior partition walls</t>
    </r>
  </si>
  <si>
    <r>
      <t xml:space="preserve">A/C Sleeve Cover (if A/Cs provided by building)
</t>
    </r>
    <r>
      <rPr>
        <sz val="10"/>
        <rFont val="Arial"/>
        <family val="2"/>
      </rPr>
      <t>•</t>
    </r>
    <r>
      <rPr>
        <b/>
        <sz val="10"/>
        <rFont val="Arial"/>
        <family val="2"/>
      </rPr>
      <t xml:space="preserve"> </t>
    </r>
    <r>
      <rPr>
        <sz val="10"/>
        <rFont val="Arial"/>
        <family val="2"/>
      </rPr>
      <t>Verify that insulated covers for through-wall AC units have been provided by the building for use during heating season and when AC units are not installed.  Ensure the cover is equipped with a gasket so when installed it will have an airtight seal against the drywall. As an alternative to a gasket, sealant may be used but will have to be resealed each time it is installed.</t>
    </r>
  </si>
  <si>
    <t>INFILTRATION - BLOWER DOOR TEST - PROTOCOL 8.1</t>
  </si>
  <si>
    <t>This process begins with the construction documentation.  A minimum of 3-5 site visits are recommended to properly inspect air sealing details. Each exterior, common area and in-unit element on the air sealing checklists must be inspected at each of the following stages to ensure use of proper materials and complete seals exist for each juncture or penetration.  Fan pressure testing shall be conducted for two purposes: Preliminary testing shall be conducted on an initial set of apartments to verify the performance of the air barrier detailing and installation and Final verification testing shall be conducted on a subset of the remaining apartments for quality assurance.</t>
  </si>
  <si>
    <t>3) Knife</t>
  </si>
  <si>
    <t>4) Screwdrivers (Hex, Phillips, Flat)</t>
  </si>
  <si>
    <t>5) Duct Mask</t>
  </si>
  <si>
    <t>6) Blue Painter's Tape</t>
  </si>
  <si>
    <t>7) Metal Tape</t>
  </si>
  <si>
    <t>8) Floor Plans</t>
  </si>
  <si>
    <t>9) Riser Diagrams</t>
  </si>
  <si>
    <t>10) Duct Blaster</t>
  </si>
  <si>
    <t>11) Manometer</t>
  </si>
  <si>
    <t>2) During construction, apartment units must be visually inspected prior to drywall and upon final completion following RESNET sampling protocol.  The sample set shall be representative of the variety of apartment types in the building, including:  end/corner units and inside units; top-floor, middle-floor, bottom-floor units; and at least one unit of each size/type (i.e., studios, 1-bed, 2-bed, etc.).</t>
  </si>
  <si>
    <t>3) Post-construction, single point blower door testing of apartment units must be conducted following RESNET sampling protocol. The sample set shall require testing of at least 5 units and be representative of the variety of apartment types in the building, including: end/corner units and inside units; top-floor, middle-floor, bottom-floor units; and at least one unit of each size/type (i.e., studios, 1-bed, 2-bed, etc.).  Any apartment that exceeds the allowed leakage rate (0.30 CFM50 per square foot of enclosure), must confirm that all items below have been properly sealed prior to retesting. Per RESNET Section 603.7.8, until the failure is corrected in all identified (failed) apartments in the sample set, none of the apartments shall be deemed to meet the threshold or labeling criteria.</t>
  </si>
  <si>
    <t xml:space="preserve">4a)  Inspected from the interior: Window to interior gypsum board, Air conditioner sleeve sealed to drywall (cover is installed if ACs provided by building), Outlet/Electrical Box - Exterior and Demising Walls, Heating pipe penetrations through exterior walls, Heating pipe penetrations through interior partitions, Plumbing / Sprinkler Pipe Penetrations, Range Gas Line Penetration, Gypsum board to concrete ceiling plank connection - Exterior walls and all interior partition walls, Gap between take off duct and gypsum board, Electrical Panel, HVAC Access Doors, Thermostats, Intercoms, Lighting Fixtures, Door Latch Hole, Medicine Cabinet
</t>
  </si>
  <si>
    <t>• Enclosed apartments must be fan pressure tested as an independent unit in accordance with either ASTM E779 2010 or ASTM E1827.  The target maximum air leakage rate is 0.3 CFM per square foot of the enclosure bounding the apartment at an induced pressure difference of 50 pascals.  At least two sample apartments shall be fan pressure tested as soon as they can be scheduled.  A subset of the remaining apartments shall be fan pressure tested for quality assurance purposes. See the section on Fan Pressure Testing for details.</t>
  </si>
  <si>
    <r>
      <t>Preliminary Testing</t>
    </r>
    <r>
      <rPr>
        <sz val="10"/>
        <rFont val="Arial"/>
        <family val="2"/>
      </rPr>
      <t xml:space="preserve">
• The initial set of tested apartments shall include at least one corner unit and one middle unit.
• The preliminary testing shall be conducted at the earliest time in the construction process possible before building-wide air sealing of apartments is completed.
• Before an apartment can be tested, the air barrier systems for both the exterior enclosure and the interior compartmentalization must be installed and inspected.
• The apartments selected for preliminary testing shall be tested using the methods described below.  If the units meet or beat the air leakage target of 0.30 CFM per square foot of enclosure at 50 pascals, the inspections described above continue to ensure air barrier integrity of the exterior enclosure and apartment compartmentalization continues at the same quality.
• If an apartment fails to meet or beat the target air leakage rate, then deficiencies in the air barriers will be identified and corrected until all apartments in the preliminary test set have passed.  Use the results of these tests to develop a punch list of details to be modified as construction continues.  The inspection checklist shall be modified to incorporate the lessons learned from the preliminary tests and the modified inspections shall proceed to ensure air barrier integrity of the exterior enclosure and for apartment compartmentalization continues at the newly identified quality.
• Send a summary of the preliminary tests, results and any recommendations to the project team to reduce apartment infiltration moving forward.
</t>
    </r>
    <r>
      <rPr>
        <i/>
        <sz val="10"/>
        <rFont val="Arial"/>
        <family val="2"/>
      </rPr>
      <t xml:space="preserve">
</t>
    </r>
  </si>
  <si>
    <r>
      <t>Final Verification Testing</t>
    </r>
    <r>
      <rPr>
        <sz val="10"/>
        <rFont val="Arial"/>
        <family val="2"/>
      </rPr>
      <t xml:space="preserve">
• When seven apartments are ready for final testing, one apartment shall be selected at random from the set of seven apartments.  More than one group of seven may be available for testing at the same time, but they must be divided into identified groups of seven.  The logic for responding to units that pass or fail then follows the RESNET 2006 Mortgage Industry National Home Energy Rating Systems Standard sampling protocol.
• If the randomly selected test apartment passes, then all apartments in that set are deemed to pass.
• If the randomly selected test unit fails, then an additional 2 units in that group of seven must be tested.  If either of those two units fail, then the remaining 4 units must be tested.  Any unit that fails must have the air barrier deficiencies corrected until it meets or beats the air leakage target of 0.30 CFM at 50 pascals induced pressure difference.  See the Sampling Requirements section of this protocol for more details.
• Continue this process until all apartments have been included in a group of seven.</t>
    </r>
  </si>
  <si>
    <r>
      <t>Fan Pressure Testing Method</t>
    </r>
    <r>
      <rPr>
        <sz val="10"/>
        <rFont val="Arial"/>
        <family val="2"/>
      </rPr>
      <t xml:space="preserve"> 
• Measure the air leakage rate of a test apartment using fan pressurization techniques following either ASTM E779 2010 or ASTM E1827.  If using ASTM E1827, a one-point test at 50 Pascal using the average CFM50 measured under depressurization is acceptable for this measurement.  
• When performing this test, the calibrated blower door fan shall be located in the entry door of the apartment.  Windows in adjacent apartments shall be open during the test.  Alternatively, the pressure difference between the test unit and the neighboring units can be measured when the test unit is depressurized 50 pascals relative to outdoor air.  Windows do not need to be opened in a neighboring unit if the pressure difference between it and the test unit is greater than or equal to 45 pascals.   If the apartment entry door opens to a corridor or other enclosed space, that space shall be well open to the outside during the test (e.g., opening the windows and corridor doors in neighboring units achieves both ends).  
• Conduct any QA procedures on test equipment and set-up recommended by the blower door manufacturer (e.g., ensure that the fan flow is in the proper direction for flow measurement to be accurate).  Check the tubing connections to the flow sensing element and that the flow sensing element is properly positioned.
• Conduct test to see whether or not the apartment air leakage rate is less than or equal to 0.30 CFM50 per square foot of enclosure (e.g., all surfaces enclosing the apartment, including exterior and party walls, floors, ceiling).  Use the guidance in the Preliminary or Final Verification Testing sections above to determine the next action (e.g., test more apartments, make repairs or write report). 
</t>
    </r>
    <r>
      <rPr>
        <i/>
        <sz val="10"/>
        <rFont val="Arial"/>
        <family val="2"/>
      </rPr>
      <t xml:space="preserve">• Note:  This test does not distinguish between leakage from the apartment to outside and leakage from the apartment to other interior and/or interstitial spaces.  The allowable limit for measured leakage is for the total enclosure of the apartment unit.
</t>
    </r>
  </si>
  <si>
    <r>
      <t xml:space="preserve">Apartment Tightness Summary: </t>
    </r>
    <r>
      <rPr>
        <sz val="10"/>
        <rFont val="Arial"/>
        <family val="2"/>
      </rPr>
      <t>This section can be duplicated, copy and insert rows</t>
    </r>
  </si>
  <si>
    <t>Apt #</t>
  </si>
  <si>
    <t>Floor Area
(FA)</t>
  </si>
  <si>
    <t xml:space="preserve">Perimeter Wall Length
(PWL) </t>
  </si>
  <si>
    <t>Ceiling Height
(CH)</t>
  </si>
  <si>
    <t>Enclosure Area 
(2* FA) + (PWL*CH)</t>
  </si>
  <si>
    <t>CFM50</t>
  </si>
  <si>
    <t>CFM50 SF of Enclosure Area
(Criteria is &lt;=.30)</t>
  </si>
  <si>
    <t>VENTILATION - SCHEDULE AND OPERATION - PROTOCOL 8.2</t>
  </si>
  <si>
    <t>1) The developer or GC shall ensure that deliveries are inspected prior to accepting them to verify that product substitutions by the distributor or manufacturer have not resulted in non-ENERGY STAR qualified exhaust fans for in-unit ventilation systems.</t>
  </si>
  <si>
    <t>2) Minimum of one on-site inspection required, preferably immediately after installation so that corrective action can be taken if necessary.  Delivery tickets may be used to verify complete shipments but on-site inspections of a sample of installed appliances is required.</t>
  </si>
  <si>
    <t>3) Flow measurements cannot be verified until interior drywall and grills are installed</t>
  </si>
  <si>
    <t>Equipment Needed:</t>
  </si>
  <si>
    <t>3) Screwdrivers (Hex, Phillips, Flat)</t>
  </si>
  <si>
    <t>4) Floor Plans (preferably with mechanicals)</t>
  </si>
  <si>
    <t>5) Roof Plans (preferably with mechanicals)</t>
  </si>
  <si>
    <t>6) Mechanical Schedule</t>
  </si>
  <si>
    <t>7) Cut Sheets from Contractor Submittals</t>
  </si>
  <si>
    <t>8) Pressure Pan</t>
  </si>
  <si>
    <t>9) Manometer</t>
  </si>
  <si>
    <t>10) Quantified CO release (if applicable)</t>
  </si>
  <si>
    <t>1) 100% of common area ventilation equipment must be inspected and verified for system performance.  System performance at the delivery location (register) can be sampled at every other floor.</t>
  </si>
  <si>
    <r>
      <t xml:space="preserve">2) Apartment ventilation risers must be inspected and verified for system performance following the modified RESNET sampling protocol outlined in the </t>
    </r>
    <r>
      <rPr>
        <i/>
        <sz val="10"/>
        <rFont val="Arial"/>
        <family val="2"/>
      </rPr>
      <t>How to Use this Manual</t>
    </r>
    <r>
      <rPr>
        <sz val="10"/>
        <rFont val="Arial"/>
        <family val="2"/>
      </rPr>
      <t xml:space="preserve"> section on page 11 of the</t>
    </r>
    <r>
      <rPr>
        <i/>
        <sz val="10"/>
        <rFont val="Arial"/>
        <family val="2"/>
      </rPr>
      <t xml:space="preserve"> T&amp;V Protocols</t>
    </r>
    <r>
      <rPr>
        <sz val="10"/>
        <rFont val="Arial"/>
        <family val="2"/>
      </rPr>
      <t>.  For each ventilation riser in the sample set, take measurements at every other floor to obtain a representative profile.  The sample shall include at least one riser for each type/size of fan installed in the building.</t>
    </r>
  </si>
  <si>
    <t>- Photo of fan installation and duct work insulation
- Photo of fan faceplates
- If applicable, photograph location of CO sensors and air intake point.</t>
  </si>
  <si>
    <t>Construction documents must include performance criteria for central and in-unit ventilation systems including: 
• Apartment in-line and ceiling exhaust fans must be ENERGY STAR qualified.</t>
  </si>
  <si>
    <r>
      <t xml:space="preserve">Construction documents must also include the following criteria apply to projects using the </t>
    </r>
    <r>
      <rPr>
        <i/>
        <sz val="10"/>
        <rFont val="Arial"/>
        <family val="2"/>
      </rPr>
      <t>Prescriptive Path</t>
    </r>
    <r>
      <rPr>
        <sz val="10"/>
        <rFont val="Arial"/>
        <family val="2"/>
      </rPr>
      <t>:
• For central ventilation systems, total exhaust shaft leakage shall not exceed 5 CFM50 per floor per shaft at a pressure of 0.2 in WC.
• Central exhaust and in-line exhaust systems serving apartments must have self-balancing dampers at each grill.
• Central exhaust fans 1/16 HP and less must be direct-drive and have variable speed controllers.
• Central exhaust fans greater than 1/16 HP and less than 1 HP must be direct-drive with ECM motors and variable speed controllers.
• Central exhaust fans 1 HP and larger must have NEMA Premium efficient motors.
• In addition to requirements above, powered common laundry ventilation must be installed with automatic demand control to turn off ventilation fans when no dryers are operating.</t>
    </r>
  </si>
  <si>
    <t xml:space="preserve">Construction documents must include performance criteria for buildings with garages including: 
• When garage exhaust is required by code, CO sensors must be installed that control exhaust fan operation.
• Include threshold criteria for CO concentration which activates sensors.
• Include a schedule of CO controls with make, model, location and count.
• Include locations, powering of sensors, and connecting wiring on plans.
• Include fan size (CFM capacity) in ventilation schedule and air intake points on plans to properly ventilate throughout garage area.
</t>
  </si>
  <si>
    <t>DESIGN CFM</t>
  </si>
  <si>
    <t>DESIGN PRESSURE (Pa)</t>
  </si>
  <si>
    <t>ENERGY STAR / NEMA PREMIUM?</t>
  </si>
  <si>
    <t>ECM?</t>
  </si>
  <si>
    <t>DIRECT-DRIVE?</t>
  </si>
  <si>
    <t>VARIABLE SPEED CONTROLLERS</t>
  </si>
  <si>
    <r>
      <t xml:space="preserve">INSPECTION COMMENTS 
</t>
    </r>
    <r>
      <rPr>
        <sz val="10"/>
        <rFont val="Arial"/>
        <family val="2"/>
      </rPr>
      <t>Problems, sample details/apt #s, etc.</t>
    </r>
  </si>
  <si>
    <r>
      <t xml:space="preserve">Compliance Statement
</t>
    </r>
    <r>
      <rPr>
        <sz val="10"/>
        <rFont val="Arial"/>
        <family val="2"/>
      </rPr>
      <t xml:space="preserve">• All ventilation systems meet or exceed the requirements listed in the </t>
    </r>
    <r>
      <rPr>
        <i/>
        <sz val="10"/>
        <rFont val="Arial"/>
        <family val="2"/>
      </rPr>
      <t>Modified Prescriptive Path</t>
    </r>
    <r>
      <rPr>
        <sz val="10"/>
        <rFont val="Arial"/>
        <family val="2"/>
      </rPr>
      <t>.</t>
    </r>
  </si>
  <si>
    <t>MODELING INPUTS - SIZING &amp; BALANCING</t>
  </si>
  <si>
    <r>
      <t xml:space="preserve">Non - Apartment Fan Efficiency
</t>
    </r>
    <r>
      <rPr>
        <sz val="10"/>
        <rFont val="Arial"/>
        <family val="2"/>
      </rPr>
      <t>• Design specifications shall include fan energy efficiency criteria (BHP and motor efficiency) for the fans themselves.</t>
    </r>
  </si>
  <si>
    <r>
      <t xml:space="preserve">Apartment Fan Efficiency (Roof)
</t>
    </r>
    <r>
      <rPr>
        <sz val="10"/>
        <rFont val="Arial"/>
        <family val="2"/>
      </rPr>
      <t>• Specifications shall include fan energy efficiency criteria (BHP and motor efficiency) for the fans themselves.</t>
    </r>
  </si>
  <si>
    <r>
      <t xml:space="preserve">Apartment Fan Efficiency (In-Unit)
</t>
    </r>
    <r>
      <rPr>
        <sz val="10"/>
        <rFont val="Arial"/>
        <family val="2"/>
      </rPr>
      <t xml:space="preserve">• Specifications shall also include fan energy efficiency criteria (Watts/CFM) for the fans themselves. </t>
    </r>
  </si>
  <si>
    <r>
      <rPr>
        <b/>
        <sz val="10"/>
        <rFont val="Arial"/>
        <family val="2"/>
      </rPr>
      <t>Apartment and Non-Corridor - Testing and Balancing</t>
    </r>
    <r>
      <rPr>
        <sz val="10"/>
        <rFont val="Arial"/>
        <family val="2"/>
      </rPr>
      <t xml:space="preserve">
• The developer may choose to hire a Test and Balance (TAB) contractor to commission the system or any part thereof.  Either the TAB contractor or the responsible party shall provide a balancing report for each shaft with operating pressures at the grill furthest from the fan and with airflow (CFM) measurements at apartment and common area grills following RESNET sampling protocol described below. Airflow shall be measured with a capture hood that fully encloses the grills and is able to measure as low as 20 CFM ± 5 CFM. Air intake point shall also be inspected.
• Common area ventilation systems cannot exceed ASHRAE 62.1-2007 by more than 50%.  Apartment ventilation systems cannot exceed ASHRAE 62.2-2007 by more than 50%.</t>
    </r>
  </si>
  <si>
    <r>
      <t xml:space="preserve">Demand Controls
</t>
    </r>
    <r>
      <rPr>
        <sz val="10"/>
        <rFont val="Arial"/>
        <family val="2"/>
      </rPr>
      <t xml:space="preserve">• Verify control systems including timing devices, demand control sensors, or other devices meet or exceed the requirements listed in the </t>
    </r>
    <r>
      <rPr>
        <i/>
        <sz val="10"/>
        <rFont val="Arial"/>
        <family val="2"/>
      </rPr>
      <t>Modified Prescriptive Path.</t>
    </r>
    <r>
      <rPr>
        <sz val="10"/>
        <rFont val="Arial"/>
        <family val="2"/>
      </rPr>
      <t xml:space="preserve">
EPA suggests including the following in the design where applicable:
• Controls to allow for intermittent (ON/OFF) operation of central exhaust fans are not permitted.
• Public/Office Bathroom Exhaust Configuration and Control:
    • If vented to the roof with a central fan:  Motorized damper controlled by light switch to open when occupied (normally tightly closed).
    • If vented thru-wall:  ENERGY STAR qualified fan vented through-wall controlled by light switch to activate when occupied.</t>
    </r>
  </si>
  <si>
    <r>
      <t xml:space="preserve">Central Supply to Corridor
</t>
    </r>
    <r>
      <rPr>
        <sz val="10"/>
        <rFont val="Arial"/>
        <family val="2"/>
      </rPr>
      <t>• Corridor ventilation systems shall be designed and tested to satisfy minimum requirements of ASHRAE 62.1-2007.</t>
    </r>
  </si>
  <si>
    <r>
      <rPr>
        <b/>
        <sz val="10"/>
        <rFont val="Arial"/>
        <family val="2"/>
      </rPr>
      <t>Heat or Energy Recovery</t>
    </r>
    <r>
      <rPr>
        <sz val="10"/>
        <rFont val="Arial"/>
        <family val="2"/>
      </rPr>
      <t xml:space="preserve">
• Consider heat or energy recovery for 100% of corridor supply air. Capacity of heat recovery unit should match the design corridor ventilation rates.</t>
    </r>
  </si>
  <si>
    <r>
      <rPr>
        <b/>
        <sz val="10"/>
        <rFont val="Arial"/>
        <family val="2"/>
      </rPr>
      <t>Garage Exhaust Fan CFM and Efficiency</t>
    </r>
    <r>
      <rPr>
        <sz val="10"/>
        <rFont val="Arial"/>
        <family val="2"/>
      </rPr>
      <t xml:space="preserve">
• Equipment meets or exceeds the requirements listed in the </t>
    </r>
    <r>
      <rPr>
        <i/>
        <sz val="10"/>
        <rFont val="Arial"/>
        <family val="2"/>
      </rPr>
      <t>Modified Prescriptive Path.</t>
    </r>
    <r>
      <rPr>
        <sz val="10"/>
        <rFont val="Arial"/>
        <family val="2"/>
      </rPr>
      <t xml:space="preserve">
• Provide Testing and balancing (TAB) report showing fan’s performance and balance at intake points. TAB to be provided by the installing contractor, responsible party or commissioning agent.</t>
    </r>
  </si>
  <si>
    <r>
      <rPr>
        <b/>
        <sz val="10"/>
        <rFont val="Arial"/>
        <family val="2"/>
      </rPr>
      <t>Test Sensor Operation</t>
    </r>
    <r>
      <rPr>
        <sz val="10"/>
        <rFont val="Arial"/>
        <family val="2"/>
      </rPr>
      <t xml:space="preserve">
• When garage exhaust is required by code, CO sensors must be installed that control exhaust fan operation.
• Using quantified CO tracer gas release (obtain specifications from chemical test suppliers), confirm performance of sensor and activation of fans.
• A Statement of Substantial Completion or approved proxy may be submitted to establish completion of the work associated with this protocol. A Statement of Substantial Completion is to be completed by the installation contractor or other qualified representative on company letter head and attached to all relevant</t>
    </r>
    <r>
      <rPr>
        <i/>
        <sz val="10"/>
        <rFont val="Arial"/>
        <family val="2"/>
      </rPr>
      <t xml:space="preserve"> T&amp;V Worksheets</t>
    </r>
    <r>
      <rPr>
        <sz val="10"/>
        <rFont val="Arial"/>
        <family val="2"/>
      </rPr>
      <t xml:space="preserve"> complete with all required information, photographs, cut sheets, etc.
</t>
    </r>
  </si>
  <si>
    <r>
      <rPr>
        <b/>
        <sz val="10"/>
        <rFont val="Arial"/>
        <family val="2"/>
      </rPr>
      <t>CO Sensor Locations</t>
    </r>
    <r>
      <rPr>
        <sz val="10"/>
        <rFont val="Arial"/>
        <family val="2"/>
      </rPr>
      <t xml:space="preserve">
• Record sensor locations and confirm conformance with plans.</t>
    </r>
  </si>
  <si>
    <r>
      <rPr>
        <b/>
        <sz val="10"/>
        <rFont val="Arial"/>
        <family val="2"/>
      </rPr>
      <t>Garage Fan and CO Sensor - Manufacturer's Product Data</t>
    </r>
    <r>
      <rPr>
        <sz val="10"/>
        <rFont val="Arial"/>
        <family val="2"/>
      </rPr>
      <t xml:space="preserve">
• Include cut sheet showing fan and sensor specifications such as CFM and CO concentration threshold.</t>
    </r>
  </si>
  <si>
    <r>
      <rPr>
        <b/>
        <sz val="10"/>
        <rFont val="Arial"/>
        <family val="2"/>
      </rPr>
      <t>Toilet, Kitchen, General Exhaust Grills and Corridor Supply Ventilation Grills</t>
    </r>
    <r>
      <rPr>
        <sz val="10"/>
        <rFont val="Arial"/>
        <family val="2"/>
      </rPr>
      <t xml:space="preserve">
• EPA recommends that each exhaust and supply grill assembly should be equipped with a self-balancing damper that responds to changes in duct pressure to allow a constant airflow (+/- 20%) over a range of operating pressures from 0.2 in WC to the greater of:  0.5 in WC or the maximum system operating pressure at the particular exhaust register/grill. This is critical to helping ensure the system performs according to project specifications and Proposed Design model.
• </t>
    </r>
    <r>
      <rPr>
        <sz val="10"/>
        <rFont val="Arial"/>
        <family val="2"/>
      </rPr>
      <t xml:space="preserve">Central exhaust and in-line exhaust systems serving apartments must have self-balancing dampers at each grill.
</t>
    </r>
    <r>
      <rPr>
        <sz val="10"/>
        <rFont val="Arial"/>
        <family val="2"/>
      </rPr>
      <t>• Adjustable register assemblies that allow for the free area to be manually adjusted in the field should not be used to meet this requirement. Self balancing dampers shall be designed and installed in any situation where more than one exhaust point is connected to a fan so that they may be easily removed for cleaning or replacement.
• For inspection:  Self balancing dampers have been installed in correct position and are functioning properly.</t>
    </r>
  </si>
  <si>
    <r>
      <t xml:space="preserve">Intake Systems - Operating Sequence
</t>
    </r>
    <r>
      <rPr>
        <sz val="10"/>
        <rFont val="Arial"/>
        <family val="2"/>
      </rPr>
      <t xml:space="preserve">• For both active and passive intake systems, design specifications must indicate operation sequence as it relates to controls, sensors, fans, dampers, etc.  </t>
    </r>
  </si>
  <si>
    <r>
      <t xml:space="preserve">Make-Up Air Systems
</t>
    </r>
    <r>
      <rPr>
        <sz val="10"/>
        <rFont val="Arial"/>
        <family val="2"/>
      </rPr>
      <t>• For all make-up air systems, a visual inspection of the supply air source shall be conducted to ensure pollutants are not being drawn into the building unintentionally.</t>
    </r>
  </si>
  <si>
    <r>
      <t>Common Area Supply Ventilation - Outdoor Air Damper</t>
    </r>
    <r>
      <rPr>
        <sz val="11"/>
        <color theme="1"/>
        <rFont val="Calibri"/>
        <family val="2"/>
        <scheme val="minor"/>
      </rPr>
      <t xml:space="preserve">
• For systems designed with outdoor-air supplied to the ventilation distribution system, provide motorized dampers that will automatically shut when systems or spaces are not in use.  Continuously running ventilation would not be subject to either damper, as they are always in use.</t>
    </r>
  </si>
  <si>
    <r>
      <t>Smoke Vents</t>
    </r>
    <r>
      <rPr>
        <sz val="10"/>
        <rFont val="Arial"/>
        <family val="2"/>
      </rPr>
      <t xml:space="preserve">
• If allowed by local code, EPA recommends stairwell bulkhead and elevator hoist way smoke vents are normally closed and interlocked with motorized damper and smoke detector/fire alarm system.</t>
    </r>
  </si>
  <si>
    <r>
      <t xml:space="preserve">Passive Intake Systems (Trickle Vents)
</t>
    </r>
    <r>
      <rPr>
        <sz val="10"/>
        <rFont val="Arial"/>
        <family val="2"/>
      </rPr>
      <t>• In passive intake systems (i.e. trickle vents), airflow measurements shall be taken using a capture hood and rotating vane or hot-wire anemometer to verify flow rates within design specifications under the range of conditions anticipated for system operation. Rotating vane or hot-wire anemometer shall have accuracy better than +/- 15% of rated flow.  If air flow can not be directly measured, pressure measurements shall be used to verify that conditions exist to allow the intake apparatus to operate as intended.</t>
    </r>
  </si>
  <si>
    <r>
      <rPr>
        <b/>
        <sz val="10"/>
        <rFont val="Arial"/>
        <family val="2"/>
      </rPr>
      <t>Ventilation - Manufacturer's Product Data</t>
    </r>
    <r>
      <rPr>
        <sz val="10"/>
        <rFont val="Arial"/>
        <family val="2"/>
      </rPr>
      <t xml:space="preserve">
• Review manufacturer’s cut sheets or invoice detailing system manufacturer, model, HP and CFM.</t>
    </r>
  </si>
  <si>
    <r>
      <t>Ventilation - Training and Manuals</t>
    </r>
    <r>
      <rPr>
        <sz val="10"/>
        <rFont val="Arial"/>
        <family val="2"/>
      </rPr>
      <t xml:space="preserve">
• Summarize the training performed and personnel involved.  Confirm that all applicable operating and specification manuals are delivered to the building staff.  Verify that staff members have been trained and are aware of their responsibilities to maintain and operate the systems properly.</t>
    </r>
  </si>
  <si>
    <r>
      <t>Statement of Substantial Completion - HVAC</t>
    </r>
    <r>
      <rPr>
        <sz val="10"/>
        <rFont val="Arial"/>
        <family val="2"/>
      </rPr>
      <t xml:space="preserve">
• A Statement of Substantial Completion or approved proxy may be used to establish completion of the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</si>
  <si>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t>Fan/Shaft ID</t>
  </si>
  <si>
    <t>Total Design CFM</t>
  </si>
  <si>
    <t>Floor</t>
  </si>
  <si>
    <t>Bottom Floor Pressure (Pa)</t>
  </si>
  <si>
    <t>Calculator for Non Apartment Spaces (ASHRAE 62.1 - 2007)</t>
  </si>
  <si>
    <t>Space Name</t>
  </si>
  <si>
    <t>Number of Floors</t>
  </si>
  <si>
    <t>Space Type</t>
  </si>
  <si>
    <t>CFM/Person</t>
  </si>
  <si>
    <t>CFM/SF</t>
  </si>
  <si>
    <t>Occupant Density/1000 SF</t>
  </si>
  <si>
    <t>Floor Area (SF)</t>
  </si>
  <si>
    <t>Ventilation Design (CFM)</t>
  </si>
  <si>
    <t>Ventilation Requirement (CFM)</t>
  </si>
  <si>
    <t>% above baseline (Cannot Exceed 50%)</t>
  </si>
  <si>
    <t>Total</t>
  </si>
  <si>
    <t>Calculator for Apartment Spaces (ASHRAE 62.2 - 2007)</t>
  </si>
  <si>
    <t xml:space="preserve">Whole House Ventilation </t>
  </si>
  <si>
    <t>Number of Bedrooms</t>
  </si>
  <si>
    <t>Typical Floor Area (SF)</t>
  </si>
  <si>
    <t>Local Exhaust Ventilation - Continuous</t>
  </si>
  <si>
    <t>Kitchen Type</t>
  </si>
  <si>
    <t>Volume (CF)</t>
  </si>
  <si>
    <t>Bathroom Type</t>
  </si>
  <si>
    <t>Total Ventilation Requirement (CFM)</t>
  </si>
  <si>
    <t>Local Exhaust Ventilation - Intermittent</t>
  </si>
  <si>
    <t>Kitchen</t>
  </si>
  <si>
    <t>Bath</t>
  </si>
  <si>
    <t>ASHRAE 62.1 - 2007 Table 6-1</t>
  </si>
  <si>
    <t>Occupant Density</t>
  </si>
  <si>
    <t>Combined Outdoor Air Rate</t>
  </si>
  <si>
    <t>Air Class</t>
  </si>
  <si>
    <t>Conference/Meeting Room</t>
  </si>
  <si>
    <t>Storage Rooms</t>
  </si>
  <si>
    <t>Electrical Equipment Rooms</t>
  </si>
  <si>
    <t>Elevator Machine Rooms</t>
  </si>
  <si>
    <t>Lobbies</t>
  </si>
  <si>
    <t>Coin-Operated Laundries</t>
  </si>
  <si>
    <t>ASHRAE 62.2 - 2007 Table 5.1 &amp; 5.2</t>
  </si>
  <si>
    <t>Ventilation Type</t>
  </si>
  <si>
    <t>Intermittent</t>
  </si>
  <si>
    <t>Units</t>
  </si>
  <si>
    <t>Continuous</t>
  </si>
  <si>
    <t>ACH</t>
  </si>
  <si>
    <t>VENTILATION - DUCT TIGHTNESS TEST - PROTOCOL 8.2</t>
  </si>
  <si>
    <t>1)  Inspect and test duct systems for leakage upon installation including all take offs and branches and prior to enclosure with drywall.  The intent is to test the duct system before drywall and grills are installed so corrections can be made if duct leakage is excessive, however all take offs and other horizontal duct work must be installed prior to testing. Takeoffs are typically installed floor by floor. Ducts should be tested after bottom caps and permanent roof curbs are on and sealed.</t>
  </si>
  <si>
    <t>6) Foam Blocks (***If dry wall has started)</t>
  </si>
  <si>
    <t>8) Floor and Roof Plans (preferably with mechanicals)</t>
  </si>
  <si>
    <r>
      <t xml:space="preserve">1)  Apartment ventilation risers must be inspected and verified for system performance following the modified RESNET sampling protocol outlined in the </t>
    </r>
    <r>
      <rPr>
        <i/>
        <sz val="10"/>
        <rFont val="Arial"/>
        <family val="2"/>
      </rPr>
      <t xml:space="preserve">How to Use this Manual </t>
    </r>
    <r>
      <rPr>
        <sz val="10"/>
        <rFont val="Arial"/>
        <family val="2"/>
      </rPr>
      <t xml:space="preserve">section on page 11 of the </t>
    </r>
    <r>
      <rPr>
        <i/>
        <sz val="10"/>
        <rFont val="Arial"/>
        <family val="2"/>
      </rPr>
      <t>T&amp;V Protocols.</t>
    </r>
    <r>
      <rPr>
        <sz val="10"/>
        <rFont val="Arial"/>
        <family val="2"/>
      </rPr>
      <t xml:space="preserve">  For each ventilation riser in the sample set, conduct inspections at every other floor to obtain a representative profile.  The sample shall include at least one riser for each type/size of fan installed in the building.</t>
    </r>
  </si>
  <si>
    <t>2) *PHOTOS REQUIRED*</t>
  </si>
  <si>
    <t>- One representative photo of each duct sealing detail outlined below</t>
  </si>
  <si>
    <t>LOCATION
dwg / spec</t>
  </si>
  <si>
    <r>
      <t>Construction documents must include performance criteria for central and in-unit ventilation systems including: 
For central ventilation systems:
• Roof curb penetration has been sealed  
• Mastic or other UL-181 compliant material shall be applied within temperature range and according to all other manufacturer's requirements at ALL transverse joints and take offs.
• All duct transitional junctions have been sealed with mastic or other UL-181 compliant material.
• All connections between gypsum board and ductwork must be sealed.
• Total exhaust shaft leakage shall not exceed 10 CFM50 per floor per shaft at a pressure of 0.2 in WC</t>
    </r>
    <r>
      <rPr>
        <sz val="10"/>
        <rFont val="Arial"/>
        <family val="2"/>
      </rPr>
      <t xml:space="preserve">
• Contractor shall adjust roof fan to provide a pressure of 0.2 – 0.3 inches WC at the grill farthest from the fan.
For in-line fan exhaust systems:
• Mastic or other UL-181 compliant material shall be applied within temperature range and according to all other manufacturer's requirements at ALL transverse joints and take offs. 
• All duct transitional junctions have been sealed with mastic or other UL-181 compliant material.  
• All connections between gypsum board and ductwork must be sealed.
• If plank core is to be used as duct, ceiling plank penetration has been sealed.
• If plank core is to be used as duct, plank core has been effectively connected to exterior of the building. 
• The appropriate plank core was selected that aligns with exterior louver.
</t>
    </r>
  </si>
  <si>
    <t>INSPECTION COMMENTS 
Problems, sample details/apt #s, etc.</t>
  </si>
  <si>
    <r>
      <rPr>
        <b/>
        <sz val="10"/>
        <rFont val="Arial"/>
        <family val="2"/>
      </rPr>
      <t>Compliance Statement</t>
    </r>
    <r>
      <rPr>
        <sz val="10"/>
        <rFont val="Arial"/>
        <family val="2"/>
      </rPr>
      <t xml:space="preserve">
• Assembly meets or exceeds the requirements of the </t>
    </r>
    <r>
      <rPr>
        <i/>
        <sz val="10"/>
        <rFont val="Arial"/>
        <family val="2"/>
      </rPr>
      <t>Modified Prescriptive Path</t>
    </r>
    <r>
      <rPr>
        <sz val="10"/>
        <rFont val="Arial"/>
        <family val="2"/>
      </rPr>
      <t>.  
•  Central exhaust systems must be tested for duct leakage, which cannot exceed 10 CFM50 per floor per shaft</t>
    </r>
  </si>
  <si>
    <r>
      <rPr>
        <b/>
        <sz val="10"/>
        <rFont val="Arial"/>
        <family val="2"/>
      </rPr>
      <t>Duct Leakage Testing (Central Exhaust)</t>
    </r>
    <r>
      <rPr>
        <sz val="10"/>
        <rFont val="Arial"/>
        <family val="2"/>
      </rPr>
      <t xml:space="preserve">
• Following the procedures outlined in your duct leakage tester operation manual, a five-point test for total duct leakage in the main duct shaft using a calibrated fan between -50 and -100 Pascal measured under depressurization or 50 and 100 Pascal under pressurization is acceptable for this measurement.  
• When conducting a duct leakage depressurization test, the flow conditioner and one of the flow rings must always be installed.
• EPA does not require the duct tester to be connected to a specific location in the shaft, however typically central exhaust duct tightness tests are conducted from the roof with the duct tester connected to the roof curb.  Often a transition plate is needed to effectively seal the duct tester to the roof curb opening. Cardboard is usually a readily accessible material on construction sites and can be easily adapted into such a transition plate (precut plastic, acrylic glass and or rubber sheets could also be used).
• The pressure probe should be installed approximately 5’ downstream of the connection between the duct and the duct tester, with the probe configured so it’s openings face perpendicular to the direction of flow and only static pressure is measured, not velocity pressure.  When connecting the duct tester to the roof curb, poke a hole in the transition sheet and run the tubing and pressure probe inside of the shaft before connecting the transition sheet. Often static pressure probes come with a magnet to help configure the probe in the right direction, but if the inside surface of the duct is not magnetic, a weighted pressure hose could be used with holes cut out of the sides to prevent velocity pressure from being measured.
• Use the Linear Regression Assistant below to find the CFM50 leakage.  Per the </t>
    </r>
    <r>
      <rPr>
        <i/>
        <sz val="10"/>
        <rFont val="Arial"/>
        <family val="2"/>
      </rPr>
      <t>Prerequisites Checklist</t>
    </r>
    <r>
      <rPr>
        <sz val="10"/>
        <rFont val="Arial"/>
        <family val="2"/>
      </rPr>
      <t>, the CFM50 duct leakage for central exhaust systems must not exceed 10 CFM50 leakage per floor per shaft</t>
    </r>
    <r>
      <rPr>
        <sz val="10"/>
        <rFont val="Arial"/>
        <family val="2"/>
      </rPr>
      <t xml:space="preserve">.
</t>
    </r>
  </si>
  <si>
    <r>
      <rPr>
        <b/>
        <sz val="10"/>
        <rFont val="Arial"/>
        <family val="2"/>
      </rPr>
      <t>Roof Curb (Central)</t>
    </r>
    <r>
      <rPr>
        <sz val="10"/>
        <rFont val="Arial"/>
        <family val="2"/>
      </rPr>
      <t xml:space="preserve">
• Roof curb penetration sealing.</t>
    </r>
  </si>
  <si>
    <r>
      <rPr>
        <b/>
        <sz val="10"/>
        <rFont val="Arial"/>
        <family val="2"/>
      </rPr>
      <t>Transverse Joints (Central and Through Wall)</t>
    </r>
    <r>
      <rPr>
        <sz val="10"/>
        <rFont val="Arial"/>
        <family val="2"/>
      </rPr>
      <t xml:space="preserve">
• All transverse joints sealed air-tight with mastic applied according to manufacturers requirements (i.e. application temperature). This includes verifying through visual inspection that joints and gaps between all exhaust and supply ducts and sheetrock at the grills have been sealed.</t>
    </r>
  </si>
  <si>
    <r>
      <rPr>
        <b/>
        <sz val="10"/>
        <rFont val="Arial"/>
        <family val="2"/>
      </rPr>
      <t>Transitions (Central and Through Wall)</t>
    </r>
    <r>
      <rPr>
        <sz val="10"/>
        <rFont val="Arial"/>
        <family val="2"/>
      </rPr>
      <t xml:space="preserve">
• All duct transitional junctions have been sealed with mastic.</t>
    </r>
  </si>
  <si>
    <r>
      <rPr>
        <b/>
        <sz val="10"/>
        <rFont val="Arial"/>
        <family val="2"/>
      </rPr>
      <t>Pinned Ducts  (Central and Through Wall)</t>
    </r>
    <r>
      <rPr>
        <sz val="10"/>
        <rFont val="Arial"/>
        <family val="2"/>
      </rPr>
      <t xml:space="preserve">
• All joints have been completely sealed around the entire perimeter including those tight against a wall or ceiling. Before connecting ductwork at this condition, ample mastic needs to be applied to both sections and then connected while the mastic is still wet to achieve the seal.</t>
    </r>
  </si>
  <si>
    <r>
      <rPr>
        <b/>
        <sz val="10"/>
        <rFont val="Arial"/>
        <family val="2"/>
      </rPr>
      <t>Elbow Joints (Round Duct Work)</t>
    </r>
    <r>
      <rPr>
        <sz val="10"/>
        <rFont val="Arial"/>
        <family val="2"/>
      </rPr>
      <t xml:space="preserve">
• All elbow joints have been effectively sealed with mastic.</t>
    </r>
  </si>
  <si>
    <r>
      <rPr>
        <b/>
        <sz val="10"/>
        <rFont val="Arial"/>
        <family val="2"/>
      </rPr>
      <t>Exterior Wall Connection  (Through Wall)</t>
    </r>
    <r>
      <rPr>
        <sz val="10"/>
        <rFont val="Arial"/>
        <family val="2"/>
      </rPr>
      <t xml:space="preserve">
• Ductwork connection with exterior grill termination has been sealed air-tight.</t>
    </r>
  </si>
  <si>
    <r>
      <rPr>
        <b/>
        <sz val="10"/>
        <rFont val="Arial"/>
        <family val="2"/>
      </rPr>
      <t>Statement of Substantial Completion - HVAC</t>
    </r>
    <r>
      <rPr>
        <sz val="10"/>
        <rFont val="Arial"/>
        <family val="2"/>
      </rPr>
      <t xml:space="preserve">
• A Statement of Substantial Completion or approved proxy may be submitted to establish completion of the work associated with this protocol. For HVAC protocols a Statement of Substantial Completion must be completed by a third party qualified representative on company letterhead and attached to all relevant </t>
    </r>
    <r>
      <rPr>
        <i/>
        <sz val="10"/>
        <rFont val="Arial"/>
        <family val="2"/>
      </rPr>
      <t>T&amp;V Worksheets</t>
    </r>
    <r>
      <rPr>
        <sz val="10"/>
        <rFont val="Arial"/>
        <family val="2"/>
      </rPr>
      <t xml:space="preserve"> complete with all required information, photographs, cut sheets, etc.</t>
    </r>
  </si>
  <si>
    <t># of Floors Served</t>
  </si>
  <si>
    <t>CFM50 Leakage from Linear Regression Assistant</t>
  </si>
  <si>
    <t>CFM50 Leakage/Flr</t>
  </si>
  <si>
    <r>
      <rPr>
        <b/>
        <sz val="16"/>
        <rFont val="Arial"/>
        <family val="2"/>
      </rPr>
      <t xml:space="preserve">Linear Regression Assistant: </t>
    </r>
    <r>
      <rPr>
        <sz val="16"/>
        <rFont val="Arial"/>
        <family val="2"/>
      </rPr>
      <t xml:space="preserve">This section can be duplicated, copy and insert rows </t>
    </r>
  </si>
  <si>
    <t>Approximate Indoor Temp (F):</t>
  </si>
  <si>
    <t>Approximate Outdoor Temp (F):</t>
  </si>
  <si>
    <t>Baseline Pressure (Pa):</t>
  </si>
  <si>
    <t>Shaft Pressure</t>
  </si>
  <si>
    <t>Fan Pressure (Pa)</t>
  </si>
  <si>
    <t>Plate Position</t>
  </si>
  <si>
    <t>Flow Rate (cfm)</t>
  </si>
  <si>
    <t>Temp Corc Flo (cfm)</t>
  </si>
  <si>
    <t>Log (Duct Curb Press)</t>
  </si>
  <si>
    <t>Log (Flowrate)</t>
  </si>
  <si>
    <t>Slope:</t>
  </si>
  <si>
    <t>Intercept:</t>
  </si>
  <si>
    <t>C:</t>
  </si>
  <si>
    <t>n:</t>
  </si>
  <si>
    <t>R:</t>
  </si>
  <si>
    <t>From Regression:</t>
  </si>
  <si>
    <r>
      <t>CFM</t>
    </r>
    <r>
      <rPr>
        <vertAlign val="subscript"/>
        <sz val="10"/>
        <rFont val="Arial"/>
        <family val="2"/>
      </rPr>
      <t>50:</t>
    </r>
  </si>
  <si>
    <t>Pressurization</t>
  </si>
  <si>
    <t>Depressurization</t>
  </si>
  <si>
    <t>METERS - CONFIGURATION - PROTOCOL 9.1</t>
  </si>
  <si>
    <t>1) After piping and wiring are complete</t>
  </si>
  <si>
    <t>2) After installation, hook-up, and activation of meters.</t>
  </si>
  <si>
    <t>2) Plans and Specifications</t>
  </si>
  <si>
    <r>
      <t xml:space="preserve">1) Where metering is in basement or central location, check all meter banks.  Where metering is distributed in common areas, such as hallway utility closets or is inside individual apartments,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to include, at a minimum, one apartment from each line.
</t>
    </r>
  </si>
  <si>
    <t>- Provide photographs of all types of meters (electrical, gas, water) for building.  Be sure to properly label location and type of meter represented.</t>
  </si>
  <si>
    <t>METER TYPE:</t>
  </si>
  <si>
    <t>Electric</t>
  </si>
  <si>
    <t>Gas</t>
  </si>
  <si>
    <t>Fuel Oil</t>
  </si>
  <si>
    <t>Water</t>
  </si>
  <si>
    <t>Steam</t>
  </si>
  <si>
    <t>Hot Water</t>
  </si>
  <si>
    <t>Location</t>
  </si>
  <si>
    <r>
      <t xml:space="preserve">Utility Company
</t>
    </r>
    <r>
      <rPr>
        <i/>
        <sz val="10"/>
        <rFont val="Arial"/>
        <family val="2"/>
      </rPr>
      <t>(National Grid)</t>
    </r>
  </si>
  <si>
    <r>
      <t xml:space="preserve">Configuration
</t>
    </r>
    <r>
      <rPr>
        <i/>
        <sz val="10"/>
        <rFont val="Arial"/>
        <family val="2"/>
      </rPr>
      <t>(Direct, Master, Sub)</t>
    </r>
  </si>
  <si>
    <t># of Meters</t>
  </si>
  <si>
    <r>
      <t xml:space="preserve">Areas Served
</t>
    </r>
    <r>
      <rPr>
        <i/>
        <sz val="10"/>
        <rFont val="Arial"/>
        <family val="2"/>
      </rPr>
      <t>(Common, Apts, Retail)</t>
    </r>
  </si>
  <si>
    <r>
      <rPr>
        <b/>
        <sz val="10"/>
        <rFont val="Arial"/>
        <family val="2"/>
      </rPr>
      <t xml:space="preserve">Location - Residential
</t>
    </r>
    <r>
      <rPr>
        <sz val="10"/>
        <rFont val="Arial"/>
        <family val="2"/>
      </rPr>
      <t xml:space="preserve">• Confirm location and existence of electric, gas, and water meters and observe configurations (areas served) in relation to plans and specifications.   </t>
    </r>
  </si>
  <si>
    <r>
      <rPr>
        <b/>
        <sz val="10"/>
        <rFont val="Arial"/>
        <family val="2"/>
      </rPr>
      <t xml:space="preserve">Location - Nonresidential
</t>
    </r>
    <r>
      <rPr>
        <sz val="10"/>
        <rFont val="Arial"/>
        <family val="2"/>
      </rPr>
      <t>• Post-construction, the utility consumption of the residential-associated spaces must be capable of evaluation independent of any commercial/retail spaces. These nonresidential associated parts of the building shall be separately metered (or sub-metered) for electricity, gas, fuel oil, water, steam, and hot water for domestic and/or space heating purposes.</t>
    </r>
  </si>
  <si>
    <r>
      <rPr>
        <b/>
        <sz val="10"/>
        <rFont val="Arial"/>
        <family val="2"/>
      </rPr>
      <t xml:space="preserve">Type
</t>
    </r>
    <r>
      <rPr>
        <sz val="10"/>
        <rFont val="Arial"/>
        <family val="2"/>
      </rPr>
      <t xml:space="preserve">• Check meter types against specifications (and/or utility correspondence). </t>
    </r>
  </si>
  <si>
    <r>
      <rPr>
        <b/>
        <sz val="10"/>
        <rFont val="Arial"/>
        <family val="2"/>
      </rPr>
      <t xml:space="preserve">Configuration
</t>
    </r>
    <r>
      <rPr>
        <sz val="10"/>
        <rFont val="Arial"/>
        <family val="2"/>
      </rPr>
      <t>• Confirm metering configuration: master meter, submetered, direct metered.</t>
    </r>
  </si>
  <si>
    <r>
      <rPr>
        <b/>
        <sz val="10"/>
        <rFont val="Arial"/>
        <family val="2"/>
      </rPr>
      <t xml:space="preserve">Utility Release Forms
</t>
    </r>
    <r>
      <rPr>
        <sz val="10"/>
        <rFont val="Arial"/>
        <family val="2"/>
      </rPr>
      <t xml:space="preserve">• For buildings that are direct-metered for utilities to the apartments, the building owner must secure signed releases from individual apartment occupants to allow for benchmarking or find alternative methods to assessing whole building energy consumption, such as a whole-building meter or asking the utility for aggregated data. All data uploaded to Portfolio Manager is strictly confidential and only used to estimate the energy performance of the building as a whole, not of individual apartments. </t>
    </r>
  </si>
  <si>
    <t>Not to exceed 10 CFM50 per floor per shaft</t>
  </si>
  <si>
    <t>Shower: Max 1.75 gpm and WaterSense labeled;
Lavatory faucets and aerators: WaterSense labeled;
All other faucets: Max average of 2.00 gpm</t>
  </si>
  <si>
    <t>40% Window-to-Wall Ratio</t>
  </si>
  <si>
    <t>86% Et (89% if using heat pumps)</t>
  </si>
  <si>
    <t>Wall Insulation Levels</t>
  </si>
  <si>
    <t>R-0</t>
  </si>
  <si>
    <t>R-11</t>
  </si>
  <si>
    <t>R-13</t>
  </si>
  <si>
    <t>R-17</t>
  </si>
  <si>
    <t>R-19</t>
  </si>
  <si>
    <t>R-30</t>
  </si>
  <si>
    <t>R-38</t>
  </si>
  <si>
    <t>Roof Insulation Levels</t>
  </si>
  <si>
    <t>&lt;Select R-value&gt;</t>
  </si>
  <si>
    <t>Window Types</t>
  </si>
  <si>
    <t>&lt;Select Type&gt;</t>
  </si>
  <si>
    <t>Single pane clear</t>
  </si>
  <si>
    <t>Double pane clear</t>
  </si>
  <si>
    <t>Double pane, low e</t>
  </si>
  <si>
    <t>City</t>
  </si>
  <si>
    <t>Wall 0 to 13</t>
  </si>
  <si>
    <t>Wall 11 to 13</t>
  </si>
  <si>
    <t>Wall 0 to 19</t>
  </si>
  <si>
    <t>Wall 11 to 19</t>
  </si>
  <si>
    <t>Wall 13 to 19</t>
  </si>
  <si>
    <t>Wall 17 to 19</t>
  </si>
  <si>
    <t>Wall 0 to 21</t>
  </si>
  <si>
    <t>Wall 11 to 21</t>
  </si>
  <si>
    <t>Wall 13 to 21</t>
  </si>
  <si>
    <t>Wall 17 to 21</t>
  </si>
  <si>
    <t>Wall 19 to 21</t>
  </si>
  <si>
    <t>Roof 0 to 30</t>
  </si>
  <si>
    <t>Roof 0 to 49</t>
  </si>
  <si>
    <t>Roof 11 to 30</t>
  </si>
  <si>
    <t>Roof 11 to 49</t>
  </si>
  <si>
    <t>Roof 19 to 30</t>
  </si>
  <si>
    <t>Roof 19 to 49</t>
  </si>
  <si>
    <t>Roof 30 to 49</t>
  </si>
  <si>
    <t>Roof 38 to 49</t>
  </si>
  <si>
    <t>kWh/ kSF</t>
  </si>
  <si>
    <t>kW/ kSF</t>
  </si>
  <si>
    <t>therm/ kSF</t>
  </si>
  <si>
    <t>Therm/100 SF</t>
  </si>
  <si>
    <t>Representative City:</t>
  </si>
  <si>
    <t>kWh/kSF</t>
  </si>
  <si>
    <t>kW/kSF</t>
  </si>
  <si>
    <t>therm/kSF</t>
  </si>
  <si>
    <t>R-49</t>
  </si>
  <si>
    <t>R-21</t>
  </si>
  <si>
    <t>Metal framing (curtainwall)</t>
  </si>
  <si>
    <t>Baseline Text</t>
  </si>
  <si>
    <t>Baseline Value</t>
  </si>
  <si>
    <t>&lt;Enter Assembly C-factor&gt;</t>
  </si>
  <si>
    <t>Assembly U-factor (maximum)</t>
  </si>
  <si>
    <t>&lt;Enter Assembly U-factor&gt;</t>
  </si>
  <si>
    <t>Tons per Unit</t>
  </si>
  <si>
    <t>Number of Units Installed</t>
  </si>
  <si>
    <t>Occupiable space*:</t>
  </si>
  <si>
    <t>*Occupiable space = Gross heated square footage of residential and residentially-associated spaces.   Previously called GHSF.</t>
  </si>
  <si>
    <t>Cost Source, if entered by Partner</t>
  </si>
  <si>
    <r>
      <t>All requirements of the</t>
    </r>
    <r>
      <rPr>
        <i/>
        <sz val="10"/>
        <rFont val="Arial"/>
        <family val="2"/>
      </rPr>
      <t xml:space="preserve"> Modified Prescriptive Path </t>
    </r>
    <r>
      <rPr>
        <sz val="10"/>
        <rFont val="Arial"/>
        <family val="2"/>
      </rPr>
      <t xml:space="preserve">are linked to the 'Modified Prescriptive Path Checklist'. Prior to submitting the </t>
    </r>
    <r>
      <rPr>
        <i/>
        <sz val="10"/>
        <rFont val="Arial"/>
        <family val="2"/>
      </rPr>
      <t>T&amp;V Worksheets</t>
    </r>
    <r>
      <rPr>
        <sz val="10"/>
        <rFont val="Arial"/>
        <family val="2"/>
      </rPr>
      <t xml:space="preserve"> to NYSERDA, review this checklist to confirm that all prescriptive requirements have been verified. </t>
    </r>
  </si>
  <si>
    <t>Note that throughout these worksheets, common information from cells are linked and should automatically update.  Only cells shaded in blue need to be entered manually. Entering values into white cells will override pre-determined formulas.  However, depending on the project, there may be reason to write over the pre-determined formulas.</t>
  </si>
  <si>
    <t xml:space="preserve">Prescriptive Path </t>
  </si>
  <si>
    <t>Savings</t>
  </si>
  <si>
    <t>T&amp;V Worksheets</t>
  </si>
  <si>
    <r>
      <t xml:space="preserve">These tabs are used to facilitate and document the design review and inspection process.  These tabs have their own instruction sheet labeled T&amp;V Instructions.  </t>
    </r>
    <r>
      <rPr>
        <i/>
        <sz val="9"/>
        <rFont val="Calibri"/>
        <family val="2"/>
      </rPr>
      <t/>
    </r>
  </si>
  <si>
    <t xml:space="preserve">Modified Prescriptive Path Calculator </t>
  </si>
  <si>
    <t xml:space="preserve">* For gut rehabilitation projects, the Baseline Building Design shall reflect existing conditions prior to any revisions that are part of the scope of work being evaluated, as described in the building envelope section of Table G3.1 of Appendix G. </t>
  </si>
  <si>
    <t xml:space="preserve">This tab calculates the savings, costs, and cost effectiveness of each measure and the project as a whole, based on Program-wide assumptions. The incremental cost provided for each measure in column H can be adjusted based on the Partner's findings. Please provide the corresponding cost source in column I for all adjustments made.  </t>
  </si>
  <si>
    <r>
      <t xml:space="preserve">The Modified </t>
    </r>
    <r>
      <rPr>
        <i/>
        <sz val="11"/>
        <rFont val="Calibri"/>
        <family val="2"/>
      </rPr>
      <t xml:space="preserve">Prescriptive Path Calculator </t>
    </r>
    <r>
      <rPr>
        <sz val="11"/>
        <rFont val="Calibri"/>
        <family val="2"/>
      </rPr>
      <t xml:space="preserve">calculates estimated savings and costs based on project specific data. It also includes a checklist for the Partner and Participant to confirm that all Modified Prescriptive Path Requirements are met.  </t>
    </r>
  </si>
  <si>
    <r>
      <t xml:space="preserve">This tab outlines the Modified Prescriptive Path Requirements in checklist form.  In addition to checking each box to indicate that the requirement has been met, certain components require basic information to be entered. Please enter this information into only the blue cells that are applicable to the measures included in your scope of work. 
Gut-rehab buildings must be indicated in cell I7. Upon indication, additional blue cells will appear in column J that require the existing envelope conditions of the building to be entered as applicable.*  Note that the Partners should only complete the blue cells for envelope systems that are part of the scope of work.  If the envelope system does not apply to the project, or if it is not included in the scope of work, the cell should be left blank.  Also note that for the cells with pull-down menus, the Partner should choose the insulation value that </t>
    </r>
    <r>
      <rPr>
        <i/>
        <sz val="11"/>
        <rFont val="Calibri"/>
        <family val="2"/>
      </rPr>
      <t>best matches</t>
    </r>
    <r>
      <rPr>
        <sz val="11"/>
        <rFont val="Calibri"/>
        <family val="2"/>
      </rPr>
      <t xml:space="preserve"> the existing conditions.</t>
    </r>
  </si>
  <si>
    <t>Added baseline and proposed cost columns.</t>
  </si>
  <si>
    <t>Updated several measure costs, based on additional projects in our database.</t>
  </si>
  <si>
    <t>Version 5.01 Updates</t>
  </si>
  <si>
    <t>Release Date 5/2015</t>
  </si>
  <si>
    <t>Project Funding Overview</t>
  </si>
  <si>
    <t>Step 1: Determine funding eligibility</t>
  </si>
  <si>
    <t>Split type</t>
  </si>
  <si>
    <t>1. Determine if project needs Partner Fees added to get the eligible incentives to at least 50% of the project's cost (capped at published incentive schedule amount).</t>
  </si>
  <si>
    <t>&lt;Select one&gt;</t>
  </si>
  <si>
    <t xml:space="preserve">          1a. If eligible incentives are 50% or more of the total cost of the project, then no changes need to be made (see cell C21).</t>
  </si>
  <si>
    <t>Version 6, 5-49 Units</t>
  </si>
  <si>
    <t>Affordable</t>
  </si>
  <si>
    <t>Market-Rate</t>
  </si>
  <si>
    <t>Measure cost</t>
  </si>
  <si>
    <t xml:space="preserve">          1b. If eligible incentives are less than 50% of total cost of the project, then add Partner Fees using cell C23. C22 calculates the the amount needed to hit the 50% target or the 
                incentive cap, whichever is lower.</t>
  </si>
  <si>
    <t>Incentive 1</t>
  </si>
  <si>
    <t>Measure savings</t>
  </si>
  <si>
    <t>2. Review project-level TRC ratio in cell E17.</t>
  </si>
  <si>
    <t>Incentive 2</t>
  </si>
  <si>
    <t>Incentive 3</t>
  </si>
  <si>
    <t xml:space="preserve">          3a. Reduce Partner Fees added, if they were added below.</t>
  </si>
  <si>
    <t>Total Incentive</t>
  </si>
  <si>
    <t xml:space="preserve">          3b. Remove measures with low TRC ratios (close to 1.0) from the project-level analysis by selecting "No" in column AD of Detailed Measures tab.</t>
  </si>
  <si>
    <t xml:space="preserve">          3c. Reduce the dollar amount of EEPS incentives in cell C18 below.</t>
  </si>
  <si>
    <t>Version 6, 50+ units</t>
  </si>
  <si>
    <t>Eligible Funding</t>
  </si>
  <si>
    <t>Project-Level TRC</t>
  </si>
  <si>
    <t>Published Incentive Schedule</t>
  </si>
  <si>
    <t>EEPS Funding Cap</t>
  </si>
  <si>
    <t>Assigned EEPS Incentives</t>
  </si>
  <si>
    <t>Non-EEPS Incentives</t>
  </si>
  <si>
    <t>Cost of Scope of Work</t>
  </si>
  <si>
    <t>Total Incentive per schedule</t>
  </si>
  <si>
    <t>% Work covered by incentive</t>
  </si>
  <si>
    <t>Additional amount needed to hit 50% cap</t>
  </si>
  <si>
    <t>Do Partner Fees need to be added?</t>
  </si>
  <si>
    <t>Partner Fees added</t>
  </si>
  <si>
    <t>Revised Assigned EEPS incentives</t>
  </si>
  <si>
    <t>Revised % Work covered by incentive</t>
  </si>
  <si>
    <t>Step 2: Determine Funding Splits</t>
  </si>
  <si>
    <t>1. Review table below to determine the best way to split EEPS funding between gas and electric.</t>
  </si>
  <si>
    <t>2. Select split type to be used for Project Funding (cell H29).</t>
  </si>
  <si>
    <t>Split chosen:</t>
  </si>
  <si>
    <t>EEPS Funding Sources</t>
  </si>
  <si>
    <t>Sum of</t>
  </si>
  <si>
    <t>Sum of Measure</t>
  </si>
  <si>
    <t>Funding split by</t>
  </si>
  <si>
    <t>Funding Split by</t>
  </si>
  <si>
    <t>Measure Cost</t>
  </si>
  <si>
    <t>Savings (MMBtu)</t>
  </si>
  <si>
    <t>Measure Savings</t>
  </si>
  <si>
    <t>MPPMREINC</t>
  </si>
  <si>
    <t>MPPLIEINC</t>
  </si>
  <si>
    <t>MPPMRGINC</t>
  </si>
  <si>
    <t>MPPLIGINC</t>
  </si>
  <si>
    <t>Non-EEPS Funding Sources</t>
  </si>
  <si>
    <t>Percent of Total Measure</t>
  </si>
  <si>
    <t>Incentives</t>
  </si>
  <si>
    <t>Cost</t>
  </si>
  <si>
    <t>RGGIMPP</t>
  </si>
  <si>
    <t>RGGIMPPLI</t>
  </si>
  <si>
    <t>GAH</t>
  </si>
  <si>
    <t>Owner - Gas</t>
  </si>
  <si>
    <t>Owner - Electric</t>
  </si>
  <si>
    <t>Owner - Other</t>
  </si>
  <si>
    <t>Step 3: Comparison to Program Goals</t>
  </si>
  <si>
    <t>1. Compare incentives per MWH and MMBtu, based on incentive selections above.</t>
  </si>
  <si>
    <t>Project</t>
  </si>
  <si>
    <t>Goal</t>
  </si>
  <si>
    <t>Program $ Per MWh</t>
  </si>
  <si>
    <t>Program $ per MMBtu</t>
  </si>
  <si>
    <t>Step 4: Determine Partner Fees allocation</t>
  </si>
  <si>
    <t>1. If you added Partner fees to eligible funding above (cell C23), complete Partner Fee assignment below.  If no Partner fees were added, move to Step 5.</t>
  </si>
  <si>
    <t xml:space="preserve">          a. Select how to fund added Partner fees by choosing the best option in cell C65.</t>
  </si>
  <si>
    <t xml:space="preserve">          b.  The values assigned to each funding source are listed in cells C67 and C68, based on the split chosen in C65.</t>
  </si>
  <si>
    <t>Funding Sources</t>
  </si>
  <si>
    <t>Total Cost of Eligible Measures 
(Incentive Cap)</t>
  </si>
  <si>
    <t>Total Incentives based on Measure Cost or Measure Savings Split</t>
  </si>
  <si>
    <t>Total Incentives from Table above</t>
  </si>
  <si>
    <t>Gas/ Fuel Incentive Cap</t>
  </si>
  <si>
    <t>Electric Incentive Cap</t>
  </si>
  <si>
    <t>GJGNY</t>
  </si>
  <si>
    <t>Assign Partner Fees added to:</t>
  </si>
  <si>
    <t>Split</t>
  </si>
  <si>
    <t>Gas/Fuel Partner Fee Amount</t>
  </si>
  <si>
    <t>Electric Partner Fee Amount</t>
  </si>
  <si>
    <t>Step 5: Complete Funding Amount Change Request</t>
  </si>
  <si>
    <t>1. Ensure split type is chosen above in cell H29.</t>
  </si>
  <si>
    <t>2. Compare incentives by funding source calculated in Funding Amount Change Request calculator to incentive caps based on total cost of eligible measures (rows 81-83)</t>
  </si>
  <si>
    <t>Project name</t>
  </si>
  <si>
    <t>Revised Total Project Incentives</t>
  </si>
  <si>
    <t>Total Cost of Eligible Measures</t>
  </si>
  <si>
    <t>Gas%</t>
  </si>
  <si>
    <t>Electric %</t>
  </si>
  <si>
    <t>Total kW Demand Savings</t>
  </si>
  <si>
    <t>Total Payment Amount</t>
  </si>
  <si>
    <t>Split based on Cost</t>
  </si>
  <si>
    <t>Split based on Savings</t>
  </si>
  <si>
    <t>Payment #1</t>
  </si>
  <si>
    <t>Gas/ Fuel</t>
  </si>
  <si>
    <t>Payment #2</t>
  </si>
  <si>
    <t>Payment #3</t>
  </si>
  <si>
    <t>Payment #4</t>
  </si>
  <si>
    <t>Used for Calculations Above</t>
  </si>
  <si>
    <t>PV of Benefits for Project TRC</t>
  </si>
  <si>
    <t>PV of Costs for Project TRC</t>
  </si>
  <si>
    <t>Program Savings Goals</t>
  </si>
  <si>
    <t>MR Elec</t>
  </si>
  <si>
    <t>per MWh</t>
  </si>
  <si>
    <t>LI Elec</t>
  </si>
  <si>
    <t>MR Gas</t>
  </si>
  <si>
    <t>per MMBtu</t>
  </si>
  <si>
    <t>LI Gas</t>
  </si>
  <si>
    <t>EEPS Funding</t>
  </si>
  <si>
    <t>Project Savings</t>
  </si>
  <si>
    <t>Project $ per MWh</t>
  </si>
  <si>
    <t>Project $ per MMBtu</t>
  </si>
  <si>
    <t>3. Copy and paste the green cells into the Funding Amount Change Request form.</t>
  </si>
  <si>
    <t>Version 5.01  May 2015</t>
  </si>
  <si>
    <t>Total MMBtu Savings</t>
  </si>
  <si>
    <t>Added Funding Overview sheet for program staff use only.</t>
  </si>
  <si>
    <t>Baseline Cost</t>
  </si>
  <si>
    <t>Proposed Cost</t>
  </si>
  <si>
    <t>SplitTypes</t>
  </si>
  <si>
    <t>Majority Fuel Savings</t>
  </si>
  <si>
    <t>EEPS Funding Source</t>
  </si>
  <si>
    <t>3. If the project passes the TRC test, move to Step 2.  If not, look for options to get project to pass.</t>
  </si>
  <si>
    <t>ABV</t>
  </si>
  <si>
    <t>BLW</t>
  </si>
  <si>
    <t>ASHRAE 90.1-2007 Table 6.8.1D &amp; Calculator for heating</t>
  </si>
  <si>
    <t>See Tables 6.8.1I and 6.8.1J of ASHRAE 90.1‐2010 and VRF heating calc</t>
  </si>
  <si>
    <t>VRF Calc</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</si>
</sst>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quot;* #,##0.00_);_(&quot;$&quot;* \(#,##0.00\);_(&quot;$&quot;* &quot;-&quot;??_);_(@_)"/>
    <numFmt numFmtId="43" formatCode="_(* #,##0.00_);_(* \(#,##0.00\);_(* &quot;-&quot;??_);_(@_)"/>
    <numFmt numFmtId="164" formatCode="&quot;$&quot;#,##0.00"/>
    <numFmt numFmtId="165" formatCode="0.0"/>
    <numFmt numFmtId="166" formatCode="0.000"/>
    <numFmt numFmtId="167" formatCode="&quot;$&quot;#,##0"/>
    <numFmt numFmtId="168" formatCode="0.0%"/>
    <numFmt numFmtId="169" formatCode="_(* #,##0.000_);_(* \(#,##0.000\);_(* &quot;-&quot;??_);_(@_)"/>
    <numFmt numFmtId="170" formatCode="0.0000%"/>
    <numFmt numFmtId="171" formatCode="&quot;$&quot;#,##0.00_);[Red]\(&quot;$&quot;#,##0.00\);&quot;&quot;"/>
    <numFmt numFmtId="172" formatCode="#,##0_);[Red]\(#,##0\);&quot;&quot;"/>
    <numFmt numFmtId="173" formatCode="_(* #,##0_);_(* \(#,##0\);_(* &quot;-&quot;??_);_(@_)"/>
    <numFmt numFmtId="174" formatCode="_(* #,##0.0_);_(* \(#,##0.0\);_(* &quot;-&quot;??_);_(@_)"/>
    <numFmt numFmtId="175" formatCode="_(&quot;$&quot;* #,##0_);_(&quot;$&quot;* \(#,##0\);_(&quot;$&quot;* &quot;-&quot;??_);_(@_)"/>
    <numFmt numFmtId="176" formatCode="_(&quot;$&quot;* #,##0.0_);_(&quot;$&quot;* \(#,##0.0\);_(&quot;$&quot;* &quot;-&quot;?_);_(@_)"/>
    <numFmt numFmtId="177" formatCode="#,##0.0_);\(#,##0.0\)"/>
  </numFmts>
  <fonts count="144">
    <font>
      <sz val="11"/>
      <color theme="1"/>
      <name val="Calibri"/>
      <family val="2"/>
      <scheme val="minor"/>
    </font>
    <font>
      <sz val="10"/>
      <color theme="1"/>
      <name val="Calibri"/>
      <family val="2"/>
      <scheme val="minor"/>
    </font>
    <font>
      <sz val="10"/>
      <name val="Calibri"/>
      <family val="2"/>
      <scheme val="minor"/>
    </font>
    <font>
      <b/>
      <sz val="10"/>
      <color indexed="8"/>
      <name val="Calibri"/>
      <family val="2"/>
      <scheme val="minor"/>
    </font>
    <font>
      <sz val="10"/>
      <color indexed="8"/>
      <name val="Calibri"/>
      <family val="2"/>
      <scheme val="minor"/>
    </font>
    <font>
      <b/>
      <sz val="10"/>
      <name val="Calibri"/>
      <family val="2"/>
      <scheme val="minor"/>
    </font>
    <font>
      <b/>
      <sz val="10"/>
      <color theme="1"/>
      <name val="Calibri"/>
      <family val="2"/>
      <scheme val="minor"/>
    </font>
    <font>
      <sz val="10"/>
      <name val="Wingdings"/>
      <charset val="2"/>
    </font>
    <font>
      <b/>
      <sz val="14"/>
      <color theme="1"/>
      <name val="Calibri"/>
      <family val="2"/>
      <scheme val="minor"/>
    </font>
    <font>
      <b/>
      <u/>
      <sz val="10"/>
      <color indexed="8"/>
      <name val="Calibri"/>
      <family val="2"/>
      <scheme val="minor"/>
    </font>
    <font>
      <b/>
      <sz val="11"/>
      <color theme="1"/>
      <name val="Calibri"/>
      <family val="2"/>
      <scheme val="minor"/>
    </font>
    <font>
      <sz val="10"/>
      <color indexed="8"/>
      <name val="Arial"/>
      <family val="2"/>
    </font>
    <font>
      <sz val="11"/>
      <color theme="1"/>
      <name val="Calibri"/>
      <family val="2"/>
      <scheme val="minor"/>
    </font>
    <font>
      <sz val="10"/>
      <name val="Arial"/>
      <family val="2"/>
    </font>
    <font>
      <sz val="8"/>
      <color theme="1"/>
      <name val="Calibri"/>
      <family val="2"/>
      <scheme val="minor"/>
    </font>
    <font>
      <sz val="10"/>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b/>
      <sz val="14"/>
      <name val="Calibri"/>
      <family val="2"/>
      <scheme val="minor"/>
    </font>
    <font>
      <sz val="9"/>
      <name val="Calibri"/>
      <family val="2"/>
      <scheme val="minor"/>
    </font>
    <font>
      <b/>
      <sz val="9"/>
      <name val="Calibri"/>
      <family val="2"/>
      <scheme val="minor"/>
    </font>
    <font>
      <b/>
      <sz val="11"/>
      <name val="Calibri"/>
      <family val="2"/>
      <scheme val="minor"/>
    </font>
    <font>
      <sz val="11"/>
      <color indexed="8"/>
      <name val="Calibri"/>
      <family val="2"/>
    </font>
    <font>
      <sz val="9"/>
      <name val="Geneva"/>
      <family val="2"/>
    </font>
    <font>
      <sz val="9"/>
      <color indexed="12"/>
      <name val="Geneva"/>
      <family val="2"/>
    </font>
    <font>
      <b/>
      <sz val="9"/>
      <color indexed="12"/>
      <name val="Geneva"/>
      <family val="2"/>
    </font>
    <font>
      <u/>
      <sz val="11"/>
      <color theme="10"/>
      <name val="Calibri"/>
      <family val="2"/>
    </font>
    <font>
      <sz val="9"/>
      <color indexed="10"/>
      <name val="Geneva"/>
      <family val="2"/>
    </font>
    <font>
      <sz val="10"/>
      <name val="Geneva"/>
      <family val="2"/>
    </font>
    <font>
      <b/>
      <sz val="11"/>
      <color indexed="8"/>
      <name val="Calibri"/>
      <family val="2"/>
      <scheme val="minor"/>
    </font>
    <font>
      <sz val="11"/>
      <color indexed="8"/>
      <name val="Calibri"/>
      <family val="2"/>
      <scheme val="minor"/>
    </font>
    <font>
      <sz val="11"/>
      <name val="Calibri"/>
      <family val="2"/>
      <scheme val="minor"/>
    </font>
    <font>
      <sz val="12"/>
      <color theme="1"/>
      <name val="Calibri"/>
      <family val="2"/>
      <scheme val="minor"/>
    </font>
    <font>
      <b/>
      <sz val="9"/>
      <color theme="0"/>
      <name val="Calibri"/>
      <family val="2"/>
      <scheme val="minor"/>
    </font>
    <font>
      <i/>
      <sz val="9"/>
      <name val="Calibri"/>
      <family val="2"/>
      <scheme val="minor"/>
    </font>
    <font>
      <u/>
      <sz val="10"/>
      <color indexed="12"/>
      <name val="Arial"/>
      <family val="2"/>
    </font>
    <font>
      <sz val="10"/>
      <name val="Arial"/>
      <family val="2"/>
    </font>
    <font>
      <sz val="10"/>
      <color theme="0"/>
      <name val="Arial"/>
      <family val="2"/>
    </font>
    <font>
      <sz val="10"/>
      <color theme="0"/>
      <name val="Wingdings"/>
      <charset val="2"/>
    </font>
    <font>
      <u/>
      <sz val="11"/>
      <color theme="1"/>
      <name val="Calibri"/>
      <family val="2"/>
      <scheme val="minor"/>
    </font>
    <font>
      <sz val="9"/>
      <color indexed="81"/>
      <name val="Tahoma"/>
      <family val="2"/>
    </font>
    <font>
      <b/>
      <sz val="9"/>
      <color indexed="81"/>
      <name val="Tahoma"/>
      <family val="2"/>
    </font>
    <font>
      <sz val="11"/>
      <color theme="0"/>
      <name val="Calibri"/>
      <family val="2"/>
      <scheme val="minor"/>
    </font>
    <font>
      <sz val="8"/>
      <color indexed="81"/>
      <name val="Tahoma"/>
      <family val="2"/>
    </font>
    <font>
      <b/>
      <sz val="8"/>
      <color indexed="81"/>
      <name val="Tahoma"/>
      <family val="2"/>
    </font>
    <font>
      <sz val="10"/>
      <color theme="0"/>
      <name val="Calibri"/>
      <family val="2"/>
      <scheme val="minor"/>
    </font>
    <font>
      <u/>
      <sz val="10"/>
      <color theme="1"/>
      <name val="Calibri"/>
      <family val="2"/>
      <scheme val="minor"/>
    </font>
    <font>
      <b/>
      <vertAlign val="superscript"/>
      <sz val="11"/>
      <color theme="1"/>
      <name val="Calibri"/>
      <family val="2"/>
      <scheme val="minor"/>
    </font>
    <font>
      <b/>
      <sz val="16"/>
      <color theme="1"/>
      <name val="Calibri"/>
      <family val="2"/>
      <scheme val="minor"/>
    </font>
    <font>
      <b/>
      <sz val="9"/>
      <color indexed="8"/>
      <name val="Calibri"/>
      <family val="2"/>
    </font>
    <font>
      <b/>
      <sz val="10"/>
      <color indexed="8"/>
      <name val="Calibri"/>
      <family val="2"/>
    </font>
    <font>
      <sz val="10"/>
      <color indexed="8"/>
      <name val="Calibri"/>
      <family val="2"/>
    </font>
    <font>
      <sz val="10"/>
      <name val="Calibri"/>
      <family val="2"/>
    </font>
    <font>
      <sz val="9"/>
      <name val="Calibri"/>
      <family val="2"/>
    </font>
    <font>
      <b/>
      <sz val="14"/>
      <name val="Calibri"/>
      <family val="2"/>
    </font>
    <font>
      <b/>
      <sz val="9"/>
      <color theme="9" tint="-0.249977111117893"/>
      <name val="Calibri"/>
      <family val="2"/>
    </font>
    <font>
      <b/>
      <sz val="9"/>
      <name val="Calibri"/>
      <family val="2"/>
    </font>
    <font>
      <b/>
      <sz val="11"/>
      <name val="Calibri"/>
      <family val="2"/>
    </font>
    <font>
      <sz val="1"/>
      <color theme="0"/>
      <name val="Calibri"/>
      <family val="2"/>
      <scheme val="minor"/>
    </font>
    <font>
      <b/>
      <sz val="11"/>
      <color indexed="8"/>
      <name val="Calibri"/>
      <family val="2"/>
    </font>
    <font>
      <b/>
      <i/>
      <sz val="11"/>
      <color theme="1"/>
      <name val="Calibri"/>
      <family val="2"/>
      <scheme val="minor"/>
    </font>
    <font>
      <b/>
      <sz val="16"/>
      <color indexed="8"/>
      <name val="Arial"/>
      <family val="2"/>
    </font>
    <font>
      <b/>
      <i/>
      <sz val="11"/>
      <color indexed="8"/>
      <name val="Calibri"/>
      <family val="2"/>
    </font>
    <font>
      <b/>
      <u/>
      <sz val="11"/>
      <color indexed="8"/>
      <name val="Calibri"/>
      <family val="2"/>
    </font>
    <font>
      <b/>
      <sz val="10"/>
      <name val="Arial"/>
      <family val="2"/>
    </font>
    <font>
      <i/>
      <sz val="10"/>
      <name val="Arial"/>
      <family val="2"/>
    </font>
    <font>
      <u/>
      <sz val="10"/>
      <name val="Arial"/>
      <family val="2"/>
    </font>
    <font>
      <b/>
      <sz val="14"/>
      <name val="Arial"/>
      <family val="2"/>
    </font>
    <font>
      <b/>
      <i/>
      <sz val="10"/>
      <name val="Arial"/>
      <family val="2"/>
    </font>
    <font>
      <b/>
      <sz val="18"/>
      <color indexed="8"/>
      <name val="Arial"/>
      <family val="2"/>
    </font>
    <font>
      <sz val="11"/>
      <color indexed="8"/>
      <name val="Arial"/>
      <family val="2"/>
    </font>
    <font>
      <i/>
      <sz val="10"/>
      <color indexed="8"/>
      <name val="Arial"/>
      <family val="2"/>
    </font>
    <font>
      <sz val="11"/>
      <name val="Arial"/>
      <family val="2"/>
    </font>
    <font>
      <sz val="11"/>
      <name val="Calibri"/>
      <family val="2"/>
    </font>
    <font>
      <b/>
      <sz val="11"/>
      <name val="Arial"/>
      <family val="2"/>
    </font>
    <font>
      <b/>
      <sz val="10"/>
      <color indexed="10"/>
      <name val="Arial"/>
      <family val="2"/>
    </font>
    <font>
      <sz val="14"/>
      <name val="Arial"/>
      <family val="2"/>
    </font>
    <font>
      <b/>
      <sz val="9"/>
      <name val="Arial"/>
      <family val="2"/>
    </font>
    <font>
      <b/>
      <sz val="12"/>
      <name val="Arial"/>
      <family val="2"/>
    </font>
    <font>
      <b/>
      <i/>
      <sz val="9"/>
      <name val="Arial"/>
      <family val="2"/>
    </font>
    <font>
      <sz val="9"/>
      <name val="Arial"/>
      <family val="2"/>
    </font>
    <font>
      <sz val="9"/>
      <color indexed="8"/>
      <name val="Arial"/>
      <family val="2"/>
    </font>
    <font>
      <u/>
      <sz val="9"/>
      <color indexed="8"/>
      <name val="Arial"/>
      <family val="2"/>
    </font>
    <font>
      <i/>
      <sz val="9"/>
      <color indexed="8"/>
      <name val="Arial"/>
      <family val="2"/>
    </font>
    <font>
      <vertAlign val="superscript"/>
      <sz val="9"/>
      <color indexed="8"/>
      <name val="Arial"/>
      <family val="2"/>
    </font>
    <font>
      <sz val="9"/>
      <color indexed="10"/>
      <name val="Arial"/>
      <family val="2"/>
    </font>
    <font>
      <b/>
      <sz val="11"/>
      <color indexed="10"/>
      <name val="Calibri"/>
      <family val="2"/>
    </font>
    <font>
      <i/>
      <sz val="9"/>
      <name val="Arial"/>
      <family val="2"/>
    </font>
    <font>
      <sz val="9"/>
      <name val="Times New Roman"/>
      <family val="1"/>
    </font>
    <font>
      <b/>
      <sz val="9"/>
      <name val="Times New Roman"/>
      <family val="1"/>
    </font>
    <font>
      <b/>
      <sz val="8"/>
      <color indexed="8"/>
      <name val="Arial"/>
      <family val="2"/>
    </font>
    <font>
      <b/>
      <sz val="8"/>
      <name val="Arial"/>
      <family val="2"/>
    </font>
    <font>
      <sz val="8"/>
      <name val="Arial"/>
      <family val="2"/>
    </font>
    <font>
      <sz val="8"/>
      <color indexed="8"/>
      <name val="Arial"/>
      <family val="2"/>
    </font>
    <font>
      <b/>
      <u/>
      <sz val="8"/>
      <color indexed="8"/>
      <name val="Arial"/>
      <family val="2"/>
    </font>
    <font>
      <b/>
      <vertAlign val="superscript"/>
      <sz val="8"/>
      <name val="Arial"/>
      <family val="2"/>
    </font>
    <font>
      <b/>
      <sz val="8"/>
      <color indexed="9"/>
      <name val="Arial"/>
      <family val="2"/>
    </font>
    <font>
      <sz val="12"/>
      <color indexed="8"/>
      <name val="Arial"/>
      <family val="2"/>
    </font>
    <font>
      <b/>
      <sz val="24"/>
      <color indexed="10"/>
      <name val="Calibri"/>
      <family val="2"/>
    </font>
    <font>
      <b/>
      <i/>
      <sz val="14"/>
      <name val="Arial"/>
      <family val="2"/>
    </font>
    <font>
      <b/>
      <vertAlign val="superscript"/>
      <sz val="14"/>
      <name val="Arial"/>
      <family val="2"/>
    </font>
    <font>
      <sz val="14"/>
      <color indexed="8"/>
      <name val="Calibri"/>
      <family val="2"/>
    </font>
    <font>
      <b/>
      <sz val="14"/>
      <color rgb="FFFF0000"/>
      <name val="Arial"/>
      <family val="2"/>
    </font>
    <font>
      <sz val="12"/>
      <name val="Arial"/>
      <family val="2"/>
    </font>
    <font>
      <sz val="20"/>
      <name val="Wingdings"/>
      <charset val="2"/>
    </font>
    <font>
      <sz val="10"/>
      <color indexed="12"/>
      <name val="Arial"/>
      <family val="2"/>
    </font>
    <font>
      <b/>
      <sz val="10"/>
      <color rgb="FFFF0000"/>
      <name val="Arial"/>
      <family val="2"/>
    </font>
    <font>
      <vertAlign val="superscript"/>
      <sz val="10"/>
      <name val="Arial"/>
      <family val="2"/>
    </font>
    <font>
      <sz val="10"/>
      <color rgb="FFFF0000"/>
      <name val="Arial"/>
      <family val="2"/>
    </font>
    <font>
      <b/>
      <u/>
      <sz val="10"/>
      <name val="Arial"/>
      <family val="2"/>
    </font>
    <font>
      <b/>
      <sz val="11"/>
      <color indexed="8"/>
      <name val="Arial"/>
      <family val="2"/>
    </font>
    <font>
      <sz val="12"/>
      <name val="Times New Roman"/>
      <family val="1"/>
    </font>
    <font>
      <sz val="16"/>
      <name val="Arial"/>
      <family val="2"/>
    </font>
    <font>
      <b/>
      <sz val="16"/>
      <name val="Arial"/>
      <family val="2"/>
    </font>
    <font>
      <sz val="10"/>
      <name val="Times New Roman"/>
      <family val="1"/>
    </font>
    <font>
      <vertAlign val="subscript"/>
      <sz val="10"/>
      <name val="Arial"/>
      <family val="2"/>
    </font>
    <font>
      <sz val="10"/>
      <name val="MS Sans Serif"/>
      <family val="2"/>
    </font>
    <font>
      <sz val="10"/>
      <color theme="1"/>
      <name val="Arial"/>
      <family val="2"/>
    </font>
    <font>
      <b/>
      <u/>
      <sz val="9"/>
      <name val="Calibri"/>
      <family val="2"/>
    </font>
    <font>
      <i/>
      <sz val="11"/>
      <name val="Calibri"/>
      <family val="2"/>
    </font>
    <font>
      <i/>
      <sz val="9"/>
      <name val="Calibri"/>
      <family val="2"/>
    </font>
    <font>
      <i/>
      <sz val="11"/>
      <name val="Arial"/>
      <family val="2"/>
    </font>
    <font>
      <b/>
      <sz val="9"/>
      <color theme="5" tint="-0.499984740745262"/>
      <name val="Calibri"/>
      <family val="2"/>
      <scheme val="minor"/>
    </font>
    <font>
      <sz val="9"/>
      <color theme="0"/>
      <name val="Calibri"/>
      <family val="2"/>
      <scheme val="minor"/>
    </font>
    <font>
      <sz val="9"/>
      <color theme="5" tint="-0.499984740745262"/>
      <name val="Calibri"/>
      <family val="2"/>
      <scheme val="minor"/>
    </font>
    <font>
      <b/>
      <sz val="9"/>
      <color theme="0" tint="-0.499984740745262"/>
      <name val="Calibri"/>
      <family val="2"/>
      <scheme val="minor"/>
    </font>
    <font>
      <sz val="9"/>
      <color theme="0" tint="-0.499984740745262"/>
      <name val="Calibri"/>
      <family val="2"/>
      <scheme val="minor"/>
    </font>
    <font>
      <sz val="9"/>
      <color rgb="FFFF0000"/>
      <name val="Calibri"/>
      <family val="2"/>
      <scheme val="minor"/>
    </font>
    <font>
      <b/>
      <i/>
      <u/>
      <sz val="9"/>
      <color rgb="FFFF0000"/>
      <name val="Calibri"/>
      <family val="2"/>
      <scheme val="minor"/>
    </font>
    <font>
      <sz val="9"/>
      <color theme="0" tint="-0.249977111117893"/>
      <name val="Calibri"/>
      <family val="2"/>
      <scheme val="minor"/>
    </font>
    <font>
      <b/>
      <sz val="9"/>
      <color theme="0" tint="-0.249977111117893"/>
      <name val="Calibri"/>
      <family val="2"/>
      <scheme val="minor"/>
    </font>
  </fonts>
  <fills count="67">
    <fill>
      <patternFill patternType="none"/>
    </fill>
    <fill>
      <patternFill patternType="gray125"/>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13"/>
        <bgColor indexed="64"/>
      </patternFill>
    </fill>
    <fill>
      <patternFill patternType="solid">
        <fgColor indexed="29"/>
        <bgColor indexed="64"/>
      </patternFill>
    </fill>
    <fill>
      <patternFill patternType="solid">
        <fgColor theme="5" tint="0.79998168889431442"/>
        <bgColor indexed="64"/>
      </patternFill>
    </fill>
    <fill>
      <patternFill patternType="lightUp">
        <bgColor theme="0" tint="-4.9989318521683403E-2"/>
      </patternFill>
    </fill>
    <fill>
      <patternFill patternType="solid">
        <fgColor theme="0" tint="-4.9989318521683403E-2"/>
        <bgColor indexed="64"/>
      </patternFill>
    </fill>
    <fill>
      <patternFill patternType="solid">
        <fgColor theme="6" tint="0.79998168889431442"/>
        <bgColor indexed="64"/>
      </patternFill>
    </fill>
    <fill>
      <patternFill patternType="lightUp">
        <fgColor theme="0" tint="-0.34998626667073579"/>
        <bgColor indexed="65"/>
      </patternFill>
    </fill>
    <fill>
      <patternFill patternType="lightUp">
        <fgColor theme="0" tint="-0.34998626667073579"/>
        <bgColor theme="0"/>
      </patternFill>
    </fill>
    <fill>
      <patternFill patternType="solid">
        <fgColor indexed="65"/>
        <bgColor theme="0" tint="-0.34998626667073579"/>
      </patternFill>
    </fill>
    <fill>
      <patternFill patternType="solid">
        <fgColor indexed="65"/>
        <bgColor indexed="64"/>
      </patternFill>
    </fill>
    <fill>
      <patternFill patternType="solid">
        <fgColor theme="6" tint="0.39994506668294322"/>
        <bgColor theme="0"/>
      </patternFill>
    </fill>
    <fill>
      <patternFill patternType="solid">
        <fgColor indexed="9"/>
        <bgColor indexed="64"/>
      </patternFill>
    </fill>
    <fill>
      <patternFill patternType="solid">
        <fgColor indexed="22"/>
        <bgColor indexed="64"/>
      </patternFill>
    </fill>
    <fill>
      <patternFill patternType="solid">
        <fgColor theme="0" tint="-0.14999847407452621"/>
        <bgColor indexed="64"/>
      </patternFill>
    </fill>
    <fill>
      <patternFill patternType="solid">
        <fgColor indexed="53"/>
        <bgColor indexed="64"/>
      </patternFill>
    </fill>
    <fill>
      <patternFill patternType="solid">
        <fgColor rgb="FF33CCCC"/>
        <bgColor indexed="64"/>
      </patternFill>
    </fill>
    <fill>
      <patternFill patternType="solid">
        <fgColor indexed="40"/>
        <bgColor indexed="64"/>
      </patternFill>
    </fill>
    <fill>
      <patternFill patternType="solid">
        <fgColor indexed="42"/>
        <bgColor indexed="64"/>
      </patternFill>
    </fill>
    <fill>
      <patternFill patternType="solid">
        <fgColor indexed="11"/>
        <bgColor indexed="64"/>
      </patternFill>
    </fill>
    <fill>
      <patternFill patternType="solid">
        <fgColor rgb="FF006600"/>
        <bgColor indexed="64"/>
      </patternFill>
    </fill>
    <fill>
      <patternFill patternType="solid">
        <fgColor indexed="49"/>
        <bgColor indexed="64"/>
      </patternFill>
    </fill>
    <fill>
      <patternFill patternType="solid">
        <fgColor rgb="FF0099FF"/>
        <bgColor indexed="64"/>
      </patternFill>
    </fill>
    <fill>
      <patternFill patternType="solid">
        <fgColor indexed="43"/>
        <bgColor indexed="64"/>
      </patternFill>
    </fill>
    <fill>
      <patternFill patternType="solid">
        <fgColor rgb="FFFF6600"/>
        <bgColor indexed="64"/>
      </patternFill>
    </fill>
    <fill>
      <patternFill patternType="solid">
        <fgColor indexed="30"/>
        <bgColor indexed="64"/>
      </patternFill>
    </fill>
    <fill>
      <patternFill patternType="solid">
        <fgColor rgb="FF0066CC"/>
        <bgColor indexed="64"/>
      </patternFill>
    </fill>
    <fill>
      <patternFill patternType="solid">
        <fgColor rgb="FF0033CC"/>
        <bgColor indexed="64"/>
      </patternFill>
    </fill>
    <fill>
      <patternFill patternType="solid">
        <fgColor indexed="62"/>
        <bgColor indexed="64"/>
      </patternFill>
    </fill>
    <fill>
      <patternFill patternType="solid">
        <fgColor indexed="52"/>
        <bgColor indexed="64"/>
      </patternFill>
    </fill>
    <fill>
      <patternFill patternType="solid">
        <fgColor indexed="44"/>
        <bgColor indexed="64"/>
      </patternFill>
    </fill>
    <fill>
      <patternFill patternType="solid">
        <fgColor indexed="15"/>
        <bgColor indexed="64"/>
      </patternFill>
    </fill>
    <fill>
      <patternFill patternType="solid">
        <fgColor indexed="49"/>
        <bgColor indexed="9"/>
      </patternFill>
    </fill>
    <fill>
      <patternFill patternType="solid">
        <fgColor indexed="50"/>
        <bgColor indexed="64"/>
      </patternFill>
    </fill>
    <fill>
      <patternFill patternType="solid">
        <fgColor indexed="9"/>
        <bgColor indexed="9"/>
      </patternFill>
    </fill>
    <fill>
      <patternFill patternType="lightUp">
        <fgColor theme="0" tint="-0.34998626667073579"/>
        <bgColor theme="6" tint="0.39997558519241921"/>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bgColor theme="0"/>
      </patternFill>
    </fill>
  </fills>
  <borders count="16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hair">
        <color indexed="64"/>
      </left>
      <right style="thin">
        <color indexed="64"/>
      </right>
      <top/>
      <bottom/>
      <diagonal/>
    </border>
    <border>
      <left style="thin">
        <color indexed="22"/>
      </left>
      <right/>
      <top/>
      <bottom style="thin">
        <color indexed="22"/>
      </bottom>
      <diagonal/>
    </border>
    <border>
      <left style="thin">
        <color indexed="22"/>
      </left>
      <right/>
      <top/>
      <bottom/>
      <diagonal/>
    </border>
    <border>
      <left style="thin">
        <color indexed="64"/>
      </left>
      <right/>
      <top/>
      <bottom style="hair">
        <color indexed="64"/>
      </bottom>
      <diagonal/>
    </border>
    <border>
      <left/>
      <right/>
      <top style="thin">
        <color indexed="23"/>
      </top>
      <bottom style="thin">
        <color indexed="12"/>
      </bottom>
      <diagonal/>
    </border>
    <border>
      <left/>
      <right/>
      <top style="thin">
        <color indexed="21"/>
      </top>
      <bottom/>
      <diagonal/>
    </border>
    <border>
      <left style="hair">
        <color indexed="64"/>
      </left>
      <right/>
      <top/>
      <bottom style="hair">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22"/>
      </left>
      <right/>
      <top/>
      <bottom style="thin">
        <color indexed="22"/>
      </bottom>
      <diagonal/>
    </border>
    <border>
      <left style="thin">
        <color indexed="22"/>
      </left>
      <right/>
      <top/>
      <bottom style="thin">
        <color indexed="22"/>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bottom style="dashDotDot">
        <color indexed="64"/>
      </bottom>
      <diagonal/>
    </border>
    <border>
      <left style="dashDotDot">
        <color indexed="64"/>
      </left>
      <right style="dashDotDot">
        <color indexed="64"/>
      </right>
      <top style="dashDotDot">
        <color indexed="64"/>
      </top>
      <bottom style="dashDotDot">
        <color indexed="64"/>
      </bottom>
      <diagonal/>
    </border>
    <border>
      <left style="dashDotDot">
        <color indexed="64"/>
      </left>
      <right style="dashDotDot">
        <color indexed="64"/>
      </right>
      <top style="dashDotDot">
        <color indexed="64"/>
      </top>
      <bottom/>
      <diagonal/>
    </border>
    <border>
      <left/>
      <right style="dashDotDot">
        <color indexed="64"/>
      </right>
      <top style="dashDotDot">
        <color indexed="64"/>
      </top>
      <bottom style="dashDotDot">
        <color indexed="64"/>
      </bottom>
      <diagonal/>
    </border>
    <border>
      <left style="dashDotDot">
        <color indexed="64"/>
      </left>
      <right/>
      <top style="dashDotDot">
        <color indexed="64"/>
      </top>
      <bottom style="dashDotDot">
        <color indexed="64"/>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right style="dashDotDot">
        <color indexed="64"/>
      </right>
      <top style="thin">
        <color indexed="64"/>
      </top>
      <bottom style="thin">
        <color indexed="64"/>
      </bottom>
      <diagonal/>
    </border>
    <border>
      <left style="dashDotDot">
        <color indexed="64"/>
      </left>
      <right style="dashDotDot">
        <color indexed="64"/>
      </right>
      <top/>
      <bottom style="dashDotDot">
        <color indexed="64"/>
      </bottom>
      <diagonal/>
    </border>
    <border>
      <left/>
      <right style="dashDotDot">
        <color indexed="64"/>
      </right>
      <top/>
      <bottom/>
      <diagonal/>
    </border>
    <border>
      <left/>
      <right style="dashDotDot">
        <color indexed="64"/>
      </right>
      <top/>
      <bottom style="thin">
        <color indexed="64"/>
      </bottom>
      <diagonal/>
    </border>
    <border>
      <left/>
      <right style="dashDotDot">
        <color indexed="64"/>
      </right>
      <top style="thin">
        <color indexed="64"/>
      </top>
      <bottom/>
      <diagonal/>
    </border>
    <border>
      <left/>
      <right/>
      <top style="dashDotDot">
        <color indexed="64"/>
      </top>
      <bottom style="dashDotDot">
        <color indexed="64"/>
      </bottom>
      <diagonal/>
    </border>
    <border>
      <left/>
      <right/>
      <top style="dashDotDot">
        <color indexed="64"/>
      </top>
      <bottom style="thin">
        <color indexed="64"/>
      </bottom>
      <diagonal/>
    </border>
    <border>
      <left/>
      <right/>
      <top/>
      <bottom style="thin">
        <color auto="1"/>
      </bottom>
      <diagonal/>
    </border>
    <border>
      <left style="medium">
        <color indexed="64"/>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indexed="64"/>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theme="0" tint="-0.499984740745262"/>
      </right>
      <top style="thin">
        <color indexed="64"/>
      </top>
      <bottom style="thin">
        <color indexed="64"/>
      </bottom>
      <diagonal/>
    </border>
    <border>
      <left style="medium">
        <color theme="0" tint="-0.24994659260841701"/>
      </left>
      <right/>
      <top style="medium">
        <color indexed="64"/>
      </top>
      <bottom style="medium">
        <color theme="0" tint="-0.24994659260841701"/>
      </bottom>
      <diagonal/>
    </border>
    <border>
      <left/>
      <right/>
      <top style="medium">
        <color indexed="64"/>
      </top>
      <bottom style="medium">
        <color theme="0" tint="-0.24994659260841701"/>
      </bottom>
      <diagonal/>
    </border>
    <border>
      <left/>
      <right style="medium">
        <color theme="0" tint="-0.24994659260841701"/>
      </right>
      <top style="medium">
        <color indexed="64"/>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thin">
        <color theme="0" tint="-0.24994659260841701"/>
      </left>
      <right style="thin">
        <color theme="0" tint="-0.14996795556505021"/>
      </right>
      <top style="medium">
        <color theme="0" tint="-0.24994659260841701"/>
      </top>
      <bottom style="thin">
        <color theme="0" tint="-0.14996795556505021"/>
      </bottom>
      <diagonal/>
    </border>
    <border>
      <left style="thin">
        <color theme="0" tint="-0.14996795556505021"/>
      </left>
      <right style="thin">
        <color theme="0" tint="-0.14996795556505021"/>
      </right>
      <top style="medium">
        <color theme="0" tint="-0.24994659260841701"/>
      </top>
      <bottom style="thin">
        <color theme="0" tint="-0.14996795556505021"/>
      </bottom>
      <diagonal/>
    </border>
    <border>
      <left style="thin">
        <color theme="0" tint="-0.14996795556505021"/>
      </left>
      <right style="medium">
        <color theme="0" tint="-0.24994659260841701"/>
      </right>
      <top style="medium">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theme="0" tint="-0.24994659260841701"/>
      </right>
      <top style="thin">
        <color theme="0" tint="-0.14996795556505021"/>
      </top>
      <bottom style="thin">
        <color theme="0" tint="-0.14996795556505021"/>
      </bottom>
      <diagonal/>
    </border>
    <border>
      <left style="thin">
        <color theme="0" tint="-0.24994659260841701"/>
      </left>
      <right style="thin">
        <color theme="0" tint="-0.14996795556505021"/>
      </right>
      <top style="thin">
        <color theme="0" tint="-0.14996795556505021"/>
      </top>
      <bottom style="medium">
        <color theme="0" tint="-0.24994659260841701"/>
      </bottom>
      <diagonal/>
    </border>
    <border>
      <left style="thin">
        <color theme="0" tint="-0.14996795556505021"/>
      </left>
      <right style="thin">
        <color theme="0" tint="-0.14996795556505021"/>
      </right>
      <top style="thin">
        <color theme="0" tint="-0.14996795556505021"/>
      </top>
      <bottom style="medium">
        <color theme="0" tint="-0.24994659260841701"/>
      </bottom>
      <diagonal/>
    </border>
    <border>
      <left style="thin">
        <color theme="0" tint="-0.14996795556505021"/>
      </left>
      <right style="medium">
        <color theme="0" tint="-0.24994659260841701"/>
      </right>
      <top style="thin">
        <color theme="0" tint="-0.14996795556505021"/>
      </top>
      <bottom style="medium">
        <color theme="0" tint="-0.24994659260841701"/>
      </bottom>
      <diagonal/>
    </border>
    <border>
      <left style="thin">
        <color theme="0" tint="-0.14996795556505021"/>
      </left>
      <right style="thin">
        <color theme="0" tint="-0.24994659260841701"/>
      </right>
      <top style="medium">
        <color theme="0" tint="-0.24994659260841701"/>
      </top>
      <bottom style="thin">
        <color theme="0" tint="-0.14996795556505021"/>
      </bottom>
      <diagonal/>
    </border>
    <border>
      <left style="thin">
        <color theme="0" tint="-0.14996795556505021"/>
      </left>
      <right style="thin">
        <color theme="0" tint="-0.24994659260841701"/>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0" tint="-0.14996795556505021"/>
      </top>
      <bottom style="medium">
        <color theme="0" tint="-0.24994659260841701"/>
      </bottom>
      <diagonal/>
    </border>
    <border>
      <left/>
      <right style="thin">
        <color theme="0" tint="-0.14996795556505021"/>
      </right>
      <top style="thin">
        <color theme="0" tint="-0.14996795556505021"/>
      </top>
      <bottom style="thin">
        <color theme="0" tint="-0.14996795556505021"/>
      </bottom>
      <diagonal/>
    </border>
    <border>
      <left style="medium">
        <color theme="0" tint="-0.24994659260841701"/>
      </left>
      <right style="thin">
        <color theme="0" tint="-0.14996795556505021"/>
      </right>
      <top style="medium">
        <color theme="0" tint="-0.24994659260841701"/>
      </top>
      <bottom/>
      <diagonal/>
    </border>
    <border>
      <left style="thin">
        <color theme="0" tint="-0.14996795556505021"/>
      </left>
      <right style="thin">
        <color theme="0" tint="-0.14996795556505021"/>
      </right>
      <top style="medium">
        <color theme="0" tint="-0.24994659260841701"/>
      </top>
      <bottom/>
      <diagonal/>
    </border>
    <border>
      <left style="medium">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medium">
        <color theme="0" tint="-0.24994659260841701"/>
      </left>
      <right style="thin">
        <color theme="0" tint="-0.34998626667073579"/>
      </right>
      <top style="medium">
        <color theme="0" tint="-0.24994659260841701"/>
      </top>
      <bottom style="thin">
        <color theme="0" tint="-0.34998626667073579"/>
      </bottom>
      <diagonal/>
    </border>
    <border>
      <left style="thin">
        <color theme="0" tint="-0.34998626667073579"/>
      </left>
      <right style="medium">
        <color theme="0" tint="-0.24994659260841701"/>
      </right>
      <top style="medium">
        <color theme="0" tint="-0.24994659260841701"/>
      </top>
      <bottom style="thin">
        <color theme="0" tint="-0.34998626667073579"/>
      </bottom>
      <diagonal/>
    </border>
    <border>
      <left style="medium">
        <color theme="0" tint="-0.24994659260841701"/>
      </left>
      <right style="thin">
        <color theme="0" tint="-0.34998626667073579"/>
      </right>
      <top style="thin">
        <color theme="0" tint="-0.34998626667073579"/>
      </top>
      <bottom style="medium">
        <color theme="0" tint="-0.24994659260841701"/>
      </bottom>
      <diagonal/>
    </border>
    <border>
      <left style="thin">
        <color theme="0" tint="-0.34998626667073579"/>
      </left>
      <right style="medium">
        <color theme="0" tint="-0.24994659260841701"/>
      </right>
      <top style="thin">
        <color theme="0" tint="-0.34998626667073579"/>
      </top>
      <bottom style="medium">
        <color theme="0" tint="-0.24994659260841701"/>
      </bottom>
      <diagonal/>
    </border>
    <border>
      <left/>
      <right style="thin">
        <color theme="0" tint="-0.24994659260841701"/>
      </right>
      <top style="thin">
        <color theme="0" tint="-0.14996795556505021"/>
      </top>
      <bottom style="thin">
        <color theme="0" tint="-0.14996795556505021"/>
      </bottom>
      <diagonal/>
    </border>
    <border>
      <left style="medium">
        <color theme="0" tint="-0.2499465926084170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medium">
        <color theme="0" tint="-0.24994659260841701"/>
      </left>
      <right style="thin">
        <color theme="0" tint="-0.14996795556505021"/>
      </right>
      <top/>
      <bottom/>
      <diagonal/>
    </border>
    <border>
      <left style="thin">
        <color theme="0" tint="-0.14996795556505021"/>
      </left>
      <right style="thin">
        <color theme="0" tint="-0.14996795556505021"/>
      </right>
      <top/>
      <bottom/>
      <diagonal/>
    </border>
    <border>
      <left style="medium">
        <color theme="0" tint="-0.24994659260841701"/>
      </left>
      <right style="thin">
        <color theme="0" tint="-0.14996795556505021"/>
      </right>
      <top/>
      <bottom style="medium">
        <color theme="0" tint="-0.24994659260841701"/>
      </bottom>
      <diagonal/>
    </border>
    <border>
      <left style="thin">
        <color theme="0" tint="-0.14996795556505021"/>
      </left>
      <right style="thin">
        <color theme="0" tint="-0.14996795556505021"/>
      </right>
      <top/>
      <bottom style="medium">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s>
  <cellStyleXfs count="622">
    <xf numFmtId="0" fontId="0" fillId="0" borderId="0"/>
    <xf numFmtId="9" fontId="12"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21" borderId="52" applyNumberFormat="0" applyAlignment="0" applyProtection="0"/>
    <xf numFmtId="0" fontId="19" fillId="22" borderId="5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54" applyNumberFormat="0" applyFill="0" applyAlignment="0" applyProtection="0"/>
    <xf numFmtId="0" fontId="23" fillId="0" borderId="55" applyNumberFormat="0" applyFill="0" applyAlignment="0" applyProtection="0"/>
    <xf numFmtId="0" fontId="24" fillId="0" borderId="56" applyNumberFormat="0" applyFill="0" applyAlignment="0" applyProtection="0"/>
    <xf numFmtId="0" fontId="24" fillId="0" borderId="0" applyNumberFormat="0" applyFill="0" applyBorder="0" applyAlignment="0" applyProtection="0"/>
    <xf numFmtId="0" fontId="25" fillId="8" borderId="52" applyNumberFormat="0" applyAlignment="0" applyProtection="0"/>
    <xf numFmtId="0" fontId="26" fillId="0" borderId="57" applyNumberFormat="0" applyFill="0" applyAlignment="0" applyProtection="0"/>
    <xf numFmtId="0" fontId="27" fillId="23" borderId="0" applyNumberFormat="0" applyBorder="0" applyAlignment="0" applyProtection="0"/>
    <xf numFmtId="0" fontId="13" fillId="0" borderId="0"/>
    <xf numFmtId="0" fontId="13" fillId="24" borderId="58" applyNumberFormat="0" applyFont="0" applyAlignment="0" applyProtection="0"/>
    <xf numFmtId="0" fontId="28" fillId="21" borderId="59" applyNumberFormat="0" applyAlignment="0" applyProtection="0"/>
    <xf numFmtId="9" fontId="13" fillId="0" borderId="0" applyFont="0" applyFill="0" applyBorder="0" applyAlignment="0" applyProtection="0"/>
    <xf numFmtId="0" fontId="29" fillId="0" borderId="0" applyNumberFormat="0" applyFill="0" applyBorder="0" applyAlignment="0" applyProtection="0"/>
    <xf numFmtId="0" fontId="30" fillId="0" borderId="60" applyNumberFormat="0" applyFill="0" applyAlignment="0" applyProtection="0"/>
    <xf numFmtId="0" fontId="15" fillId="0" borderId="0" applyNumberFormat="0" applyFill="0" applyBorder="0" applyAlignment="0" applyProtection="0"/>
    <xf numFmtId="0" fontId="13" fillId="0" borderId="0"/>
    <xf numFmtId="9" fontId="13" fillId="0" borderId="0" applyFont="0" applyFill="0" applyBorder="0" applyAlignment="0" applyProtection="0"/>
    <xf numFmtId="44" fontId="12"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10" fontId="36" fillId="0" borderId="71" applyFont="0" applyFill="0" applyBorder="0" applyAlignment="0" applyProtection="0">
      <alignment horizontal="right"/>
    </xf>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3" fontId="37" fillId="0" borderId="0" applyNumberFormat="0" applyFill="0" applyBorder="0" applyAlignment="0" applyProtection="0"/>
    <xf numFmtId="3" fontId="38" fillId="0" borderId="0" applyNumberFormat="0" applyFill="0" applyBorder="0" applyAlignment="0" applyProtection="0"/>
    <xf numFmtId="166" fontId="36" fillId="0" borderId="72" applyNumberFormat="0" applyFont="0" applyFill="0" applyAlignment="0">
      <protection locked="0"/>
    </xf>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Border="0" applyAlignment="0">
      <alignment horizontal="center"/>
    </xf>
    <xf numFmtId="171" fontId="13" fillId="0" borderId="0" applyFont="0" applyBorder="0" applyAlignment="0">
      <alignment horizont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9" fillId="0" borderId="0" applyNumberFormat="0" applyFill="0" applyBorder="0" applyAlignment="0" applyProtection="0">
      <alignment vertical="top"/>
      <protection locked="0"/>
    </xf>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4" fontId="37" fillId="28" borderId="73" applyNumberFormat="0" applyFont="0" applyBorder="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172" fontId="13" fillId="0" borderId="41" applyFont="0" applyFill="0" applyBorder="0" applyAlignment="0" applyProtection="0">
      <alignment horizontal="center"/>
    </xf>
    <xf numFmtId="172" fontId="13" fillId="0" borderId="41" applyFont="0" applyFill="0" applyBorder="0" applyAlignment="0" applyProtection="0">
      <alignment horizontal="center"/>
    </xf>
    <xf numFmtId="3" fontId="36" fillId="29" borderId="73" applyNumberFormat="0" applyFont="0" applyBorder="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10" fontId="36" fillId="30" borderId="0" applyNumberFormat="0" applyFont="0" applyBorder="0" applyAlignment="0" applyProtection="0"/>
    <xf numFmtId="3" fontId="40" fillId="0" borderId="74" applyNumberFormat="0" applyFill="0" applyBorder="0" applyAlignment="0" applyProtection="0">
      <protection locked="0"/>
    </xf>
    <xf numFmtId="165" fontId="37" fillId="0" borderId="75" applyNumberFormat="0" applyFon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3" fontId="36" fillId="0" borderId="76" applyNumberFormat="0" applyFont="0" applyFill="0" applyAlignment="0" applyProtection="0">
      <alignment horizontal="right"/>
    </xf>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41" fillId="0" borderId="77" applyNumberFormat="0" applyFont="0" applyFill="0" applyAlignment="0">
      <protection locked="0"/>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3" fontId="12" fillId="0" borderId="0" applyFont="0" applyFill="0" applyBorder="0" applyAlignment="0" applyProtection="0"/>
    <xf numFmtId="0" fontId="12" fillId="0" borderId="0"/>
    <xf numFmtId="0" fontId="48" fillId="0" borderId="0" applyNumberFormat="0" applyFill="0" applyBorder="0" applyAlignment="0" applyProtection="0">
      <alignment vertical="top"/>
      <protection locked="0"/>
    </xf>
    <xf numFmtId="0" fontId="49" fillId="0" borderId="0"/>
    <xf numFmtId="44" fontId="13" fillId="0" borderId="0" applyFont="0" applyFill="0" applyBorder="0" applyAlignment="0" applyProtection="0"/>
    <xf numFmtId="166" fontId="36" fillId="0" borderId="96" applyNumberFormat="0" applyFont="0" applyFill="0" applyAlignment="0">
      <protection locked="0"/>
    </xf>
    <xf numFmtId="166" fontId="36" fillId="0" borderId="95" applyNumberFormat="0" applyFont="0" applyFill="0" applyAlignment="0">
      <protection locked="0"/>
    </xf>
    <xf numFmtId="0" fontId="13" fillId="0" borderId="0"/>
    <xf numFmtId="0" fontId="35" fillId="0" borderId="0"/>
    <xf numFmtId="0" fontId="129" fillId="0" borderId="0"/>
    <xf numFmtId="0" fontId="35" fillId="0" borderId="0"/>
    <xf numFmtId="44" fontId="13" fillId="0" borderId="0" applyFont="0" applyFill="0" applyBorder="0" applyAlignment="0" applyProtection="0"/>
  </cellStyleXfs>
  <cellXfs count="2823">
    <xf numFmtId="0" fontId="0" fillId="0" borderId="0" xfId="0"/>
    <xf numFmtId="0" fontId="6" fillId="2" borderId="4" xfId="0" applyFont="1" applyFill="1" applyBorder="1" applyAlignment="1">
      <alignment vertical="center" textRotation="90" wrapText="1"/>
    </xf>
    <xf numFmtId="0" fontId="2" fillId="2" borderId="21" xfId="0" applyNumberFormat="1" applyFont="1" applyFill="1" applyBorder="1" applyAlignment="1" applyProtection="1">
      <alignment horizontal="left" wrapText="1"/>
    </xf>
    <xf numFmtId="0" fontId="7" fillId="0" borderId="13"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5" fillId="0" borderId="10" xfId="0" applyNumberFormat="1" applyFont="1" applyFill="1" applyBorder="1" applyAlignment="1" applyProtection="1">
      <alignment horizontal="left" vertical="top" wrapText="1"/>
    </xf>
    <xf numFmtId="0" fontId="0" fillId="0" borderId="0" xfId="0" applyBorder="1"/>
    <xf numFmtId="0" fontId="2" fillId="0" borderId="13" xfId="0" applyNumberFormat="1" applyFont="1" applyFill="1" applyBorder="1" applyAlignment="1" applyProtection="1">
      <alignment horizontal="center" wrapText="1"/>
    </xf>
    <xf numFmtId="0" fontId="2" fillId="0" borderId="29"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10" fillId="0" borderId="0" xfId="0" applyFont="1"/>
    <xf numFmtId="0" fontId="0" fillId="0" borderId="0" xfId="0" applyFont="1"/>
    <xf numFmtId="0" fontId="0" fillId="0" borderId="0" xfId="0" applyFont="1" applyAlignment="1">
      <alignment horizontal="center"/>
    </xf>
    <xf numFmtId="0" fontId="0" fillId="0" borderId="0" xfId="0" applyFont="1" applyFill="1"/>
    <xf numFmtId="0" fontId="2" fillId="25" borderId="29" xfId="0" applyNumberFormat="1" applyFont="1" applyFill="1" applyBorder="1" applyAlignment="1" applyProtection="1">
      <alignment horizontal="center" vertical="center" wrapText="1"/>
    </xf>
    <xf numFmtId="0" fontId="0" fillId="25" borderId="0" xfId="0" applyFill="1"/>
    <xf numFmtId="0" fontId="2" fillId="0" borderId="13" xfId="0" applyNumberFormat="1" applyFont="1" applyFill="1" applyBorder="1" applyAlignment="1" applyProtection="1">
      <alignment horizontal="left" vertical="center" wrapText="1"/>
    </xf>
    <xf numFmtId="0" fontId="2" fillId="25" borderId="1" xfId="0" applyNumberFormat="1" applyFont="1" applyFill="1" applyBorder="1" applyAlignment="1" applyProtection="1">
      <alignment horizontal="center" vertical="center" wrapText="1"/>
    </xf>
    <xf numFmtId="0" fontId="3" fillId="25" borderId="14" xfId="0" applyNumberFormat="1" applyFont="1" applyFill="1" applyBorder="1" applyAlignment="1" applyProtection="1">
      <alignment horizontal="left" vertical="center" wrapText="1"/>
    </xf>
    <xf numFmtId="0" fontId="5" fillId="25" borderId="13" xfId="0" applyNumberFormat="1" applyFont="1" applyFill="1" applyBorder="1" applyAlignment="1" applyProtection="1">
      <alignment horizontal="left" vertical="center" wrapText="1"/>
    </xf>
    <xf numFmtId="0" fontId="2" fillId="25" borderId="9" xfId="0" applyNumberFormat="1" applyFont="1" applyFill="1" applyBorder="1" applyAlignment="1" applyProtection="1">
      <alignment horizontal="center" vertical="center" wrapText="1"/>
    </xf>
    <xf numFmtId="0" fontId="3" fillId="25" borderId="12" xfId="0" applyNumberFormat="1" applyFont="1" applyFill="1" applyBorder="1" applyAlignment="1" applyProtection="1">
      <alignment horizontal="left" vertical="center" wrapText="1"/>
    </xf>
    <xf numFmtId="1" fontId="10" fillId="25" borderId="4" xfId="0" applyNumberFormat="1" applyFont="1" applyFill="1" applyBorder="1" applyAlignment="1">
      <alignment horizontal="center"/>
    </xf>
    <xf numFmtId="9" fontId="5" fillId="25" borderId="13" xfId="0" applyNumberFormat="1" applyFont="1" applyFill="1" applyBorder="1" applyAlignment="1" applyProtection="1">
      <alignment horizontal="left" vertical="center" wrapText="1"/>
    </xf>
    <xf numFmtId="9" fontId="5" fillId="25" borderId="14" xfId="0" applyNumberFormat="1" applyFont="1" applyFill="1" applyBorder="1" applyAlignment="1" applyProtection="1">
      <alignment horizontal="left" vertical="center" wrapText="1"/>
    </xf>
    <xf numFmtId="0" fontId="5" fillId="0" borderId="13" xfId="0" applyNumberFormat="1" applyFont="1" applyFill="1" applyBorder="1" applyAlignment="1" applyProtection="1">
      <alignment horizontal="left" vertical="center" wrapText="1"/>
    </xf>
    <xf numFmtId="0" fontId="2" fillId="0" borderId="1" xfId="0" applyNumberFormat="1" applyFont="1" applyFill="1" applyBorder="1" applyAlignment="1" applyProtection="1">
      <alignment horizontal="center" vertical="center" wrapText="1"/>
    </xf>
    <xf numFmtId="0" fontId="0" fillId="0" borderId="0" xfId="0" applyFont="1" applyBorder="1"/>
    <xf numFmtId="0" fontId="0" fillId="0" borderId="70" xfId="0" applyBorder="1"/>
    <xf numFmtId="0" fontId="6" fillId="2" borderId="0" xfId="0" applyFont="1" applyFill="1" applyAlignment="1">
      <alignment horizontal="center" vertical="center" textRotation="90" wrapText="1"/>
    </xf>
    <xf numFmtId="0" fontId="6" fillId="0" borderId="19" xfId="0" applyFont="1" applyBorder="1" applyAlignment="1">
      <alignment horizontal="left" vertical="top"/>
    </xf>
    <xf numFmtId="0" fontId="0" fillId="0" borderId="14" xfId="0" applyBorder="1" applyAlignment="1">
      <alignment horizontal="center" vertical="center"/>
    </xf>
    <xf numFmtId="0" fontId="13" fillId="0" borderId="0" xfId="0" applyFont="1" applyFill="1" applyBorder="1"/>
    <xf numFmtId="0" fontId="0" fillId="0" borderId="0" xfId="0" applyFont="1" applyFill="1" applyBorder="1"/>
    <xf numFmtId="0" fontId="32" fillId="25" borderId="0" xfId="54" applyFont="1" applyFill="1" applyBorder="1"/>
    <xf numFmtId="170" fontId="2" fillId="0" borderId="1" xfId="1" applyNumberFormat="1" applyFont="1" applyFill="1" applyBorder="1" applyAlignment="1" applyProtection="1">
      <alignment horizontal="center" vertical="center" wrapText="1"/>
    </xf>
    <xf numFmtId="44" fontId="2" fillId="0" borderId="6" xfId="53" applyFont="1" applyFill="1" applyBorder="1" applyAlignment="1" applyProtection="1">
      <alignment horizontal="center" vertical="center" wrapText="1"/>
    </xf>
    <xf numFmtId="44" fontId="2" fillId="25" borderId="1" xfId="53" applyFont="1" applyFill="1" applyBorder="1" applyAlignment="1" applyProtection="1">
      <alignment horizontal="center" vertical="center" wrapText="1"/>
    </xf>
    <xf numFmtId="44" fontId="2" fillId="0" borderId="1" xfId="53" applyFont="1" applyFill="1" applyBorder="1" applyAlignment="1" applyProtection="1">
      <alignment horizontal="center" vertical="center" wrapText="1"/>
    </xf>
    <xf numFmtId="44" fontId="2" fillId="25" borderId="9" xfId="53" applyFont="1" applyFill="1" applyBorder="1" applyAlignment="1" applyProtection="1">
      <alignment horizontal="center" vertical="center" wrapText="1"/>
    </xf>
    <xf numFmtId="165" fontId="2" fillId="0" borderId="6" xfId="0" applyNumberFormat="1" applyFont="1" applyFill="1" applyBorder="1" applyAlignment="1" applyProtection="1">
      <alignment horizontal="center" vertical="center" wrapText="1"/>
    </xf>
    <xf numFmtId="165" fontId="2" fillId="25" borderId="1" xfId="0" applyNumberFormat="1" applyFont="1" applyFill="1" applyBorder="1" applyAlignment="1" applyProtection="1">
      <alignment horizontal="center" vertical="center" wrapText="1"/>
    </xf>
    <xf numFmtId="165" fontId="2" fillId="0" borderId="1" xfId="0" applyNumberFormat="1" applyFont="1" applyFill="1" applyBorder="1" applyAlignment="1" applyProtection="1">
      <alignment horizontal="center" vertical="center" wrapText="1"/>
    </xf>
    <xf numFmtId="165" fontId="2" fillId="25" borderId="9" xfId="0" applyNumberFormat="1" applyFont="1" applyFill="1" applyBorder="1" applyAlignment="1" applyProtection="1">
      <alignment horizontal="center" vertical="center" wrapText="1"/>
    </xf>
    <xf numFmtId="0" fontId="0" fillId="0" borderId="0" xfId="0"/>
    <xf numFmtId="0" fontId="0" fillId="0" borderId="0" xfId="0" applyBorder="1"/>
    <xf numFmtId="0" fontId="2" fillId="0" borderId="29" xfId="0" applyNumberFormat="1" applyFont="1" applyFill="1" applyBorder="1" applyAlignment="1" applyProtection="1">
      <alignment horizontal="center" wrapText="1"/>
    </xf>
    <xf numFmtId="0" fontId="3" fillId="0" borderId="11" xfId="0" applyNumberFormat="1" applyFont="1" applyFill="1" applyBorder="1" applyAlignment="1" applyProtection="1">
      <alignment horizontal="left" vertical="center" wrapText="1"/>
    </xf>
    <xf numFmtId="2" fontId="0" fillId="0" borderId="1" xfId="0" applyNumberFormat="1" applyFont="1" applyBorder="1" applyAlignment="1">
      <alignment horizontal="center"/>
    </xf>
    <xf numFmtId="0" fontId="6" fillId="0" borderId="11" xfId="0" applyFont="1" applyBorder="1" applyAlignment="1">
      <alignment horizontal="left" vertical="center" wrapText="1"/>
    </xf>
    <xf numFmtId="0" fontId="2" fillId="0" borderId="22" xfId="0" applyNumberFormat="1" applyFont="1" applyFill="1" applyBorder="1" applyAlignment="1" applyProtection="1">
      <alignment horizontal="center" vertical="center" wrapText="1"/>
    </xf>
    <xf numFmtId="0" fontId="2" fillId="2" borderId="4" xfId="0" applyNumberFormat="1" applyFont="1" applyFill="1" applyBorder="1" applyAlignment="1" applyProtection="1">
      <alignment horizontal="left" wrapText="1"/>
    </xf>
    <xf numFmtId="0" fontId="5" fillId="2" borderId="4" xfId="0" applyNumberFormat="1" applyFont="1" applyFill="1" applyBorder="1" applyAlignment="1" applyProtection="1">
      <alignment horizontal="center" vertical="center" wrapText="1"/>
    </xf>
    <xf numFmtId="0" fontId="5" fillId="2" borderId="23" xfId="0" applyNumberFormat="1" applyFont="1" applyFill="1" applyBorder="1" applyAlignment="1" applyProtection="1">
      <alignment horizontal="center" vertical="center" wrapText="1"/>
    </xf>
    <xf numFmtId="0" fontId="31" fillId="25" borderId="0"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left" vertical="center" wrapText="1"/>
    </xf>
    <xf numFmtId="0" fontId="2" fillId="2" borderId="70" xfId="0" applyNumberFormat="1" applyFont="1" applyFill="1" applyBorder="1" applyAlignment="1" applyProtection="1">
      <alignment horizontal="left" wrapText="1"/>
    </xf>
    <xf numFmtId="0" fontId="2" fillId="2" borderId="46" xfId="0" applyNumberFormat="1" applyFont="1" applyFill="1" applyBorder="1" applyAlignment="1" applyProtection="1">
      <alignment horizontal="left" wrapText="1"/>
    </xf>
    <xf numFmtId="0" fontId="2" fillId="2" borderId="0" xfId="0" applyNumberFormat="1" applyFont="1" applyFill="1" applyBorder="1" applyAlignment="1" applyProtection="1">
      <alignment horizontal="left" wrapText="1"/>
    </xf>
    <xf numFmtId="0" fontId="2" fillId="2" borderId="47" xfId="0" applyNumberFormat="1" applyFont="1" applyFill="1" applyBorder="1" applyAlignment="1" applyProtection="1">
      <alignment horizontal="left" wrapText="1"/>
    </xf>
    <xf numFmtId="0" fontId="2" fillId="2" borderId="45" xfId="0" applyNumberFormat="1" applyFont="1" applyFill="1" applyBorder="1" applyAlignment="1" applyProtection="1">
      <alignment horizontal="left" wrapText="1"/>
    </xf>
    <xf numFmtId="0" fontId="5" fillId="2" borderId="23" xfId="0" applyNumberFormat="1" applyFont="1" applyFill="1" applyBorder="1" applyAlignment="1" applyProtection="1">
      <alignment horizontal="left" wrapText="1"/>
    </xf>
    <xf numFmtId="0" fontId="5" fillId="2" borderId="65" xfId="0" applyNumberFormat="1" applyFont="1" applyFill="1" applyBorder="1" applyAlignment="1" applyProtection="1">
      <alignment horizontal="center" vertical="center" wrapText="1"/>
    </xf>
    <xf numFmtId="0" fontId="5" fillId="2" borderId="66"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left" wrapText="1"/>
    </xf>
    <xf numFmtId="0" fontId="1" fillId="0" borderId="29" xfId="0" applyFont="1" applyBorder="1" applyAlignment="1">
      <alignment horizontal="left" vertical="center"/>
    </xf>
    <xf numFmtId="0" fontId="4" fillId="0" borderId="29" xfId="0" applyNumberFormat="1" applyFont="1" applyFill="1" applyBorder="1" applyAlignment="1" applyProtection="1">
      <alignment horizontal="left" vertical="center" wrapText="1"/>
    </xf>
    <xf numFmtId="0" fontId="7" fillId="0" borderId="0" xfId="0" applyNumberFormat="1" applyFont="1" applyFill="1" applyBorder="1" applyAlignment="1" applyProtection="1">
      <alignment horizontal="center" vertical="center" wrapText="1"/>
    </xf>
    <xf numFmtId="0" fontId="7" fillId="0" borderId="30"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xf>
    <xf numFmtId="0" fontId="34" fillId="25" borderId="4" xfId="0" applyNumberFormat="1" applyFont="1" applyFill="1" applyBorder="1" applyAlignment="1" applyProtection="1">
      <alignment horizontal="right" vertical="center" wrapText="1"/>
    </xf>
    <xf numFmtId="0" fontId="0" fillId="2" borderId="0" xfId="0" applyFill="1"/>
    <xf numFmtId="0" fontId="0" fillId="0" borderId="34" xfId="0" applyFont="1" applyBorder="1" applyAlignment="1">
      <alignment horizontal="center"/>
    </xf>
    <xf numFmtId="167" fontId="32" fillId="33" borderId="35" xfId="44" applyNumberFormat="1" applyFont="1" applyFill="1" applyBorder="1" applyAlignment="1">
      <alignment horizontal="center" vertical="center"/>
    </xf>
    <xf numFmtId="1" fontId="1" fillId="25" borderId="6" xfId="0" applyNumberFormat="1" applyFont="1" applyFill="1" applyBorder="1" applyAlignment="1">
      <alignment horizontal="center" vertical="center"/>
    </xf>
    <xf numFmtId="0" fontId="1" fillId="25" borderId="6" xfId="0" applyFont="1" applyFill="1" applyBorder="1" applyAlignment="1">
      <alignment horizontal="center" vertical="center"/>
    </xf>
    <xf numFmtId="170" fontId="1" fillId="25" borderId="6" xfId="1" applyNumberFormat="1" applyFont="1" applyFill="1" applyBorder="1" applyAlignment="1">
      <alignment horizontal="center" vertical="center"/>
    </xf>
    <xf numFmtId="44" fontId="1" fillId="25" borderId="6" xfId="53" applyFont="1" applyFill="1" applyBorder="1" applyAlignment="1">
      <alignment horizontal="center" vertical="center"/>
    </xf>
    <xf numFmtId="165" fontId="1" fillId="25" borderId="6" xfId="0" applyNumberFormat="1" applyFont="1" applyFill="1" applyBorder="1" applyAlignment="1">
      <alignment horizontal="center" vertical="center"/>
    </xf>
    <xf numFmtId="1" fontId="1" fillId="25" borderId="7" xfId="0" applyNumberFormat="1" applyFont="1" applyFill="1" applyBorder="1" applyAlignment="1">
      <alignment horizontal="center" vertical="center"/>
    </xf>
    <xf numFmtId="1" fontId="1" fillId="25" borderId="42" xfId="0" applyNumberFormat="1" applyFont="1" applyFill="1" applyBorder="1" applyAlignment="1">
      <alignment horizontal="center" vertical="center"/>
    </xf>
    <xf numFmtId="1" fontId="1" fillId="25" borderId="1" xfId="0" applyNumberFormat="1" applyFont="1" applyFill="1" applyBorder="1" applyAlignment="1">
      <alignment horizontal="center" vertical="center"/>
    </xf>
    <xf numFmtId="0" fontId="1" fillId="25" borderId="1" xfId="0" applyFont="1" applyFill="1" applyBorder="1" applyAlignment="1">
      <alignment horizontal="center" vertical="center"/>
    </xf>
    <xf numFmtId="170" fontId="1" fillId="25" borderId="1" xfId="1" applyNumberFormat="1" applyFont="1" applyFill="1" applyBorder="1" applyAlignment="1">
      <alignment horizontal="center" vertical="center"/>
    </xf>
    <xf numFmtId="2" fontId="1" fillId="25" borderId="1" xfId="0" applyNumberFormat="1" applyFont="1" applyFill="1" applyBorder="1" applyAlignment="1">
      <alignment horizontal="center" vertical="center"/>
    </xf>
    <xf numFmtId="44" fontId="1" fillId="25" borderId="1" xfId="53" applyFont="1" applyFill="1" applyBorder="1" applyAlignment="1">
      <alignment horizontal="center" vertical="center"/>
    </xf>
    <xf numFmtId="165" fontId="1" fillId="25" borderId="1" xfId="0" applyNumberFormat="1" applyFont="1" applyFill="1" applyBorder="1" applyAlignment="1">
      <alignment horizontal="center" vertical="center"/>
    </xf>
    <xf numFmtId="1" fontId="1" fillId="25" borderId="9" xfId="0" applyNumberFormat="1" applyFont="1" applyFill="1" applyBorder="1" applyAlignment="1">
      <alignment horizontal="center" vertical="center"/>
    </xf>
    <xf numFmtId="0" fontId="1" fillId="25" borderId="9" xfId="0" applyFont="1" applyFill="1" applyBorder="1" applyAlignment="1">
      <alignment horizontal="center" vertical="center"/>
    </xf>
    <xf numFmtId="44" fontId="1" fillId="25" borderId="9" xfId="53" applyFont="1" applyFill="1" applyBorder="1" applyAlignment="1">
      <alignment horizontal="center" vertical="center"/>
    </xf>
    <xf numFmtId="165" fontId="1" fillId="25" borderId="9" xfId="0" applyNumberFormat="1" applyFont="1" applyFill="1" applyBorder="1" applyAlignment="1">
      <alignment horizontal="center" vertical="center"/>
    </xf>
    <xf numFmtId="1" fontId="1" fillId="0" borderId="78" xfId="0" applyNumberFormat="1" applyFont="1" applyBorder="1" applyAlignment="1">
      <alignment horizontal="center" vertical="center"/>
    </xf>
    <xf numFmtId="0" fontId="1" fillId="0" borderId="6" xfId="0" applyFont="1" applyBorder="1" applyAlignment="1">
      <alignment horizontal="center" vertical="center"/>
    </xf>
    <xf numFmtId="44" fontId="1" fillId="0" borderId="6" xfId="53" applyFont="1" applyBorder="1" applyAlignment="1">
      <alignment horizontal="center" vertical="center"/>
    </xf>
    <xf numFmtId="165" fontId="1" fillId="0" borderId="6" xfId="0" applyNumberFormat="1" applyFont="1" applyBorder="1" applyAlignment="1">
      <alignment horizontal="center" vertical="center"/>
    </xf>
    <xf numFmtId="1" fontId="1" fillId="0" borderId="7" xfId="0" applyNumberFormat="1" applyFont="1" applyBorder="1" applyAlignment="1">
      <alignment horizontal="center" vertical="center"/>
    </xf>
    <xf numFmtId="1" fontId="1" fillId="0" borderId="1" xfId="0" applyNumberFormat="1" applyFont="1" applyBorder="1" applyAlignment="1">
      <alignment horizontal="center" vertical="center"/>
    </xf>
    <xf numFmtId="0" fontId="1" fillId="0" borderId="42" xfId="0" applyFont="1" applyBorder="1" applyAlignment="1">
      <alignment horizontal="center" vertical="center"/>
    </xf>
    <xf numFmtId="0" fontId="1" fillId="0" borderId="1" xfId="0" applyFont="1" applyBorder="1" applyAlignment="1">
      <alignment horizontal="center" vertical="center"/>
    </xf>
    <xf numFmtId="170" fontId="1" fillId="0" borderId="1" xfId="1" applyNumberFormat="1" applyFont="1" applyBorder="1" applyAlignment="1">
      <alignment horizontal="center" vertical="center"/>
    </xf>
    <xf numFmtId="44" fontId="1" fillId="0" borderId="1" xfId="53" applyFont="1" applyBorder="1" applyAlignment="1">
      <alignment horizontal="center" vertical="center"/>
    </xf>
    <xf numFmtId="165" fontId="1" fillId="0" borderId="1" xfId="0" applyNumberFormat="1" applyFont="1" applyBorder="1" applyAlignment="1">
      <alignment horizontal="center" vertical="center"/>
    </xf>
    <xf numFmtId="0" fontId="1" fillId="0" borderId="42" xfId="0" applyFont="1" applyFill="1" applyBorder="1" applyAlignment="1">
      <alignment horizontal="center" vertical="center"/>
    </xf>
    <xf numFmtId="0" fontId="1" fillId="0" borderId="1" xfId="0" applyFont="1" applyFill="1" applyBorder="1" applyAlignment="1">
      <alignment horizontal="center" vertical="center"/>
    </xf>
    <xf numFmtId="44" fontId="1" fillId="0" borderId="1" xfId="53" applyFont="1" applyFill="1" applyBorder="1" applyAlignment="1">
      <alignment horizontal="center" vertical="center"/>
    </xf>
    <xf numFmtId="165" fontId="1" fillId="0" borderId="1" xfId="0" applyNumberFormat="1" applyFont="1" applyFill="1" applyBorder="1" applyAlignment="1">
      <alignment horizontal="center" vertical="center"/>
    </xf>
    <xf numFmtId="0" fontId="1" fillId="25" borderId="42" xfId="0" applyFont="1" applyFill="1" applyBorder="1" applyAlignment="1">
      <alignment horizontal="center" vertical="center"/>
    </xf>
    <xf numFmtId="0" fontId="1" fillId="0" borderId="40" xfId="0" applyFont="1" applyFill="1" applyBorder="1" applyAlignment="1">
      <alignment horizontal="center" vertical="center"/>
    </xf>
    <xf numFmtId="0" fontId="1" fillId="0" borderId="3" xfId="0" applyFont="1" applyFill="1" applyBorder="1" applyAlignment="1">
      <alignment horizontal="center" vertical="center"/>
    </xf>
    <xf numFmtId="1" fontId="1" fillId="25" borderId="42" xfId="0" quotePrefix="1" applyNumberFormat="1" applyFont="1" applyFill="1" applyBorder="1" applyAlignment="1">
      <alignment horizontal="center" vertical="center"/>
    </xf>
    <xf numFmtId="0" fontId="2" fillId="32" borderId="10" xfId="0" applyFont="1" applyFill="1" applyBorder="1" applyAlignment="1" applyProtection="1">
      <alignment wrapText="1"/>
    </xf>
    <xf numFmtId="0" fontId="2" fillId="32" borderId="2" xfId="0" applyFont="1" applyFill="1" applyBorder="1" applyAlignment="1" applyProtection="1">
      <alignment wrapText="1"/>
    </xf>
    <xf numFmtId="0" fontId="14" fillId="32" borderId="83" xfId="0" applyFont="1" applyFill="1" applyBorder="1" applyAlignment="1">
      <alignment horizontal="center" wrapText="1"/>
    </xf>
    <xf numFmtId="0" fontId="2" fillId="32" borderId="20" xfId="0" applyFont="1" applyFill="1" applyBorder="1" applyAlignment="1" applyProtection="1">
      <alignment wrapText="1"/>
    </xf>
    <xf numFmtId="0" fontId="2" fillId="32" borderId="84" xfId="0" applyFont="1" applyFill="1" applyBorder="1" applyAlignment="1" applyProtection="1">
      <alignment wrapText="1"/>
    </xf>
    <xf numFmtId="0" fontId="2" fillId="32" borderId="36" xfId="0" applyFont="1" applyFill="1" applyBorder="1" applyAlignment="1" applyProtection="1">
      <alignment wrapText="1"/>
    </xf>
    <xf numFmtId="0" fontId="2" fillId="32" borderId="0" xfId="0" applyFont="1" applyFill="1" applyBorder="1" applyAlignment="1" applyProtection="1">
      <alignment wrapText="1"/>
    </xf>
    <xf numFmtId="170" fontId="2" fillId="0" borderId="3" xfId="1" applyNumberFormat="1" applyFont="1" applyFill="1" applyBorder="1" applyAlignment="1" applyProtection="1">
      <alignment horizontal="center" vertical="center" wrapText="1"/>
    </xf>
    <xf numFmtId="44" fontId="1" fillId="0" borderId="3" xfId="53" applyFont="1" applyFill="1" applyBorder="1" applyAlignment="1">
      <alignment horizontal="center" vertical="center"/>
    </xf>
    <xf numFmtId="165" fontId="1" fillId="0" borderId="3" xfId="0" applyNumberFormat="1" applyFont="1" applyFill="1" applyBorder="1" applyAlignment="1">
      <alignment horizontal="center" vertical="center"/>
    </xf>
    <xf numFmtId="0" fontId="1" fillId="0" borderId="41" xfId="0" applyFont="1" applyFill="1" applyBorder="1" applyAlignment="1">
      <alignment horizontal="center" vertical="center"/>
    </xf>
    <xf numFmtId="0" fontId="1" fillId="0" borderId="50" xfId="0" applyFont="1" applyFill="1" applyBorder="1" applyAlignment="1">
      <alignment horizontal="center" vertical="center"/>
    </xf>
    <xf numFmtId="0" fontId="1" fillId="0" borderId="35" xfId="0" applyFont="1" applyFill="1" applyBorder="1" applyAlignment="1">
      <alignment horizontal="center" vertical="center"/>
    </xf>
    <xf numFmtId="170" fontId="1" fillId="0" borderId="35" xfId="1" applyNumberFormat="1" applyFont="1" applyBorder="1" applyAlignment="1">
      <alignment horizontal="center" vertical="center"/>
    </xf>
    <xf numFmtId="44" fontId="1" fillId="0" borderId="35" xfId="53" applyFont="1" applyFill="1" applyBorder="1" applyAlignment="1">
      <alignment horizontal="center" vertical="center"/>
    </xf>
    <xf numFmtId="165" fontId="1" fillId="0" borderId="35" xfId="0" applyNumberFormat="1" applyFont="1" applyFill="1" applyBorder="1" applyAlignment="1">
      <alignment horizontal="center" vertical="center"/>
    </xf>
    <xf numFmtId="0" fontId="1" fillId="32" borderId="0" xfId="0" applyFont="1" applyFill="1" applyBorder="1" applyAlignment="1">
      <alignment horizontal="center" vertical="center"/>
    </xf>
    <xf numFmtId="170" fontId="2" fillId="32" borderId="0" xfId="1" applyNumberFormat="1" applyFont="1" applyFill="1" applyBorder="1" applyAlignment="1" applyProtection="1">
      <alignment horizontal="center" vertical="center" wrapText="1"/>
    </xf>
    <xf numFmtId="2" fontId="1" fillId="32" borderId="0" xfId="0" applyNumberFormat="1" applyFont="1" applyFill="1" applyBorder="1" applyAlignment="1">
      <alignment horizontal="center" vertical="center"/>
    </xf>
    <xf numFmtId="44" fontId="1" fillId="32" borderId="0" xfId="53" applyFont="1" applyFill="1" applyBorder="1" applyAlignment="1">
      <alignment horizontal="center" vertical="center"/>
    </xf>
    <xf numFmtId="165" fontId="1" fillId="32" borderId="0" xfId="0" applyNumberFormat="1" applyFont="1" applyFill="1" applyBorder="1" applyAlignment="1">
      <alignment horizontal="center" vertical="center"/>
    </xf>
    <xf numFmtId="170" fontId="2" fillId="0" borderId="50" xfId="1" applyNumberFormat="1" applyFont="1" applyFill="1" applyBorder="1" applyAlignment="1" applyProtection="1">
      <alignment horizontal="center" vertical="center" wrapText="1"/>
    </xf>
    <xf numFmtId="44" fontId="1" fillId="0" borderId="50" xfId="53" applyFont="1" applyFill="1" applyBorder="1" applyAlignment="1">
      <alignment horizontal="center" vertical="center"/>
    </xf>
    <xf numFmtId="165" fontId="1" fillId="0" borderId="50" xfId="0" applyNumberFormat="1" applyFont="1" applyFill="1" applyBorder="1" applyAlignment="1">
      <alignment horizontal="center" vertical="center"/>
    </xf>
    <xf numFmtId="170" fontId="2" fillId="0" borderId="35" xfId="1" applyNumberFormat="1" applyFont="1" applyFill="1" applyBorder="1" applyAlignment="1" applyProtection="1">
      <alignment horizontal="center" vertical="center" wrapText="1"/>
    </xf>
    <xf numFmtId="0" fontId="1" fillId="32" borderId="70" xfId="0" applyFont="1" applyFill="1" applyBorder="1" applyAlignment="1">
      <alignment horizontal="center" vertical="center"/>
    </xf>
    <xf numFmtId="170" fontId="1" fillId="32" borderId="70" xfId="1" applyNumberFormat="1" applyFont="1" applyFill="1" applyBorder="1" applyAlignment="1">
      <alignment horizontal="center" vertical="center"/>
    </xf>
    <xf numFmtId="2" fontId="1" fillId="32" borderId="70" xfId="0" applyNumberFormat="1" applyFont="1" applyFill="1" applyBorder="1" applyAlignment="1">
      <alignment horizontal="center" vertical="center"/>
    </xf>
    <xf numFmtId="44" fontId="1" fillId="32" borderId="70" xfId="53" applyFont="1" applyFill="1" applyBorder="1" applyAlignment="1">
      <alignment horizontal="center" vertical="center"/>
    </xf>
    <xf numFmtId="165" fontId="1" fillId="32" borderId="70" xfId="0" applyNumberFormat="1" applyFont="1" applyFill="1" applyBorder="1" applyAlignment="1">
      <alignment horizontal="center" vertical="center"/>
    </xf>
    <xf numFmtId="0" fontId="14" fillId="32" borderId="46" xfId="0" applyFont="1" applyFill="1" applyBorder="1" applyAlignment="1">
      <alignment horizontal="center" wrapText="1"/>
    </xf>
    <xf numFmtId="0" fontId="1" fillId="32" borderId="45" xfId="0" applyFont="1" applyFill="1" applyBorder="1" applyAlignment="1">
      <alignment horizontal="center" vertical="center"/>
    </xf>
    <xf numFmtId="170" fontId="1" fillId="32" borderId="45" xfId="1" applyNumberFormat="1" applyFont="1" applyFill="1" applyBorder="1" applyAlignment="1">
      <alignment horizontal="center" vertical="center"/>
    </xf>
    <xf numFmtId="2" fontId="1" fillId="32" borderId="45" xfId="0" applyNumberFormat="1" applyFont="1" applyFill="1" applyBorder="1" applyAlignment="1">
      <alignment horizontal="center" vertical="center"/>
    </xf>
    <xf numFmtId="44" fontId="1" fillId="32" borderId="45" xfId="53" applyFont="1" applyFill="1" applyBorder="1" applyAlignment="1">
      <alignment horizontal="center" vertical="center"/>
    </xf>
    <xf numFmtId="165" fontId="1" fillId="32" borderId="45" xfId="0" applyNumberFormat="1" applyFont="1" applyFill="1" applyBorder="1" applyAlignment="1">
      <alignment horizontal="center" vertical="center"/>
    </xf>
    <xf numFmtId="0" fontId="14" fillId="32" borderId="79" xfId="0" applyFont="1" applyFill="1" applyBorder="1" applyAlignment="1">
      <alignment horizontal="center" wrapText="1"/>
    </xf>
    <xf numFmtId="0" fontId="5" fillId="25" borderId="13" xfId="0" applyNumberFormat="1" applyFont="1" applyFill="1" applyBorder="1" applyAlignment="1" applyProtection="1">
      <alignment horizontal="left" vertical="top" wrapText="1"/>
    </xf>
    <xf numFmtId="0" fontId="51" fillId="0" borderId="13" xfId="0" applyNumberFormat="1" applyFont="1" applyFill="1" applyBorder="1" applyAlignment="1" applyProtection="1">
      <alignment horizontal="center" vertical="center" wrapText="1"/>
    </xf>
    <xf numFmtId="0" fontId="1" fillId="0" borderId="7" xfId="0" applyFont="1" applyFill="1" applyBorder="1" applyAlignment="1">
      <alignment horizontal="center" vertical="center"/>
    </xf>
    <xf numFmtId="2" fontId="0" fillId="0" borderId="0" xfId="0" applyNumberFormat="1" applyFont="1"/>
    <xf numFmtId="165" fontId="0" fillId="0" borderId="0" xfId="0" applyNumberFormat="1" applyFont="1"/>
    <xf numFmtId="0" fontId="7" fillId="0" borderId="29"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left" vertical="top" wrapText="1"/>
    </xf>
    <xf numFmtId="0" fontId="5" fillId="0" borderId="13" xfId="0" applyNumberFormat="1" applyFont="1" applyFill="1" applyBorder="1" applyAlignment="1" applyProtection="1">
      <alignment horizontal="left" vertical="top" wrapText="1"/>
    </xf>
    <xf numFmtId="0" fontId="5" fillId="0" borderId="14" xfId="0" applyNumberFormat="1" applyFont="1" applyFill="1" applyBorder="1" applyAlignment="1" applyProtection="1">
      <alignment horizontal="left" vertical="top" wrapText="1"/>
    </xf>
    <xf numFmtId="0" fontId="5" fillId="25" borderId="12" xfId="0" applyNumberFormat="1" applyFont="1" applyFill="1" applyBorder="1" applyAlignment="1" applyProtection="1">
      <alignment horizontal="left" vertical="center" wrapText="1"/>
    </xf>
    <xf numFmtId="0" fontId="5" fillId="25" borderId="14" xfId="0" applyNumberFormat="1" applyFont="1" applyFill="1" applyBorder="1" applyAlignment="1" applyProtection="1">
      <alignment horizontal="left" vertical="center" wrapText="1"/>
    </xf>
    <xf numFmtId="44" fontId="4" fillId="25" borderId="9" xfId="53" applyFont="1" applyFill="1" applyBorder="1" applyAlignment="1" applyProtection="1">
      <alignment horizontal="center" vertical="center" wrapText="1"/>
    </xf>
    <xf numFmtId="44" fontId="4" fillId="25" borderId="1" xfId="53" applyFont="1" applyFill="1" applyBorder="1" applyAlignment="1" applyProtection="1">
      <alignment horizontal="center" vertical="center" wrapText="1"/>
    </xf>
    <xf numFmtId="44" fontId="4" fillId="25" borderId="3" xfId="53" applyFont="1" applyFill="1" applyBorder="1" applyAlignment="1" applyProtection="1">
      <alignment horizontal="center" vertical="center" wrapText="1"/>
    </xf>
    <xf numFmtId="44" fontId="4" fillId="25" borderId="94" xfId="53" applyFont="1" applyFill="1" applyBorder="1" applyAlignment="1" applyProtection="1">
      <alignment horizontal="center" vertical="center" wrapText="1"/>
    </xf>
    <xf numFmtId="44" fontId="1" fillId="0" borderId="35" xfId="53" applyFont="1" applyBorder="1" applyAlignment="1">
      <alignment horizontal="center" vertical="center"/>
    </xf>
    <xf numFmtId="44" fontId="4" fillId="25" borderId="50" xfId="53" applyFont="1" applyFill="1" applyBorder="1" applyAlignment="1" applyProtection="1">
      <alignment horizontal="center" vertical="center" wrapText="1"/>
    </xf>
    <xf numFmtId="0" fontId="7" fillId="0" borderId="33" xfId="0" applyNumberFormat="1" applyFont="1" applyFill="1" applyBorder="1" applyAlignment="1" applyProtection="1">
      <alignment horizontal="center" vertical="center" wrapText="1"/>
    </xf>
    <xf numFmtId="0" fontId="6" fillId="0" borderId="29" xfId="0" applyFont="1" applyBorder="1" applyAlignment="1">
      <alignment horizontal="left" vertical="center" wrapText="1"/>
    </xf>
    <xf numFmtId="0" fontId="1" fillId="32" borderId="36" xfId="0" applyFont="1" applyFill="1" applyBorder="1" applyAlignment="1">
      <alignment horizontal="center" vertical="center"/>
    </xf>
    <xf numFmtId="0" fontId="14" fillId="0" borderId="33" xfId="0" applyFont="1" applyBorder="1" applyAlignment="1">
      <alignment horizontal="center" wrapText="1"/>
    </xf>
    <xf numFmtId="0" fontId="14" fillId="0" borderId="31" xfId="0" applyFont="1" applyBorder="1" applyAlignment="1">
      <alignment horizontal="center" wrapText="1"/>
    </xf>
    <xf numFmtId="0" fontId="5" fillId="25" borderId="15" xfId="0" applyNumberFormat="1" applyFont="1" applyFill="1" applyBorder="1" applyAlignment="1" applyProtection="1">
      <alignment horizontal="left" vertical="center" wrapText="1"/>
    </xf>
    <xf numFmtId="0" fontId="5" fillId="25" borderId="61" xfId="0" applyNumberFormat="1" applyFont="1" applyFill="1" applyBorder="1" applyAlignment="1" applyProtection="1">
      <alignment horizontal="left" vertical="center" wrapText="1"/>
    </xf>
    <xf numFmtId="0" fontId="3" fillId="25" borderId="10" xfId="0" applyNumberFormat="1" applyFont="1" applyFill="1" applyBorder="1" applyAlignment="1" applyProtection="1">
      <alignment horizontal="left" vertical="center" wrapText="1"/>
    </xf>
    <xf numFmtId="0" fontId="5" fillId="25" borderId="20" xfId="0" applyNumberFormat="1" applyFont="1" applyFill="1" applyBorder="1" applyAlignment="1" applyProtection="1">
      <alignment horizontal="left" vertical="center" wrapText="1"/>
    </xf>
    <xf numFmtId="44" fontId="4" fillId="25" borderId="6" xfId="53" applyFont="1" applyFill="1" applyBorder="1" applyAlignment="1" applyProtection="1">
      <alignment horizontal="center" vertical="center" wrapText="1"/>
    </xf>
    <xf numFmtId="165" fontId="1" fillId="25" borderId="49" xfId="0" applyNumberFormat="1" applyFont="1" applyFill="1" applyBorder="1" applyAlignment="1">
      <alignment horizontal="center" vertical="center"/>
    </xf>
    <xf numFmtId="165" fontId="1" fillId="25" borderId="34" xfId="0" applyNumberFormat="1" applyFont="1" applyFill="1" applyBorder="1" applyAlignment="1">
      <alignment horizontal="center" vertical="center"/>
    </xf>
    <xf numFmtId="165" fontId="1" fillId="25" borderId="37" xfId="0" applyNumberFormat="1" applyFont="1" applyFill="1" applyBorder="1" applyAlignment="1">
      <alignment horizontal="center" vertical="center"/>
    </xf>
    <xf numFmtId="1" fontId="1" fillId="0" borderId="5" xfId="0" applyNumberFormat="1" applyFont="1" applyBorder="1" applyAlignment="1">
      <alignment horizontal="center" vertical="center"/>
    </xf>
    <xf numFmtId="44" fontId="4" fillId="25" borderId="48" xfId="53" applyFont="1" applyFill="1" applyBorder="1" applyAlignment="1" applyProtection="1">
      <alignment horizontal="center" vertical="center" wrapText="1"/>
    </xf>
    <xf numFmtId="165" fontId="1" fillId="0" borderId="49" xfId="0" applyNumberFormat="1" applyFont="1" applyBorder="1" applyAlignment="1">
      <alignment horizontal="center" vertical="center"/>
    </xf>
    <xf numFmtId="165" fontId="1" fillId="0" borderId="34" xfId="0" applyNumberFormat="1" applyFont="1" applyBorder="1" applyAlignment="1">
      <alignment horizontal="center" vertical="center"/>
    </xf>
    <xf numFmtId="0" fontId="1" fillId="25" borderId="7" xfId="0" applyFont="1" applyFill="1" applyBorder="1" applyAlignment="1">
      <alignment horizontal="center" vertical="center"/>
    </xf>
    <xf numFmtId="165" fontId="2" fillId="0" borderId="49" xfId="0" applyNumberFormat="1" applyFont="1" applyFill="1" applyBorder="1" applyAlignment="1" applyProtection="1">
      <alignment horizontal="center" vertical="center" wrapText="1"/>
    </xf>
    <xf numFmtId="165" fontId="2" fillId="25" borderId="34" xfId="0" applyNumberFormat="1" applyFont="1" applyFill="1" applyBorder="1" applyAlignment="1" applyProtection="1">
      <alignment horizontal="center" vertical="center" wrapText="1"/>
    </xf>
    <xf numFmtId="165" fontId="2" fillId="0" borderId="34" xfId="0" applyNumberFormat="1" applyFont="1" applyFill="1" applyBorder="1" applyAlignment="1" applyProtection="1">
      <alignment horizontal="center" vertical="center" wrapText="1"/>
    </xf>
    <xf numFmtId="165" fontId="2" fillId="25" borderId="37" xfId="0" applyNumberFormat="1" applyFont="1" applyFill="1" applyBorder="1" applyAlignment="1" applyProtection="1">
      <alignment horizontal="center" vertical="center" wrapText="1"/>
    </xf>
    <xf numFmtId="165" fontId="1" fillId="32" borderId="47" xfId="0" applyNumberFormat="1" applyFont="1" applyFill="1" applyBorder="1" applyAlignment="1">
      <alignment horizontal="center" vertical="center"/>
    </xf>
    <xf numFmtId="165" fontId="1" fillId="32" borderId="79" xfId="0" applyNumberFormat="1" applyFont="1" applyFill="1" applyBorder="1" applyAlignment="1">
      <alignment horizontal="center" vertical="center"/>
    </xf>
    <xf numFmtId="165" fontId="1" fillId="32" borderId="46" xfId="0" applyNumberFormat="1" applyFont="1" applyFill="1" applyBorder="1" applyAlignment="1">
      <alignment horizontal="center" vertical="center"/>
    </xf>
    <xf numFmtId="165" fontId="1" fillId="0" borderId="63" xfId="0" applyNumberFormat="1" applyFont="1" applyFill="1" applyBorder="1" applyAlignment="1">
      <alignment horizontal="center" vertical="center"/>
    </xf>
    <xf numFmtId="165" fontId="1" fillId="0" borderId="34" xfId="0" applyNumberFormat="1" applyFont="1" applyFill="1" applyBorder="1" applyAlignment="1">
      <alignment horizontal="center" vertical="center"/>
    </xf>
    <xf numFmtId="165" fontId="1" fillId="0" borderId="87" xfId="0" applyNumberFormat="1" applyFont="1" applyFill="1" applyBorder="1" applyAlignment="1">
      <alignment horizontal="center" vertical="center"/>
    </xf>
    <xf numFmtId="165" fontId="1" fillId="0" borderId="90" xfId="0" applyNumberFormat="1" applyFont="1" applyFill="1" applyBorder="1" applyAlignment="1">
      <alignment horizontal="center" vertical="center"/>
    </xf>
    <xf numFmtId="0" fontId="5" fillId="0" borderId="10" xfId="0" applyNumberFormat="1" applyFont="1" applyFill="1" applyBorder="1" applyAlignment="1" applyProtection="1">
      <alignment horizontal="left" vertical="top" wrapText="1"/>
    </xf>
    <xf numFmtId="0" fontId="5" fillId="25" borderId="12" xfId="0" applyNumberFormat="1" applyFont="1" applyFill="1" applyBorder="1" applyAlignment="1" applyProtection="1">
      <alignment horizontal="left" vertical="center" wrapText="1"/>
    </xf>
    <xf numFmtId="0" fontId="5" fillId="25" borderId="14" xfId="0" applyNumberFormat="1" applyFont="1" applyFill="1" applyBorder="1" applyAlignment="1" applyProtection="1">
      <alignment horizontal="left" vertical="center" wrapText="1"/>
    </xf>
    <xf numFmtId="0" fontId="1" fillId="0" borderId="89" xfId="0" applyFont="1" applyFill="1" applyBorder="1" applyAlignment="1">
      <alignment horizontal="center" vertical="center"/>
    </xf>
    <xf numFmtId="1" fontId="1" fillId="0" borderId="3" xfId="0" applyNumberFormat="1" applyFont="1" applyBorder="1" applyAlignment="1">
      <alignment horizontal="center" vertical="center"/>
    </xf>
    <xf numFmtId="44" fontId="4" fillId="25" borderId="35" xfId="53" applyFont="1" applyFill="1" applyBorder="1" applyAlignment="1" applyProtection="1">
      <alignment horizontal="center" vertical="center" wrapText="1"/>
    </xf>
    <xf numFmtId="0" fontId="1" fillId="0" borderId="92" xfId="0" applyFont="1" applyFill="1" applyBorder="1" applyAlignment="1">
      <alignment horizontal="center" vertical="center"/>
    </xf>
    <xf numFmtId="1" fontId="1" fillId="32" borderId="70" xfId="0" applyNumberFormat="1" applyFont="1" applyFill="1" applyBorder="1" applyAlignment="1">
      <alignment horizontal="center" vertical="center"/>
    </xf>
    <xf numFmtId="1" fontId="1" fillId="32" borderId="45" xfId="0" applyNumberFormat="1" applyFont="1" applyFill="1" applyBorder="1" applyAlignment="1">
      <alignment horizontal="center" vertical="center"/>
    </xf>
    <xf numFmtId="0" fontId="1" fillId="0" borderId="11" xfId="0" applyFont="1" applyFill="1" applyBorder="1" applyAlignment="1">
      <alignment horizontal="center" vertical="center"/>
    </xf>
    <xf numFmtId="1" fontId="1" fillId="25" borderId="68" xfId="0" applyNumberFormat="1" applyFont="1" applyFill="1" applyBorder="1" applyAlignment="1">
      <alignment horizontal="center" vertical="center"/>
    </xf>
    <xf numFmtId="1" fontId="1" fillId="25" borderId="94" xfId="0" applyNumberFormat="1" applyFont="1" applyFill="1" applyBorder="1" applyAlignment="1">
      <alignment horizontal="center" vertical="center"/>
    </xf>
    <xf numFmtId="0" fontId="1" fillId="25" borderId="94" xfId="0" applyFont="1" applyFill="1" applyBorder="1" applyAlignment="1">
      <alignment horizontal="center" vertical="center"/>
    </xf>
    <xf numFmtId="170" fontId="1" fillId="25" borderId="94" xfId="1" applyNumberFormat="1" applyFont="1" applyFill="1" applyBorder="1" applyAlignment="1">
      <alignment horizontal="center" vertical="center"/>
    </xf>
    <xf numFmtId="44" fontId="1" fillId="25" borderId="94" xfId="53" applyFont="1" applyFill="1" applyBorder="1" applyAlignment="1">
      <alignment horizontal="center" vertical="center"/>
    </xf>
    <xf numFmtId="165" fontId="1" fillId="25" borderId="94" xfId="0" applyNumberFormat="1" applyFont="1" applyFill="1" applyBorder="1" applyAlignment="1">
      <alignment horizontal="center" vertical="center"/>
    </xf>
    <xf numFmtId="165" fontId="1" fillId="25" borderId="69" xfId="0" applyNumberFormat="1" applyFont="1" applyFill="1" applyBorder="1" applyAlignment="1">
      <alignment horizontal="center" vertical="center"/>
    </xf>
    <xf numFmtId="0" fontId="2" fillId="0" borderId="84" xfId="0" applyNumberFormat="1" applyFont="1" applyFill="1" applyBorder="1" applyAlignment="1" applyProtection="1">
      <alignment horizontal="left" vertical="center" wrapText="1"/>
    </xf>
    <xf numFmtId="0" fontId="51" fillId="0" borderId="12" xfId="0" applyNumberFormat="1" applyFont="1" applyFill="1" applyBorder="1" applyAlignment="1" applyProtection="1">
      <alignment horizontal="center" vertical="center" wrapText="1"/>
    </xf>
    <xf numFmtId="0" fontId="3" fillId="34" borderId="12" xfId="0" applyNumberFormat="1" applyFont="1" applyFill="1" applyBorder="1" applyAlignment="1" applyProtection="1">
      <alignment horizontal="left" vertical="center" wrapText="1"/>
    </xf>
    <xf numFmtId="44" fontId="4" fillId="34" borderId="35" xfId="53" applyFont="1" applyFill="1" applyBorder="1" applyAlignment="1" applyProtection="1">
      <alignment horizontal="center" vertical="center" wrapText="1"/>
    </xf>
    <xf numFmtId="0" fontId="3" fillId="34" borderId="13" xfId="0" applyNumberFormat="1" applyFont="1" applyFill="1" applyBorder="1" applyAlignment="1" applyProtection="1">
      <alignment horizontal="left" vertical="center" wrapText="1"/>
    </xf>
    <xf numFmtId="0" fontId="4" fillId="34" borderId="1" xfId="0" applyNumberFormat="1" applyFont="1" applyFill="1" applyBorder="1" applyAlignment="1" applyProtection="1">
      <alignment horizontal="center" vertical="center" wrapText="1"/>
    </xf>
    <xf numFmtId="170" fontId="4" fillId="34" borderId="35" xfId="1" applyNumberFormat="1" applyFont="1" applyFill="1" applyBorder="1" applyAlignment="1" applyProtection="1">
      <alignment horizontal="center" vertical="center" wrapText="1"/>
    </xf>
    <xf numFmtId="44" fontId="4" fillId="34" borderId="1" xfId="53" applyFont="1" applyFill="1" applyBorder="1" applyAlignment="1" applyProtection="1">
      <alignment horizontal="center" vertical="center" wrapText="1"/>
    </xf>
    <xf numFmtId="165" fontId="4" fillId="34" borderId="1" xfId="0" applyNumberFormat="1" applyFont="1" applyFill="1" applyBorder="1" applyAlignment="1" applyProtection="1">
      <alignment horizontal="center" vertical="center" wrapText="1"/>
    </xf>
    <xf numFmtId="165" fontId="4" fillId="34" borderId="34" xfId="0" applyNumberFormat="1" applyFont="1" applyFill="1" applyBorder="1" applyAlignment="1" applyProtection="1">
      <alignment horizontal="center" vertical="center" wrapText="1"/>
    </xf>
    <xf numFmtId="0" fontId="3" fillId="34" borderId="14" xfId="0" applyNumberFormat="1" applyFont="1" applyFill="1" applyBorder="1" applyAlignment="1" applyProtection="1">
      <alignment horizontal="left" vertical="center" wrapText="1"/>
    </xf>
    <xf numFmtId="1" fontId="4" fillId="34" borderId="9" xfId="0" applyNumberFormat="1" applyFont="1" applyFill="1" applyBorder="1" applyAlignment="1" applyProtection="1">
      <alignment horizontal="center" vertical="center" wrapText="1"/>
    </xf>
    <xf numFmtId="0" fontId="4" fillId="34" borderId="9" xfId="0" applyNumberFormat="1" applyFont="1" applyFill="1" applyBorder="1" applyAlignment="1" applyProtection="1">
      <alignment horizontal="center" vertical="center" wrapText="1"/>
    </xf>
    <xf numFmtId="170" fontId="4" fillId="34" borderId="94" xfId="1" applyNumberFormat="1" applyFont="1" applyFill="1" applyBorder="1" applyAlignment="1" applyProtection="1">
      <alignment horizontal="center" vertical="center" wrapText="1"/>
    </xf>
    <xf numFmtId="170" fontId="4" fillId="34" borderId="9" xfId="1" applyNumberFormat="1" applyFont="1" applyFill="1" applyBorder="1" applyAlignment="1" applyProtection="1">
      <alignment horizontal="center" vertical="center" wrapText="1"/>
    </xf>
    <xf numFmtId="44" fontId="4" fillId="34" borderId="9" xfId="53" applyFont="1" applyFill="1" applyBorder="1" applyAlignment="1" applyProtection="1">
      <alignment horizontal="center" vertical="center" wrapText="1"/>
    </xf>
    <xf numFmtId="44" fontId="4" fillId="34" borderId="94" xfId="53" applyFont="1" applyFill="1" applyBorder="1" applyAlignment="1" applyProtection="1">
      <alignment horizontal="center" vertical="center" wrapText="1"/>
    </xf>
    <xf numFmtId="165" fontId="4" fillId="34" borderId="9" xfId="0" applyNumberFormat="1" applyFont="1" applyFill="1" applyBorder="1" applyAlignment="1" applyProtection="1">
      <alignment horizontal="center" vertical="center" wrapText="1"/>
    </xf>
    <xf numFmtId="165" fontId="4" fillId="34" borderId="37" xfId="0" applyNumberFormat="1" applyFont="1" applyFill="1" applyBorder="1" applyAlignment="1" applyProtection="1">
      <alignment horizontal="center" vertical="center" wrapText="1"/>
    </xf>
    <xf numFmtId="1" fontId="1" fillId="34" borderId="35" xfId="0" applyNumberFormat="1" applyFont="1" applyFill="1" applyBorder="1" applyAlignment="1">
      <alignment horizontal="center" vertical="center"/>
    </xf>
    <xf numFmtId="0" fontId="1" fillId="34" borderId="35" xfId="0" applyFont="1" applyFill="1" applyBorder="1" applyAlignment="1">
      <alignment horizontal="center" vertical="center"/>
    </xf>
    <xf numFmtId="44" fontId="1" fillId="34" borderId="35" xfId="53" applyFont="1" applyFill="1" applyBorder="1" applyAlignment="1">
      <alignment horizontal="center" vertical="center"/>
    </xf>
    <xf numFmtId="165" fontId="1" fillId="34" borderId="35" xfId="0" applyNumberFormat="1" applyFont="1" applyFill="1" applyBorder="1" applyAlignment="1">
      <alignment horizontal="center" vertical="center"/>
    </xf>
    <xf numFmtId="165" fontId="1" fillId="34" borderId="63" xfId="0" applyNumberFormat="1" applyFont="1" applyFill="1" applyBorder="1" applyAlignment="1">
      <alignment horizontal="center" vertical="center"/>
    </xf>
    <xf numFmtId="1" fontId="1" fillId="34" borderId="1" xfId="0" applyNumberFormat="1" applyFont="1" applyFill="1" applyBorder="1" applyAlignment="1">
      <alignment horizontal="center" vertical="center"/>
    </xf>
    <xf numFmtId="0" fontId="1" fillId="34" borderId="1" xfId="0" applyFont="1" applyFill="1" applyBorder="1" applyAlignment="1">
      <alignment horizontal="center" vertical="center"/>
    </xf>
    <xf numFmtId="44" fontId="1" fillId="34" borderId="1" xfId="53" applyFont="1" applyFill="1" applyBorder="1" applyAlignment="1">
      <alignment horizontal="center" vertical="center"/>
    </xf>
    <xf numFmtId="165" fontId="1" fillId="34" borderId="1" xfId="0" applyNumberFormat="1" applyFont="1" applyFill="1" applyBorder="1" applyAlignment="1">
      <alignment horizontal="center" vertical="center"/>
    </xf>
    <xf numFmtId="165" fontId="1" fillId="34" borderId="34" xfId="0" applyNumberFormat="1" applyFont="1" applyFill="1" applyBorder="1" applyAlignment="1">
      <alignment horizontal="center" vertical="center"/>
    </xf>
    <xf numFmtId="0" fontId="5" fillId="34" borderId="14" xfId="0" applyNumberFormat="1" applyFont="1" applyFill="1" applyBorder="1" applyAlignment="1" applyProtection="1">
      <alignment horizontal="left" vertical="center" wrapText="1"/>
    </xf>
    <xf numFmtId="1" fontId="1" fillId="34" borderId="3" xfId="0" applyNumberFormat="1" applyFont="1" applyFill="1" applyBorder="1" applyAlignment="1">
      <alignment horizontal="center" vertical="center"/>
    </xf>
    <xf numFmtId="0" fontId="1" fillId="34" borderId="3" xfId="0" applyFont="1" applyFill="1" applyBorder="1" applyAlignment="1">
      <alignment horizontal="center" vertical="center"/>
    </xf>
    <xf numFmtId="44" fontId="1" fillId="34" borderId="3" xfId="53" applyFont="1" applyFill="1" applyBorder="1" applyAlignment="1">
      <alignment horizontal="center" vertical="center"/>
    </xf>
    <xf numFmtId="44" fontId="4" fillId="34" borderId="3" xfId="53" applyFont="1" applyFill="1" applyBorder="1" applyAlignment="1" applyProtection="1">
      <alignment horizontal="center" vertical="center" wrapText="1"/>
    </xf>
    <xf numFmtId="165" fontId="1" fillId="34" borderId="3" xfId="0" applyNumberFormat="1" applyFont="1" applyFill="1" applyBorder="1" applyAlignment="1">
      <alignment horizontal="center" vertical="center"/>
    </xf>
    <xf numFmtId="165" fontId="1" fillId="34" borderId="87" xfId="0" applyNumberFormat="1" applyFont="1" applyFill="1" applyBorder="1" applyAlignment="1">
      <alignment horizontal="center" vertical="center"/>
    </xf>
    <xf numFmtId="0" fontId="5" fillId="34" borderId="15" xfId="0" applyNumberFormat="1" applyFont="1" applyFill="1" applyBorder="1" applyAlignment="1" applyProtection="1">
      <alignment horizontal="left" vertical="center" wrapText="1"/>
    </xf>
    <xf numFmtId="0" fontId="5" fillId="34" borderId="10" xfId="0" applyNumberFormat="1" applyFont="1" applyFill="1" applyBorder="1" applyAlignment="1" applyProtection="1">
      <alignment horizontal="left" vertical="center" wrapText="1"/>
    </xf>
    <xf numFmtId="0" fontId="5" fillId="34" borderId="15" xfId="0" applyNumberFormat="1" applyFont="1" applyFill="1" applyBorder="1" applyAlignment="1" applyProtection="1">
      <alignment horizontal="center" vertical="center" wrapText="1"/>
    </xf>
    <xf numFmtId="0" fontId="5" fillId="34" borderId="29" xfId="0" applyNumberFormat="1" applyFont="1" applyFill="1" applyBorder="1" applyAlignment="1" applyProtection="1">
      <alignment horizontal="left" vertical="center" wrapText="1"/>
    </xf>
    <xf numFmtId="44" fontId="1" fillId="34" borderId="16" xfId="53" applyFont="1" applyFill="1" applyBorder="1" applyAlignment="1">
      <alignment horizontal="center" vertical="center"/>
    </xf>
    <xf numFmtId="165" fontId="1" fillId="34" borderId="16" xfId="0" applyNumberFormat="1" applyFont="1" applyFill="1" applyBorder="1" applyAlignment="1">
      <alignment horizontal="center" vertical="center"/>
    </xf>
    <xf numFmtId="0" fontId="5" fillId="34" borderId="23" xfId="0" applyNumberFormat="1" applyFont="1" applyFill="1" applyBorder="1" applyAlignment="1" applyProtection="1">
      <alignment horizontal="center" vertical="center" wrapText="1"/>
    </xf>
    <xf numFmtId="0" fontId="5" fillId="34" borderId="4" xfId="0" applyNumberFormat="1" applyFont="1" applyFill="1" applyBorder="1" applyAlignment="1" applyProtection="1">
      <alignment horizontal="left" vertical="center" wrapText="1"/>
    </xf>
    <xf numFmtId="1" fontId="1" fillId="34" borderId="64" xfId="0" applyNumberFormat="1" applyFont="1" applyFill="1" applyBorder="1" applyAlignment="1">
      <alignment horizontal="center" vertical="center"/>
    </xf>
    <xf numFmtId="44" fontId="1" fillId="34" borderId="64" xfId="53" applyFont="1" applyFill="1" applyBorder="1" applyAlignment="1">
      <alignment horizontal="center" vertical="center"/>
    </xf>
    <xf numFmtId="44" fontId="4" fillId="34" borderId="64" xfId="53" applyFont="1" applyFill="1" applyBorder="1" applyAlignment="1" applyProtection="1">
      <alignment horizontal="center" vertical="center" wrapText="1"/>
    </xf>
    <xf numFmtId="165" fontId="1" fillId="34" borderId="64" xfId="0" applyNumberFormat="1" applyFont="1" applyFill="1" applyBorder="1" applyAlignment="1">
      <alignment horizontal="center" vertical="center"/>
    </xf>
    <xf numFmtId="165" fontId="1" fillId="34" borderId="65" xfId="0" applyNumberFormat="1" applyFont="1" applyFill="1" applyBorder="1" applyAlignment="1">
      <alignment horizontal="center" vertical="center"/>
    </xf>
    <xf numFmtId="0" fontId="3" fillId="34" borderId="18" xfId="0" applyNumberFormat="1" applyFont="1" applyFill="1" applyBorder="1" applyAlignment="1" applyProtection="1">
      <alignment horizontal="left" vertical="center" wrapText="1"/>
    </xf>
    <xf numFmtId="0" fontId="3" fillId="34" borderId="15" xfId="0" applyNumberFormat="1" applyFont="1" applyFill="1" applyBorder="1" applyAlignment="1" applyProtection="1">
      <alignment horizontal="center" vertical="center" wrapText="1"/>
    </xf>
    <xf numFmtId="0" fontId="6" fillId="34" borderId="29" xfId="0" applyFont="1" applyFill="1" applyBorder="1" applyAlignment="1">
      <alignment horizontal="left" vertical="center" wrapText="1"/>
    </xf>
    <xf numFmtId="0" fontId="7"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10" fillId="0" borderId="0" xfId="0" applyFont="1" applyBorder="1"/>
    <xf numFmtId="0" fontId="14" fillId="0" borderId="14" xfId="0" applyFont="1" applyBorder="1" applyAlignment="1">
      <alignment horizontal="center" wrapText="1"/>
    </xf>
    <xf numFmtId="1" fontId="2" fillId="0" borderId="48" xfId="0" applyNumberFormat="1" applyFont="1" applyFill="1" applyBorder="1" applyAlignment="1" applyProtection="1">
      <alignment horizontal="center" vertical="center" wrapText="1"/>
    </xf>
    <xf numFmtId="1" fontId="2" fillId="25" borderId="1" xfId="0" applyNumberFormat="1" applyFont="1" applyFill="1" applyBorder="1" applyAlignment="1" applyProtection="1">
      <alignment horizontal="center" vertical="center" wrapText="1"/>
    </xf>
    <xf numFmtId="1" fontId="2" fillId="0" borderId="1" xfId="0" applyNumberFormat="1" applyFont="1" applyFill="1" applyBorder="1" applyAlignment="1" applyProtection="1">
      <alignment horizontal="center" vertical="center" wrapText="1"/>
    </xf>
    <xf numFmtId="1" fontId="2" fillId="25" borderId="9" xfId="0" applyNumberFormat="1" applyFont="1" applyFill="1" applyBorder="1" applyAlignment="1" applyProtection="1">
      <alignment horizontal="center" vertical="center" wrapText="1"/>
    </xf>
    <xf numFmtId="1" fontId="4" fillId="34" borderId="1" xfId="0" applyNumberFormat="1" applyFont="1" applyFill="1" applyBorder="1" applyAlignment="1" applyProtection="1">
      <alignment horizontal="center" vertical="center" wrapText="1"/>
    </xf>
    <xf numFmtId="1" fontId="1" fillId="32" borderId="0" xfId="0" applyNumberFormat="1" applyFont="1" applyFill="1" applyBorder="1" applyAlignment="1">
      <alignment horizontal="center" vertical="center"/>
    </xf>
    <xf numFmtId="1" fontId="1" fillId="0" borderId="6" xfId="0" applyNumberFormat="1" applyFont="1" applyBorder="1" applyAlignment="1">
      <alignment horizontal="center" vertical="center"/>
    </xf>
    <xf numFmtId="1" fontId="1" fillId="0" borderId="3" xfId="0" applyNumberFormat="1" applyFont="1" applyFill="1" applyBorder="1" applyAlignment="1">
      <alignment horizontal="center" vertical="center"/>
    </xf>
    <xf numFmtId="1" fontId="1" fillId="0" borderId="35" xfId="0" applyNumberFormat="1" applyFont="1" applyFill="1" applyBorder="1" applyAlignment="1">
      <alignment horizontal="center" vertical="center"/>
    </xf>
    <xf numFmtId="1" fontId="1" fillId="0" borderId="1" xfId="0" applyNumberFormat="1" applyFont="1" applyFill="1" applyBorder="1" applyAlignment="1">
      <alignment horizontal="center" vertical="center"/>
    </xf>
    <xf numFmtId="1" fontId="1" fillId="0" borderId="50" xfId="0" applyNumberFormat="1" applyFont="1" applyFill="1" applyBorder="1" applyAlignment="1">
      <alignment horizontal="center" vertical="center"/>
    </xf>
    <xf numFmtId="0" fontId="1" fillId="25" borderId="48" xfId="0" applyFont="1" applyFill="1" applyBorder="1" applyAlignment="1">
      <alignment horizontal="center" vertical="center"/>
    </xf>
    <xf numFmtId="170" fontId="1" fillId="25" borderId="48" xfId="1" applyNumberFormat="1" applyFont="1" applyFill="1" applyBorder="1" applyAlignment="1">
      <alignment horizontal="center" vertical="center"/>
    </xf>
    <xf numFmtId="1" fontId="1" fillId="25" borderId="48" xfId="0" applyNumberFormat="1" applyFont="1" applyFill="1" applyBorder="1" applyAlignment="1">
      <alignment horizontal="center" vertical="center"/>
    </xf>
    <xf numFmtId="44" fontId="1" fillId="25" borderId="48" xfId="53" applyFont="1" applyFill="1" applyBorder="1" applyAlignment="1">
      <alignment horizontal="center" vertical="center"/>
    </xf>
    <xf numFmtId="165" fontId="1" fillId="25" borderId="48" xfId="0" applyNumberFormat="1" applyFont="1" applyFill="1" applyBorder="1" applyAlignment="1">
      <alignment horizontal="center" vertical="center"/>
    </xf>
    <xf numFmtId="165" fontId="1" fillId="25" borderId="91" xfId="0" applyNumberFormat="1" applyFont="1" applyFill="1" applyBorder="1" applyAlignment="1">
      <alignment horizontal="center" vertical="center"/>
    </xf>
    <xf numFmtId="1" fontId="1" fillId="32" borderId="19" xfId="0" applyNumberFormat="1" applyFont="1" applyFill="1" applyBorder="1" applyAlignment="1">
      <alignment horizontal="center" vertical="center"/>
    </xf>
    <xf numFmtId="1" fontId="1" fillId="32" borderId="44" xfId="0" applyNumberFormat="1" applyFont="1" applyFill="1" applyBorder="1" applyAlignment="1">
      <alignment horizontal="center" vertical="center"/>
    </xf>
    <xf numFmtId="0" fontId="5" fillId="25" borderId="10" xfId="0" applyNumberFormat="1" applyFont="1" applyFill="1" applyBorder="1" applyAlignment="1" applyProtection="1">
      <alignment horizontal="left" vertical="center" wrapText="1"/>
    </xf>
    <xf numFmtId="0" fontId="43" fillId="25" borderId="1" xfId="0" applyNumberFormat="1" applyFont="1" applyFill="1" applyBorder="1" applyAlignment="1" applyProtection="1">
      <alignment horizontal="center" vertical="center" wrapText="1"/>
    </xf>
    <xf numFmtId="0" fontId="0" fillId="0" borderId="0" xfId="0"/>
    <xf numFmtId="0" fontId="0" fillId="0" borderId="1" xfId="0" applyBorder="1"/>
    <xf numFmtId="0" fontId="0" fillId="0" borderId="1" xfId="0" applyFont="1" applyBorder="1" applyAlignment="1">
      <alignment horizontal="center"/>
    </xf>
    <xf numFmtId="0" fontId="0" fillId="25" borderId="1" xfId="0" applyFont="1" applyFill="1" applyBorder="1" applyAlignment="1">
      <alignment horizontal="center"/>
    </xf>
    <xf numFmtId="0" fontId="0" fillId="0" borderId="16" xfId="0" applyFont="1" applyBorder="1" applyAlignment="1">
      <alignment horizontal="center"/>
    </xf>
    <xf numFmtId="0" fontId="0" fillId="25" borderId="16" xfId="0" applyFont="1" applyFill="1" applyBorder="1" applyAlignment="1">
      <alignment horizontal="center"/>
    </xf>
    <xf numFmtId="0" fontId="0" fillId="0" borderId="0" xfId="0"/>
    <xf numFmtId="1" fontId="1" fillId="25" borderId="39" xfId="0" applyNumberFormat="1" applyFont="1" applyFill="1" applyBorder="1" applyAlignment="1">
      <alignment horizontal="center" vertical="center"/>
    </xf>
    <xf numFmtId="44" fontId="1" fillId="0" borderId="35" xfId="53" applyFont="1" applyBorder="1" applyAlignment="1">
      <alignment horizontal="center" vertical="center"/>
    </xf>
    <xf numFmtId="1" fontId="1" fillId="0" borderId="35" xfId="0" applyNumberFormat="1" applyFont="1" applyBorder="1" applyAlignment="1">
      <alignment horizontal="center" vertical="center"/>
    </xf>
    <xf numFmtId="165" fontId="1" fillId="0" borderId="35" xfId="0" applyNumberFormat="1" applyFont="1" applyBorder="1" applyAlignment="1">
      <alignment horizontal="center" vertical="center"/>
    </xf>
    <xf numFmtId="165" fontId="1" fillId="0" borderId="63" xfId="0" applyNumberFormat="1" applyFont="1" applyBorder="1" applyAlignment="1">
      <alignment horizontal="center" vertical="center"/>
    </xf>
    <xf numFmtId="0" fontId="55" fillId="0" borderId="0" xfId="0" applyFont="1"/>
    <xf numFmtId="0" fontId="7" fillId="0" borderId="30" xfId="0" applyNumberFormat="1" applyFont="1" applyFill="1" applyBorder="1" applyAlignment="1" applyProtection="1">
      <alignment horizontal="center" vertical="center" wrapText="1"/>
    </xf>
    <xf numFmtId="0" fontId="34" fillId="2" borderId="22" xfId="0" applyFont="1" applyFill="1" applyBorder="1" applyAlignment="1">
      <alignment horizontal="center"/>
    </xf>
    <xf numFmtId="1"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164" fontId="5" fillId="2" borderId="45" xfId="0" applyNumberFormat="1" applyFont="1" applyFill="1" applyBorder="1" applyAlignment="1">
      <alignment horizontal="center" vertical="center"/>
    </xf>
    <xf numFmtId="2" fontId="5" fillId="2" borderId="22" xfId="0" applyNumberFormat="1" applyFont="1" applyFill="1" applyBorder="1" applyAlignment="1">
      <alignment horizontal="center" vertical="center"/>
    </xf>
    <xf numFmtId="2" fontId="5" fillId="2" borderId="79" xfId="0" applyNumberFormat="1" applyFont="1" applyFill="1" applyBorder="1" applyAlignment="1">
      <alignment horizontal="center" vertical="center"/>
    </xf>
    <xf numFmtId="2" fontId="5" fillId="2" borderId="45" xfId="0" applyNumberFormat="1" applyFont="1" applyFill="1" applyBorder="1" applyAlignment="1">
      <alignment horizontal="center" vertical="center"/>
    </xf>
    <xf numFmtId="44" fontId="5" fillId="2" borderId="22" xfId="53" applyFont="1" applyFill="1" applyBorder="1" applyAlignment="1">
      <alignment horizontal="center" vertical="center"/>
    </xf>
    <xf numFmtId="174" fontId="5" fillId="2" borderId="22" xfId="610" applyNumberFormat="1" applyFont="1" applyFill="1" applyBorder="1" applyAlignment="1">
      <alignment horizontal="center" vertical="center"/>
    </xf>
    <xf numFmtId="174" fontId="5" fillId="2" borderId="22" xfId="610" applyNumberFormat="1" applyFont="1" applyFill="1" applyBorder="1" applyAlignment="1">
      <alignment vertical="center"/>
    </xf>
    <xf numFmtId="0" fontId="44" fillId="0" borderId="0" xfId="0" applyFont="1"/>
    <xf numFmtId="0" fontId="34" fillId="2" borderId="4" xfId="0" applyFont="1" applyFill="1" applyBorder="1" applyAlignment="1">
      <alignment horizontal="center"/>
    </xf>
    <xf numFmtId="0" fontId="34" fillId="2" borderId="4" xfId="0" applyFont="1" applyFill="1" applyBorder="1" applyAlignment="1">
      <alignment horizontal="center" wrapText="1"/>
    </xf>
    <xf numFmtId="0" fontId="14" fillId="0" borderId="47" xfId="0" applyFont="1" applyBorder="1" applyAlignment="1">
      <alignment horizontal="center" wrapText="1"/>
    </xf>
    <xf numFmtId="0" fontId="1" fillId="32" borderId="13" xfId="0" applyFont="1" applyFill="1" applyBorder="1" applyAlignment="1">
      <alignment horizontal="center" vertical="center"/>
    </xf>
    <xf numFmtId="0" fontId="1" fillId="32" borderId="10" xfId="0" applyFont="1" applyFill="1" applyBorder="1" applyAlignment="1">
      <alignment horizontal="center" vertical="center"/>
    </xf>
    <xf numFmtId="0" fontId="1" fillId="32" borderId="2" xfId="0" applyFont="1" applyFill="1" applyBorder="1" applyAlignment="1">
      <alignment horizontal="center" vertical="center"/>
    </xf>
    <xf numFmtId="1" fontId="1" fillId="32" borderId="2" xfId="0" applyNumberFormat="1" applyFont="1" applyFill="1" applyBorder="1" applyAlignment="1">
      <alignment horizontal="center" vertical="center"/>
    </xf>
    <xf numFmtId="0" fontId="1" fillId="32" borderId="31" xfId="0" applyFont="1" applyFill="1" applyBorder="1" applyAlignment="1">
      <alignment horizontal="center" vertical="center"/>
    </xf>
    <xf numFmtId="1" fontId="1" fillId="34" borderId="6" xfId="0" applyNumberFormat="1" applyFont="1" applyFill="1" applyBorder="1" applyAlignment="1">
      <alignment horizontal="center" vertical="center"/>
    </xf>
    <xf numFmtId="44" fontId="1" fillId="34" borderId="6" xfId="53" applyFont="1" applyFill="1" applyBorder="1" applyAlignment="1">
      <alignment horizontal="center" vertical="center"/>
    </xf>
    <xf numFmtId="165" fontId="1" fillId="34" borderId="6" xfId="0" applyNumberFormat="1" applyFont="1" applyFill="1" applyBorder="1" applyAlignment="1">
      <alignment horizontal="center" vertical="center"/>
    </xf>
    <xf numFmtId="44" fontId="0" fillId="0" borderId="0" xfId="53" applyFont="1"/>
    <xf numFmtId="0" fontId="14" fillId="0" borderId="12" xfId="0" applyFont="1" applyBorder="1" applyAlignment="1">
      <alignment horizontal="center" wrapText="1"/>
    </xf>
    <xf numFmtId="0" fontId="14" fillId="0" borderId="13" xfId="0" applyFont="1" applyBorder="1" applyAlignment="1">
      <alignment horizontal="center" wrapText="1"/>
    </xf>
    <xf numFmtId="0" fontId="1" fillId="25" borderId="10" xfId="0" applyFont="1" applyFill="1" applyBorder="1" applyAlignment="1">
      <alignment horizontal="center" vertical="center"/>
    </xf>
    <xf numFmtId="0" fontId="5" fillId="25" borderId="14" xfId="0" applyNumberFormat="1" applyFont="1" applyFill="1" applyBorder="1" applyAlignment="1" applyProtection="1">
      <alignment horizontal="left" vertical="center" wrapText="1"/>
    </xf>
    <xf numFmtId="1" fontId="1" fillId="25" borderId="40" xfId="0" quotePrefix="1" applyNumberFormat="1" applyFont="1" applyFill="1" applyBorder="1" applyAlignment="1">
      <alignment horizontal="center" vertical="center"/>
    </xf>
    <xf numFmtId="1" fontId="1" fillId="25" borderId="3" xfId="0" applyNumberFormat="1" applyFont="1" applyFill="1" applyBorder="1" applyAlignment="1">
      <alignment horizontal="center" vertical="center"/>
    </xf>
    <xf numFmtId="0" fontId="1" fillId="0" borderId="3" xfId="0" applyFont="1" applyBorder="1" applyAlignment="1">
      <alignment horizontal="center" vertical="center"/>
    </xf>
    <xf numFmtId="170" fontId="1" fillId="25" borderId="3" xfId="1" applyNumberFormat="1" applyFont="1" applyFill="1" applyBorder="1" applyAlignment="1">
      <alignment horizontal="center" vertical="center"/>
    </xf>
    <xf numFmtId="44" fontId="1" fillId="0" borderId="3" xfId="53" applyFont="1" applyBorder="1" applyAlignment="1">
      <alignment horizontal="center" vertical="center"/>
    </xf>
    <xf numFmtId="165" fontId="1" fillId="0" borderId="3" xfId="0" applyNumberFormat="1" applyFont="1" applyBorder="1" applyAlignment="1">
      <alignment horizontal="center" vertical="center"/>
    </xf>
    <xf numFmtId="170" fontId="1" fillId="25" borderId="35" xfId="1" applyNumberFormat="1" applyFont="1" applyFill="1" applyBorder="1" applyAlignment="1">
      <alignment horizontal="center" vertical="center"/>
    </xf>
    <xf numFmtId="165" fontId="1" fillId="34" borderId="25" xfId="0" applyNumberFormat="1" applyFont="1" applyFill="1" applyBorder="1" applyAlignment="1">
      <alignment horizontal="center" vertical="center"/>
    </xf>
    <xf numFmtId="165" fontId="1" fillId="0" borderId="16" xfId="0" applyNumberFormat="1" applyFont="1" applyBorder="1" applyAlignment="1">
      <alignment horizontal="center" vertical="center"/>
    </xf>
    <xf numFmtId="165" fontId="1" fillId="0" borderId="28" xfId="0" applyNumberFormat="1" applyFont="1" applyBorder="1" applyAlignment="1">
      <alignment horizontal="center" vertical="center"/>
    </xf>
    <xf numFmtId="165" fontId="1" fillId="0" borderId="27" xfId="0" applyNumberFormat="1" applyFont="1" applyBorder="1" applyAlignment="1">
      <alignment horizontal="center" vertical="center"/>
    </xf>
    <xf numFmtId="0" fontId="14" fillId="0" borderId="29" xfId="0" applyFont="1" applyBorder="1" applyAlignment="1">
      <alignment horizontal="center" wrapText="1"/>
    </xf>
    <xf numFmtId="0" fontId="2" fillId="32" borderId="30" xfId="0" applyFont="1" applyFill="1" applyBorder="1" applyAlignment="1" applyProtection="1">
      <alignment wrapText="1"/>
    </xf>
    <xf numFmtId="0" fontId="2" fillId="32" borderId="22" xfId="0" applyFont="1" applyFill="1" applyBorder="1" applyAlignment="1" applyProtection="1">
      <alignment wrapText="1"/>
    </xf>
    <xf numFmtId="0" fontId="2" fillId="0" borderId="42" xfId="0" applyNumberFormat="1" applyFont="1" applyFill="1" applyBorder="1" applyAlignment="1" applyProtection="1">
      <alignment horizontal="center" vertical="center" wrapText="1"/>
    </xf>
    <xf numFmtId="1" fontId="2" fillId="25" borderId="67" xfId="0" applyNumberFormat="1" applyFont="1" applyFill="1" applyBorder="1" applyAlignment="1" applyProtection="1">
      <alignment horizontal="center" vertical="center" wrapText="1"/>
    </xf>
    <xf numFmtId="1" fontId="2" fillId="25" borderId="6" xfId="0" applyNumberFormat="1" applyFont="1" applyFill="1" applyBorder="1" applyAlignment="1" applyProtection="1">
      <alignment horizontal="center" vertical="center" wrapText="1"/>
    </xf>
    <xf numFmtId="1" fontId="2" fillId="25" borderId="42" xfId="0" applyNumberFormat="1" applyFont="1" applyFill="1" applyBorder="1" applyAlignment="1" applyProtection="1">
      <alignment horizontal="center" vertical="center" wrapText="1"/>
    </xf>
    <xf numFmtId="1" fontId="2" fillId="25" borderId="51" xfId="0" applyNumberFormat="1" applyFont="1" applyFill="1" applyBorder="1" applyAlignment="1" applyProtection="1">
      <alignment horizontal="center" vertical="center" wrapText="1"/>
    </xf>
    <xf numFmtId="1" fontId="1" fillId="25" borderId="5" xfId="0" applyNumberFormat="1" applyFont="1" applyFill="1" applyBorder="1" applyAlignment="1">
      <alignment horizontal="center" vertical="center"/>
    </xf>
    <xf numFmtId="1" fontId="1" fillId="25" borderId="8"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1" fontId="1" fillId="25" borderId="40" xfId="0" applyNumberFormat="1" applyFont="1" applyFill="1" applyBorder="1" applyAlignment="1">
      <alignment horizontal="center" vertical="center"/>
    </xf>
    <xf numFmtId="1" fontId="1" fillId="25" borderId="85" xfId="0" applyNumberFormat="1" applyFont="1" applyFill="1" applyBorder="1" applyAlignment="1">
      <alignment horizontal="center" vertical="center"/>
    </xf>
    <xf numFmtId="2" fontId="1" fillId="25" borderId="48" xfId="0" applyNumberFormat="1" applyFont="1" applyFill="1" applyBorder="1" applyAlignment="1">
      <alignment horizontal="center" vertical="center"/>
    </xf>
    <xf numFmtId="2" fontId="1" fillId="25" borderId="6" xfId="0" applyNumberFormat="1" applyFont="1" applyFill="1" applyBorder="1" applyAlignment="1">
      <alignment horizontal="center" vertical="center"/>
    </xf>
    <xf numFmtId="2" fontId="1" fillId="25" borderId="9" xfId="0" applyNumberFormat="1" applyFont="1" applyFill="1" applyBorder="1" applyAlignment="1">
      <alignment horizontal="center" vertical="center"/>
    </xf>
    <xf numFmtId="2" fontId="1" fillId="25" borderId="35" xfId="0" applyNumberFormat="1" applyFont="1" applyFill="1" applyBorder="1" applyAlignment="1">
      <alignment horizontal="center" vertical="center"/>
    </xf>
    <xf numFmtId="2" fontId="1" fillId="25" borderId="3" xfId="0" applyNumberFormat="1" applyFont="1" applyFill="1" applyBorder="1" applyAlignment="1">
      <alignment horizontal="center" vertical="center"/>
    </xf>
    <xf numFmtId="1" fontId="1" fillId="25" borderId="32" xfId="0" applyNumberFormat="1" applyFont="1" applyFill="1" applyBorder="1" applyAlignment="1">
      <alignment horizontal="center" vertical="center"/>
    </xf>
    <xf numFmtId="2" fontId="1" fillId="25" borderId="50" xfId="0" applyNumberFormat="1" applyFont="1" applyFill="1" applyBorder="1" applyAlignment="1">
      <alignment horizontal="center" vertical="center"/>
    </xf>
    <xf numFmtId="0" fontId="1" fillId="25" borderId="11" xfId="0" applyFont="1" applyFill="1" applyBorder="1" applyAlignment="1">
      <alignment horizontal="center" vertical="center"/>
    </xf>
    <xf numFmtId="0" fontId="1" fillId="25" borderId="39" xfId="0" applyFont="1" applyFill="1" applyBorder="1" applyAlignment="1">
      <alignment horizontal="center" vertical="center"/>
    </xf>
    <xf numFmtId="0" fontId="1" fillId="25" borderId="35" xfId="0" applyFont="1" applyFill="1" applyBorder="1" applyAlignment="1">
      <alignment horizontal="center" vertical="center"/>
    </xf>
    <xf numFmtId="1" fontId="1" fillId="25" borderId="92" xfId="0" applyNumberFormat="1" applyFont="1" applyFill="1" applyBorder="1" applyAlignment="1">
      <alignment horizontal="center" vertical="center"/>
    </xf>
    <xf numFmtId="1" fontId="1" fillId="25" borderId="41" xfId="0" applyNumberFormat="1" applyFont="1" applyFill="1" applyBorder="1" applyAlignment="1">
      <alignment horizontal="center" vertical="center"/>
    </xf>
    <xf numFmtId="1" fontId="1" fillId="25" borderId="50" xfId="0" applyNumberFormat="1" applyFont="1" applyFill="1" applyBorder="1" applyAlignment="1">
      <alignment horizontal="center" vertical="center"/>
    </xf>
    <xf numFmtId="0" fontId="14" fillId="25" borderId="33" xfId="0" applyFont="1" applyFill="1" applyBorder="1" applyAlignment="1">
      <alignment horizontal="center"/>
    </xf>
    <xf numFmtId="1" fontId="1" fillId="25" borderId="39" xfId="0" quotePrefix="1" applyNumberFormat="1" applyFont="1" applyFill="1" applyBorder="1" applyAlignment="1">
      <alignment horizontal="center" vertical="center"/>
    </xf>
    <xf numFmtId="9" fontId="10" fillId="25" borderId="4" xfId="1" applyFont="1" applyFill="1" applyBorder="1" applyAlignment="1">
      <alignment horizontal="center" vertical="center"/>
    </xf>
    <xf numFmtId="0" fontId="14" fillId="34" borderId="33" xfId="0" applyFont="1" applyFill="1" applyBorder="1" applyAlignment="1">
      <alignment horizontal="center" wrapText="1"/>
    </xf>
    <xf numFmtId="1" fontId="4" fillId="34" borderId="42" xfId="0" applyNumberFormat="1" applyFont="1" applyFill="1" applyBorder="1" applyAlignment="1" applyProtection="1">
      <alignment horizontal="center" vertical="center" wrapText="1"/>
    </xf>
    <xf numFmtId="2" fontId="4" fillId="34" borderId="1" xfId="0" applyNumberFormat="1" applyFont="1" applyFill="1" applyBorder="1" applyAlignment="1" applyProtection="1">
      <alignment horizontal="center" vertical="center" wrapText="1"/>
    </xf>
    <xf numFmtId="0" fontId="14" fillId="34" borderId="31" xfId="0" applyFont="1" applyFill="1" applyBorder="1" applyAlignment="1">
      <alignment horizontal="center" wrapText="1"/>
    </xf>
    <xf numFmtId="1" fontId="4" fillId="34" borderId="51" xfId="0" applyNumberFormat="1" applyFont="1" applyFill="1" applyBorder="1" applyAlignment="1" applyProtection="1">
      <alignment horizontal="center" vertical="center" wrapText="1"/>
    </xf>
    <xf numFmtId="2" fontId="4" fillId="34" borderId="9" xfId="0" applyNumberFormat="1" applyFont="1" applyFill="1" applyBorder="1" applyAlignment="1" applyProtection="1">
      <alignment horizontal="center" vertical="center" wrapText="1"/>
    </xf>
    <xf numFmtId="1" fontId="1" fillId="34" borderId="39" xfId="0" applyNumberFormat="1" applyFont="1" applyFill="1" applyBorder="1" applyAlignment="1">
      <alignment horizontal="center" vertical="center"/>
    </xf>
    <xf numFmtId="170" fontId="1" fillId="34" borderId="35" xfId="1" applyNumberFormat="1" applyFont="1" applyFill="1" applyBorder="1" applyAlignment="1">
      <alignment horizontal="center" vertical="center"/>
    </xf>
    <xf numFmtId="2" fontId="1" fillId="34" borderId="35" xfId="0" applyNumberFormat="1" applyFont="1" applyFill="1" applyBorder="1" applyAlignment="1">
      <alignment horizontal="center" vertical="center"/>
    </xf>
    <xf numFmtId="1" fontId="1" fillId="34" borderId="42" xfId="0" applyNumberFormat="1" applyFont="1" applyFill="1" applyBorder="1" applyAlignment="1">
      <alignment horizontal="center" vertical="center"/>
    </xf>
    <xf numFmtId="170" fontId="1" fillId="34" borderId="1" xfId="1" applyNumberFormat="1" applyFont="1" applyFill="1" applyBorder="1" applyAlignment="1">
      <alignment horizontal="center" vertical="center"/>
    </xf>
    <xf numFmtId="2" fontId="1" fillId="34" borderId="1" xfId="0" applyNumberFormat="1" applyFont="1" applyFill="1" applyBorder="1" applyAlignment="1">
      <alignment horizontal="center" vertical="center"/>
    </xf>
    <xf numFmtId="1" fontId="1" fillId="34" borderId="40" xfId="0" applyNumberFormat="1" applyFont="1" applyFill="1" applyBorder="1" applyAlignment="1">
      <alignment horizontal="center" vertical="center"/>
    </xf>
    <xf numFmtId="170" fontId="1" fillId="34" borderId="3" xfId="1" applyNumberFormat="1" applyFont="1" applyFill="1" applyBorder="1" applyAlignment="1">
      <alignment horizontal="center" vertical="center"/>
    </xf>
    <xf numFmtId="2" fontId="1" fillId="34" borderId="3" xfId="0" applyNumberFormat="1" applyFont="1" applyFill="1" applyBorder="1" applyAlignment="1">
      <alignment horizontal="center" vertical="center"/>
    </xf>
    <xf numFmtId="0" fontId="14" fillId="34" borderId="43" xfId="0" applyFont="1" applyFill="1" applyBorder="1" applyAlignment="1">
      <alignment horizontal="center" wrapText="1"/>
    </xf>
    <xf numFmtId="1" fontId="1" fillId="34" borderId="11" xfId="0" applyNumberFormat="1" applyFont="1" applyFill="1" applyBorder="1" applyAlignment="1">
      <alignment horizontal="center" vertical="center"/>
    </xf>
    <xf numFmtId="1" fontId="1" fillId="34" borderId="7" xfId="0" applyNumberFormat="1" applyFont="1" applyFill="1" applyBorder="1" applyAlignment="1">
      <alignment horizontal="center" vertical="center"/>
    </xf>
    <xf numFmtId="1" fontId="1" fillId="34" borderId="89" xfId="0" applyNumberFormat="1" applyFont="1" applyFill="1" applyBorder="1" applyAlignment="1">
      <alignment horizontal="center" vertical="center"/>
    </xf>
    <xf numFmtId="0" fontId="14" fillId="34" borderId="24" xfId="0" applyFont="1" applyFill="1" applyBorder="1" applyAlignment="1">
      <alignment horizontal="center" wrapText="1"/>
    </xf>
    <xf numFmtId="1" fontId="1" fillId="34" borderId="66" xfId="0" applyNumberFormat="1" applyFont="1" applyFill="1" applyBorder="1" applyAlignment="1">
      <alignment horizontal="center" vertical="center"/>
    </xf>
    <xf numFmtId="0" fontId="1" fillId="34" borderId="64" xfId="0" applyFont="1" applyFill="1" applyBorder="1" applyAlignment="1">
      <alignment horizontal="center" vertical="center"/>
    </xf>
    <xf numFmtId="170" fontId="1" fillId="34" borderId="64" xfId="1" applyNumberFormat="1" applyFont="1" applyFill="1" applyBorder="1" applyAlignment="1">
      <alignment horizontal="center" vertical="center"/>
    </xf>
    <xf numFmtId="2" fontId="1" fillId="34" borderId="64" xfId="0" applyNumberFormat="1" applyFont="1" applyFill="1" applyBorder="1" applyAlignment="1">
      <alignment horizontal="center" vertical="center"/>
    </xf>
    <xf numFmtId="1" fontId="1" fillId="34" borderId="67" xfId="0" applyNumberFormat="1" applyFont="1" applyFill="1" applyBorder="1" applyAlignment="1">
      <alignment horizontal="center" vertical="center"/>
    </xf>
    <xf numFmtId="0" fontId="1" fillId="34" borderId="6" xfId="0" applyFont="1" applyFill="1" applyBorder="1" applyAlignment="1">
      <alignment horizontal="center" vertical="center"/>
    </xf>
    <xf numFmtId="170" fontId="1" fillId="34" borderId="6" xfId="1" applyNumberFormat="1" applyFont="1" applyFill="1" applyBorder="1" applyAlignment="1">
      <alignment horizontal="center" vertical="center"/>
    </xf>
    <xf numFmtId="2" fontId="1" fillId="34" borderId="6" xfId="0" applyNumberFormat="1" applyFont="1" applyFill="1" applyBorder="1" applyAlignment="1">
      <alignment horizontal="center" vertical="center"/>
    </xf>
    <xf numFmtId="0" fontId="2" fillId="0" borderId="30" xfId="0" applyNumberFormat="1" applyFont="1" applyFill="1" applyBorder="1" applyAlignment="1" applyProtection="1">
      <alignment horizontal="center" vertical="center" wrapText="1"/>
    </xf>
    <xf numFmtId="0" fontId="2" fillId="32" borderId="36" xfId="0" applyFont="1" applyFill="1" applyBorder="1" applyAlignment="1" applyProtection="1">
      <alignment horizontal="center" wrapText="1"/>
    </xf>
    <xf numFmtId="0" fontId="2" fillId="32" borderId="47" xfId="0" applyFont="1" applyFill="1" applyBorder="1" applyAlignment="1" applyProtection="1">
      <alignment horizontal="center" wrapText="1"/>
    </xf>
    <xf numFmtId="0" fontId="2" fillId="0" borderId="2" xfId="0" applyNumberFormat="1" applyFont="1" applyFill="1" applyBorder="1" applyAlignment="1" applyProtection="1">
      <alignment horizontal="left" vertical="center" wrapText="1"/>
    </xf>
    <xf numFmtId="0" fontId="5" fillId="25" borderId="12" xfId="0" applyNumberFormat="1" applyFont="1" applyFill="1" applyBorder="1" applyAlignment="1" applyProtection="1">
      <alignment horizontal="left" vertical="center" wrapText="1"/>
    </xf>
    <xf numFmtId="0" fontId="5" fillId="25" borderId="14" xfId="0" applyNumberFormat="1" applyFont="1" applyFill="1" applyBorder="1" applyAlignment="1" applyProtection="1">
      <alignment horizontal="left" vertical="center" wrapText="1"/>
    </xf>
    <xf numFmtId="0" fontId="2" fillId="25" borderId="31" xfId="0" applyNumberFormat="1" applyFont="1" applyFill="1" applyBorder="1" applyAlignment="1" applyProtection="1">
      <alignment horizontal="center" vertical="center" wrapText="1"/>
    </xf>
    <xf numFmtId="0" fontId="0" fillId="0" borderId="1" xfId="0" applyBorder="1" applyAlignment="1">
      <alignment horizontal="center"/>
    </xf>
    <xf numFmtId="0" fontId="2" fillId="0" borderId="29" xfId="0" applyNumberFormat="1" applyFont="1" applyFill="1" applyBorder="1" applyAlignment="1" applyProtection="1">
      <alignment vertical="center" wrapText="1"/>
    </xf>
    <xf numFmtId="0" fontId="2" fillId="0" borderId="13" xfId="0" applyNumberFormat="1" applyFont="1" applyFill="1" applyBorder="1" applyAlignment="1" applyProtection="1">
      <alignment vertical="center" wrapText="1"/>
    </xf>
    <xf numFmtId="0" fontId="2" fillId="0" borderId="81"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center" vertical="center" wrapText="1"/>
    </xf>
    <xf numFmtId="0" fontId="5" fillId="25" borderId="30" xfId="0" applyNumberFormat="1" applyFont="1" applyFill="1" applyBorder="1" applyAlignment="1" applyProtection="1">
      <alignment horizontal="left" vertical="center" wrapText="1"/>
    </xf>
    <xf numFmtId="1" fontId="2" fillId="25" borderId="40" xfId="0" applyNumberFormat="1" applyFont="1" applyFill="1" applyBorder="1" applyAlignment="1" applyProtection="1">
      <alignment horizontal="center" vertical="center" wrapText="1"/>
    </xf>
    <xf numFmtId="1" fontId="2" fillId="25" borderId="3" xfId="0" applyNumberFormat="1" applyFont="1" applyFill="1" applyBorder="1" applyAlignment="1" applyProtection="1">
      <alignment horizontal="center" vertical="center" wrapText="1"/>
    </xf>
    <xf numFmtId="0" fontId="2" fillId="25" borderId="3" xfId="0" applyNumberFormat="1" applyFont="1" applyFill="1" applyBorder="1" applyAlignment="1" applyProtection="1">
      <alignment horizontal="center" vertical="center" wrapText="1"/>
    </xf>
    <xf numFmtId="44" fontId="2" fillId="25" borderId="3" xfId="53" applyFont="1" applyFill="1" applyBorder="1" applyAlignment="1" applyProtection="1">
      <alignment horizontal="center" vertical="center" wrapText="1"/>
    </xf>
    <xf numFmtId="165" fontId="2" fillId="25" borderId="3" xfId="0" applyNumberFormat="1" applyFont="1" applyFill="1" applyBorder="1" applyAlignment="1" applyProtection="1">
      <alignment horizontal="center" vertical="center" wrapText="1"/>
    </xf>
    <xf numFmtId="165" fontId="2" fillId="25" borderId="87" xfId="0" applyNumberFormat="1" applyFont="1" applyFill="1" applyBorder="1" applyAlignment="1" applyProtection="1">
      <alignment horizontal="center" vertical="center" wrapText="1"/>
    </xf>
    <xf numFmtId="0" fontId="3" fillId="34" borderId="29" xfId="0" applyNumberFormat="1" applyFont="1" applyFill="1" applyBorder="1" applyAlignment="1" applyProtection="1">
      <alignment horizontal="left" vertical="center" wrapText="1"/>
    </xf>
    <xf numFmtId="1" fontId="4" fillId="34" borderId="92" xfId="0" applyNumberFormat="1" applyFont="1" applyFill="1" applyBorder="1" applyAlignment="1" applyProtection="1">
      <alignment horizontal="center" vertical="center" wrapText="1"/>
    </xf>
    <xf numFmtId="1" fontId="4" fillId="34" borderId="35" xfId="0" applyNumberFormat="1" applyFont="1" applyFill="1" applyBorder="1" applyAlignment="1" applyProtection="1">
      <alignment horizontal="center" vertical="center" wrapText="1"/>
    </xf>
    <xf numFmtId="0" fontId="4" fillId="34" borderId="35" xfId="0" applyNumberFormat="1" applyFont="1" applyFill="1" applyBorder="1" applyAlignment="1" applyProtection="1">
      <alignment horizontal="center" vertical="center" wrapText="1"/>
    </xf>
    <xf numFmtId="2" fontId="4" fillId="34" borderId="35" xfId="0" applyNumberFormat="1" applyFont="1" applyFill="1" applyBorder="1" applyAlignment="1" applyProtection="1">
      <alignment horizontal="center" vertical="center" wrapText="1"/>
    </xf>
    <xf numFmtId="165" fontId="4" fillId="34" borderId="35" xfId="0" applyNumberFormat="1" applyFont="1" applyFill="1" applyBorder="1" applyAlignment="1" applyProtection="1">
      <alignment horizontal="center" vertical="center" wrapText="1"/>
    </xf>
    <xf numFmtId="165" fontId="4" fillId="34" borderId="63" xfId="0" applyNumberFormat="1" applyFont="1" applyFill="1" applyBorder="1" applyAlignment="1" applyProtection="1">
      <alignment horizontal="center" vertical="center" wrapText="1"/>
    </xf>
    <xf numFmtId="0" fontId="14" fillId="0" borderId="83" xfId="0" applyFont="1" applyBorder="1" applyAlignment="1">
      <alignment horizontal="center" wrapText="1"/>
    </xf>
    <xf numFmtId="0" fontId="4" fillId="25" borderId="29" xfId="0" applyNumberFormat="1" applyFont="1" applyFill="1" applyBorder="1" applyAlignment="1" applyProtection="1">
      <alignment horizontal="left" vertical="center" wrapText="1"/>
    </xf>
    <xf numFmtId="0" fontId="2" fillId="25" borderId="13" xfId="0" applyNumberFormat="1" applyFont="1" applyFill="1" applyBorder="1" applyAlignment="1" applyProtection="1">
      <alignment horizontal="left" vertical="center" wrapText="1"/>
    </xf>
    <xf numFmtId="0" fontId="2" fillId="25" borderId="40" xfId="0" applyNumberFormat="1" applyFont="1" applyFill="1" applyBorder="1" applyAlignment="1" applyProtection="1">
      <alignment horizontal="center" vertical="center" wrapText="1"/>
    </xf>
    <xf numFmtId="0" fontId="2" fillId="25" borderId="28" xfId="0" applyNumberFormat="1" applyFont="1" applyFill="1" applyBorder="1" applyAlignment="1" applyProtection="1">
      <alignment horizontal="center" vertical="center" wrapText="1"/>
    </xf>
    <xf numFmtId="0" fontId="2" fillId="25" borderId="51" xfId="0" applyNumberFormat="1" applyFont="1" applyFill="1" applyBorder="1" applyAlignment="1" applyProtection="1">
      <alignment horizontal="center" vertical="center" wrapText="1"/>
    </xf>
    <xf numFmtId="0" fontId="2" fillId="25" borderId="37" xfId="0" applyNumberFormat="1" applyFont="1" applyFill="1" applyBorder="1" applyAlignment="1" applyProtection="1">
      <alignment horizontal="center" vertical="center" wrapText="1"/>
    </xf>
    <xf numFmtId="0" fontId="2" fillId="25" borderId="14" xfId="0" applyNumberFormat="1" applyFont="1" applyFill="1" applyBorder="1" applyAlignment="1" applyProtection="1">
      <alignment horizontal="center" vertical="center" wrapText="1"/>
    </xf>
    <xf numFmtId="0" fontId="2" fillId="25" borderId="42" xfId="0" applyNumberFormat="1" applyFont="1" applyFill="1" applyBorder="1" applyAlignment="1" applyProtection="1">
      <alignment horizontal="center" vertical="center" wrapText="1"/>
    </xf>
    <xf numFmtId="0" fontId="2" fillId="25" borderId="30" xfId="0" applyNumberFormat="1" applyFont="1" applyFill="1" applyBorder="1" applyAlignment="1" applyProtection="1">
      <alignment horizontal="left" vertical="center" wrapText="1"/>
    </xf>
    <xf numFmtId="0" fontId="2" fillId="25" borderId="14" xfId="0" applyNumberFormat="1" applyFont="1" applyFill="1" applyBorder="1" applyAlignment="1" applyProtection="1">
      <alignment horizontal="left" vertical="center" wrapText="1"/>
    </xf>
    <xf numFmtId="0" fontId="1" fillId="0" borderId="4" xfId="0" applyFont="1" applyBorder="1" applyAlignment="1">
      <alignment horizontal="left" vertical="center"/>
    </xf>
    <xf numFmtId="0" fontId="4" fillId="0" borderId="13" xfId="0" applyNumberFormat="1" applyFont="1" applyFill="1" applyBorder="1" applyAlignment="1" applyProtection="1">
      <alignment vertical="center" wrapText="1"/>
    </xf>
    <xf numFmtId="9" fontId="2" fillId="0" borderId="13" xfId="0" applyNumberFormat="1" applyFont="1" applyFill="1" applyBorder="1" applyAlignment="1" applyProtection="1">
      <alignment vertical="center" wrapText="1"/>
    </xf>
    <xf numFmtId="9" fontId="2" fillId="0" borderId="14" xfId="0" applyNumberFormat="1" applyFont="1" applyFill="1" applyBorder="1" applyAlignment="1" applyProtection="1">
      <alignment vertical="center" wrapText="1"/>
    </xf>
    <xf numFmtId="0" fontId="2" fillId="0" borderId="30" xfId="0" applyNumberFormat="1" applyFont="1" applyFill="1" applyBorder="1" applyAlignment="1" applyProtection="1">
      <alignment horizontal="left" vertical="center" wrapText="1"/>
    </xf>
    <xf numFmtId="0" fontId="2" fillId="0" borderId="15" xfId="0" applyNumberFormat="1" applyFont="1" applyFill="1" applyBorder="1" applyAlignment="1" applyProtection="1">
      <alignment horizontal="left" vertical="center" wrapText="1"/>
    </xf>
    <xf numFmtId="0" fontId="2" fillId="0" borderId="22"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 fillId="0" borderId="29" xfId="0" applyFont="1" applyBorder="1" applyAlignment="1">
      <alignment horizontal="left" vertical="center" wrapText="1"/>
    </xf>
    <xf numFmtId="0" fontId="2" fillId="0" borderId="39"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14" fillId="0" borderId="18" xfId="0" applyFont="1" applyBorder="1" applyAlignment="1">
      <alignment horizontal="center" wrapText="1"/>
    </xf>
    <xf numFmtId="1" fontId="1" fillId="32" borderId="62" xfId="0" applyNumberFormat="1" applyFont="1" applyFill="1" applyBorder="1" applyAlignment="1">
      <alignment horizontal="center" vertical="center"/>
    </xf>
    <xf numFmtId="1" fontId="1" fillId="32" borderId="82" xfId="0" applyNumberFormat="1" applyFont="1" applyFill="1" applyBorder="1" applyAlignment="1">
      <alignment horizontal="center" vertical="center"/>
    </xf>
    <xf numFmtId="0" fontId="1" fillId="32" borderId="82" xfId="0" applyFont="1" applyFill="1" applyBorder="1" applyAlignment="1">
      <alignment horizontal="center" vertical="center"/>
    </xf>
    <xf numFmtId="170" fontId="1" fillId="32" borderId="82" xfId="1" applyNumberFormat="1" applyFont="1" applyFill="1" applyBorder="1" applyAlignment="1">
      <alignment horizontal="center" vertical="center"/>
    </xf>
    <xf numFmtId="2" fontId="1" fillId="32" borderId="82" xfId="0" applyNumberFormat="1" applyFont="1" applyFill="1" applyBorder="1" applyAlignment="1">
      <alignment horizontal="center" vertical="center"/>
    </xf>
    <xf numFmtId="44" fontId="1" fillId="32" borderId="82" xfId="53" applyFont="1" applyFill="1" applyBorder="1" applyAlignment="1">
      <alignment horizontal="center" vertical="center"/>
    </xf>
    <xf numFmtId="165" fontId="1" fillId="32" borderId="82" xfId="0" applyNumberFormat="1" applyFont="1" applyFill="1" applyBorder="1" applyAlignment="1">
      <alignment horizontal="center" vertical="center"/>
    </xf>
    <xf numFmtId="165" fontId="1" fillId="32" borderId="83" xfId="0" applyNumberFormat="1" applyFont="1" applyFill="1" applyBorder="1" applyAlignment="1">
      <alignment horizontal="center" vertical="center"/>
    </xf>
    <xf numFmtId="1" fontId="1" fillId="25" borderId="11" xfId="0" applyNumberFormat="1" applyFont="1" applyFill="1" applyBorder="1" applyAlignment="1">
      <alignment horizontal="center" vertical="center"/>
    </xf>
    <xf numFmtId="44" fontId="1" fillId="25" borderId="35" xfId="53" applyFont="1" applyFill="1" applyBorder="1" applyAlignment="1">
      <alignment horizontal="center" vertical="center"/>
    </xf>
    <xf numFmtId="165" fontId="1" fillId="25" borderId="35" xfId="0" applyNumberFormat="1" applyFont="1" applyFill="1" applyBorder="1" applyAlignment="1">
      <alignment horizontal="center" vertical="center"/>
    </xf>
    <xf numFmtId="165" fontId="1" fillId="25" borderId="63" xfId="0" applyNumberFormat="1" applyFont="1" applyFill="1" applyBorder="1" applyAlignment="1">
      <alignment horizontal="center" vertical="center"/>
    </xf>
    <xf numFmtId="1" fontId="1" fillId="32" borderId="61" xfId="0" applyNumberFormat="1" applyFont="1" applyFill="1" applyBorder="1" applyAlignment="1">
      <alignment horizontal="center" vertical="center"/>
    </xf>
    <xf numFmtId="1" fontId="1" fillId="32" borderId="81" xfId="0" applyNumberFormat="1" applyFont="1" applyFill="1" applyBorder="1" applyAlignment="1">
      <alignment horizontal="center" vertical="center"/>
    </xf>
    <xf numFmtId="0" fontId="1" fillId="32" borderId="81" xfId="0" applyFont="1" applyFill="1" applyBorder="1" applyAlignment="1">
      <alignment horizontal="center" vertical="center"/>
    </xf>
    <xf numFmtId="170" fontId="1" fillId="32" borderId="81" xfId="1" applyNumberFormat="1" applyFont="1" applyFill="1" applyBorder="1" applyAlignment="1">
      <alignment horizontal="center" vertical="center"/>
    </xf>
    <xf numFmtId="2" fontId="1" fillId="32" borderId="81" xfId="0" applyNumberFormat="1" applyFont="1" applyFill="1" applyBorder="1" applyAlignment="1">
      <alignment horizontal="center" vertical="center"/>
    </xf>
    <xf numFmtId="44" fontId="1" fillId="32" borderId="81" xfId="53" applyFont="1" applyFill="1" applyBorder="1" applyAlignment="1">
      <alignment horizontal="center" vertical="center"/>
    </xf>
    <xf numFmtId="165" fontId="1" fillId="32" borderId="81" xfId="0" applyNumberFormat="1" applyFont="1" applyFill="1" applyBorder="1" applyAlignment="1">
      <alignment horizontal="center" vertical="center"/>
    </xf>
    <xf numFmtId="165" fontId="1" fillId="32" borderId="80" xfId="0" applyNumberFormat="1" applyFont="1" applyFill="1" applyBorder="1" applyAlignment="1">
      <alignment horizontal="center" vertical="center"/>
    </xf>
    <xf numFmtId="0" fontId="14" fillId="32" borderId="12" xfId="0" applyFont="1" applyFill="1" applyBorder="1" applyAlignment="1">
      <alignment horizontal="center" wrapText="1"/>
    </xf>
    <xf numFmtId="1" fontId="1" fillId="25" borderId="89" xfId="0" applyNumberFormat="1" applyFont="1" applyFill="1" applyBorder="1" applyAlignment="1">
      <alignment horizontal="center" vertical="center"/>
    </xf>
    <xf numFmtId="0" fontId="1" fillId="25" borderId="3" xfId="0" applyFont="1" applyFill="1" applyBorder="1" applyAlignment="1">
      <alignment horizontal="center" vertical="center"/>
    </xf>
    <xf numFmtId="44" fontId="1" fillId="25" borderId="3" xfId="53" applyFont="1" applyFill="1" applyBorder="1" applyAlignment="1">
      <alignment horizontal="center" vertical="center"/>
    </xf>
    <xf numFmtId="165" fontId="1" fillId="25" borderId="3" xfId="0" applyNumberFormat="1" applyFont="1" applyFill="1" applyBorder="1" applyAlignment="1">
      <alignment horizontal="center" vertical="center"/>
    </xf>
    <xf numFmtId="165" fontId="1" fillId="25" borderId="87" xfId="0" applyNumberFormat="1" applyFont="1" applyFill="1" applyBorder="1" applyAlignment="1">
      <alignment horizontal="center" vertical="center"/>
    </xf>
    <xf numFmtId="1" fontId="1" fillId="32" borderId="10" xfId="0" applyNumberFormat="1" applyFont="1" applyFill="1" applyBorder="1" applyAlignment="1">
      <alignment horizontal="center" vertical="center"/>
    </xf>
    <xf numFmtId="170" fontId="1" fillId="32" borderId="2" xfId="1" applyNumberFormat="1" applyFont="1" applyFill="1" applyBorder="1" applyAlignment="1">
      <alignment horizontal="center" vertical="center"/>
    </xf>
    <xf numFmtId="2" fontId="1" fillId="32" borderId="2" xfId="0" applyNumberFormat="1" applyFont="1" applyFill="1" applyBorder="1" applyAlignment="1">
      <alignment horizontal="center" vertical="center"/>
    </xf>
    <xf numFmtId="44" fontId="1" fillId="32" borderId="2" xfId="53" applyFont="1" applyFill="1" applyBorder="1" applyAlignment="1">
      <alignment horizontal="center" vertical="center"/>
    </xf>
    <xf numFmtId="165" fontId="1" fillId="32" borderId="2" xfId="0" applyNumberFormat="1" applyFont="1" applyFill="1" applyBorder="1" applyAlignment="1">
      <alignment horizontal="center" vertical="center"/>
    </xf>
    <xf numFmtId="165" fontId="1" fillId="32" borderId="31" xfId="0" applyNumberFormat="1" applyFont="1" applyFill="1" applyBorder="1" applyAlignment="1">
      <alignment horizontal="center" vertical="center"/>
    </xf>
    <xf numFmtId="0" fontId="14" fillId="32" borderId="13" xfId="0" applyFont="1" applyFill="1" applyBorder="1" applyAlignment="1">
      <alignment horizontal="center" wrapText="1"/>
    </xf>
    <xf numFmtId="0" fontId="1" fillId="32" borderId="20" xfId="0" applyFont="1" applyFill="1" applyBorder="1" applyAlignment="1">
      <alignment horizontal="center" vertical="center"/>
    </xf>
    <xf numFmtId="0" fontId="1" fillId="32" borderId="84" xfId="0" applyFont="1" applyFill="1" applyBorder="1" applyAlignment="1">
      <alignment horizontal="center" vertical="center"/>
    </xf>
    <xf numFmtId="170" fontId="2" fillId="32" borderId="84" xfId="1" applyNumberFormat="1" applyFont="1" applyFill="1" applyBorder="1" applyAlignment="1" applyProtection="1">
      <alignment horizontal="center" vertical="center" wrapText="1"/>
    </xf>
    <xf numFmtId="2" fontId="1" fillId="32" borderId="84" xfId="0" applyNumberFormat="1" applyFont="1" applyFill="1" applyBorder="1" applyAlignment="1">
      <alignment horizontal="center" vertical="center"/>
    </xf>
    <xf numFmtId="1" fontId="1" fillId="32" borderId="84" xfId="0" applyNumberFormat="1" applyFont="1" applyFill="1" applyBorder="1" applyAlignment="1">
      <alignment horizontal="center" vertical="center"/>
    </xf>
    <xf numFmtId="44" fontId="1" fillId="32" borderId="84" xfId="53" applyFont="1" applyFill="1" applyBorder="1" applyAlignment="1">
      <alignment horizontal="center" vertical="center"/>
    </xf>
    <xf numFmtId="165" fontId="1" fillId="32" borderId="84" xfId="0" applyNumberFormat="1" applyFont="1" applyFill="1" applyBorder="1" applyAlignment="1">
      <alignment horizontal="center" vertical="center"/>
    </xf>
    <xf numFmtId="165" fontId="1" fillId="32" borderId="43" xfId="0" applyNumberFormat="1" applyFont="1" applyFill="1" applyBorder="1" applyAlignment="1">
      <alignment horizontal="center" vertical="center"/>
    </xf>
    <xf numFmtId="0" fontId="1" fillId="32" borderId="15" xfId="0" applyFont="1" applyFill="1" applyBorder="1" applyAlignment="1">
      <alignment horizontal="center" vertical="center"/>
    </xf>
    <xf numFmtId="0" fontId="1" fillId="32" borderId="93" xfId="0" applyFont="1" applyFill="1" applyBorder="1" applyAlignment="1">
      <alignment horizontal="center" vertical="center"/>
    </xf>
    <xf numFmtId="170" fontId="2" fillId="32" borderId="93" xfId="1" applyNumberFormat="1" applyFont="1" applyFill="1" applyBorder="1" applyAlignment="1" applyProtection="1">
      <alignment horizontal="center" vertical="center" wrapText="1"/>
    </xf>
    <xf numFmtId="2" fontId="1" fillId="32" borderId="93" xfId="0" applyNumberFormat="1" applyFont="1" applyFill="1" applyBorder="1" applyAlignment="1">
      <alignment horizontal="center" vertical="center"/>
    </xf>
    <xf numFmtId="1" fontId="1" fillId="32" borderId="93" xfId="0" applyNumberFormat="1" applyFont="1" applyFill="1" applyBorder="1" applyAlignment="1">
      <alignment horizontal="center" vertical="center"/>
    </xf>
    <xf numFmtId="44" fontId="1" fillId="32" borderId="93" xfId="53" applyFont="1" applyFill="1" applyBorder="1" applyAlignment="1">
      <alignment horizontal="center" vertical="center"/>
    </xf>
    <xf numFmtId="165" fontId="1" fillId="32" borderId="93" xfId="0" applyNumberFormat="1" applyFont="1" applyFill="1" applyBorder="1" applyAlignment="1">
      <alignment horizontal="center" vertical="center"/>
    </xf>
    <xf numFmtId="165" fontId="1" fillId="32" borderId="33" xfId="0" applyNumberFormat="1" applyFont="1" applyFill="1" applyBorder="1" applyAlignment="1">
      <alignment horizontal="center" vertical="center"/>
    </xf>
    <xf numFmtId="0" fontId="2" fillId="32" borderId="4" xfId="0" applyFont="1" applyFill="1" applyBorder="1" applyAlignment="1" applyProtection="1">
      <alignment wrapText="1"/>
    </xf>
    <xf numFmtId="0" fontId="34" fillId="2" borderId="79" xfId="0" applyFont="1" applyFill="1" applyBorder="1" applyAlignment="1">
      <alignment horizontal="center"/>
    </xf>
    <xf numFmtId="0" fontId="6" fillId="25" borderId="4" xfId="0" applyNumberFormat="1" applyFont="1" applyFill="1" applyBorder="1" applyAlignment="1" applyProtection="1">
      <alignment horizontal="center" vertical="center" wrapText="1"/>
    </xf>
    <xf numFmtId="0" fontId="5" fillId="25" borderId="10" xfId="0" applyNumberFormat="1" applyFont="1" applyFill="1" applyBorder="1" applyAlignment="1" applyProtection="1">
      <alignment horizontal="left" vertical="top" wrapText="1"/>
    </xf>
    <xf numFmtId="0" fontId="1" fillId="25" borderId="89" xfId="0" applyFont="1" applyFill="1" applyBorder="1" applyAlignment="1">
      <alignment horizontal="center" vertical="center"/>
    </xf>
    <xf numFmtId="0" fontId="14" fillId="34" borderId="29" xfId="0" applyFont="1" applyFill="1" applyBorder="1" applyAlignment="1">
      <alignment horizontal="center" wrapText="1"/>
    </xf>
    <xf numFmtId="0" fontId="0" fillId="0" borderId="1" xfId="0" applyFont="1" applyBorder="1"/>
    <xf numFmtId="0" fontId="0" fillId="0" borderId="1" xfId="0" applyFont="1" applyFill="1" applyBorder="1" applyAlignment="1">
      <alignment horizontal="center"/>
    </xf>
    <xf numFmtId="0" fontId="0" fillId="0" borderId="1" xfId="0" applyFont="1" applyBorder="1" applyAlignment="1">
      <alignment horizontal="center" wrapText="1"/>
    </xf>
    <xf numFmtId="0" fontId="0" fillId="0" borderId="1" xfId="0" applyFont="1" applyBorder="1" applyAlignment="1">
      <alignment horizontal="center"/>
    </xf>
    <xf numFmtId="0" fontId="0" fillId="0" borderId="16" xfId="0" applyFont="1" applyBorder="1" applyAlignment="1">
      <alignment horizontal="center"/>
    </xf>
    <xf numFmtId="165" fontId="0" fillId="0" borderId="1" xfId="0" applyNumberFormat="1" applyFont="1" applyFill="1" applyBorder="1" applyAlignment="1">
      <alignment horizontal="center"/>
    </xf>
    <xf numFmtId="0" fontId="0" fillId="0" borderId="3" xfId="0" applyFont="1" applyBorder="1"/>
    <xf numFmtId="0" fontId="1" fillId="0" borderId="42" xfId="0" applyFont="1" applyBorder="1"/>
    <xf numFmtId="0" fontId="1" fillId="0" borderId="0" xfId="0" applyFont="1"/>
    <xf numFmtId="0" fontId="0" fillId="0" borderId="27" xfId="0" applyFont="1" applyBorder="1" applyAlignment="1">
      <alignment horizontal="center"/>
    </xf>
    <xf numFmtId="0" fontId="10" fillId="35" borderId="25" xfId="0" applyFont="1" applyFill="1" applyBorder="1" applyAlignment="1">
      <alignment horizontal="center"/>
    </xf>
    <xf numFmtId="0" fontId="10" fillId="35" borderId="81" xfId="0" applyFont="1" applyFill="1" applyBorder="1" applyAlignment="1">
      <alignment horizontal="center"/>
    </xf>
    <xf numFmtId="0" fontId="10" fillId="35" borderId="67" xfId="0" applyFont="1" applyFill="1" applyBorder="1" applyAlignment="1">
      <alignment horizontal="center"/>
    </xf>
    <xf numFmtId="0" fontId="10" fillId="35" borderId="27" xfId="0" applyFont="1" applyFill="1" applyBorder="1" applyAlignment="1">
      <alignment horizontal="center"/>
    </xf>
    <xf numFmtId="0" fontId="10" fillId="35" borderId="93" xfId="0" applyFont="1" applyFill="1" applyBorder="1" applyAlignment="1">
      <alignment horizontal="center"/>
    </xf>
    <xf numFmtId="0" fontId="10" fillId="35" borderId="92" xfId="0" applyFont="1" applyFill="1" applyBorder="1" applyAlignment="1">
      <alignment horizontal="center"/>
    </xf>
    <xf numFmtId="0" fontId="0" fillId="2" borderId="1" xfId="0" applyFont="1" applyFill="1" applyBorder="1"/>
    <xf numFmtId="0" fontId="58" fillId="25" borderId="0" xfId="0" applyNumberFormat="1" applyFont="1" applyFill="1" applyBorder="1" applyAlignment="1" applyProtection="1">
      <alignment horizontal="left" wrapText="1"/>
    </xf>
    <xf numFmtId="0" fontId="10" fillId="35" borderId="86" xfId="0" applyFont="1" applyFill="1" applyBorder="1" applyAlignment="1">
      <alignment horizontal="center"/>
    </xf>
    <xf numFmtId="0" fontId="10" fillId="35" borderId="0" xfId="0" applyFont="1" applyFill="1" applyBorder="1" applyAlignment="1">
      <alignment horizontal="center"/>
    </xf>
    <xf numFmtId="0" fontId="10" fillId="35" borderId="41" xfId="0" applyFont="1" applyFill="1" applyBorder="1" applyAlignment="1">
      <alignment horizontal="center"/>
    </xf>
    <xf numFmtId="44" fontId="0" fillId="0" borderId="34" xfId="53" applyFont="1" applyBorder="1"/>
    <xf numFmtId="0" fontId="0" fillId="0" borderId="9" xfId="0" applyFont="1" applyBorder="1" applyAlignment="1">
      <alignment horizontal="center"/>
    </xf>
    <xf numFmtId="0" fontId="0" fillId="0" borderId="7" xfId="0" applyFont="1" applyBorder="1"/>
    <xf numFmtId="0" fontId="0" fillId="0" borderId="35" xfId="0" applyFont="1" applyBorder="1" applyAlignment="1">
      <alignment horizontal="center"/>
    </xf>
    <xf numFmtId="0" fontId="0" fillId="0" borderId="42" xfId="0" applyFont="1" applyBorder="1" applyAlignment="1">
      <alignment horizontal="center"/>
    </xf>
    <xf numFmtId="0" fontId="0" fillId="35" borderId="6" xfId="0" applyFont="1" applyFill="1" applyBorder="1" applyAlignment="1">
      <alignment horizontal="center"/>
    </xf>
    <xf numFmtId="0" fontId="0" fillId="35" borderId="49" xfId="0" applyFont="1" applyFill="1" applyBorder="1" applyAlignment="1">
      <alignment horizontal="center"/>
    </xf>
    <xf numFmtId="0" fontId="0" fillId="35" borderId="1" xfId="0" applyFont="1" applyFill="1" applyBorder="1" applyAlignment="1">
      <alignment horizontal="center"/>
    </xf>
    <xf numFmtId="0" fontId="0" fillId="35" borderId="34" xfId="0" applyFont="1" applyFill="1" applyBorder="1" applyAlignment="1">
      <alignment horizontal="center"/>
    </xf>
    <xf numFmtId="0" fontId="0" fillId="35" borderId="9" xfId="0" applyFont="1" applyFill="1" applyBorder="1" applyAlignment="1">
      <alignment horizontal="center"/>
    </xf>
    <xf numFmtId="0" fontId="0" fillId="35" borderId="37" xfId="0" applyFont="1" applyFill="1" applyBorder="1" applyAlignment="1">
      <alignment horizontal="center"/>
    </xf>
    <xf numFmtId="0" fontId="0" fillId="35" borderId="42" xfId="0" applyFont="1" applyFill="1" applyBorder="1" applyAlignment="1">
      <alignment horizontal="center"/>
    </xf>
    <xf numFmtId="0" fontId="0" fillId="36" borderId="1" xfId="0" applyFont="1" applyFill="1" applyBorder="1" applyAlignment="1">
      <alignment horizontal="center"/>
    </xf>
    <xf numFmtId="0" fontId="10" fillId="2" borderId="98" xfId="0" applyFont="1" applyFill="1" applyBorder="1" applyAlignment="1">
      <alignment horizontal="center" vertical="center" wrapText="1"/>
    </xf>
    <xf numFmtId="0" fontId="10" fillId="2" borderId="64" xfId="0" applyFont="1" applyFill="1" applyBorder="1" applyAlignment="1">
      <alignment horizontal="center" vertical="center" wrapText="1"/>
    </xf>
    <xf numFmtId="0" fontId="10" fillId="2" borderId="65" xfId="0" applyFont="1" applyFill="1" applyBorder="1" applyAlignment="1">
      <alignment horizontal="center" vertical="center" wrapText="1"/>
    </xf>
    <xf numFmtId="0" fontId="10" fillId="2" borderId="66" xfId="0" applyFont="1" applyFill="1" applyBorder="1" applyAlignment="1">
      <alignment horizontal="center" vertical="center" wrapText="1"/>
    </xf>
    <xf numFmtId="0" fontId="0" fillId="35" borderId="67" xfId="0" applyFont="1" applyFill="1" applyBorder="1" applyAlignment="1">
      <alignment horizontal="center"/>
    </xf>
    <xf numFmtId="0" fontId="0" fillId="35" borderId="51" xfId="0" applyFont="1" applyFill="1" applyBorder="1" applyAlignment="1">
      <alignment horizontal="center"/>
    </xf>
    <xf numFmtId="44" fontId="0" fillId="25" borderId="34" xfId="53" applyFont="1" applyFill="1" applyBorder="1"/>
    <xf numFmtId="0" fontId="0" fillId="0" borderId="16" xfId="0" applyFont="1" applyBorder="1" applyAlignment="1">
      <alignment horizontal="center" wrapText="1"/>
    </xf>
    <xf numFmtId="0" fontId="43" fillId="25" borderId="16" xfId="0" applyNumberFormat="1" applyFont="1" applyFill="1" applyBorder="1" applyAlignment="1" applyProtection="1">
      <alignment horizontal="center" vertical="center" wrapText="1"/>
    </xf>
    <xf numFmtId="0" fontId="0" fillId="0" borderId="11" xfId="0" applyFont="1" applyFill="1" applyBorder="1"/>
    <xf numFmtId="0" fontId="0" fillId="0" borderId="7" xfId="0" applyFont="1" applyFill="1" applyBorder="1"/>
    <xf numFmtId="0" fontId="0" fillId="35" borderId="7" xfId="0" applyFont="1" applyFill="1" applyBorder="1"/>
    <xf numFmtId="0" fontId="10" fillId="35" borderId="35" xfId="0" applyFont="1" applyFill="1" applyBorder="1" applyAlignment="1">
      <alignment horizontal="center"/>
    </xf>
    <xf numFmtId="0" fontId="0" fillId="25" borderId="35" xfId="0" applyFont="1" applyFill="1" applyBorder="1" applyAlignment="1">
      <alignment horizontal="center"/>
    </xf>
    <xf numFmtId="0" fontId="0" fillId="25" borderId="27" xfId="0" applyFont="1" applyFill="1" applyBorder="1" applyAlignment="1">
      <alignment horizontal="center"/>
    </xf>
    <xf numFmtId="0" fontId="10" fillId="2" borderId="64" xfId="0" applyFont="1" applyFill="1" applyBorder="1" applyAlignment="1">
      <alignment horizontal="center"/>
    </xf>
    <xf numFmtId="0" fontId="10" fillId="2" borderId="65" xfId="0" applyFont="1" applyFill="1" applyBorder="1" applyAlignment="1">
      <alignment horizontal="center"/>
    </xf>
    <xf numFmtId="0" fontId="0" fillId="0" borderId="3" xfId="0" applyFont="1" applyBorder="1" applyAlignment="1">
      <alignment horizontal="center"/>
    </xf>
    <xf numFmtId="0" fontId="0" fillId="0" borderId="28" xfId="0" applyFont="1" applyBorder="1" applyAlignment="1">
      <alignment horizontal="center"/>
    </xf>
    <xf numFmtId="0" fontId="10" fillId="2" borderId="64" xfId="0" applyFont="1" applyFill="1" applyBorder="1" applyAlignment="1">
      <alignment horizontal="center"/>
    </xf>
    <xf numFmtId="0" fontId="10" fillId="2" borderId="99" xfId="0" applyFont="1" applyFill="1" applyBorder="1" applyAlignment="1">
      <alignment horizontal="center"/>
    </xf>
    <xf numFmtId="0" fontId="2" fillId="0" borderId="67" xfId="0" applyNumberFormat="1" applyFont="1" applyFill="1" applyBorder="1" applyAlignment="1" applyProtection="1">
      <alignment horizontal="left" vertical="center" wrapText="1"/>
    </xf>
    <xf numFmtId="0" fontId="2" fillId="0" borderId="42" xfId="0" applyNumberFormat="1" applyFont="1" applyFill="1" applyBorder="1" applyAlignment="1" applyProtection="1">
      <alignment horizontal="left" vertical="center" wrapText="1"/>
    </xf>
    <xf numFmtId="0" fontId="2" fillId="0" borderId="40" xfId="0" applyNumberFormat="1" applyFont="1" applyFill="1" applyBorder="1" applyAlignment="1" applyProtection="1">
      <alignment horizontal="left" vertical="center" wrapText="1"/>
    </xf>
    <xf numFmtId="0" fontId="1" fillId="2" borderId="66" xfId="0" applyFont="1" applyFill="1" applyBorder="1"/>
    <xf numFmtId="0" fontId="1" fillId="0" borderId="92" xfId="0" applyFont="1" applyBorder="1" applyAlignment="1"/>
    <xf numFmtId="0" fontId="1" fillId="0" borderId="42" xfId="0" applyFont="1" applyBorder="1" applyAlignment="1"/>
    <xf numFmtId="0" fontId="1" fillId="0" borderId="42" xfId="0" applyFont="1" applyBorder="1" applyAlignment="1">
      <alignment wrapText="1"/>
    </xf>
    <xf numFmtId="0" fontId="1" fillId="0" borderId="40" xfId="0" applyFont="1" applyBorder="1"/>
    <xf numFmtId="0" fontId="6" fillId="2" borderId="66" xfId="0" applyFont="1" applyFill="1" applyBorder="1"/>
    <xf numFmtId="0" fontId="1" fillId="0" borderId="92" xfId="0" applyFont="1" applyBorder="1"/>
    <xf numFmtId="0" fontId="1" fillId="0" borderId="51" xfId="0" applyFont="1" applyBorder="1"/>
    <xf numFmtId="0" fontId="1" fillId="0" borderId="92" xfId="0" applyFont="1" applyBorder="1" applyAlignment="1">
      <alignment horizontal="left" vertical="center" wrapText="1"/>
    </xf>
    <xf numFmtId="0" fontId="1" fillId="0" borderId="92" xfId="0" applyFont="1" applyBorder="1" applyAlignment="1">
      <alignment horizontal="left" vertical="center"/>
    </xf>
    <xf numFmtId="0" fontId="4" fillId="0" borderId="92" xfId="0" applyNumberFormat="1" applyFont="1" applyFill="1" applyBorder="1" applyAlignment="1" applyProtection="1">
      <alignment horizontal="left" vertical="center" wrapText="1"/>
    </xf>
    <xf numFmtId="0" fontId="2" fillId="0" borderId="42" xfId="0" applyNumberFormat="1" applyFont="1" applyFill="1" applyBorder="1" applyAlignment="1" applyProtection="1">
      <alignment horizontal="left" vertical="top" wrapText="1"/>
    </xf>
    <xf numFmtId="0" fontId="10" fillId="2" borderId="12" xfId="0" applyFont="1" applyFill="1" applyBorder="1" applyAlignment="1">
      <alignment horizontal="left" vertical="top"/>
    </xf>
    <xf numFmtId="0" fontId="10" fillId="2" borderId="13" xfId="0" applyFont="1" applyFill="1" applyBorder="1" applyAlignment="1">
      <alignment horizontal="left" vertical="top"/>
    </xf>
    <xf numFmtId="0" fontId="10" fillId="2" borderId="34" xfId="0" applyFont="1" applyFill="1" applyBorder="1" applyAlignment="1">
      <alignment horizontal="left" vertical="top"/>
    </xf>
    <xf numFmtId="0" fontId="2" fillId="25" borderId="80" xfId="0" applyNumberFormat="1" applyFont="1" applyFill="1" applyBorder="1" applyAlignment="1" applyProtection="1">
      <alignment horizontal="center" vertical="center" wrapText="1"/>
    </xf>
    <xf numFmtId="0" fontId="0" fillId="36" borderId="51" xfId="0" applyFont="1" applyFill="1" applyBorder="1" applyAlignment="1">
      <alignment horizontal="center"/>
    </xf>
    <xf numFmtId="0" fontId="0" fillId="36" borderId="9" xfId="0" applyFont="1" applyFill="1" applyBorder="1" applyAlignment="1">
      <alignment horizontal="center"/>
    </xf>
    <xf numFmtId="0" fontId="0" fillId="36" borderId="37" xfId="0" applyFont="1" applyFill="1" applyBorder="1" applyAlignment="1">
      <alignment horizontal="center"/>
    </xf>
    <xf numFmtId="0" fontId="0" fillId="25" borderId="1" xfId="0" applyFont="1" applyFill="1" applyBorder="1"/>
    <xf numFmtId="44" fontId="0" fillId="25" borderId="1" xfId="53" applyFont="1" applyFill="1" applyBorder="1"/>
    <xf numFmtId="0" fontId="0" fillId="25" borderId="9" xfId="0" applyFont="1" applyFill="1" applyBorder="1" applyAlignment="1">
      <alignment horizontal="center"/>
    </xf>
    <xf numFmtId="0" fontId="4" fillId="25" borderId="8" xfId="0" applyNumberFormat="1" applyFont="1" applyFill="1" applyBorder="1" applyAlignment="1" applyProtection="1">
      <alignment vertical="center" wrapText="1"/>
    </xf>
    <xf numFmtId="0" fontId="0" fillId="36" borderId="9" xfId="0" applyFont="1" applyFill="1" applyBorder="1"/>
    <xf numFmtId="0" fontId="0" fillId="36" borderId="1" xfId="0" applyFont="1" applyFill="1" applyBorder="1" applyAlignment="1"/>
    <xf numFmtId="0" fontId="0" fillId="35" borderId="40" xfId="0" applyFont="1" applyFill="1" applyBorder="1" applyAlignment="1">
      <alignment horizontal="center"/>
    </xf>
    <xf numFmtId="0" fontId="0" fillId="35" borderId="3" xfId="0" applyFont="1" applyFill="1" applyBorder="1" applyAlignment="1">
      <alignment horizontal="center"/>
    </xf>
    <xf numFmtId="0" fontId="0" fillId="35" borderId="87" xfId="0" applyFont="1" applyFill="1" applyBorder="1" applyAlignment="1">
      <alignment horizontal="center"/>
    </xf>
    <xf numFmtId="0" fontId="2" fillId="25" borderId="11" xfId="0" applyNumberFormat="1" applyFont="1" applyFill="1" applyBorder="1" applyAlignment="1" applyProtection="1">
      <alignment horizontal="left" vertical="top" wrapText="1"/>
    </xf>
    <xf numFmtId="0" fontId="0" fillId="36" borderId="35" xfId="0" applyFont="1" applyFill="1" applyBorder="1" applyAlignment="1"/>
    <xf numFmtId="0" fontId="0" fillId="36" borderId="35" xfId="0" applyFont="1" applyFill="1" applyBorder="1" applyAlignment="1">
      <alignment horizontal="center"/>
    </xf>
    <xf numFmtId="0" fontId="0" fillId="36" borderId="63" xfId="0" applyFont="1" applyFill="1" applyBorder="1" applyAlignment="1">
      <alignment horizontal="center"/>
    </xf>
    <xf numFmtId="0" fontId="6" fillId="2" borderId="98" xfId="0" applyFont="1" applyFill="1" applyBorder="1"/>
    <xf numFmtId="0" fontId="10" fillId="2" borderId="64" xfId="0" applyFont="1" applyFill="1" applyBorder="1" applyAlignment="1"/>
    <xf numFmtId="0" fontId="0" fillId="25" borderId="0" xfId="0" applyFont="1" applyFill="1" applyBorder="1" applyAlignment="1">
      <alignment horizontal="center"/>
    </xf>
    <xf numFmtId="44" fontId="0" fillId="0" borderId="1" xfId="53" applyFont="1" applyBorder="1"/>
    <xf numFmtId="0" fontId="3" fillId="34" borderId="17" xfId="0" applyNumberFormat="1" applyFont="1" applyFill="1" applyBorder="1" applyAlignment="1" applyProtection="1">
      <alignment horizontal="left" vertical="center" wrapText="1"/>
    </xf>
    <xf numFmtId="1" fontId="1" fillId="34" borderId="41" xfId="0" applyNumberFormat="1" applyFont="1" applyFill="1" applyBorder="1" applyAlignment="1">
      <alignment horizontal="center" vertical="center"/>
    </xf>
    <xf numFmtId="0" fontId="1" fillId="34" borderId="50" xfId="0" applyFont="1" applyFill="1" applyBorder="1" applyAlignment="1">
      <alignment horizontal="center" vertical="center"/>
    </xf>
    <xf numFmtId="170" fontId="1" fillId="34" borderId="50" xfId="1" applyNumberFormat="1" applyFont="1" applyFill="1" applyBorder="1" applyAlignment="1">
      <alignment horizontal="center" vertical="center"/>
    </xf>
    <xf numFmtId="2" fontId="1" fillId="34" borderId="50" xfId="0" applyNumberFormat="1" applyFont="1" applyFill="1" applyBorder="1" applyAlignment="1">
      <alignment horizontal="center" vertical="center"/>
    </xf>
    <xf numFmtId="1" fontId="1" fillId="34" borderId="50" xfId="0" applyNumberFormat="1" applyFont="1" applyFill="1" applyBorder="1" applyAlignment="1">
      <alignment horizontal="center" vertical="center"/>
    </xf>
    <xf numFmtId="44" fontId="1" fillId="34" borderId="50" xfId="53" applyFont="1" applyFill="1" applyBorder="1" applyAlignment="1">
      <alignment horizontal="center" vertical="center"/>
    </xf>
    <xf numFmtId="165" fontId="1" fillId="34" borderId="50" xfId="0" applyNumberFormat="1" applyFont="1" applyFill="1" applyBorder="1" applyAlignment="1">
      <alignment horizontal="center" vertical="center"/>
    </xf>
    <xf numFmtId="165" fontId="1" fillId="34" borderId="86" xfId="0" applyNumberFormat="1" applyFont="1" applyFill="1" applyBorder="1" applyAlignment="1">
      <alignment horizontal="center" vertical="center"/>
    </xf>
    <xf numFmtId="0" fontId="14" fillId="34" borderId="30" xfId="0" applyFont="1" applyFill="1" applyBorder="1" applyAlignment="1">
      <alignment horizontal="center" wrapText="1"/>
    </xf>
    <xf numFmtId="0" fontId="3" fillId="25" borderId="29" xfId="0" applyNumberFormat="1" applyFont="1" applyFill="1" applyBorder="1" applyAlignment="1" applyProtection="1">
      <alignment horizontal="left" vertical="center" wrapText="1"/>
    </xf>
    <xf numFmtId="0" fontId="14" fillId="32" borderId="29" xfId="0" applyFont="1" applyFill="1" applyBorder="1" applyAlignment="1">
      <alignment horizontal="center"/>
    </xf>
    <xf numFmtId="0" fontId="14" fillId="25" borderId="12" xfId="0" applyFont="1" applyFill="1" applyBorder="1" applyAlignment="1">
      <alignment horizontal="center" wrapText="1"/>
    </xf>
    <xf numFmtId="1" fontId="1" fillId="25" borderId="67" xfId="0" applyNumberFormat="1" applyFont="1" applyFill="1" applyBorder="1" applyAlignment="1">
      <alignment horizontal="center" vertical="center"/>
    </xf>
    <xf numFmtId="170" fontId="2" fillId="0" borderId="48" xfId="1" applyNumberFormat="1" applyFont="1" applyFill="1" applyBorder="1" applyAlignment="1" applyProtection="1">
      <alignment horizontal="center" vertical="center" wrapText="1"/>
    </xf>
    <xf numFmtId="170" fontId="2" fillId="0" borderId="9" xfId="1" applyNumberFormat="1" applyFont="1" applyFill="1" applyBorder="1" applyAlignment="1" applyProtection="1">
      <alignment horizontal="center" vertical="center" wrapText="1"/>
    </xf>
    <xf numFmtId="170" fontId="1" fillId="0" borderId="6" xfId="1" applyNumberFormat="1" applyFont="1" applyFill="1" applyBorder="1" applyAlignment="1">
      <alignment horizontal="center" vertical="center"/>
    </xf>
    <xf numFmtId="170" fontId="2" fillId="0" borderId="6" xfId="1" applyNumberFormat="1" applyFont="1" applyFill="1" applyBorder="1" applyAlignment="1" applyProtection="1">
      <alignment horizontal="center" vertical="center" wrapText="1"/>
    </xf>
    <xf numFmtId="170" fontId="1" fillId="0" borderId="1" xfId="1" applyNumberFormat="1" applyFont="1" applyFill="1" applyBorder="1" applyAlignment="1">
      <alignment horizontal="center" vertical="center"/>
    </xf>
    <xf numFmtId="170" fontId="1" fillId="0" borderId="9" xfId="1" applyNumberFormat="1" applyFont="1" applyFill="1" applyBorder="1" applyAlignment="1">
      <alignment horizontal="center" vertical="center"/>
    </xf>
    <xf numFmtId="170" fontId="1" fillId="0" borderId="35" xfId="1" applyNumberFormat="1" applyFont="1" applyFill="1" applyBorder="1" applyAlignment="1">
      <alignment horizontal="center" vertical="center"/>
    </xf>
    <xf numFmtId="170" fontId="1" fillId="0" borderId="3" xfId="1" applyNumberFormat="1" applyFont="1" applyFill="1" applyBorder="1" applyAlignment="1">
      <alignment horizontal="center" vertical="center"/>
    </xf>
    <xf numFmtId="170" fontId="1" fillId="0" borderId="94" xfId="1" applyNumberFormat="1" applyFont="1" applyFill="1" applyBorder="1" applyAlignment="1">
      <alignment horizontal="center" vertical="center"/>
    </xf>
    <xf numFmtId="2" fontId="1" fillId="0" borderId="1" xfId="0" applyNumberFormat="1" applyFont="1" applyFill="1" applyBorder="1" applyAlignment="1">
      <alignment horizontal="center" vertical="center"/>
    </xf>
    <xf numFmtId="2" fontId="1" fillId="0" borderId="35" xfId="0" applyNumberFormat="1" applyFont="1" applyFill="1" applyBorder="1" applyAlignment="1">
      <alignment horizontal="center" vertical="center"/>
    </xf>
    <xf numFmtId="0" fontId="10" fillId="35" borderId="49" xfId="0" applyFont="1" applyFill="1" applyBorder="1" applyAlignment="1">
      <alignment horizontal="center"/>
    </xf>
    <xf numFmtId="0" fontId="10" fillId="35" borderId="63" xfId="0" applyFont="1" applyFill="1" applyBorder="1" applyAlignment="1">
      <alignment horizontal="center"/>
    </xf>
    <xf numFmtId="0" fontId="0" fillId="35" borderId="1" xfId="0" applyFont="1" applyFill="1" applyBorder="1"/>
    <xf numFmtId="0" fontId="0" fillId="35" borderId="3" xfId="0" applyFont="1" applyFill="1" applyBorder="1"/>
    <xf numFmtId="0" fontId="0" fillId="35" borderId="8" xfId="0" applyFont="1" applyFill="1" applyBorder="1"/>
    <xf numFmtId="0" fontId="0" fillId="35" borderId="5" xfId="0" applyFont="1" applyFill="1" applyBorder="1"/>
    <xf numFmtId="0" fontId="0" fillId="2" borderId="92" xfId="0" applyFill="1" applyBorder="1" applyAlignment="1">
      <alignment horizontal="center"/>
    </xf>
    <xf numFmtId="0" fontId="0" fillId="2" borderId="35" xfId="0" applyFill="1" applyBorder="1" applyAlignment="1">
      <alignment horizontal="center"/>
    </xf>
    <xf numFmtId="0" fontId="0" fillId="2" borderId="42" xfId="0" applyFill="1" applyBorder="1" applyAlignment="1">
      <alignment horizontal="center"/>
    </xf>
    <xf numFmtId="0" fontId="0" fillId="2" borderId="1" xfId="0" applyFill="1" applyBorder="1" applyAlignment="1">
      <alignment horizontal="center"/>
    </xf>
    <xf numFmtId="0" fontId="0" fillId="26" borderId="1" xfId="0" applyFill="1" applyBorder="1"/>
    <xf numFmtId="0" fontId="0" fillId="2" borderId="1" xfId="0" applyFill="1" applyBorder="1"/>
    <xf numFmtId="0" fontId="44" fillId="26" borderId="1" xfId="0" applyFont="1" applyFill="1" applyBorder="1"/>
    <xf numFmtId="0" fontId="0" fillId="0" borderId="26" xfId="0" applyFont="1" applyBorder="1" applyAlignment="1">
      <alignment horizontal="center"/>
    </xf>
    <xf numFmtId="0" fontId="10" fillId="2" borderId="99" xfId="0" applyFont="1" applyFill="1" applyBorder="1" applyAlignment="1"/>
    <xf numFmtId="0" fontId="0" fillId="36" borderId="92" xfId="0" applyFont="1" applyFill="1" applyBorder="1" applyAlignment="1">
      <alignment horizontal="center"/>
    </xf>
    <xf numFmtId="0" fontId="10" fillId="35" borderId="5" xfId="0" applyFont="1" applyFill="1" applyBorder="1" applyAlignment="1">
      <alignment horizontal="center"/>
    </xf>
    <xf numFmtId="44" fontId="0" fillId="0" borderId="49" xfId="53" applyFont="1" applyBorder="1"/>
    <xf numFmtId="0" fontId="10" fillId="35" borderId="11" xfId="0" applyFont="1" applyFill="1" applyBorder="1" applyAlignment="1">
      <alignment horizontal="center"/>
    </xf>
    <xf numFmtId="0" fontId="10" fillId="35" borderId="97" xfId="0" applyFont="1" applyFill="1" applyBorder="1" applyAlignment="1">
      <alignment horizontal="center"/>
    </xf>
    <xf numFmtId="44" fontId="0" fillId="0" borderId="87" xfId="53" applyFont="1" applyBorder="1"/>
    <xf numFmtId="0" fontId="44" fillId="0" borderId="32" xfId="0" applyFont="1" applyFill="1" applyBorder="1"/>
    <xf numFmtId="0" fontId="10" fillId="35" borderId="34" xfId="0" applyFont="1" applyFill="1" applyBorder="1" applyAlignment="1">
      <alignment horizontal="center"/>
    </xf>
    <xf numFmtId="0" fontId="0" fillId="0" borderId="89" xfId="0" applyFont="1" applyBorder="1"/>
    <xf numFmtId="44" fontId="0" fillId="0" borderId="90" xfId="53" applyFont="1" applyBorder="1"/>
    <xf numFmtId="0" fontId="0" fillId="0" borderId="32" xfId="0" applyFont="1" applyBorder="1"/>
    <xf numFmtId="44" fontId="0" fillId="0" borderId="69" xfId="53" applyFont="1" applyBorder="1"/>
    <xf numFmtId="44" fontId="0" fillId="37" borderId="34" xfId="53" applyFont="1" applyFill="1" applyBorder="1"/>
    <xf numFmtId="44" fontId="0" fillId="38" borderId="34" xfId="53" applyFont="1" applyFill="1" applyBorder="1"/>
    <xf numFmtId="44" fontId="0" fillId="35" borderId="34" xfId="53" applyFont="1" applyFill="1" applyBorder="1"/>
    <xf numFmtId="44" fontId="0" fillId="35" borderId="37" xfId="53" applyFont="1" applyFill="1" applyBorder="1"/>
    <xf numFmtId="0" fontId="0" fillId="36" borderId="11" xfId="0" applyFont="1" applyFill="1" applyBorder="1" applyAlignment="1">
      <alignment horizontal="center"/>
    </xf>
    <xf numFmtId="0" fontId="0" fillId="36" borderId="8" xfId="0" applyFont="1" applyFill="1" applyBorder="1"/>
    <xf numFmtId="44" fontId="0" fillId="36" borderId="37" xfId="53" applyFont="1" applyFill="1" applyBorder="1"/>
    <xf numFmtId="0" fontId="0" fillId="0" borderId="3" xfId="0" applyFont="1" applyBorder="1" applyAlignment="1">
      <alignment horizontal="center" vertical="center"/>
    </xf>
    <xf numFmtId="0" fontId="44" fillId="0" borderId="3" xfId="0" applyNumberFormat="1" applyFont="1" applyFill="1" applyBorder="1" applyAlignment="1" applyProtection="1">
      <alignment horizontal="center" wrapText="1"/>
    </xf>
    <xf numFmtId="0" fontId="2" fillId="0" borderId="92" xfId="0" applyNumberFormat="1" applyFont="1" applyFill="1" applyBorder="1" applyAlignment="1" applyProtection="1">
      <alignment horizontal="left" vertical="top" wrapText="1"/>
    </xf>
    <xf numFmtId="0" fontId="1" fillId="2" borderId="98" xfId="0" applyFont="1" applyFill="1" applyBorder="1"/>
    <xf numFmtId="0" fontId="1" fillId="2" borderId="5" xfId="0" applyFont="1" applyFill="1" applyBorder="1" applyAlignment="1">
      <alignment horizontal="left"/>
    </xf>
    <xf numFmtId="0" fontId="1" fillId="2" borderId="7" xfId="0" applyFont="1" applyFill="1" applyBorder="1" applyAlignment="1">
      <alignment horizontal="left"/>
    </xf>
    <xf numFmtId="0" fontId="1" fillId="2" borderId="8" xfId="0" applyFont="1" applyFill="1" applyBorder="1" applyAlignment="1">
      <alignment horizontal="left"/>
    </xf>
    <xf numFmtId="0" fontId="0" fillId="0" borderId="49" xfId="0" applyFont="1" applyBorder="1" applyAlignment="1">
      <alignment horizontal="center"/>
    </xf>
    <xf numFmtId="1" fontId="0" fillId="0" borderId="34" xfId="0" applyNumberFormat="1" applyFont="1" applyBorder="1" applyAlignment="1">
      <alignment horizontal="center"/>
    </xf>
    <xf numFmtId="0" fontId="0" fillId="0" borderId="37" xfId="0" applyFont="1" applyBorder="1" applyAlignment="1">
      <alignment horizontal="center"/>
    </xf>
    <xf numFmtId="0" fontId="0" fillId="35" borderId="16" xfId="0" applyFont="1" applyFill="1" applyBorder="1" applyAlignment="1">
      <alignment horizontal="center"/>
    </xf>
    <xf numFmtId="165" fontId="0" fillId="25" borderId="1" xfId="0" applyNumberFormat="1" applyFont="1" applyFill="1" applyBorder="1" applyAlignment="1">
      <alignment horizontal="center"/>
    </xf>
    <xf numFmtId="0" fontId="1" fillId="0" borderId="68" xfId="0" applyFont="1" applyFill="1" applyBorder="1" applyAlignment="1"/>
    <xf numFmtId="0" fontId="1" fillId="0" borderId="7" xfId="0" applyFont="1" applyFill="1" applyBorder="1" applyAlignment="1"/>
    <xf numFmtId="0" fontId="0" fillId="35" borderId="68" xfId="0" applyFont="1" applyFill="1" applyBorder="1" applyAlignment="1">
      <alignment horizontal="center"/>
    </xf>
    <xf numFmtId="0" fontId="0" fillId="35" borderId="94" xfId="0" applyFont="1" applyFill="1" applyBorder="1" applyAlignment="1">
      <alignment horizontal="center"/>
    </xf>
    <xf numFmtId="0" fontId="0" fillId="35" borderId="69" xfId="0" applyFont="1" applyFill="1" applyBorder="1" applyAlignment="1">
      <alignment horizontal="center"/>
    </xf>
    <xf numFmtId="0" fontId="44" fillId="0" borderId="7" xfId="0" applyFont="1" applyFill="1" applyBorder="1"/>
    <xf numFmtId="0" fontId="1" fillId="0" borderId="42" xfId="0" applyFont="1" applyBorder="1" applyAlignment="1">
      <alignment horizontal="left" vertical="center"/>
    </xf>
    <xf numFmtId="0" fontId="4" fillId="0" borderId="42" xfId="0" applyNumberFormat="1" applyFont="1" applyFill="1" applyBorder="1" applyAlignment="1" applyProtection="1">
      <alignment horizontal="left" vertical="center" wrapText="1"/>
    </xf>
    <xf numFmtId="0" fontId="1" fillId="0" borderId="68" xfId="0" applyFont="1" applyBorder="1"/>
    <xf numFmtId="0" fontId="0" fillId="35" borderId="41" xfId="0" applyFont="1" applyFill="1" applyBorder="1" applyAlignment="1">
      <alignment horizontal="center"/>
    </xf>
    <xf numFmtId="0" fontId="0" fillId="35" borderId="50" xfId="0" applyFont="1" applyFill="1" applyBorder="1" applyAlignment="1">
      <alignment horizontal="center"/>
    </xf>
    <xf numFmtId="0" fontId="0" fillId="35" borderId="90" xfId="0" applyFont="1" applyFill="1" applyBorder="1" applyAlignment="1">
      <alignment horizontal="center"/>
    </xf>
    <xf numFmtId="0" fontId="0" fillId="35" borderId="88" xfId="0" applyFont="1" applyFill="1" applyBorder="1" applyAlignment="1">
      <alignment horizontal="center"/>
    </xf>
    <xf numFmtId="0" fontId="10" fillId="2" borderId="80" xfId="0" applyFont="1" applyFill="1" applyBorder="1" applyAlignment="1">
      <alignment horizontal="left" vertical="top" wrapText="1"/>
    </xf>
    <xf numFmtId="0" fontId="0" fillId="35" borderId="32" xfId="0" applyFont="1" applyFill="1" applyBorder="1"/>
    <xf numFmtId="44" fontId="0" fillId="36" borderId="34" xfId="53" applyFont="1" applyFill="1" applyBorder="1"/>
    <xf numFmtId="44" fontId="0" fillId="36" borderId="49" xfId="53" applyFont="1" applyFill="1" applyBorder="1"/>
    <xf numFmtId="44" fontId="0" fillId="36" borderId="87" xfId="53" applyFont="1" applyFill="1" applyBorder="1"/>
    <xf numFmtId="0" fontId="0" fillId="0" borderId="0" xfId="0" applyFont="1" applyAlignment="1">
      <alignment horizontal="center" vertical="center"/>
    </xf>
    <xf numFmtId="0" fontId="0" fillId="0" borderId="34" xfId="0" applyFont="1" applyBorder="1"/>
    <xf numFmtId="0" fontId="0" fillId="0" borderId="37" xfId="0" applyFont="1" applyBorder="1"/>
    <xf numFmtId="0" fontId="0" fillId="0" borderId="42" xfId="0" applyFont="1" applyBorder="1"/>
    <xf numFmtId="0" fontId="0" fillId="0" borderId="1" xfId="0" applyFont="1" applyBorder="1" applyAlignment="1"/>
    <xf numFmtId="0" fontId="0" fillId="0" borderId="0" xfId="0" applyFont="1" applyBorder="1" applyAlignment="1">
      <alignment horizontal="center"/>
    </xf>
    <xf numFmtId="0" fontId="44" fillId="0" borderId="1" xfId="0" applyNumberFormat="1" applyFont="1" applyFill="1" applyBorder="1" applyAlignment="1" applyProtection="1">
      <alignment horizontal="left" vertical="center" wrapText="1"/>
    </xf>
    <xf numFmtId="0" fontId="44" fillId="25" borderId="0" xfId="0" applyNumberFormat="1" applyFont="1" applyFill="1" applyBorder="1" applyAlignment="1" applyProtection="1">
      <alignment horizontal="left" vertical="top" wrapText="1"/>
    </xf>
    <xf numFmtId="0" fontId="0" fillId="0" borderId="1" xfId="0" applyFont="1" applyBorder="1" applyAlignment="1">
      <alignment wrapText="1"/>
    </xf>
    <xf numFmtId="44" fontId="0" fillId="0" borderId="1" xfId="53" applyFont="1" applyBorder="1" applyAlignment="1">
      <alignment horizontal="center"/>
    </xf>
    <xf numFmtId="0" fontId="0" fillId="25" borderId="1" xfId="0" applyFont="1" applyFill="1" applyBorder="1" applyAlignment="1">
      <alignment horizontal="center" vertical="center"/>
    </xf>
    <xf numFmtId="0" fontId="0" fillId="0" borderId="1" xfId="0" applyFont="1" applyBorder="1" applyAlignment="1">
      <alignment horizontal="left" vertical="center"/>
    </xf>
    <xf numFmtId="0" fontId="43" fillId="0" borderId="1" xfId="0" applyNumberFormat="1" applyFont="1" applyFill="1" applyBorder="1" applyAlignment="1" applyProtection="1">
      <alignment horizontal="left" vertical="center" wrapText="1"/>
    </xf>
    <xf numFmtId="0" fontId="0" fillId="25" borderId="1" xfId="0" applyFont="1" applyFill="1" applyBorder="1" applyAlignment="1">
      <alignment horizontal="center" wrapText="1"/>
    </xf>
    <xf numFmtId="0" fontId="0" fillId="25" borderId="1" xfId="0" applyFont="1" applyFill="1" applyBorder="1" applyAlignment="1">
      <alignment horizontal="center" vertical="center" wrapText="1"/>
    </xf>
    <xf numFmtId="2" fontId="0" fillId="25" borderId="1" xfId="0" applyNumberFormat="1" applyFont="1" applyFill="1" applyBorder="1" applyAlignment="1">
      <alignment horizontal="center"/>
    </xf>
    <xf numFmtId="0" fontId="44" fillId="25" borderId="1" xfId="0" applyNumberFormat="1" applyFont="1" applyFill="1" applyBorder="1" applyAlignment="1" applyProtection="1">
      <alignment horizontal="left" vertical="top" wrapText="1"/>
    </xf>
    <xf numFmtId="0" fontId="43" fillId="25" borderId="1" xfId="0" applyNumberFormat="1" applyFont="1" applyFill="1" applyBorder="1" applyAlignment="1" applyProtection="1">
      <alignment vertical="center" wrapText="1"/>
    </xf>
    <xf numFmtId="0" fontId="0" fillId="2" borderId="5" xfId="0" applyFont="1" applyFill="1" applyBorder="1"/>
    <xf numFmtId="0" fontId="10" fillId="2" borderId="7" xfId="0" applyFont="1" applyFill="1" applyBorder="1" applyAlignment="1">
      <alignment horizontal="left"/>
    </xf>
    <xf numFmtId="0" fontId="43" fillId="25" borderId="9" xfId="0" applyNumberFormat="1" applyFont="1" applyFill="1" applyBorder="1" applyAlignment="1" applyProtection="1">
      <alignment vertical="center" wrapText="1"/>
    </xf>
    <xf numFmtId="0" fontId="0" fillId="0" borderId="9" xfId="0" applyFont="1" applyBorder="1"/>
    <xf numFmtId="44" fontId="0" fillId="0" borderId="9" xfId="53" applyFont="1" applyBorder="1"/>
    <xf numFmtId="0" fontId="0" fillId="35" borderId="34" xfId="0" applyFont="1" applyFill="1" applyBorder="1"/>
    <xf numFmtId="44" fontId="0" fillId="0" borderId="3" xfId="53" applyFont="1" applyBorder="1"/>
    <xf numFmtId="0" fontId="0" fillId="35" borderId="87" xfId="0" applyFont="1" applyFill="1" applyBorder="1"/>
    <xf numFmtId="0" fontId="0" fillId="35" borderId="35" xfId="0" applyFont="1" applyFill="1" applyBorder="1"/>
    <xf numFmtId="44" fontId="0" fillId="0" borderId="35" xfId="53" applyFont="1" applyBorder="1"/>
    <xf numFmtId="0" fontId="0" fillId="35" borderId="63" xfId="0" applyFont="1" applyFill="1" applyBorder="1"/>
    <xf numFmtId="0" fontId="44" fillId="0" borderId="35" xfId="0" applyNumberFormat="1" applyFont="1" applyFill="1" applyBorder="1" applyAlignment="1" applyProtection="1">
      <alignment horizontal="left" vertical="center" wrapText="1"/>
    </xf>
    <xf numFmtId="0" fontId="10" fillId="2" borderId="98" xfId="0" applyFont="1" applyFill="1" applyBorder="1"/>
    <xf numFmtId="0" fontId="0" fillId="0" borderId="35" xfId="0" applyFont="1" applyBorder="1"/>
    <xf numFmtId="0" fontId="10" fillId="2" borderId="64" xfId="0" applyFont="1" applyFill="1" applyBorder="1" applyAlignment="1">
      <alignment horizontal="center" vertical="center"/>
    </xf>
    <xf numFmtId="0" fontId="0" fillId="2" borderId="4" xfId="0" applyFont="1" applyFill="1" applyBorder="1"/>
    <xf numFmtId="0" fontId="0" fillId="2" borderId="66" xfId="0" applyFont="1" applyFill="1" applyBorder="1"/>
    <xf numFmtId="0" fontId="0" fillId="0" borderId="92" xfId="0" applyFont="1" applyBorder="1" applyAlignment="1"/>
    <xf numFmtId="0" fontId="0" fillId="0" borderId="42" xfId="0" applyFont="1" applyBorder="1" applyAlignment="1"/>
    <xf numFmtId="0" fontId="0" fillId="0" borderId="40" xfId="0" applyFont="1" applyFill="1" applyBorder="1" applyAlignment="1"/>
    <xf numFmtId="0" fontId="44" fillId="0" borderId="92" xfId="0" applyNumberFormat="1" applyFont="1" applyFill="1" applyBorder="1" applyAlignment="1" applyProtection="1">
      <alignment horizontal="left" vertical="center" wrapText="1"/>
    </xf>
    <xf numFmtId="0" fontId="44" fillId="0" borderId="42" xfId="0" applyNumberFormat="1" applyFont="1" applyFill="1" applyBorder="1" applyAlignment="1" applyProtection="1">
      <alignment horizontal="left" vertical="center" wrapText="1"/>
    </xf>
    <xf numFmtId="0" fontId="44" fillId="0" borderId="40" xfId="0" applyNumberFormat="1" applyFont="1" applyFill="1" applyBorder="1" applyAlignment="1" applyProtection="1">
      <alignment horizontal="left" vertical="center" wrapText="1"/>
    </xf>
    <xf numFmtId="0" fontId="0" fillId="0" borderId="42" xfId="0" applyFont="1" applyBorder="1" applyAlignment="1">
      <alignment wrapText="1"/>
    </xf>
    <xf numFmtId="0" fontId="10" fillId="2" borderId="4" xfId="0" applyFont="1" applyFill="1" applyBorder="1" applyAlignment="1">
      <alignment horizontal="left" vertical="top" wrapText="1"/>
    </xf>
    <xf numFmtId="0" fontId="43" fillId="25" borderId="1" xfId="0" applyNumberFormat="1" applyFont="1" applyFill="1" applyBorder="1" applyAlignment="1" applyProtection="1">
      <alignment wrapText="1"/>
    </xf>
    <xf numFmtId="1" fontId="0" fillId="25" borderId="1" xfId="0" applyNumberFormat="1" applyFont="1" applyFill="1" applyBorder="1" applyAlignment="1">
      <alignment horizontal="center"/>
    </xf>
    <xf numFmtId="0" fontId="0" fillId="25" borderId="1" xfId="0" applyFont="1" applyFill="1" applyBorder="1" applyAlignment="1">
      <alignment wrapText="1"/>
    </xf>
    <xf numFmtId="0" fontId="10" fillId="2" borderId="48" xfId="0" applyFont="1" applyFill="1" applyBorder="1" applyAlignment="1">
      <alignment horizontal="center"/>
    </xf>
    <xf numFmtId="0" fontId="0" fillId="0" borderId="6" xfId="0" applyFont="1" applyBorder="1" applyAlignment="1">
      <alignment horizontal="center"/>
    </xf>
    <xf numFmtId="0" fontId="10" fillId="2" borderId="30" xfId="0" applyFont="1" applyFill="1" applyBorder="1" applyAlignment="1">
      <alignment vertical="top" wrapText="1"/>
    </xf>
    <xf numFmtId="0" fontId="10" fillId="2" borderId="17" xfId="0" applyFont="1" applyFill="1" applyBorder="1" applyAlignment="1">
      <alignment vertical="top" wrapText="1"/>
    </xf>
    <xf numFmtId="0" fontId="10" fillId="2" borderId="22" xfId="0" applyFont="1" applyFill="1" applyBorder="1" applyAlignment="1">
      <alignment vertical="top" wrapText="1"/>
    </xf>
    <xf numFmtId="44" fontId="0" fillId="35" borderId="1" xfId="53" applyFont="1" applyFill="1" applyBorder="1"/>
    <xf numFmtId="0" fontId="0" fillId="36" borderId="1" xfId="0" applyFont="1" applyFill="1" applyBorder="1"/>
    <xf numFmtId="0" fontId="0" fillId="35" borderId="9" xfId="0" applyFont="1" applyFill="1" applyBorder="1"/>
    <xf numFmtId="0" fontId="0" fillId="35" borderId="37" xfId="0" applyFont="1" applyFill="1" applyBorder="1"/>
    <xf numFmtId="0" fontId="10" fillId="2" borderId="23" xfId="0" applyFont="1" applyFill="1" applyBorder="1" applyAlignment="1">
      <alignment horizontal="left" vertical="top"/>
    </xf>
    <xf numFmtId="0" fontId="10" fillId="2" borderId="7" xfId="0" applyFont="1" applyFill="1" applyBorder="1" applyAlignment="1">
      <alignment horizontal="left" vertical="top"/>
    </xf>
    <xf numFmtId="0" fontId="10" fillId="0" borderId="0" xfId="0" applyFont="1" applyBorder="1" applyAlignment="1">
      <alignment horizontal="left" vertical="top"/>
    </xf>
    <xf numFmtId="0" fontId="10" fillId="2" borderId="30" xfId="0" applyFont="1" applyFill="1" applyBorder="1" applyAlignment="1">
      <alignment horizontal="left" vertical="top" wrapText="1"/>
    </xf>
    <xf numFmtId="0" fontId="10" fillId="2" borderId="17" xfId="0" applyFont="1" applyFill="1" applyBorder="1" applyAlignment="1">
      <alignment horizontal="left" vertical="top" wrapText="1"/>
    </xf>
    <xf numFmtId="0" fontId="10" fillId="2" borderId="22" xfId="0" applyFont="1" applyFill="1" applyBorder="1" applyAlignment="1">
      <alignment horizontal="left" vertical="top" wrapText="1"/>
    </xf>
    <xf numFmtId="0" fontId="10" fillId="0" borderId="0" xfId="0" applyFont="1" applyAlignment="1">
      <alignment horizontal="left" vertical="top"/>
    </xf>
    <xf numFmtId="0" fontId="0" fillId="0" borderId="40" xfId="0" applyFont="1" applyBorder="1"/>
    <xf numFmtId="0" fontId="0" fillId="0" borderId="35" xfId="0" applyFont="1" applyBorder="1" applyAlignment="1">
      <alignment horizontal="left" vertical="center" wrapText="1"/>
    </xf>
    <xf numFmtId="0" fontId="0" fillId="25" borderId="35" xfId="0" applyFont="1" applyFill="1" applyBorder="1" applyAlignment="1">
      <alignment horizontal="center" vertical="center"/>
    </xf>
    <xf numFmtId="44" fontId="0" fillId="25" borderId="35" xfId="53" applyFont="1" applyFill="1" applyBorder="1"/>
    <xf numFmtId="0" fontId="0" fillId="36" borderId="35" xfId="0" applyFont="1" applyFill="1" applyBorder="1"/>
    <xf numFmtId="0" fontId="10" fillId="2" borderId="64" xfId="0" applyFont="1" applyFill="1" applyBorder="1"/>
    <xf numFmtId="0" fontId="10" fillId="2" borderId="97" xfId="0" applyFont="1" applyFill="1" applyBorder="1" applyAlignment="1">
      <alignment vertical="top" wrapText="1"/>
    </xf>
    <xf numFmtId="0" fontId="10" fillId="2" borderId="11" xfId="0" applyFont="1" applyFill="1" applyBorder="1" applyAlignment="1">
      <alignment vertical="top" wrapText="1"/>
    </xf>
    <xf numFmtId="165" fontId="0" fillId="0" borderId="25" xfId="0" applyNumberFormat="1" applyFont="1" applyBorder="1" applyAlignment="1">
      <alignment vertical="center"/>
    </xf>
    <xf numFmtId="165" fontId="0" fillId="0" borderId="16" xfId="0" applyNumberFormat="1" applyFont="1" applyBorder="1" applyAlignment="1">
      <alignment vertical="center"/>
    </xf>
    <xf numFmtId="0" fontId="0" fillId="35" borderId="42" xfId="0" applyFont="1" applyFill="1" applyBorder="1" applyAlignment="1">
      <alignment horizontal="center" vertical="center"/>
    </xf>
    <xf numFmtId="0" fontId="44" fillId="25" borderId="1" xfId="0" applyNumberFormat="1" applyFont="1" applyFill="1" applyBorder="1" applyAlignment="1" applyProtection="1">
      <alignment horizontal="left" vertical="center" wrapText="1"/>
    </xf>
    <xf numFmtId="0" fontId="44" fillId="25" borderId="3" xfId="0" applyNumberFormat="1" applyFont="1" applyFill="1" applyBorder="1" applyAlignment="1" applyProtection="1">
      <alignment horizontal="left" vertical="center" wrapText="1"/>
    </xf>
    <xf numFmtId="0" fontId="0" fillId="25" borderId="3" xfId="0" applyFont="1" applyFill="1" applyBorder="1" applyAlignment="1">
      <alignment horizontal="center" vertical="center"/>
    </xf>
    <xf numFmtId="0" fontId="44" fillId="25" borderId="3" xfId="0" applyNumberFormat="1" applyFont="1" applyFill="1" applyBorder="1" applyAlignment="1" applyProtection="1">
      <alignment horizontal="center" wrapText="1"/>
    </xf>
    <xf numFmtId="0" fontId="44" fillId="25" borderId="3" xfId="0" applyNumberFormat="1" applyFont="1" applyFill="1" applyBorder="1" applyAlignment="1" applyProtection="1">
      <alignment horizontal="center" vertical="center" wrapText="1"/>
    </xf>
    <xf numFmtId="0" fontId="44" fillId="25" borderId="35" xfId="0" applyNumberFormat="1" applyFont="1" applyFill="1" applyBorder="1" applyAlignment="1" applyProtection="1">
      <alignment horizontal="left" vertical="center" wrapText="1"/>
    </xf>
    <xf numFmtId="2" fontId="0" fillId="25" borderId="35" xfId="0" applyNumberFormat="1" applyFont="1" applyFill="1" applyBorder="1" applyAlignment="1">
      <alignment horizontal="center"/>
    </xf>
    <xf numFmtId="1" fontId="0" fillId="25" borderId="35" xfId="0" applyNumberFormat="1" applyFont="1" applyFill="1" applyBorder="1" applyAlignment="1">
      <alignment horizontal="center"/>
    </xf>
    <xf numFmtId="0" fontId="0" fillId="25" borderId="35" xfId="0" applyFont="1" applyFill="1" applyBorder="1" applyAlignment="1">
      <alignment wrapText="1"/>
    </xf>
    <xf numFmtId="0" fontId="0" fillId="25" borderId="35" xfId="0" applyFont="1" applyFill="1" applyBorder="1" applyAlignment="1">
      <alignment horizontal="center" vertical="center" wrapText="1"/>
    </xf>
    <xf numFmtId="0" fontId="10" fillId="2" borderId="64" xfId="0" applyFont="1" applyFill="1" applyBorder="1" applyAlignment="1">
      <alignment horizontal="left" vertical="center" wrapText="1"/>
    </xf>
    <xf numFmtId="0" fontId="10" fillId="2" borderId="64" xfId="0" applyFont="1" applyFill="1" applyBorder="1" applyAlignment="1">
      <alignment horizontal="center" wrapText="1"/>
    </xf>
    <xf numFmtId="0" fontId="10" fillId="36" borderId="35" xfId="0" applyFont="1" applyFill="1" applyBorder="1" applyAlignment="1">
      <alignment horizontal="center"/>
    </xf>
    <xf numFmtId="0" fontId="10" fillId="36" borderId="1" xfId="0" applyFont="1" applyFill="1" applyBorder="1" applyAlignment="1">
      <alignment horizontal="center"/>
    </xf>
    <xf numFmtId="44" fontId="0" fillId="36" borderId="1" xfId="53" applyFont="1" applyFill="1" applyBorder="1"/>
    <xf numFmtId="165" fontId="0" fillId="36" borderId="1" xfId="0" applyNumberFormat="1" applyFont="1" applyFill="1" applyBorder="1" applyAlignment="1">
      <alignment horizontal="center"/>
    </xf>
    <xf numFmtId="2" fontId="0" fillId="36" borderId="1" xfId="0" applyNumberFormat="1" applyFont="1" applyFill="1" applyBorder="1" applyAlignment="1">
      <alignment horizontal="center"/>
    </xf>
    <xf numFmtId="0" fontId="0" fillId="36" borderId="3" xfId="0" applyFont="1" applyFill="1" applyBorder="1" applyAlignment="1">
      <alignment horizontal="center" vertical="center"/>
    </xf>
    <xf numFmtId="165" fontId="0" fillId="25" borderId="35" xfId="0" applyNumberFormat="1" applyFont="1" applyFill="1" applyBorder="1" applyAlignment="1">
      <alignment horizontal="center"/>
    </xf>
    <xf numFmtId="2" fontId="0" fillId="36" borderId="35" xfId="0" applyNumberFormat="1" applyFont="1" applyFill="1" applyBorder="1" applyAlignment="1">
      <alignment horizontal="center"/>
    </xf>
    <xf numFmtId="0" fontId="43" fillId="25" borderId="35" xfId="0" applyNumberFormat="1" applyFont="1" applyFill="1" applyBorder="1" applyAlignment="1" applyProtection="1">
      <alignment horizontal="center" vertical="center" wrapText="1"/>
    </xf>
    <xf numFmtId="0" fontId="43" fillId="36" borderId="1" xfId="0" applyNumberFormat="1" applyFont="1" applyFill="1" applyBorder="1" applyAlignment="1" applyProtection="1">
      <alignment vertical="center" wrapText="1"/>
    </xf>
    <xf numFmtId="44" fontId="0" fillId="35" borderId="35" xfId="53" applyFont="1" applyFill="1" applyBorder="1"/>
    <xf numFmtId="0" fontId="0" fillId="35" borderId="1" xfId="0" applyFont="1" applyFill="1" applyBorder="1" applyAlignment="1"/>
    <xf numFmtId="0" fontId="10" fillId="39" borderId="1" xfId="0" applyFont="1" applyFill="1" applyBorder="1"/>
    <xf numFmtId="0" fontId="10" fillId="39" borderId="1" xfId="0" applyFont="1" applyFill="1" applyBorder="1" applyAlignment="1">
      <alignment horizontal="center"/>
    </xf>
    <xf numFmtId="0" fontId="10" fillId="39" borderId="1" xfId="0" applyFont="1" applyFill="1" applyBorder="1" applyAlignment="1"/>
    <xf numFmtId="0" fontId="0" fillId="35" borderId="40" xfId="0" applyFont="1" applyFill="1" applyBorder="1" applyAlignment="1">
      <alignment horizontal="center" vertical="center"/>
    </xf>
    <xf numFmtId="44" fontId="0" fillId="35" borderId="3" xfId="53" applyFont="1" applyFill="1" applyBorder="1" applyAlignment="1">
      <alignment horizontal="center"/>
    </xf>
    <xf numFmtId="0" fontId="0" fillId="0" borderId="92" xfId="0" applyFont="1" applyBorder="1"/>
    <xf numFmtId="0" fontId="0" fillId="0" borderId="98" xfId="0" applyFont="1" applyBorder="1"/>
    <xf numFmtId="0" fontId="0" fillId="35" borderId="64" xfId="0" applyFont="1" applyFill="1" applyBorder="1" applyAlignment="1">
      <alignment horizontal="center"/>
    </xf>
    <xf numFmtId="0" fontId="0" fillId="35" borderId="64" xfId="0" applyFont="1" applyFill="1" applyBorder="1"/>
    <xf numFmtId="44" fontId="0" fillId="0" borderId="64" xfId="53" applyFont="1" applyBorder="1"/>
    <xf numFmtId="0" fontId="0" fillId="35" borderId="65" xfId="0" applyFont="1" applyFill="1" applyBorder="1"/>
    <xf numFmtId="165" fontId="0" fillId="0" borderId="1" xfId="0" applyNumberFormat="1" applyFont="1" applyBorder="1"/>
    <xf numFmtId="165" fontId="0" fillId="0" borderId="34" xfId="0" applyNumberFormat="1" applyFont="1" applyBorder="1"/>
    <xf numFmtId="0" fontId="0" fillId="0" borderId="8" xfId="0" applyFont="1" applyBorder="1"/>
    <xf numFmtId="0" fontId="10" fillId="0" borderId="37" xfId="0" applyFont="1" applyBorder="1"/>
    <xf numFmtId="0" fontId="6" fillId="2" borderId="5" xfId="0" applyFont="1" applyFill="1" applyBorder="1" applyAlignment="1">
      <alignment horizontal="left"/>
    </xf>
    <xf numFmtId="0" fontId="6" fillId="2" borderId="7" xfId="0" applyFont="1" applyFill="1" applyBorder="1" applyAlignment="1">
      <alignment horizontal="left"/>
    </xf>
    <xf numFmtId="0" fontId="6" fillId="2" borderId="8" xfId="0" applyFont="1" applyFill="1" applyBorder="1" applyAlignment="1">
      <alignment horizontal="left"/>
    </xf>
    <xf numFmtId="0" fontId="10" fillId="2" borderId="8" xfId="0" applyFont="1" applyFill="1" applyBorder="1" applyAlignment="1">
      <alignment horizontal="left"/>
    </xf>
    <xf numFmtId="0" fontId="10" fillId="2" borderId="6" xfId="0" applyFont="1" applyFill="1" applyBorder="1" applyAlignment="1">
      <alignment horizontal="center"/>
    </xf>
    <xf numFmtId="0" fontId="10" fillId="2" borderId="49" xfId="0" applyFont="1" applyFill="1" applyBorder="1" applyAlignment="1">
      <alignment horizontal="center"/>
    </xf>
    <xf numFmtId="0" fontId="10" fillId="2" borderId="5" xfId="0" applyFont="1" applyFill="1" applyBorder="1" applyAlignment="1">
      <alignment horizontal="center" wrapText="1"/>
    </xf>
    <xf numFmtId="0" fontId="10" fillId="2" borderId="49" xfId="0" applyFont="1" applyFill="1" applyBorder="1" applyAlignment="1">
      <alignment horizontal="center" wrapText="1"/>
    </xf>
    <xf numFmtId="0" fontId="42" fillId="2" borderId="85" xfId="0" applyFont="1" applyFill="1" applyBorder="1" applyAlignment="1">
      <alignment horizontal="center" vertical="center" wrapText="1"/>
    </xf>
    <xf numFmtId="0" fontId="42" fillId="2" borderId="65" xfId="0" applyFont="1" applyFill="1" applyBorder="1" applyAlignment="1">
      <alignment horizontal="center" vertical="center" wrapText="1"/>
    </xf>
    <xf numFmtId="0" fontId="42" fillId="2" borderId="78" xfId="0" applyFont="1" applyFill="1" applyBorder="1" applyAlignment="1">
      <alignment horizontal="center" vertical="center" wrapText="1"/>
    </xf>
    <xf numFmtId="0" fontId="42" fillId="2" borderId="48" xfId="0" applyFont="1" applyFill="1" applyBorder="1" applyAlignment="1">
      <alignment horizontal="center" vertical="center" wrapText="1"/>
    </xf>
    <xf numFmtId="0" fontId="42" fillId="2" borderId="64" xfId="0" applyFont="1" applyFill="1" applyBorder="1" applyAlignment="1">
      <alignment horizontal="center" vertical="center" wrapText="1"/>
    </xf>
    <xf numFmtId="0" fontId="10" fillId="2" borderId="79" xfId="0" applyFont="1" applyFill="1" applyBorder="1" applyAlignment="1">
      <alignment horizontal="center"/>
    </xf>
    <xf numFmtId="0" fontId="1" fillId="32" borderId="4" xfId="0" applyFont="1" applyFill="1" applyBorder="1" applyAlignment="1">
      <alignment vertical="center"/>
    </xf>
    <xf numFmtId="0" fontId="3" fillId="0" borderId="22" xfId="0" applyNumberFormat="1" applyFont="1" applyFill="1" applyBorder="1" applyAlignment="1" applyProtection="1">
      <alignment horizontal="left" vertical="top" wrapText="1"/>
    </xf>
    <xf numFmtId="0" fontId="7" fillId="0" borderId="22"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center" vertical="center" wrapText="1"/>
    </xf>
    <xf numFmtId="0" fontId="0" fillId="0" borderId="1" xfId="0" applyFont="1" applyBorder="1" applyAlignment="1">
      <alignment horizontal="center"/>
    </xf>
    <xf numFmtId="0" fontId="1" fillId="32" borderId="23" xfId="0" applyFont="1" applyFill="1" applyBorder="1" applyAlignment="1">
      <alignment horizontal="center" vertical="center"/>
    </xf>
    <xf numFmtId="0" fontId="1" fillId="32" borderId="21" xfId="0" applyFont="1" applyFill="1" applyBorder="1" applyAlignment="1">
      <alignment horizontal="center" vertical="center"/>
    </xf>
    <xf numFmtId="0" fontId="1" fillId="32" borderId="45" xfId="0" applyFont="1" applyFill="1" applyBorder="1" applyAlignment="1">
      <alignment horizontal="center" vertical="center"/>
    </xf>
    <xf numFmtId="0" fontId="1" fillId="32" borderId="24" xfId="0" applyFont="1" applyFill="1" applyBorder="1" applyAlignment="1">
      <alignment horizontal="center" vertical="center"/>
    </xf>
    <xf numFmtId="0" fontId="0" fillId="0" borderId="2" xfId="0" applyFont="1" applyBorder="1"/>
    <xf numFmtId="0" fontId="0" fillId="0" borderId="84" xfId="0" applyFont="1" applyBorder="1"/>
    <xf numFmtId="0" fontId="43" fillId="25" borderId="35" xfId="0" applyNumberFormat="1" applyFont="1" applyFill="1" applyBorder="1" applyAlignment="1" applyProtection="1">
      <alignment vertical="center" wrapText="1"/>
    </xf>
    <xf numFmtId="0" fontId="0" fillId="35" borderId="35" xfId="0" applyFont="1" applyFill="1" applyBorder="1" applyAlignment="1">
      <alignment horizontal="center"/>
    </xf>
    <xf numFmtId="0" fontId="14" fillId="32" borderId="13" xfId="0" applyFont="1" applyFill="1" applyBorder="1" applyAlignment="1">
      <alignment horizontal="center"/>
    </xf>
    <xf numFmtId="0" fontId="14" fillId="32" borderId="30" xfId="0" applyFont="1" applyFill="1" applyBorder="1" applyAlignment="1">
      <alignment horizontal="center"/>
    </xf>
    <xf numFmtId="2" fontId="1" fillId="25" borderId="42" xfId="0" applyNumberFormat="1" applyFont="1" applyFill="1" applyBorder="1" applyAlignment="1">
      <alignment horizontal="center" vertical="center"/>
    </xf>
    <xf numFmtId="0" fontId="2" fillId="25" borderId="17"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left" vertical="top" wrapText="1"/>
    </xf>
    <xf numFmtId="0" fontId="4" fillId="0" borderId="4" xfId="0" applyNumberFormat="1" applyFont="1" applyFill="1" applyBorder="1" applyAlignment="1" applyProtection="1">
      <alignment horizontal="left" vertical="center" wrapText="1"/>
    </xf>
    <xf numFmtId="0" fontId="66" fillId="40" borderId="0" xfId="0" applyFont="1" applyFill="1" applyBorder="1"/>
    <xf numFmtId="0" fontId="67" fillId="40" borderId="0" xfId="51" applyFont="1" applyFill="1" applyBorder="1"/>
    <xf numFmtId="0" fontId="68" fillId="40" borderId="0" xfId="51" applyFont="1" applyFill="1" applyBorder="1"/>
    <xf numFmtId="0" fontId="66" fillId="40" borderId="0" xfId="51" applyFont="1" applyFill="1" applyBorder="1"/>
    <xf numFmtId="0" fontId="69" fillId="41" borderId="23" xfId="0" applyFont="1" applyFill="1" applyBorder="1" applyAlignment="1">
      <alignment horizontal="center" vertical="center"/>
    </xf>
    <xf numFmtId="168" fontId="69" fillId="41" borderId="24" xfId="33" applyNumberFormat="1" applyFont="1" applyFill="1" applyBorder="1" applyAlignment="1">
      <alignment horizontal="center" vertical="center" wrapText="1"/>
    </xf>
    <xf numFmtId="0" fontId="70" fillId="40" borderId="0" xfId="51" applyFont="1" applyFill="1" applyBorder="1"/>
    <xf numFmtId="0" fontId="32" fillId="25" borderId="0" xfId="0" applyFont="1" applyFill="1" applyBorder="1"/>
    <xf numFmtId="0" fontId="33" fillId="42" borderId="4" xfId="358" applyNumberFormat="1" applyFont="1" applyFill="1" applyBorder="1" applyAlignment="1">
      <alignment horizontal="center" vertical="center" wrapText="1"/>
    </xf>
    <xf numFmtId="0" fontId="32" fillId="42" borderId="66" xfId="358" applyNumberFormat="1" applyFont="1" applyFill="1" applyBorder="1" applyAlignment="1">
      <alignment horizontal="center" wrapText="1"/>
    </xf>
    <xf numFmtId="0" fontId="32" fillId="42" borderId="64" xfId="358" applyNumberFormat="1" applyFont="1" applyFill="1" applyBorder="1" applyAlignment="1">
      <alignment horizontal="center" wrapText="1"/>
    </xf>
    <xf numFmtId="169" fontId="32" fillId="42" borderId="29" xfId="358" applyNumberFormat="1" applyFont="1" applyFill="1" applyBorder="1" applyAlignment="1">
      <alignment wrapText="1"/>
    </xf>
    <xf numFmtId="166" fontId="32" fillId="25" borderId="39" xfId="358" applyNumberFormat="1" applyFont="1" applyFill="1" applyBorder="1" applyAlignment="1">
      <alignment horizontal="center" wrapText="1"/>
    </xf>
    <xf numFmtId="166" fontId="32" fillId="25" borderId="35" xfId="358" applyNumberFormat="1" applyFont="1" applyFill="1" applyBorder="1" applyAlignment="1">
      <alignment horizontal="center" wrapText="1"/>
    </xf>
    <xf numFmtId="166" fontId="32" fillId="25" borderId="63" xfId="358" applyNumberFormat="1" applyFont="1" applyFill="1" applyBorder="1" applyAlignment="1">
      <alignment horizontal="center" wrapText="1"/>
    </xf>
    <xf numFmtId="169" fontId="32" fillId="42" borderId="13" xfId="358" applyNumberFormat="1" applyFont="1" applyFill="1" applyBorder="1" applyAlignment="1">
      <alignment wrapText="1"/>
    </xf>
    <xf numFmtId="166" fontId="32" fillId="25" borderId="42" xfId="358" applyNumberFormat="1" applyFont="1" applyFill="1" applyBorder="1" applyAlignment="1">
      <alignment horizontal="center" wrapText="1"/>
    </xf>
    <xf numFmtId="166" fontId="32" fillId="25" borderId="1" xfId="358" applyNumberFormat="1" applyFont="1" applyFill="1" applyBorder="1" applyAlignment="1">
      <alignment horizontal="center" wrapText="1"/>
    </xf>
    <xf numFmtId="166" fontId="32" fillId="25" borderId="34" xfId="358" applyNumberFormat="1" applyFont="1" applyFill="1" applyBorder="1" applyAlignment="1">
      <alignment horizontal="center" wrapText="1"/>
    </xf>
    <xf numFmtId="2" fontId="32" fillId="25" borderId="42" xfId="358" applyNumberFormat="1" applyFont="1" applyFill="1" applyBorder="1" applyAlignment="1">
      <alignment horizontal="center" wrapText="1"/>
    </xf>
    <xf numFmtId="2" fontId="32" fillId="25" borderId="1" xfId="358" applyNumberFormat="1" applyFont="1" applyFill="1" applyBorder="1" applyAlignment="1">
      <alignment horizontal="center" wrapText="1"/>
    </xf>
    <xf numFmtId="2" fontId="32" fillId="25" borderId="34" xfId="358" applyNumberFormat="1" applyFont="1" applyFill="1" applyBorder="1" applyAlignment="1">
      <alignment horizontal="center" wrapText="1"/>
    </xf>
    <xf numFmtId="169" fontId="32" fillId="26" borderId="13" xfId="358" applyNumberFormat="1" applyFont="1" applyFill="1" applyBorder="1" applyAlignment="1">
      <alignment wrapText="1"/>
    </xf>
    <xf numFmtId="2" fontId="32" fillId="26" borderId="42" xfId="358" applyNumberFormat="1" applyFont="1" applyFill="1" applyBorder="1" applyAlignment="1">
      <alignment horizontal="center" wrapText="1"/>
    </xf>
    <xf numFmtId="2" fontId="32" fillId="26" borderId="1" xfId="358" applyNumberFormat="1" applyFont="1" applyFill="1" applyBorder="1" applyAlignment="1">
      <alignment horizontal="center" wrapText="1"/>
    </xf>
    <xf numFmtId="2" fontId="32" fillId="26" borderId="34" xfId="358" applyNumberFormat="1" applyFont="1" applyFill="1" applyBorder="1" applyAlignment="1">
      <alignment horizontal="center" wrapText="1"/>
    </xf>
    <xf numFmtId="169" fontId="32" fillId="42" borderId="14" xfId="358" applyNumberFormat="1" applyFont="1" applyFill="1" applyBorder="1" applyAlignment="1">
      <alignment wrapText="1"/>
    </xf>
    <xf numFmtId="2" fontId="32" fillId="25" borderId="51" xfId="358" applyNumberFormat="1" applyFont="1" applyFill="1" applyBorder="1" applyAlignment="1">
      <alignment horizontal="center" wrapText="1"/>
    </xf>
    <xf numFmtId="2" fontId="32" fillId="25" borderId="9" xfId="358" applyNumberFormat="1" applyFont="1" applyFill="1" applyBorder="1" applyAlignment="1">
      <alignment horizontal="center" wrapText="1"/>
    </xf>
    <xf numFmtId="2" fontId="32" fillId="25" borderId="37" xfId="358" applyNumberFormat="1" applyFont="1" applyFill="1" applyBorder="1" applyAlignment="1">
      <alignment horizontal="center" wrapText="1"/>
    </xf>
    <xf numFmtId="0" fontId="33" fillId="25" borderId="0" xfId="0" applyFont="1" applyFill="1" applyBorder="1" applyAlignment="1">
      <alignment horizontal="center"/>
    </xf>
    <xf numFmtId="0" fontId="63" fillId="0" borderId="24" xfId="51" applyFont="1" applyFill="1" applyBorder="1" applyAlignment="1" applyProtection="1">
      <alignment horizontal="center"/>
    </xf>
    <xf numFmtId="0" fontId="62" fillId="0" borderId="98" xfId="51" applyFont="1" applyFill="1" applyBorder="1" applyAlignment="1" applyProtection="1">
      <alignment horizontal="center"/>
    </xf>
    <xf numFmtId="0" fontId="64" fillId="0" borderId="5" xfId="51" applyFont="1" applyFill="1" applyBorder="1" applyAlignment="1" applyProtection="1">
      <alignment horizontal="center"/>
    </xf>
    <xf numFmtId="0" fontId="64" fillId="0" borderId="49" xfId="51" applyFont="1" applyFill="1" applyBorder="1" applyAlignment="1" applyProtection="1">
      <alignment horizontal="center"/>
    </xf>
    <xf numFmtId="0" fontId="64" fillId="0" borderId="7" xfId="51" applyFont="1" applyFill="1" applyBorder="1" applyAlignment="1" applyProtection="1">
      <alignment horizontal="center"/>
    </xf>
    <xf numFmtId="0" fontId="65" fillId="0" borderId="34" xfId="51" applyFont="1" applyBorder="1" applyAlignment="1" applyProtection="1">
      <alignment horizontal="center"/>
    </xf>
    <xf numFmtId="168" fontId="66" fillId="0" borderId="8" xfId="51" applyNumberFormat="1" applyFont="1" applyFill="1" applyBorder="1" applyAlignment="1" applyProtection="1">
      <alignment horizontal="center"/>
    </xf>
    <xf numFmtId="0" fontId="65" fillId="0" borderId="37" xfId="51" applyFont="1" applyBorder="1" applyAlignment="1" applyProtection="1">
      <alignment horizontal="center"/>
    </xf>
    <xf numFmtId="0" fontId="1" fillId="32" borderId="19" xfId="0" applyFont="1" applyFill="1" applyBorder="1" applyAlignment="1">
      <alignment vertical="center"/>
    </xf>
    <xf numFmtId="0" fontId="1" fillId="32" borderId="70" xfId="0" applyFont="1" applyFill="1" applyBorder="1" applyAlignment="1">
      <alignment vertical="center"/>
    </xf>
    <xf numFmtId="0" fontId="1" fillId="32" borderId="46" xfId="0" applyFont="1" applyFill="1" applyBorder="1" applyAlignment="1">
      <alignment vertical="center"/>
    </xf>
    <xf numFmtId="0" fontId="1" fillId="32" borderId="36" xfId="0" applyFont="1" applyFill="1" applyBorder="1" applyAlignment="1">
      <alignment vertical="center"/>
    </xf>
    <xf numFmtId="0" fontId="1" fillId="32" borderId="0" xfId="0" applyFont="1" applyFill="1" applyBorder="1" applyAlignment="1">
      <alignment vertical="center"/>
    </xf>
    <xf numFmtId="0" fontId="1" fillId="32" borderId="47" xfId="0" applyFont="1" applyFill="1" applyBorder="1" applyAlignment="1">
      <alignment vertical="center"/>
    </xf>
    <xf numFmtId="0" fontId="1" fillId="32" borderId="15" xfId="0" applyFont="1" applyFill="1" applyBorder="1" applyAlignment="1">
      <alignment vertical="center"/>
    </xf>
    <xf numFmtId="0" fontId="1" fillId="32" borderId="93" xfId="0" applyFont="1" applyFill="1" applyBorder="1" applyAlignment="1">
      <alignment vertical="center"/>
    </xf>
    <xf numFmtId="0" fontId="1" fillId="32" borderId="33" xfId="0" applyFont="1" applyFill="1" applyBorder="1" applyAlignment="1">
      <alignment vertical="center"/>
    </xf>
    <xf numFmtId="0" fontId="2" fillId="32" borderId="23" xfId="0" applyFont="1" applyFill="1" applyBorder="1" applyAlignment="1" applyProtection="1">
      <alignment wrapText="1"/>
    </xf>
    <xf numFmtId="0" fontId="2" fillId="32" borderId="21" xfId="0" applyFont="1" applyFill="1" applyBorder="1" applyAlignment="1" applyProtection="1">
      <alignment wrapText="1"/>
    </xf>
    <xf numFmtId="0" fontId="2" fillId="32" borderId="24" xfId="0" applyFont="1" applyFill="1" applyBorder="1" applyAlignment="1" applyProtection="1">
      <alignment wrapText="1"/>
    </xf>
    <xf numFmtId="0" fontId="2" fillId="32" borderId="31" xfId="0" applyFont="1" applyFill="1" applyBorder="1" applyAlignment="1" applyProtection="1">
      <alignment wrapText="1"/>
    </xf>
    <xf numFmtId="1" fontId="1" fillId="32" borderId="10" xfId="0" applyNumberFormat="1" applyFont="1" applyFill="1" applyBorder="1" applyAlignment="1">
      <alignment vertical="center"/>
    </xf>
    <xf numFmtId="1" fontId="1" fillId="32" borderId="2" xfId="0" applyNumberFormat="1" applyFont="1" applyFill="1" applyBorder="1" applyAlignment="1">
      <alignment vertical="center"/>
    </xf>
    <xf numFmtId="1" fontId="1" fillId="32" borderId="31" xfId="0" applyNumberFormat="1" applyFont="1" applyFill="1" applyBorder="1" applyAlignment="1">
      <alignment vertical="center"/>
    </xf>
    <xf numFmtId="0" fontId="2" fillId="32" borderId="43" xfId="0" applyFont="1" applyFill="1" applyBorder="1" applyAlignment="1" applyProtection="1">
      <alignment wrapText="1"/>
    </xf>
    <xf numFmtId="0" fontId="2" fillId="32" borderId="44" xfId="0" applyFont="1" applyFill="1" applyBorder="1" applyAlignment="1" applyProtection="1">
      <alignment wrapText="1"/>
    </xf>
    <xf numFmtId="0" fontId="2" fillId="32" borderId="45" xfId="0" applyFont="1" applyFill="1" applyBorder="1" applyAlignment="1" applyProtection="1">
      <alignment wrapText="1"/>
    </xf>
    <xf numFmtId="0" fontId="2" fillId="32" borderId="79" xfId="0" applyFont="1" applyFill="1" applyBorder="1" applyAlignment="1" applyProtection="1">
      <alignment wrapText="1"/>
    </xf>
    <xf numFmtId="0" fontId="0" fillId="25" borderId="1" xfId="0" applyFont="1" applyFill="1" applyBorder="1" applyAlignment="1">
      <alignment horizontal="center"/>
    </xf>
    <xf numFmtId="0" fontId="2" fillId="32" borderId="47" xfId="0" applyFont="1" applyFill="1" applyBorder="1" applyAlignment="1" applyProtection="1">
      <alignment wrapText="1"/>
    </xf>
    <xf numFmtId="0" fontId="44" fillId="25" borderId="0" xfId="0" applyFont="1" applyFill="1" applyBorder="1"/>
    <xf numFmtId="167" fontId="44" fillId="25" borderId="0" xfId="0" applyNumberFormat="1" applyFont="1" applyFill="1" applyBorder="1"/>
    <xf numFmtId="0" fontId="45" fillId="2" borderId="36" xfId="0" applyFont="1" applyFill="1" applyBorder="1"/>
    <xf numFmtId="0" fontId="0" fillId="2" borderId="47" xfId="0" applyFill="1" applyBorder="1"/>
    <xf numFmtId="0" fontId="45" fillId="2" borderId="45" xfId="0" applyFont="1" applyFill="1" applyBorder="1"/>
    <xf numFmtId="0" fontId="0" fillId="2" borderId="79" xfId="0" applyFill="1" applyBorder="1"/>
    <xf numFmtId="0" fontId="7" fillId="0" borderId="30" xfId="0" applyNumberFormat="1" applyFont="1" applyFill="1" applyBorder="1" applyAlignment="1" applyProtection="1">
      <alignment horizontal="center" vertical="center" wrapText="1"/>
    </xf>
    <xf numFmtId="0" fontId="2" fillId="25" borderId="30" xfId="0" applyNumberFormat="1" applyFont="1" applyFill="1" applyBorder="1" applyAlignment="1" applyProtection="1">
      <alignment horizontal="center" vertical="center" wrapText="1"/>
    </xf>
    <xf numFmtId="0" fontId="10" fillId="2" borderId="13" xfId="0" applyFont="1" applyFill="1" applyBorder="1" applyAlignment="1">
      <alignment horizontal="left" vertical="top"/>
    </xf>
    <xf numFmtId="0" fontId="10" fillId="2" borderId="21" xfId="0" applyFont="1" applyFill="1" applyBorder="1" applyAlignment="1">
      <alignment horizontal="center"/>
    </xf>
    <xf numFmtId="0" fontId="0" fillId="0" borderId="1" xfId="0" applyFont="1" applyBorder="1" applyAlignment="1">
      <alignment horizontal="center"/>
    </xf>
    <xf numFmtId="0" fontId="10" fillId="2" borderId="64" xfId="0" applyFont="1" applyFill="1" applyBorder="1" applyAlignment="1">
      <alignment horizontal="center"/>
    </xf>
    <xf numFmtId="0" fontId="0" fillId="0" borderId="6" xfId="0" applyFont="1" applyBorder="1" applyAlignment="1">
      <alignment horizontal="center"/>
    </xf>
    <xf numFmtId="0" fontId="43" fillId="25" borderId="35" xfId="0" applyNumberFormat="1" applyFont="1" applyFill="1" applyBorder="1" applyAlignment="1" applyProtection="1">
      <alignment wrapText="1"/>
    </xf>
    <xf numFmtId="0" fontId="42" fillId="2" borderId="91" xfId="0" applyFont="1" applyFill="1" applyBorder="1" applyAlignment="1">
      <alignment horizontal="center" vertical="center" wrapText="1"/>
    </xf>
    <xf numFmtId="0" fontId="14" fillId="34" borderId="14" xfId="0" applyFont="1" applyFill="1" applyBorder="1" applyAlignment="1">
      <alignment horizontal="center" wrapText="1"/>
    </xf>
    <xf numFmtId="0" fontId="10" fillId="2" borderId="66" xfId="0" applyFont="1" applyFill="1" applyBorder="1" applyAlignment="1">
      <alignment horizontal="center"/>
    </xf>
    <xf numFmtId="0" fontId="45" fillId="2" borderId="0" xfId="0" applyFont="1" applyFill="1" applyBorder="1"/>
    <xf numFmtId="0" fontId="34" fillId="2" borderId="21" xfId="0" applyNumberFormat="1" applyFont="1" applyFill="1" applyBorder="1" applyAlignment="1" applyProtection="1">
      <alignment horizontal="right" vertical="center" wrapText="1"/>
    </xf>
    <xf numFmtId="0" fontId="34" fillId="2" borderId="21" xfId="0" applyNumberFormat="1" applyFont="1" applyFill="1" applyBorder="1" applyAlignment="1" applyProtection="1">
      <alignment vertical="center" wrapText="1"/>
    </xf>
    <xf numFmtId="0" fontId="5" fillId="25" borderId="0" xfId="0" applyNumberFormat="1" applyFont="1" applyFill="1" applyBorder="1" applyAlignment="1" applyProtection="1">
      <alignment horizontal="center" vertical="center" wrapText="1"/>
    </xf>
    <xf numFmtId="0" fontId="71" fillId="0" borderId="0" xfId="0" applyFont="1" applyAlignment="1">
      <alignment horizontal="center"/>
    </xf>
    <xf numFmtId="165" fontId="72" fillId="0" borderId="0" xfId="505" applyNumberFormat="1" applyFont="1" applyAlignment="1" applyProtection="1">
      <alignment vertical="top"/>
      <protection locked="0"/>
    </xf>
    <xf numFmtId="0" fontId="73" fillId="0" borderId="0" xfId="505" applyFont="1" applyProtection="1">
      <protection locked="0"/>
    </xf>
    <xf numFmtId="0" fontId="12" fillId="0" borderId="0" xfId="505" applyProtection="1">
      <protection locked="0"/>
    </xf>
    <xf numFmtId="0" fontId="74" fillId="0" borderId="0" xfId="505" applyFont="1" applyProtection="1">
      <protection locked="0"/>
    </xf>
    <xf numFmtId="0" fontId="10" fillId="0" borderId="0" xfId="505" applyFont="1" applyProtection="1">
      <protection locked="0"/>
    </xf>
    <xf numFmtId="0" fontId="48" fillId="0" borderId="0" xfId="612" applyAlignment="1" applyProtection="1">
      <protection locked="0"/>
    </xf>
    <xf numFmtId="0" fontId="77" fillId="0" borderId="0" xfId="486" applyFont="1" applyProtection="1">
      <protection locked="0"/>
    </xf>
    <xf numFmtId="0" fontId="13" fillId="0" borderId="0" xfId="486" applyFont="1" applyProtection="1">
      <protection locked="0"/>
    </xf>
    <xf numFmtId="0" fontId="13" fillId="43" borderId="1" xfId="486" applyFont="1" applyFill="1" applyBorder="1" applyAlignment="1" applyProtection="1">
      <protection locked="0"/>
    </xf>
    <xf numFmtId="0" fontId="13" fillId="40" borderId="0" xfId="486" applyFont="1" applyFill="1" applyAlignment="1" applyProtection="1">
      <protection locked="0"/>
    </xf>
    <xf numFmtId="0" fontId="13" fillId="40" borderId="0" xfId="486" applyFont="1" applyFill="1" applyBorder="1" applyAlignment="1" applyProtection="1">
      <protection locked="0"/>
    </xf>
    <xf numFmtId="0" fontId="13" fillId="44" borderId="1" xfId="486" applyFont="1" applyFill="1" applyBorder="1" applyAlignment="1" applyProtection="1">
      <protection locked="0"/>
    </xf>
    <xf numFmtId="0" fontId="13" fillId="40" borderId="0" xfId="486" quotePrefix="1" applyFont="1" applyFill="1" applyBorder="1" applyAlignment="1" applyProtection="1">
      <protection locked="0"/>
    </xf>
    <xf numFmtId="0" fontId="13" fillId="0" borderId="1" xfId="486" applyFont="1" applyBorder="1" applyAlignment="1" applyProtection="1">
      <protection locked="0"/>
    </xf>
    <xf numFmtId="0" fontId="13" fillId="0" borderId="101" xfId="486" applyFont="1" applyBorder="1" applyAlignment="1" applyProtection="1">
      <protection locked="0"/>
    </xf>
    <xf numFmtId="0" fontId="13" fillId="38" borderId="102" xfId="486" applyFont="1" applyFill="1" applyBorder="1" applyAlignment="1" applyProtection="1">
      <protection locked="0"/>
    </xf>
    <xf numFmtId="0" fontId="13" fillId="29" borderId="1" xfId="54" applyFont="1" applyFill="1" applyBorder="1" applyAlignment="1" applyProtection="1">
      <alignment vertical="center"/>
      <protection locked="0"/>
    </xf>
    <xf numFmtId="0" fontId="13" fillId="45" borderId="1" xfId="54" applyFont="1" applyFill="1" applyBorder="1" applyProtection="1">
      <protection locked="0"/>
    </xf>
    <xf numFmtId="0" fontId="13" fillId="46" borderId="1" xfId="54" applyFont="1" applyFill="1" applyBorder="1" applyAlignment="1" applyProtection="1">
      <alignment vertical="center"/>
      <protection locked="0"/>
    </xf>
    <xf numFmtId="0" fontId="13" fillId="47" borderId="1" xfId="54" applyFont="1" applyFill="1" applyBorder="1" applyProtection="1">
      <protection locked="0"/>
    </xf>
    <xf numFmtId="0" fontId="13" fillId="48" borderId="1" xfId="54" applyFill="1" applyBorder="1" applyProtection="1">
      <protection locked="0"/>
    </xf>
    <xf numFmtId="165" fontId="72" fillId="0" borderId="0" xfId="505" applyNumberFormat="1" applyFont="1" applyBorder="1" applyAlignment="1" applyProtection="1">
      <alignment vertical="top"/>
      <protection locked="0"/>
    </xf>
    <xf numFmtId="0" fontId="12" fillId="0" borderId="0" xfId="505" applyBorder="1" applyProtection="1">
      <protection locked="0"/>
    </xf>
    <xf numFmtId="0" fontId="77" fillId="0" borderId="0" xfId="486" applyFont="1" applyAlignment="1" applyProtection="1">
      <alignment horizontal="left"/>
      <protection locked="0"/>
    </xf>
    <xf numFmtId="0" fontId="72" fillId="0" borderId="0" xfId="505" applyFont="1" applyBorder="1" applyProtection="1">
      <protection locked="0"/>
    </xf>
    <xf numFmtId="0" fontId="13" fillId="0" borderId="0" xfId="486" applyFont="1" applyBorder="1" applyAlignment="1" applyProtection="1">
      <alignment horizontal="left" vertical="top" indent="1"/>
      <protection locked="0"/>
    </xf>
    <xf numFmtId="0" fontId="13" fillId="0" borderId="0" xfId="486" applyFont="1" applyBorder="1" applyAlignment="1" applyProtection="1">
      <alignment horizontal="left" vertical="top" wrapText="1"/>
      <protection locked="0"/>
    </xf>
    <xf numFmtId="165" fontId="72" fillId="0" borderId="0" xfId="505" applyNumberFormat="1" applyFont="1" applyBorder="1" applyAlignment="1" applyProtection="1">
      <alignment vertical="center"/>
      <protection locked="0"/>
    </xf>
    <xf numFmtId="0" fontId="13" fillId="0" borderId="0" xfId="486" applyFont="1" applyBorder="1" applyAlignment="1" applyProtection="1">
      <alignment horizontal="left" vertical="center"/>
      <protection locked="0"/>
    </xf>
    <xf numFmtId="0" fontId="15" fillId="0" borderId="0" xfId="486" applyFont="1" applyBorder="1" applyAlignment="1" applyProtection="1">
      <alignment horizontal="left" vertical="top"/>
      <protection locked="0"/>
    </xf>
    <xf numFmtId="0" fontId="72" fillId="0" borderId="0" xfId="505" applyFont="1" applyProtection="1">
      <protection locked="0"/>
    </xf>
    <xf numFmtId="2" fontId="72" fillId="0" borderId="0" xfId="505" applyNumberFormat="1" applyFont="1" applyBorder="1" applyAlignment="1" applyProtection="1">
      <alignment vertical="top"/>
      <protection locked="0"/>
    </xf>
    <xf numFmtId="0" fontId="72" fillId="0" borderId="0" xfId="505" applyFont="1" applyAlignment="1" applyProtection="1">
      <alignment vertical="top"/>
      <protection locked="0"/>
    </xf>
    <xf numFmtId="0" fontId="13" fillId="0" borderId="0" xfId="54" applyProtection="1">
      <protection locked="0"/>
    </xf>
    <xf numFmtId="0" fontId="11" fillId="25" borderId="102" xfId="54" applyFont="1" applyFill="1" applyBorder="1" applyAlignment="1" applyProtection="1"/>
    <xf numFmtId="0" fontId="13" fillId="49" borderId="1" xfId="54" applyFill="1" applyBorder="1" applyAlignment="1" applyProtection="1">
      <alignment horizontal="center" vertical="center" wrapText="1"/>
      <protection locked="0"/>
    </xf>
    <xf numFmtId="0" fontId="48" fillId="49" borderId="1" xfId="612" applyFill="1" applyBorder="1" applyAlignment="1" applyProtection="1">
      <alignment horizontal="center" vertical="center" wrapText="1"/>
      <protection locked="0"/>
    </xf>
    <xf numFmtId="0" fontId="13" fillId="0" borderId="0" xfId="54" applyProtection="1"/>
    <xf numFmtId="0" fontId="77" fillId="0" borderId="1" xfId="54" applyFont="1" applyFill="1" applyBorder="1" applyAlignment="1" applyProtection="1">
      <alignment horizontal="center" vertical="center" wrapText="1"/>
    </xf>
    <xf numFmtId="0" fontId="13" fillId="0" borderId="1" xfId="54" applyFont="1" applyFill="1" applyBorder="1" applyProtection="1"/>
    <xf numFmtId="0" fontId="13" fillId="0" borderId="16" xfId="54" applyFont="1" applyBorder="1" applyProtection="1"/>
    <xf numFmtId="0" fontId="80" fillId="0" borderId="0" xfId="54" applyFont="1" applyProtection="1">
      <protection locked="0"/>
    </xf>
    <xf numFmtId="0" fontId="13" fillId="40" borderId="0" xfId="54" applyFill="1" applyProtection="1">
      <protection locked="0"/>
    </xf>
    <xf numFmtId="0" fontId="77" fillId="50" borderId="1" xfId="54" applyFont="1" applyFill="1" applyBorder="1" applyAlignment="1" applyProtection="1">
      <alignment horizontal="center"/>
      <protection locked="0"/>
    </xf>
    <xf numFmtId="0" fontId="81" fillId="50" borderId="1" xfId="54" applyFont="1" applyFill="1" applyBorder="1" applyAlignment="1" applyProtection="1">
      <alignment horizontal="center"/>
      <protection locked="0"/>
    </xf>
    <xf numFmtId="0" fontId="77" fillId="50" borderId="1" xfId="54" applyFont="1" applyFill="1" applyBorder="1" applyAlignment="1" applyProtection="1">
      <alignment horizontal="center" wrapText="1"/>
      <protection locked="0"/>
    </xf>
    <xf numFmtId="0" fontId="13" fillId="49" borderId="1" xfId="54" applyFill="1" applyBorder="1" applyAlignment="1" applyProtection="1">
      <alignment horizontal="left" vertical="center" wrapText="1"/>
      <protection locked="0"/>
    </xf>
    <xf numFmtId="0" fontId="48" fillId="49" borderId="1" xfId="612" applyFill="1" applyBorder="1" applyAlignment="1" applyProtection="1">
      <alignment vertical="center"/>
      <protection locked="0"/>
    </xf>
    <xf numFmtId="0" fontId="13" fillId="47" borderId="1" xfId="54" applyFill="1" applyBorder="1" applyAlignment="1" applyProtection="1">
      <alignment vertical="center"/>
      <protection locked="0"/>
    </xf>
    <xf numFmtId="0" fontId="13" fillId="49" borderId="0" xfId="54" applyFill="1" applyProtection="1">
      <protection locked="0"/>
    </xf>
    <xf numFmtId="0" fontId="13" fillId="0" borderId="1" xfId="54" applyFont="1" applyBorder="1" applyAlignment="1" applyProtection="1">
      <alignment horizontal="left" vertical="center" wrapText="1"/>
      <protection locked="0"/>
    </xf>
    <xf numFmtId="0" fontId="48" fillId="0" borderId="1" xfId="612" applyBorder="1" applyAlignment="1" applyProtection="1">
      <alignment vertical="center"/>
      <protection locked="0"/>
    </xf>
    <xf numFmtId="0" fontId="13" fillId="47" borderId="1" xfId="54" applyFont="1" applyFill="1" applyBorder="1" applyAlignment="1" applyProtection="1">
      <alignment vertical="center"/>
      <protection locked="0"/>
    </xf>
    <xf numFmtId="0" fontId="13" fillId="49" borderId="1" xfId="54" applyFont="1" applyFill="1" applyBorder="1" applyAlignment="1" applyProtection="1">
      <alignment horizontal="left" vertical="center" wrapText="1"/>
      <protection locked="0"/>
    </xf>
    <xf numFmtId="0" fontId="13" fillId="40" borderId="1" xfId="54" applyFont="1" applyFill="1" applyBorder="1" applyAlignment="1" applyProtection="1">
      <alignment horizontal="left" vertical="center" wrapText="1"/>
      <protection locked="0"/>
    </xf>
    <xf numFmtId="0" fontId="48" fillId="40" borderId="1" xfId="612" applyFill="1" applyBorder="1" applyAlignment="1" applyProtection="1">
      <alignment vertical="center"/>
      <protection locked="0"/>
    </xf>
    <xf numFmtId="0" fontId="13" fillId="40" borderId="0" xfId="54" applyFont="1" applyFill="1" applyBorder="1" applyProtection="1">
      <protection locked="0"/>
    </xf>
    <xf numFmtId="0" fontId="13" fillId="0" borderId="0" xfId="54" applyAlignment="1" applyProtection="1">
      <alignment vertical="center"/>
      <protection locked="0"/>
    </xf>
    <xf numFmtId="0" fontId="83" fillId="0" borderId="0" xfId="618" applyFont="1" applyFill="1" applyBorder="1" applyProtection="1">
      <protection locked="0"/>
    </xf>
    <xf numFmtId="0" fontId="85" fillId="43" borderId="1" xfId="618" applyFont="1" applyFill="1" applyBorder="1" applyAlignment="1" applyProtection="1">
      <alignment horizontal="left" vertical="center" wrapText="1"/>
      <protection locked="0"/>
    </xf>
    <xf numFmtId="0" fontId="85" fillId="49" borderId="1" xfId="618" applyFont="1" applyFill="1" applyBorder="1" applyAlignment="1" applyProtection="1">
      <alignment horizontal="left" vertical="center" wrapText="1"/>
      <protection locked="0"/>
    </xf>
    <xf numFmtId="0" fontId="77" fillId="50" borderId="16" xfId="54" applyFont="1" applyFill="1" applyBorder="1" applyAlignment="1" applyProtection="1">
      <alignment horizontal="left" vertical="top" wrapText="1"/>
    </xf>
    <xf numFmtId="0" fontId="13" fillId="50" borderId="2" xfId="54" applyFont="1" applyFill="1" applyBorder="1" applyAlignment="1" applyProtection="1">
      <alignment horizontal="left" vertical="top" wrapText="1"/>
    </xf>
    <xf numFmtId="0" fontId="78" fillId="51" borderId="27" xfId="618" applyFont="1" applyFill="1" applyBorder="1" applyAlignment="1" applyProtection="1">
      <alignment horizontal="center" vertical="center" wrapText="1"/>
    </xf>
    <xf numFmtId="0" fontId="83" fillId="49" borderId="39" xfId="618" applyFont="1" applyFill="1" applyBorder="1" applyAlignment="1" applyProtection="1">
      <alignment horizontal="left" vertical="top" wrapText="1"/>
    </xf>
    <xf numFmtId="0" fontId="83" fillId="40" borderId="39" xfId="618" applyFont="1" applyFill="1" applyBorder="1" applyAlignment="1" applyProtection="1">
      <alignment horizontal="left" vertical="top" wrapText="1"/>
    </xf>
    <xf numFmtId="0" fontId="78" fillId="51" borderId="16" xfId="618" applyFont="1" applyFill="1" applyBorder="1" applyAlignment="1" applyProtection="1">
      <alignment horizontal="center" vertical="center" wrapText="1"/>
    </xf>
    <xf numFmtId="0" fontId="83" fillId="49" borderId="42" xfId="618" applyFont="1" applyFill="1" applyBorder="1" applyAlignment="1" applyProtection="1">
      <alignment horizontal="left" vertical="top" wrapText="1"/>
    </xf>
    <xf numFmtId="0" fontId="83" fillId="40" borderId="42" xfId="618" applyFont="1" applyFill="1" applyBorder="1" applyAlignment="1" applyProtection="1">
      <alignment horizontal="left" vertical="top" wrapText="1"/>
    </xf>
    <xf numFmtId="0" fontId="77" fillId="40" borderId="1" xfId="618" applyFont="1" applyFill="1" applyBorder="1" applyAlignment="1" applyProtection="1">
      <alignment horizontal="center" vertical="center" wrapText="1"/>
    </xf>
    <xf numFmtId="0" fontId="83" fillId="49" borderId="1" xfId="618" applyFont="1" applyFill="1" applyBorder="1" applyAlignment="1" applyProtection="1">
      <alignment horizontal="left" vertical="top" wrapText="1"/>
    </xf>
    <xf numFmtId="0" fontId="83" fillId="40" borderId="1" xfId="618" applyFont="1" applyFill="1" applyBorder="1" applyAlignment="1" applyProtection="1">
      <alignment horizontal="left" vertical="top" wrapText="1"/>
    </xf>
    <xf numFmtId="0" fontId="78" fillId="50" borderId="27" xfId="618" applyFont="1" applyFill="1" applyBorder="1" applyAlignment="1" applyProtection="1">
      <alignment horizontal="center" vertical="center" wrapText="1"/>
    </xf>
    <xf numFmtId="0" fontId="88" fillId="50" borderId="0" xfId="618" applyFont="1" applyFill="1" applyBorder="1" applyAlignment="1" applyProtection="1">
      <alignment horizontal="center" vertical="center" wrapText="1"/>
    </xf>
    <xf numFmtId="0" fontId="77" fillId="50" borderId="2" xfId="618" applyFont="1" applyFill="1" applyBorder="1" applyAlignment="1" applyProtection="1">
      <alignment horizontal="center" vertical="center" wrapText="1"/>
    </xf>
    <xf numFmtId="0" fontId="77" fillId="50" borderId="42" xfId="618" applyFont="1" applyFill="1" applyBorder="1" applyAlignment="1" applyProtection="1">
      <alignment horizontal="center" vertical="center" wrapText="1"/>
    </xf>
    <xf numFmtId="0" fontId="77" fillId="50" borderId="2" xfId="54" applyFont="1" applyFill="1" applyBorder="1" applyAlignment="1" applyProtection="1">
      <alignment horizontal="left" vertical="top" wrapText="1"/>
    </xf>
    <xf numFmtId="0" fontId="78" fillId="40" borderId="16" xfId="618" applyFont="1" applyFill="1" applyBorder="1" applyAlignment="1" applyProtection="1">
      <alignment horizontal="center" vertical="center" wrapText="1"/>
    </xf>
    <xf numFmtId="0" fontId="78" fillId="50" borderId="2" xfId="54" applyFont="1" applyFill="1" applyBorder="1" applyAlignment="1" applyProtection="1">
      <alignment horizontal="left" vertical="top" wrapText="1"/>
    </xf>
    <xf numFmtId="0" fontId="88" fillId="50" borderId="0" xfId="618" applyFont="1" applyFill="1" applyBorder="1" applyAlignment="1" applyProtection="1">
      <alignment horizontal="center" vertical="center" wrapText="1"/>
      <protection locked="0"/>
    </xf>
    <xf numFmtId="0" fontId="13" fillId="43" borderId="1" xfId="618" applyFont="1" applyFill="1" applyBorder="1" applyAlignment="1" applyProtection="1">
      <alignment horizontal="left" vertical="top" wrapText="1"/>
      <protection locked="0"/>
    </xf>
    <xf numFmtId="0" fontId="13" fillId="52" borderId="1" xfId="618" applyFont="1" applyFill="1" applyBorder="1" applyAlignment="1" applyProtection="1">
      <alignment horizontal="left" vertical="top" wrapText="1"/>
      <protection locked="0"/>
    </xf>
    <xf numFmtId="0" fontId="74" fillId="0" borderId="0" xfId="618" applyFont="1" applyFill="1" applyBorder="1" applyProtection="1">
      <protection locked="0"/>
    </xf>
    <xf numFmtId="0" fontId="89" fillId="40" borderId="0" xfId="54" applyFont="1" applyFill="1" applyAlignment="1" applyProtection="1">
      <alignment vertical="top"/>
      <protection locked="0"/>
    </xf>
    <xf numFmtId="0" fontId="89" fillId="40" borderId="0" xfId="54" applyFont="1" applyFill="1" applyAlignment="1" applyProtection="1">
      <alignment vertical="top" wrapText="1"/>
      <protection locked="0"/>
    </xf>
    <xf numFmtId="0" fontId="12" fillId="40" borderId="0" xfId="505" applyFill="1" applyProtection="1">
      <protection locked="0"/>
    </xf>
    <xf numFmtId="0" fontId="11" fillId="0" borderId="0" xfId="618" applyFont="1" applyFill="1" applyBorder="1" applyAlignment="1" applyProtection="1">
      <alignment vertical="top" wrapText="1"/>
      <protection locked="0"/>
    </xf>
    <xf numFmtId="0" fontId="11" fillId="0" borderId="0" xfId="618" applyFont="1" applyFill="1" applyBorder="1" applyAlignment="1" applyProtection="1">
      <alignment horizontal="left" vertical="top" wrapText="1"/>
      <protection locked="0"/>
    </xf>
    <xf numFmtId="0" fontId="90" fillId="50" borderId="28" xfId="505" applyFont="1" applyFill="1" applyBorder="1" applyAlignment="1" applyProtection="1">
      <alignment wrapText="1"/>
      <protection locked="0"/>
    </xf>
    <xf numFmtId="0" fontId="90" fillId="50" borderId="84" xfId="505" applyFont="1" applyFill="1" applyBorder="1" applyAlignment="1" applyProtection="1">
      <alignment wrapText="1"/>
      <protection locked="0"/>
    </xf>
    <xf numFmtId="0" fontId="90" fillId="50" borderId="40" xfId="505" applyFont="1" applyFill="1" applyBorder="1" applyAlignment="1" applyProtection="1">
      <alignment wrapText="1"/>
      <protection locked="0"/>
    </xf>
    <xf numFmtId="0" fontId="91" fillId="50" borderId="86" xfId="505" applyFont="1" applyFill="1" applyBorder="1" applyAlignment="1" applyProtection="1">
      <alignment horizontal="left" vertical="center"/>
      <protection locked="0"/>
    </xf>
    <xf numFmtId="0" fontId="90" fillId="50" borderId="0" xfId="505" applyFont="1" applyFill="1" applyBorder="1" applyAlignment="1" applyProtection="1">
      <alignment wrapText="1"/>
      <protection locked="0"/>
    </xf>
    <xf numFmtId="0" fontId="90" fillId="50" borderId="41" xfId="505" applyFont="1" applyFill="1" applyBorder="1" applyAlignment="1" applyProtection="1">
      <alignment wrapText="1"/>
      <protection locked="0"/>
    </xf>
    <xf numFmtId="0" fontId="90" fillId="50" borderId="86" xfId="505" applyFont="1" applyFill="1" applyBorder="1" applyAlignment="1" applyProtection="1">
      <alignment wrapText="1"/>
      <protection locked="0"/>
    </xf>
    <xf numFmtId="0" fontId="91" fillId="50" borderId="27" xfId="505" applyFont="1" applyFill="1" applyBorder="1" applyAlignment="1" applyProtection="1">
      <alignment horizontal="left"/>
      <protection locked="0"/>
    </xf>
    <xf numFmtId="0" fontId="90" fillId="50" borderId="93" xfId="505" applyFont="1" applyFill="1" applyBorder="1" applyAlignment="1" applyProtection="1">
      <alignment wrapText="1"/>
      <protection locked="0"/>
    </xf>
    <xf numFmtId="0" fontId="90" fillId="50" borderId="93" xfId="505" applyFont="1" applyFill="1" applyBorder="1" applyAlignment="1" applyProtection="1">
      <protection locked="0"/>
    </xf>
    <xf numFmtId="0" fontId="90" fillId="50" borderId="39" xfId="505" applyFont="1" applyFill="1" applyBorder="1" applyAlignment="1" applyProtection="1">
      <alignment wrapText="1"/>
      <protection locked="0"/>
    </xf>
    <xf numFmtId="0" fontId="90" fillId="50" borderId="27" xfId="505" applyFont="1" applyFill="1" applyBorder="1" applyAlignment="1" applyProtection="1">
      <alignment wrapText="1"/>
      <protection locked="0"/>
    </xf>
    <xf numFmtId="0" fontId="90" fillId="40" borderId="35" xfId="505" applyFont="1" applyFill="1" applyBorder="1" applyAlignment="1" applyProtection="1">
      <alignment horizontal="center" wrapText="1"/>
    </xf>
    <xf numFmtId="0" fontId="90" fillId="40" borderId="35" xfId="505" applyFont="1" applyFill="1" applyBorder="1" applyAlignment="1" applyProtection="1">
      <alignment vertical="top" wrapText="1"/>
    </xf>
    <xf numFmtId="0" fontId="90" fillId="0" borderId="35" xfId="505" applyFont="1" applyFill="1" applyBorder="1" applyAlignment="1" applyProtection="1">
      <alignment horizontal="center" wrapText="1"/>
    </xf>
    <xf numFmtId="0" fontId="12" fillId="54" borderId="1" xfId="505" applyFill="1" applyBorder="1" applyAlignment="1" applyProtection="1">
      <alignment vertical="top" wrapText="1"/>
    </xf>
    <xf numFmtId="0" fontId="93" fillId="0" borderId="1" xfId="505" applyFont="1" applyBorder="1" applyAlignment="1" applyProtection="1">
      <alignment vertical="top" wrapText="1"/>
    </xf>
    <xf numFmtId="0" fontId="93" fillId="0" borderId="1" xfId="505" applyFont="1" applyFill="1" applyBorder="1" applyAlignment="1" applyProtection="1">
      <alignment horizontal="left" vertical="top" wrapText="1"/>
    </xf>
    <xf numFmtId="0" fontId="93" fillId="0" borderId="1" xfId="505" applyFont="1" applyBorder="1" applyAlignment="1" applyProtection="1">
      <alignment horizontal="left" vertical="top" wrapText="1"/>
    </xf>
    <xf numFmtId="0" fontId="93" fillId="0" borderId="1" xfId="505" applyFont="1" applyFill="1" applyBorder="1" applyAlignment="1" applyProtection="1">
      <alignment horizontal="left" vertical="top" wrapText="1" indent="1"/>
    </xf>
    <xf numFmtId="0" fontId="12" fillId="25" borderId="0" xfId="505" applyFill="1" applyProtection="1">
      <protection locked="0"/>
    </xf>
    <xf numFmtId="0" fontId="12" fillId="53" borderId="1" xfId="505" applyFill="1" applyBorder="1" applyAlignment="1" applyProtection="1">
      <alignment horizontal="left" vertical="top" wrapText="1"/>
    </xf>
    <xf numFmtId="0" fontId="94" fillId="0" borderId="1" xfId="505" applyFont="1" applyBorder="1" applyAlignment="1" applyProtection="1">
      <alignment vertical="top" wrapText="1"/>
    </xf>
    <xf numFmtId="0" fontId="94" fillId="0" borderId="1" xfId="505" applyFont="1" applyFill="1" applyBorder="1" applyAlignment="1" applyProtection="1">
      <alignment horizontal="left" vertical="top" wrapText="1"/>
    </xf>
    <xf numFmtId="0" fontId="94" fillId="0" borderId="1" xfId="505" applyFont="1" applyFill="1" applyBorder="1" applyAlignment="1" applyProtection="1">
      <alignment vertical="top" wrapText="1"/>
    </xf>
    <xf numFmtId="0" fontId="94" fillId="40" borderId="0" xfId="505" applyFont="1" applyFill="1" applyProtection="1">
      <protection locked="0"/>
    </xf>
    <xf numFmtId="0" fontId="94" fillId="25" borderId="1" xfId="505" applyFont="1" applyFill="1" applyBorder="1" applyAlignment="1" applyProtection="1">
      <alignment vertical="top" wrapText="1"/>
    </xf>
    <xf numFmtId="0" fontId="12" fillId="25" borderId="0" xfId="505" applyFill="1" applyAlignment="1" applyProtection="1">
      <alignment wrapText="1"/>
      <protection locked="0"/>
    </xf>
    <xf numFmtId="0" fontId="94" fillId="0" borderId="1" xfId="505" quotePrefix="1" applyFont="1" applyFill="1" applyBorder="1" applyAlignment="1" applyProtection="1">
      <alignment horizontal="left" vertical="top" wrapText="1"/>
    </xf>
    <xf numFmtId="0" fontId="94" fillId="0" borderId="1" xfId="505" quotePrefix="1" applyFont="1" applyBorder="1" applyAlignment="1" applyProtection="1">
      <alignment horizontal="left" vertical="top" wrapText="1"/>
    </xf>
    <xf numFmtId="0" fontId="94" fillId="0" borderId="1" xfId="505" applyFont="1" applyBorder="1" applyAlignment="1" applyProtection="1">
      <alignment horizontal="left" vertical="top" wrapText="1"/>
    </xf>
    <xf numFmtId="0" fontId="93" fillId="25" borderId="1" xfId="505" applyFont="1" applyFill="1" applyBorder="1" applyAlignment="1" applyProtection="1">
      <alignment horizontal="left" vertical="top" wrapText="1"/>
    </xf>
    <xf numFmtId="0" fontId="93" fillId="25" borderId="1" xfId="505" applyFont="1" applyFill="1" applyBorder="1" applyAlignment="1" applyProtection="1">
      <alignment vertical="top" wrapText="1"/>
    </xf>
    <xf numFmtId="0" fontId="90" fillId="53" borderId="1" xfId="505" applyFont="1" applyFill="1" applyBorder="1" applyAlignment="1" applyProtection="1">
      <alignment vertical="top"/>
    </xf>
    <xf numFmtId="0" fontId="90" fillId="53" borderId="1" xfId="505" applyFont="1" applyFill="1" applyBorder="1" applyAlignment="1" applyProtection="1">
      <alignment vertical="top" wrapText="1"/>
    </xf>
    <xf numFmtId="0" fontId="94" fillId="0" borderId="1" xfId="505" applyFont="1" applyBorder="1" applyAlignment="1" applyProtection="1">
      <alignment horizontal="left" vertical="top" wrapText="1" indent="1"/>
    </xf>
    <xf numFmtId="0" fontId="94" fillId="25" borderId="1" xfId="505" applyFont="1" applyFill="1" applyBorder="1" applyAlignment="1" applyProtection="1">
      <alignment horizontal="left" vertical="top" wrapText="1" indent="1"/>
    </xf>
    <xf numFmtId="0" fontId="98" fillId="40" borderId="0" xfId="505" applyFont="1" applyFill="1" applyProtection="1">
      <protection locked="0"/>
    </xf>
    <xf numFmtId="0" fontId="99" fillId="40" borderId="0" xfId="505" applyFont="1" applyFill="1" applyProtection="1">
      <protection locked="0"/>
    </xf>
    <xf numFmtId="0" fontId="12" fillId="53" borderId="1" xfId="505" quotePrefix="1" applyFill="1" applyBorder="1" applyAlignment="1" applyProtection="1">
      <alignment horizontal="left" vertical="top" wrapText="1"/>
    </xf>
    <xf numFmtId="0" fontId="93" fillId="0" borderId="1" xfId="505" applyFont="1" applyFill="1" applyBorder="1" applyAlignment="1" applyProtection="1">
      <alignment vertical="top" wrapText="1"/>
    </xf>
    <xf numFmtId="0" fontId="94" fillId="0" borderId="3" xfId="505" applyFont="1" applyFill="1" applyBorder="1" applyAlignment="1" applyProtection="1">
      <alignment vertical="top" wrapText="1"/>
    </xf>
    <xf numFmtId="0" fontId="101" fillId="40" borderId="3" xfId="505" applyFont="1" applyFill="1" applyBorder="1" applyAlignment="1" applyProtection="1">
      <alignment horizontal="left" wrapText="1"/>
    </xf>
    <xf numFmtId="0" fontId="48" fillId="40" borderId="27" xfId="612" applyFill="1" applyBorder="1" applyAlignment="1" applyProtection="1"/>
    <xf numFmtId="0" fontId="12" fillId="40" borderId="93" xfId="505" applyFill="1" applyBorder="1" applyProtection="1"/>
    <xf numFmtId="0" fontId="12" fillId="40" borderId="39" xfId="505" applyFill="1" applyBorder="1" applyProtection="1"/>
    <xf numFmtId="0" fontId="12" fillId="40" borderId="0" xfId="505" applyFill="1" applyBorder="1" applyProtection="1"/>
    <xf numFmtId="0" fontId="12" fillId="40" borderId="0" xfId="505" applyFill="1" applyBorder="1" applyProtection="1">
      <protection locked="0"/>
    </xf>
    <xf numFmtId="0" fontId="80" fillId="40" borderId="0" xfId="505" applyFont="1" applyFill="1" applyProtection="1">
      <protection locked="0"/>
    </xf>
    <xf numFmtId="0" fontId="12" fillId="49" borderId="0" xfId="505" applyFill="1" applyProtection="1">
      <protection locked="0"/>
    </xf>
    <xf numFmtId="165" fontId="80" fillId="51" borderId="1" xfId="54" applyNumberFormat="1" applyFont="1" applyFill="1" applyBorder="1" applyAlignment="1" applyProtection="1">
      <alignment horizontal="center" vertical="top" wrapText="1"/>
    </xf>
    <xf numFmtId="0" fontId="80" fillId="51" borderId="1" xfId="54" applyFont="1" applyFill="1" applyBorder="1" applyAlignment="1" applyProtection="1">
      <alignment vertical="top"/>
    </xf>
    <xf numFmtId="0" fontId="80" fillId="57" borderId="1" xfId="54" applyFont="1" applyFill="1" applyBorder="1" applyAlignment="1" applyProtection="1">
      <alignment vertical="top"/>
      <protection locked="0"/>
    </xf>
    <xf numFmtId="0" fontId="89" fillId="40" borderId="1" xfId="618" applyFont="1" applyFill="1" applyBorder="1" applyAlignment="1" applyProtection="1">
      <alignment horizontal="center" vertical="top" wrapText="1"/>
    </xf>
    <xf numFmtId="0" fontId="80" fillId="40" borderId="35" xfId="54" applyFont="1" applyFill="1" applyBorder="1" applyAlignment="1" applyProtection="1">
      <alignment horizontal="left" vertical="top" wrapText="1"/>
    </xf>
    <xf numFmtId="0" fontId="89" fillId="43" borderId="35" xfId="618" applyFont="1" applyFill="1" applyBorder="1" applyAlignment="1" applyProtection="1">
      <alignment horizontal="left" vertical="top" wrapText="1"/>
    </xf>
    <xf numFmtId="0" fontId="89" fillId="0" borderId="35" xfId="618" applyFont="1" applyFill="1" applyBorder="1" applyAlignment="1" applyProtection="1">
      <alignment horizontal="left" vertical="top" wrapText="1"/>
    </xf>
    <xf numFmtId="0" fontId="89" fillId="40" borderId="35" xfId="618" applyFont="1" applyFill="1" applyBorder="1" applyAlignment="1" applyProtection="1">
      <alignment horizontal="left" vertical="top" wrapText="1"/>
    </xf>
    <xf numFmtId="0" fontId="114" fillId="40" borderId="1" xfId="618" applyFont="1" applyFill="1" applyBorder="1" applyAlignment="1" applyProtection="1">
      <alignment vertical="top"/>
      <protection locked="0"/>
    </xf>
    <xf numFmtId="0" fontId="80" fillId="40" borderId="1" xfId="54" applyFont="1" applyFill="1" applyBorder="1" applyAlignment="1" applyProtection="1">
      <alignment horizontal="left" vertical="top" wrapText="1"/>
    </xf>
    <xf numFmtId="0" fontId="89" fillId="43" borderId="1" xfId="618" applyFont="1" applyFill="1" applyBorder="1" applyAlignment="1" applyProtection="1">
      <alignment horizontal="left" vertical="top" wrapText="1"/>
    </xf>
    <xf numFmtId="0" fontId="89" fillId="40" borderId="1" xfId="618" applyFont="1" applyFill="1" applyBorder="1" applyAlignment="1" applyProtection="1">
      <alignment horizontal="left" vertical="top" wrapText="1"/>
    </xf>
    <xf numFmtId="0" fontId="89" fillId="0" borderId="1" xfId="618" applyFont="1" applyFill="1" applyBorder="1" applyAlignment="1" applyProtection="1">
      <alignment horizontal="left" vertical="top" wrapText="1"/>
    </xf>
    <xf numFmtId="165" fontId="80" fillId="51" borderId="16" xfId="54" applyNumberFormat="1" applyFont="1" applyFill="1" applyBorder="1" applyAlignment="1" applyProtection="1">
      <alignment horizontal="center" vertical="top" wrapText="1"/>
    </xf>
    <xf numFmtId="0" fontId="80" fillId="51" borderId="16" xfId="54" applyFont="1" applyFill="1" applyBorder="1" applyAlignment="1" applyProtection="1">
      <alignment vertical="top"/>
    </xf>
    <xf numFmtId="0" fontId="80" fillId="51" borderId="2" xfId="54" applyFont="1" applyFill="1" applyBorder="1" applyAlignment="1" applyProtection="1">
      <alignment vertical="top"/>
    </xf>
    <xf numFmtId="0" fontId="80" fillId="51" borderId="42" xfId="54" applyFont="1" applyFill="1" applyBorder="1" applyAlignment="1" applyProtection="1">
      <alignment vertical="top"/>
    </xf>
    <xf numFmtId="0" fontId="80" fillId="57" borderId="42" xfId="54" applyFont="1" applyFill="1" applyBorder="1" applyAlignment="1" applyProtection="1">
      <alignment vertical="top"/>
      <protection locked="0"/>
    </xf>
    <xf numFmtId="0" fontId="89" fillId="40" borderId="3" xfId="54" applyFont="1" applyFill="1" applyBorder="1" applyAlignment="1" applyProtection="1">
      <alignment horizontal="center" vertical="top" wrapText="1"/>
    </xf>
    <xf numFmtId="0" fontId="80" fillId="40" borderId="3" xfId="54" applyFont="1" applyFill="1" applyBorder="1" applyAlignment="1" applyProtection="1">
      <alignment vertical="center" wrapText="1"/>
    </xf>
    <xf numFmtId="0" fontId="89" fillId="43" borderId="1" xfId="54" applyFont="1" applyFill="1" applyBorder="1" applyAlignment="1" applyProtection="1">
      <alignment horizontal="left" vertical="top" wrapText="1"/>
    </xf>
    <xf numFmtId="0" fontId="89" fillId="0" borderId="3" xfId="54" applyFont="1" applyFill="1" applyBorder="1" applyAlignment="1" applyProtection="1">
      <alignment horizontal="left" vertical="top" wrapText="1"/>
    </xf>
    <xf numFmtId="0" fontId="89" fillId="40" borderId="3" xfId="54" applyFont="1" applyFill="1" applyBorder="1" applyAlignment="1" applyProtection="1">
      <alignment horizontal="left" vertical="top" wrapText="1"/>
    </xf>
    <xf numFmtId="0" fontId="89" fillId="40" borderId="3" xfId="54" applyFont="1" applyFill="1" applyBorder="1" applyProtection="1">
      <protection locked="0"/>
    </xf>
    <xf numFmtId="0" fontId="89" fillId="58" borderId="1" xfId="54" applyFont="1" applyFill="1" applyBorder="1" applyAlignment="1" applyProtection="1">
      <alignment horizontal="center" vertical="top" wrapText="1"/>
    </xf>
    <xf numFmtId="0" fontId="80" fillId="58" borderId="1" xfId="54" applyFont="1" applyFill="1" applyBorder="1" applyAlignment="1" applyProtection="1">
      <alignment vertical="center" wrapText="1"/>
    </xf>
    <xf numFmtId="0" fontId="80" fillId="58" borderId="1" xfId="54" applyFont="1" applyFill="1" applyBorder="1" applyAlignment="1" applyProtection="1">
      <alignment vertical="center" wrapText="1"/>
      <protection locked="0"/>
    </xf>
    <xf numFmtId="0" fontId="89" fillId="40" borderId="1" xfId="54" applyFont="1" applyFill="1" applyBorder="1" applyAlignment="1" applyProtection="1">
      <alignment horizontal="center" vertical="top" wrapText="1"/>
    </xf>
    <xf numFmtId="0" fontId="80" fillId="40" borderId="1" xfId="54" applyFont="1" applyFill="1" applyBorder="1" applyAlignment="1" applyProtection="1">
      <alignment vertical="center" wrapText="1"/>
    </xf>
    <xf numFmtId="0" fontId="89" fillId="40" borderId="1" xfId="54" applyFont="1" applyFill="1" applyBorder="1" applyProtection="1">
      <protection locked="0"/>
    </xf>
    <xf numFmtId="0" fontId="89" fillId="58" borderId="16" xfId="54" applyFont="1" applyFill="1" applyBorder="1" applyAlignment="1" applyProtection="1">
      <alignment horizontal="center" vertical="top" wrapText="1"/>
    </xf>
    <xf numFmtId="0" fontId="80" fillId="58" borderId="2" xfId="54" applyFont="1" applyFill="1" applyBorder="1" applyAlignment="1" applyProtection="1">
      <alignment vertical="center"/>
    </xf>
    <xf numFmtId="0" fontId="80" fillId="58" borderId="2" xfId="54" applyFont="1" applyFill="1" applyBorder="1" applyAlignment="1" applyProtection="1">
      <alignment vertical="center" wrapText="1"/>
    </xf>
    <xf numFmtId="0" fontId="80" fillId="58" borderId="42" xfId="54" applyFont="1" applyFill="1" applyBorder="1" applyAlignment="1" applyProtection="1">
      <alignment vertical="center" wrapText="1"/>
      <protection locked="0"/>
    </xf>
    <xf numFmtId="0" fontId="80" fillId="40" borderId="1" xfId="618" applyFont="1" applyFill="1" applyBorder="1" applyAlignment="1" applyProtection="1">
      <alignment horizontal="left" vertical="top" wrapText="1"/>
    </xf>
    <xf numFmtId="0" fontId="115" fillId="40" borderId="1" xfId="618" applyFont="1" applyFill="1" applyBorder="1" applyAlignment="1" applyProtection="1">
      <alignment horizontal="left" vertical="top" wrapText="1"/>
    </xf>
    <xf numFmtId="0" fontId="89" fillId="0" borderId="1" xfId="54" applyFont="1" applyFill="1" applyBorder="1" applyAlignment="1" applyProtection="1">
      <alignment horizontal="left" vertical="top" wrapText="1"/>
    </xf>
    <xf numFmtId="0" fontId="89" fillId="40" borderId="1" xfId="54" applyFont="1" applyFill="1" applyBorder="1" applyAlignment="1" applyProtection="1">
      <alignment horizontal="left" vertical="top" wrapText="1"/>
    </xf>
    <xf numFmtId="0" fontId="89" fillId="43" borderId="3" xfId="54" applyFont="1" applyFill="1" applyBorder="1" applyAlignment="1" applyProtection="1">
      <alignment horizontal="left" vertical="top" wrapText="1"/>
    </xf>
    <xf numFmtId="0" fontId="89" fillId="40" borderId="35" xfId="54" applyFont="1" applyFill="1" applyBorder="1" applyAlignment="1" applyProtection="1">
      <alignment horizontal="center" vertical="top" wrapText="1"/>
    </xf>
    <xf numFmtId="0" fontId="80" fillId="40" borderId="35" xfId="54" applyFont="1" applyFill="1" applyBorder="1" applyAlignment="1" applyProtection="1">
      <alignment vertical="center" wrapText="1"/>
    </xf>
    <xf numFmtId="0" fontId="89" fillId="40" borderId="35" xfId="54" applyFont="1" applyFill="1" applyBorder="1" applyProtection="1">
      <protection locked="0"/>
    </xf>
    <xf numFmtId="0" fontId="80" fillId="40" borderId="16" xfId="54" applyFont="1" applyFill="1" applyBorder="1" applyAlignment="1" applyProtection="1">
      <alignment horizontal="left" vertical="top" wrapText="1"/>
    </xf>
    <xf numFmtId="0" fontId="89" fillId="43" borderId="2" xfId="54" applyFont="1" applyFill="1" applyBorder="1" applyAlignment="1" applyProtection="1">
      <alignment horizontal="left" vertical="top" wrapText="1"/>
    </xf>
    <xf numFmtId="0" fontId="89" fillId="0" borderId="2" xfId="54" applyFont="1" applyFill="1" applyBorder="1" applyAlignment="1" applyProtection="1">
      <alignment horizontal="left" vertical="top" wrapText="1"/>
    </xf>
    <xf numFmtId="0" fontId="89" fillId="40" borderId="2" xfId="54" applyFont="1" applyFill="1" applyBorder="1" applyAlignment="1" applyProtection="1">
      <alignment horizontal="left" vertical="top" wrapText="1"/>
    </xf>
    <xf numFmtId="0" fontId="89" fillId="40" borderId="42" xfId="54" applyFont="1" applyFill="1" applyBorder="1" applyAlignment="1" applyProtection="1">
      <alignment horizontal="left" vertical="top" wrapText="1"/>
    </xf>
    <xf numFmtId="0" fontId="89" fillId="40" borderId="42" xfId="54" applyFont="1" applyFill="1" applyBorder="1" applyProtection="1">
      <protection locked="0"/>
    </xf>
    <xf numFmtId="0" fontId="89" fillId="40" borderId="16" xfId="54" applyFont="1" applyFill="1" applyBorder="1" applyAlignment="1" applyProtection="1">
      <alignment horizontal="center" vertical="top" wrapText="1"/>
    </xf>
    <xf numFmtId="0" fontId="80" fillId="40" borderId="2" xfId="54" applyFont="1" applyFill="1" applyBorder="1" applyAlignment="1" applyProtection="1">
      <alignment horizontal="left" vertical="top" wrapText="1"/>
    </xf>
    <xf numFmtId="0" fontId="89" fillId="43" borderId="2" xfId="618" applyFont="1" applyFill="1" applyBorder="1" applyAlignment="1" applyProtection="1">
      <alignment horizontal="left" vertical="top" wrapText="1"/>
    </xf>
    <xf numFmtId="0" fontId="89" fillId="0" borderId="2" xfId="618" applyFont="1" applyFill="1" applyBorder="1" applyAlignment="1" applyProtection="1">
      <alignment horizontal="left" vertical="top" wrapText="1"/>
    </xf>
    <xf numFmtId="0" fontId="89" fillId="40" borderId="2" xfId="618" applyFont="1" applyFill="1" applyBorder="1" applyAlignment="1" applyProtection="1">
      <alignment horizontal="left" vertical="top" wrapText="1"/>
    </xf>
    <xf numFmtId="0" fontId="80" fillId="58" borderId="1" xfId="54" applyFont="1" applyFill="1" applyBorder="1" applyAlignment="1" applyProtection="1">
      <alignment horizontal="left" vertical="center" wrapText="1"/>
    </xf>
    <xf numFmtId="0" fontId="80" fillId="58" borderId="1" xfId="54" applyFont="1" applyFill="1" applyBorder="1" applyAlignment="1" applyProtection="1">
      <alignment horizontal="center" vertical="center" wrapText="1"/>
    </xf>
    <xf numFmtId="0" fontId="80" fillId="40" borderId="27" xfId="54" applyFont="1" applyFill="1" applyBorder="1" applyAlignment="1" applyProtection="1">
      <alignment horizontal="left" vertical="top" wrapText="1"/>
    </xf>
    <xf numFmtId="0" fontId="80" fillId="40" borderId="1" xfId="54" applyFont="1" applyFill="1" applyBorder="1" applyAlignment="1" applyProtection="1">
      <alignment wrapText="1"/>
    </xf>
    <xf numFmtId="0" fontId="13" fillId="49" borderId="1" xfId="54" applyFill="1" applyBorder="1" applyProtection="1">
      <protection locked="0"/>
    </xf>
    <xf numFmtId="0" fontId="13" fillId="43" borderId="1" xfId="54" applyFont="1" applyFill="1" applyBorder="1" applyAlignment="1" applyProtection="1">
      <alignment horizontal="left" vertical="top" wrapText="1"/>
    </xf>
    <xf numFmtId="0" fontId="13" fillId="60" borderId="1" xfId="54" applyFont="1" applyFill="1" applyBorder="1" applyAlignment="1" applyProtection="1">
      <alignment horizontal="left" vertical="top" wrapText="1"/>
      <protection locked="0"/>
    </xf>
    <xf numFmtId="0" fontId="13" fillId="60" borderId="1" xfId="54" applyFont="1" applyFill="1" applyBorder="1" applyAlignment="1" applyProtection="1">
      <alignment horizontal="left" vertical="top"/>
      <protection locked="0"/>
    </xf>
    <xf numFmtId="9" fontId="13" fillId="60" borderId="1" xfId="54" applyNumberFormat="1" applyFont="1" applyFill="1" applyBorder="1" applyAlignment="1" applyProtection="1">
      <alignment horizontal="left" vertical="top"/>
      <protection locked="0"/>
    </xf>
    <xf numFmtId="13" fontId="13" fillId="60" borderId="1" xfId="54" applyNumberFormat="1" applyFont="1" applyFill="1" applyBorder="1" applyAlignment="1" applyProtection="1">
      <alignment horizontal="left" vertical="top"/>
      <protection locked="0"/>
    </xf>
    <xf numFmtId="0" fontId="13" fillId="49" borderId="1" xfId="54" applyFont="1" applyFill="1" applyBorder="1" applyAlignment="1" applyProtection="1">
      <alignment horizontal="left" vertical="top"/>
      <protection locked="0"/>
    </xf>
    <xf numFmtId="0" fontId="16" fillId="0" borderId="1" xfId="54" applyFont="1" applyBorder="1" applyAlignment="1" applyProtection="1">
      <alignment horizontal="left" vertical="top"/>
      <protection locked="0"/>
    </xf>
    <xf numFmtId="0" fontId="78" fillId="60" borderId="1" xfId="54" applyFont="1" applyFill="1" applyBorder="1" applyAlignment="1" applyProtection="1">
      <alignment horizontal="left" vertical="top"/>
      <protection locked="0"/>
    </xf>
    <xf numFmtId="3" fontId="13" fillId="60" borderId="1" xfId="54" applyNumberFormat="1" applyFont="1" applyFill="1" applyBorder="1" applyAlignment="1" applyProtection="1">
      <alignment horizontal="left" vertical="top"/>
      <protection locked="0"/>
    </xf>
    <xf numFmtId="0" fontId="13" fillId="49" borderId="102" xfId="54" applyFill="1" applyBorder="1" applyAlignment="1" applyProtection="1">
      <alignment horizontal="left" vertical="top" wrapText="1"/>
      <protection locked="0"/>
    </xf>
    <xf numFmtId="0" fontId="13" fillId="49" borderId="35" xfId="54" applyFont="1" applyFill="1" applyBorder="1" applyAlignment="1" applyProtection="1">
      <alignment horizontal="left"/>
      <protection locked="0"/>
    </xf>
    <xf numFmtId="0" fontId="13" fillId="0" borderId="1" xfId="54" applyFont="1" applyBorder="1" applyAlignment="1" applyProtection="1">
      <alignment horizontal="left" vertical="top"/>
      <protection locked="0"/>
    </xf>
    <xf numFmtId="0" fontId="13" fillId="49" borderId="28" xfId="54" applyFont="1" applyFill="1" applyBorder="1" applyAlignment="1" applyProtection="1">
      <alignment horizontal="left" vertical="top"/>
      <protection locked="0"/>
    </xf>
    <xf numFmtId="0" fontId="13" fillId="40" borderId="3" xfId="54" applyFont="1" applyFill="1" applyBorder="1" applyAlignment="1" applyProtection="1">
      <alignment horizontal="left" vertical="top" wrapText="1"/>
      <protection locked="0"/>
    </xf>
    <xf numFmtId="0" fontId="13" fillId="25" borderId="0" xfId="54" applyFont="1" applyFill="1" applyBorder="1" applyAlignment="1" applyProtection="1">
      <alignment vertical="top" wrapText="1"/>
    </xf>
    <xf numFmtId="0" fontId="13" fillId="49" borderId="102" xfId="54" applyFont="1" applyFill="1" applyBorder="1" applyAlignment="1" applyProtection="1">
      <alignment vertical="top" wrapText="1"/>
      <protection locked="0"/>
    </xf>
    <xf numFmtId="0" fontId="13" fillId="0" borderId="102" xfId="54" applyFont="1" applyBorder="1" applyAlignment="1" applyProtection="1">
      <alignment horizontal="left" vertical="top"/>
      <protection locked="0"/>
    </xf>
    <xf numFmtId="0" fontId="13" fillId="49" borderId="112" xfId="54" applyFont="1" applyFill="1" applyBorder="1" applyAlignment="1" applyProtection="1">
      <alignment horizontal="left" vertical="top" wrapText="1"/>
      <protection locked="0"/>
    </xf>
    <xf numFmtId="0" fontId="13" fillId="49" borderId="112" xfId="54" applyFill="1" applyBorder="1" applyAlignment="1" applyProtection="1">
      <alignment horizontal="left" vertical="top" wrapText="1"/>
      <protection locked="0"/>
    </xf>
    <xf numFmtId="0" fontId="13" fillId="0" borderId="112" xfId="54" applyBorder="1" applyAlignment="1" applyProtection="1">
      <alignment horizontal="left" vertical="top" wrapText="1"/>
      <protection locked="0"/>
    </xf>
    <xf numFmtId="0" fontId="13" fillId="25" borderId="86" xfId="54" applyFont="1" applyFill="1" applyBorder="1" applyAlignment="1" applyProtection="1">
      <alignment vertical="top" wrapText="1"/>
    </xf>
    <xf numFmtId="0" fontId="13" fillId="43" borderId="1" xfId="54" applyFont="1" applyFill="1" applyBorder="1" applyAlignment="1" applyProtection="1">
      <alignment vertical="top" wrapText="1"/>
    </xf>
    <xf numFmtId="0" fontId="13" fillId="40" borderId="102" xfId="54" applyFill="1" applyBorder="1" applyAlignment="1" applyProtection="1">
      <alignment horizontal="left" vertical="top"/>
      <protection locked="0"/>
    </xf>
    <xf numFmtId="0" fontId="13" fillId="49" borderId="1" xfId="54" applyFont="1" applyFill="1" applyBorder="1" applyAlignment="1" applyProtection="1">
      <alignment vertical="top" wrapText="1"/>
      <protection locked="0"/>
    </xf>
    <xf numFmtId="0" fontId="13" fillId="49" borderId="112" xfId="54" applyFont="1" applyFill="1" applyBorder="1" applyAlignment="1" applyProtection="1">
      <alignment horizontal="left" vertical="top"/>
      <protection locked="0"/>
    </xf>
    <xf numFmtId="0" fontId="13" fillId="49" borderId="1" xfId="54" applyFont="1" applyFill="1" applyBorder="1" applyProtection="1">
      <protection locked="0"/>
    </xf>
    <xf numFmtId="0" fontId="13" fillId="49" borderId="1" xfId="54" applyFont="1" applyFill="1" applyBorder="1" applyAlignment="1" applyProtection="1">
      <alignment horizontal="center" vertical="center"/>
      <protection locked="0"/>
    </xf>
    <xf numFmtId="0" fontId="13" fillId="0" borderId="1" xfId="54" applyBorder="1" applyAlignment="1" applyProtection="1">
      <alignment horizontal="left" vertical="top"/>
      <protection locked="0"/>
    </xf>
    <xf numFmtId="0" fontId="13" fillId="49" borderId="35" xfId="54" applyFont="1" applyFill="1" applyBorder="1" applyAlignment="1" applyProtection="1">
      <alignment vertical="center" wrapText="1"/>
      <protection locked="0"/>
    </xf>
    <xf numFmtId="0" fontId="13" fillId="49" borderId="1" xfId="54" applyFill="1" applyBorder="1" applyAlignment="1" applyProtection="1">
      <alignment horizontal="left" vertical="top"/>
      <protection locked="0"/>
    </xf>
    <xf numFmtId="0" fontId="13" fillId="0" borderId="102" xfId="54" applyBorder="1" applyAlignment="1" applyProtection="1">
      <alignment horizontal="left" vertical="top"/>
      <protection locked="0"/>
    </xf>
    <xf numFmtId="0" fontId="13" fillId="49" borderId="84" xfId="54" applyFont="1" applyFill="1" applyBorder="1" applyAlignment="1" applyProtection="1">
      <alignment horizontal="left" vertical="top"/>
      <protection locked="0"/>
    </xf>
    <xf numFmtId="0" fontId="13" fillId="49" borderId="35" xfId="54" applyFont="1" applyFill="1" applyBorder="1" applyAlignment="1" applyProtection="1">
      <alignment horizontal="left" vertical="top"/>
      <protection locked="0"/>
    </xf>
    <xf numFmtId="0" fontId="13" fillId="49" borderId="35" xfId="54" applyFont="1" applyFill="1" applyBorder="1" applyProtection="1">
      <protection locked="0"/>
    </xf>
    <xf numFmtId="0" fontId="13" fillId="49" borderId="35" xfId="54" applyFill="1" applyBorder="1" applyProtection="1">
      <protection locked="0"/>
    </xf>
    <xf numFmtId="0" fontId="13" fillId="60" borderId="1" xfId="54" applyFont="1" applyFill="1" applyBorder="1" applyProtection="1">
      <protection locked="0"/>
    </xf>
    <xf numFmtId="0" fontId="13" fillId="60" borderId="1" xfId="54" applyFont="1" applyFill="1" applyBorder="1" applyAlignment="1" applyProtection="1">
      <protection locked="0"/>
    </xf>
    <xf numFmtId="0" fontId="13" fillId="60" borderId="1" xfId="54" applyFont="1" applyFill="1" applyBorder="1" applyAlignment="1" applyProtection="1">
      <alignment wrapText="1"/>
      <protection locked="0"/>
    </xf>
    <xf numFmtId="0" fontId="13" fillId="0" borderId="1" xfId="54" applyFont="1" applyBorder="1" applyProtection="1">
      <protection locked="0"/>
    </xf>
    <xf numFmtId="0" fontId="13" fillId="49" borderId="102" xfId="54" applyFont="1" applyFill="1" applyBorder="1" applyAlignment="1" applyProtection="1">
      <alignment vertical="top"/>
      <protection locked="0"/>
    </xf>
    <xf numFmtId="0" fontId="13" fillId="60" borderId="102" xfId="54" applyFont="1" applyFill="1" applyBorder="1" applyAlignment="1" applyProtection="1">
      <alignment horizontal="left" vertical="top"/>
      <protection locked="0"/>
    </xf>
    <xf numFmtId="0" fontId="13" fillId="49" borderId="105" xfId="54" applyFont="1" applyFill="1" applyBorder="1" applyAlignment="1" applyProtection="1">
      <alignment horizontal="left" vertical="top"/>
      <protection locked="0"/>
    </xf>
    <xf numFmtId="0" fontId="13" fillId="0" borderId="103" xfId="54" applyBorder="1" applyAlignment="1" applyProtection="1">
      <alignment horizontal="left" vertical="top" wrapText="1"/>
      <protection locked="0"/>
    </xf>
    <xf numFmtId="1" fontId="13" fillId="49" borderId="16" xfId="54" quotePrefix="1" applyNumberFormat="1" applyFill="1" applyBorder="1" applyAlignment="1" applyProtection="1">
      <alignment horizontal="center"/>
      <protection locked="0"/>
    </xf>
    <xf numFmtId="1" fontId="13" fillId="49" borderId="16" xfId="54" applyNumberFormat="1" applyFont="1" applyFill="1" applyBorder="1" applyAlignment="1" applyProtection="1">
      <alignment horizontal="center" wrapText="1"/>
      <protection locked="0"/>
    </xf>
    <xf numFmtId="3" fontId="13" fillId="60" borderId="1" xfId="54" applyNumberFormat="1" applyFont="1" applyFill="1" applyBorder="1" applyAlignment="1" applyProtection="1">
      <alignment horizontal="left" vertical="top" wrapText="1"/>
      <protection locked="0"/>
    </xf>
    <xf numFmtId="9" fontId="13" fillId="60" borderId="1" xfId="54" applyNumberFormat="1" applyFont="1" applyFill="1" applyBorder="1" applyAlignment="1" applyProtection="1">
      <alignment horizontal="left" vertical="top" wrapText="1"/>
      <protection locked="0"/>
    </xf>
    <xf numFmtId="13" fontId="13" fillId="60" borderId="1" xfId="54" applyNumberFormat="1" applyFont="1" applyFill="1" applyBorder="1" applyAlignment="1" applyProtection="1">
      <alignment horizontal="left" vertical="top" wrapText="1"/>
      <protection locked="0"/>
    </xf>
    <xf numFmtId="1" fontId="13" fillId="49" borderId="16" xfId="54" quotePrefix="1" applyNumberFormat="1" applyFill="1" applyBorder="1" applyAlignment="1" applyProtection="1">
      <protection locked="0"/>
    </xf>
    <xf numFmtId="1" fontId="13" fillId="49" borderId="16" xfId="54" applyNumberFormat="1" applyFont="1" applyFill="1" applyBorder="1" applyAlignment="1" applyProtection="1">
      <alignment wrapText="1"/>
      <protection locked="0"/>
    </xf>
    <xf numFmtId="14" fontId="13" fillId="49" borderId="35" xfId="54" applyNumberFormat="1" applyFont="1" applyFill="1" applyBorder="1" applyAlignment="1" applyProtection="1">
      <alignment horizontal="center"/>
      <protection locked="0"/>
    </xf>
    <xf numFmtId="14" fontId="13" fillId="49" borderId="3" xfId="54" applyNumberFormat="1" applyFill="1" applyBorder="1" applyAlignment="1" applyProtection="1">
      <alignment horizontal="center"/>
      <protection locked="0"/>
    </xf>
    <xf numFmtId="0" fontId="13" fillId="49" borderId="3" xfId="54" applyFill="1" applyBorder="1" applyProtection="1">
      <protection locked="0"/>
    </xf>
    <xf numFmtId="0" fontId="13" fillId="0" borderId="0" xfId="54" applyFont="1" applyBorder="1" applyAlignment="1" applyProtection="1">
      <alignment wrapText="1"/>
    </xf>
    <xf numFmtId="0" fontId="13" fillId="0" borderId="0" xfId="54" applyFont="1" applyFill="1" applyBorder="1" applyAlignment="1" applyProtection="1">
      <alignment wrapText="1"/>
    </xf>
    <xf numFmtId="0" fontId="13" fillId="49" borderId="1" xfId="54" applyFill="1" applyBorder="1" applyAlignment="1" applyProtection="1">
      <alignment vertical="top" wrapText="1"/>
      <protection locked="0"/>
    </xf>
    <xf numFmtId="0" fontId="13" fillId="43" borderId="16" xfId="54" applyFont="1" applyFill="1" applyBorder="1" applyAlignment="1" applyProtection="1">
      <alignment vertical="top" wrapText="1"/>
    </xf>
    <xf numFmtId="0" fontId="77" fillId="49" borderId="1" xfId="54" applyFont="1" applyFill="1" applyBorder="1" applyAlignment="1" applyProtection="1">
      <alignment horizontal="left" vertical="top" wrapText="1"/>
      <protection locked="0"/>
    </xf>
    <xf numFmtId="0" fontId="13" fillId="40" borderId="1" xfId="54" applyFont="1" applyFill="1" applyBorder="1" applyAlignment="1" applyProtection="1">
      <alignment vertical="top" wrapText="1"/>
      <protection locked="0"/>
    </xf>
    <xf numFmtId="1" fontId="13" fillId="49" borderId="1" xfId="54" applyNumberFormat="1" applyFont="1" applyFill="1" applyBorder="1" applyAlignment="1" applyProtection="1">
      <alignment horizontal="center" wrapText="1"/>
      <protection locked="0"/>
    </xf>
    <xf numFmtId="0" fontId="13" fillId="49" borderId="1" xfId="54" applyFont="1" applyFill="1" applyBorder="1" applyAlignment="1" applyProtection="1">
      <alignment horizontal="center" wrapText="1"/>
      <protection locked="0"/>
    </xf>
    <xf numFmtId="0" fontId="13" fillId="49" borderId="1" xfId="54" applyFill="1" applyBorder="1" applyAlignment="1" applyProtection="1">
      <alignment horizontal="center" wrapText="1"/>
      <protection locked="0"/>
    </xf>
    <xf numFmtId="1" fontId="13" fillId="49" borderId="1" xfId="54" applyNumberFormat="1" applyFill="1" applyBorder="1" applyAlignment="1" applyProtection="1">
      <alignment horizontal="center"/>
      <protection locked="0"/>
    </xf>
    <xf numFmtId="12" fontId="13" fillId="60" borderId="1" xfId="54" applyNumberFormat="1" applyFont="1" applyFill="1" applyBorder="1" applyAlignment="1" applyProtection="1">
      <alignment horizontal="left" vertical="top" wrapText="1"/>
      <protection locked="0"/>
    </xf>
    <xf numFmtId="0" fontId="13" fillId="60" borderId="1" xfId="2" applyNumberFormat="1" applyFont="1" applyFill="1" applyBorder="1" applyAlignment="1" applyProtection="1">
      <alignment horizontal="left" vertical="top" wrapText="1"/>
      <protection locked="0"/>
    </xf>
    <xf numFmtId="0" fontId="13" fillId="49" borderId="1" xfId="54" applyFill="1" applyBorder="1" applyAlignment="1" applyProtection="1">
      <alignment horizontal="center" vertical="center"/>
      <protection locked="0"/>
    </xf>
    <xf numFmtId="1" fontId="13" fillId="49" borderId="1" xfId="54" applyNumberFormat="1" applyFont="1" applyFill="1" applyBorder="1" applyAlignment="1" applyProtection="1">
      <alignment horizontal="center" vertical="center"/>
      <protection locked="0"/>
    </xf>
    <xf numFmtId="1" fontId="13" fillId="49" borderId="1" xfId="54" applyNumberFormat="1" applyFont="1" applyFill="1" applyBorder="1" applyAlignment="1" applyProtection="1">
      <alignment vertical="center"/>
      <protection locked="0"/>
    </xf>
    <xf numFmtId="0" fontId="13" fillId="49" borderId="1" xfId="54" applyFont="1" applyFill="1" applyBorder="1" applyAlignment="1" applyProtection="1">
      <alignment vertical="center"/>
      <protection locked="0"/>
    </xf>
    <xf numFmtId="0" fontId="13" fillId="44" borderId="1" xfId="54" applyFill="1" applyBorder="1" applyAlignment="1" applyProtection="1">
      <alignment horizontal="center" vertical="center"/>
      <protection locked="0"/>
    </xf>
    <xf numFmtId="0" fontId="13" fillId="44" borderId="1" xfId="54" applyFill="1" applyBorder="1" applyAlignment="1" applyProtection="1">
      <alignment wrapText="1"/>
      <protection locked="0"/>
    </xf>
    <xf numFmtId="0" fontId="13" fillId="44" borderId="3" xfId="54" applyFill="1" applyBorder="1" applyAlignment="1" applyProtection="1">
      <alignment horizontal="center" vertical="center"/>
      <protection locked="0"/>
    </xf>
    <xf numFmtId="0" fontId="13" fillId="44" borderId="1" xfId="54" applyFont="1" applyFill="1" applyBorder="1" applyAlignment="1" applyProtection="1">
      <alignment horizontal="center" vertical="center"/>
      <protection locked="0"/>
    </xf>
    <xf numFmtId="0" fontId="77" fillId="44" borderId="1" xfId="54" applyFont="1" applyFill="1" applyBorder="1" applyAlignment="1" applyProtection="1">
      <alignment horizontal="center" vertical="center"/>
      <protection locked="0"/>
    </xf>
    <xf numFmtId="0" fontId="13" fillId="49" borderId="3" xfId="54" applyFont="1" applyFill="1" applyBorder="1" applyProtection="1">
      <protection locked="0"/>
    </xf>
    <xf numFmtId="1" fontId="13" fillId="49" borderId="1" xfId="54" quotePrefix="1" applyNumberFormat="1" applyFont="1" applyFill="1" applyBorder="1" applyAlignment="1" applyProtection="1">
      <alignment horizontal="center"/>
      <protection locked="0"/>
    </xf>
    <xf numFmtId="9" fontId="13" fillId="43" borderId="1" xfId="54" applyNumberFormat="1" applyFont="1" applyFill="1" applyBorder="1" applyAlignment="1" applyProtection="1">
      <alignment horizontal="center"/>
    </xf>
    <xf numFmtId="1" fontId="13" fillId="43" borderId="1" xfId="54" applyNumberFormat="1" applyFont="1" applyFill="1" applyBorder="1" applyAlignment="1" applyProtection="1">
      <alignment horizontal="center"/>
    </xf>
    <xf numFmtId="0" fontId="127" fillId="49" borderId="1" xfId="54" applyFont="1" applyFill="1" applyBorder="1" applyAlignment="1" applyProtection="1">
      <alignment horizontal="center"/>
      <protection locked="0"/>
    </xf>
    <xf numFmtId="1" fontId="127" fillId="49" borderId="1" xfId="54" applyNumberFormat="1" applyFont="1" applyFill="1" applyBorder="1" applyAlignment="1" applyProtection="1">
      <alignment horizontal="center"/>
      <protection locked="0"/>
    </xf>
    <xf numFmtId="165" fontId="127" fillId="43" borderId="1" xfId="54" applyNumberFormat="1" applyFont="1" applyFill="1" applyBorder="1" applyAlignment="1" applyProtection="1">
      <alignment horizontal="center"/>
    </xf>
    <xf numFmtId="166" fontId="127" fillId="43" borderId="1" xfId="54" applyNumberFormat="1" applyFont="1" applyFill="1" applyBorder="1" applyAlignment="1" applyProtection="1">
      <alignment horizontal="center"/>
    </xf>
    <xf numFmtId="2" fontId="13" fillId="43" borderId="1" xfId="54" applyNumberFormat="1" applyFont="1" applyFill="1" applyBorder="1" applyAlignment="1" applyProtection="1">
      <alignment horizontal="center"/>
    </xf>
    <xf numFmtId="2" fontId="13" fillId="43" borderId="3" xfId="54" applyNumberFormat="1" applyFont="1" applyFill="1" applyBorder="1" applyAlignment="1" applyProtection="1">
      <alignment horizontal="center"/>
    </xf>
    <xf numFmtId="165" fontId="13" fillId="43" borderId="35" xfId="54" applyNumberFormat="1" applyFont="1" applyFill="1" applyBorder="1" applyAlignment="1" applyProtection="1">
      <alignment horizontal="center"/>
    </xf>
    <xf numFmtId="1" fontId="13" fillId="43" borderId="3" xfId="54" applyNumberFormat="1" applyFont="1" applyFill="1" applyBorder="1" applyAlignment="1" applyProtection="1">
      <alignment horizontal="center"/>
    </xf>
    <xf numFmtId="0" fontId="13" fillId="49" borderId="1" xfId="54" applyFont="1" applyFill="1" applyBorder="1" applyAlignment="1" applyProtection="1">
      <alignment vertical="top"/>
      <protection locked="0"/>
    </xf>
    <xf numFmtId="0" fontId="13" fillId="40" borderId="102" xfId="54" applyFont="1" applyFill="1" applyBorder="1" applyAlignment="1" applyProtection="1">
      <alignment vertical="top"/>
      <protection locked="0"/>
    </xf>
    <xf numFmtId="0" fontId="130" fillId="0" borderId="8" xfId="0" applyFont="1" applyBorder="1" applyAlignment="1">
      <alignment horizontal="center" vertical="center" wrapText="1"/>
    </xf>
    <xf numFmtId="0" fontId="130" fillId="0" borderId="9" xfId="0" applyFont="1" applyBorder="1" applyAlignment="1">
      <alignment horizontal="center" vertical="center" wrapText="1"/>
    </xf>
    <xf numFmtId="0" fontId="130" fillId="0" borderId="37" xfId="0" applyFont="1" applyBorder="1" applyAlignment="1">
      <alignment horizontal="center" vertical="center" wrapText="1"/>
    </xf>
    <xf numFmtId="0" fontId="0" fillId="0" borderId="12" xfId="0" applyBorder="1"/>
    <xf numFmtId="0" fontId="0" fillId="0" borderId="13" xfId="0" applyBorder="1"/>
    <xf numFmtId="0" fontId="0" fillId="0" borderId="14" xfId="0" applyBorder="1"/>
    <xf numFmtId="0" fontId="130" fillId="0" borderId="67" xfId="0" applyFont="1" applyBorder="1" applyAlignment="1">
      <alignment horizontal="center" vertical="center"/>
    </xf>
    <xf numFmtId="0" fontId="130" fillId="0" borderId="6" xfId="0" applyFont="1" applyBorder="1" applyAlignment="1">
      <alignment horizontal="center" vertical="center"/>
    </xf>
    <xf numFmtId="0" fontId="130" fillId="0" borderId="49" xfId="0" applyFont="1" applyBorder="1" applyAlignment="1">
      <alignment horizontal="center" vertical="center"/>
    </xf>
    <xf numFmtId="0" fontId="130" fillId="0" borderId="42" xfId="0" applyFont="1" applyBorder="1" applyAlignment="1">
      <alignment horizontal="center" vertical="center"/>
    </xf>
    <xf numFmtId="0" fontId="130" fillId="0" borderId="1" xfId="0" applyFont="1" applyBorder="1" applyAlignment="1">
      <alignment horizontal="center" vertical="center"/>
    </xf>
    <xf numFmtId="0" fontId="130" fillId="0" borderId="34" xfId="0" applyFont="1" applyBorder="1" applyAlignment="1">
      <alignment horizontal="center" vertical="center"/>
    </xf>
    <xf numFmtId="0" fontId="130" fillId="0" borderId="51" xfId="0" applyFont="1" applyBorder="1" applyAlignment="1">
      <alignment horizontal="center" vertical="center"/>
    </xf>
    <xf numFmtId="0" fontId="130" fillId="0" borderId="9" xfId="0" applyFont="1" applyBorder="1" applyAlignment="1">
      <alignment horizontal="center" vertical="center"/>
    </xf>
    <xf numFmtId="0" fontId="130" fillId="0" borderId="37" xfId="0" applyFont="1" applyBorder="1" applyAlignment="1">
      <alignment horizontal="center" vertical="center"/>
    </xf>
    <xf numFmtId="0" fontId="0" fillId="0" borderId="0" xfId="0" applyFill="1" applyBorder="1"/>
    <xf numFmtId="0" fontId="10" fillId="2" borderId="23" xfId="0" applyFont="1" applyFill="1" applyBorder="1" applyAlignment="1"/>
    <xf numFmtId="0" fontId="10" fillId="2" borderId="65" xfId="0" applyFont="1" applyFill="1" applyBorder="1" applyAlignment="1"/>
    <xf numFmtId="0" fontId="0" fillId="0" borderId="64" xfId="0" applyFont="1" applyBorder="1" applyAlignment="1">
      <alignment horizontal="center"/>
    </xf>
    <xf numFmtId="0" fontId="0" fillId="0" borderId="5"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0" fontId="0" fillId="0" borderId="98" xfId="0" applyFont="1" applyBorder="1" applyAlignment="1">
      <alignment horizontal="center"/>
    </xf>
    <xf numFmtId="0" fontId="71" fillId="25" borderId="0" xfId="0" applyFont="1" applyFill="1" applyAlignment="1">
      <alignment horizontal="center"/>
    </xf>
    <xf numFmtId="0" fontId="71" fillId="0" borderId="36" xfId="0" applyFont="1" applyBorder="1" applyAlignment="1">
      <alignment horizontal="center"/>
    </xf>
    <xf numFmtId="0" fontId="10" fillId="2" borderId="21" xfId="0" applyFont="1" applyFill="1" applyBorder="1" applyAlignment="1">
      <alignment horizontal="center"/>
    </xf>
    <xf numFmtId="2" fontId="0" fillId="0" borderId="2" xfId="0" applyNumberFormat="1" applyFont="1" applyBorder="1" applyAlignment="1">
      <alignment horizontal="center"/>
    </xf>
    <xf numFmtId="0" fontId="0" fillId="0" borderId="84" xfId="0" applyFont="1" applyBorder="1" applyAlignment="1">
      <alignment horizontal="center"/>
    </xf>
    <xf numFmtId="0" fontId="0" fillId="0" borderId="1" xfId="0" applyFont="1" applyBorder="1" applyAlignment="1">
      <alignment horizontal="center"/>
    </xf>
    <xf numFmtId="0" fontId="0" fillId="0" borderId="2" xfId="0" applyFont="1" applyBorder="1" applyAlignment="1">
      <alignment horizontal="center"/>
    </xf>
    <xf numFmtId="0" fontId="0" fillId="0" borderId="42" xfId="0" applyFont="1" applyBorder="1" applyAlignment="1">
      <alignment horizontal="center"/>
    </xf>
    <xf numFmtId="0" fontId="10" fillId="35" borderId="2" xfId="0" applyFont="1" applyFill="1" applyBorder="1" applyAlignment="1">
      <alignment horizontal="center"/>
    </xf>
    <xf numFmtId="0" fontId="61" fillId="2" borderId="64" xfId="0" applyFont="1" applyFill="1" applyBorder="1" applyAlignment="1">
      <alignment horizontal="center" vertical="center"/>
    </xf>
    <xf numFmtId="0" fontId="10" fillId="2" borderId="64" xfId="0" applyFont="1" applyFill="1" applyBorder="1" applyAlignment="1">
      <alignment horizontal="center"/>
    </xf>
    <xf numFmtId="0" fontId="10" fillId="35" borderId="84" xfId="0" applyFont="1" applyFill="1" applyBorder="1" applyAlignment="1">
      <alignment horizontal="center"/>
    </xf>
    <xf numFmtId="0" fontId="0" fillId="25" borderId="1" xfId="0" applyFont="1" applyFill="1" applyBorder="1" applyAlignment="1">
      <alignment horizontal="center"/>
    </xf>
    <xf numFmtId="0" fontId="0" fillId="25" borderId="42" xfId="0" applyFont="1" applyFill="1" applyBorder="1" applyAlignment="1">
      <alignment horizontal="center"/>
    </xf>
    <xf numFmtId="0" fontId="10" fillId="63" borderId="99" xfId="0" applyFont="1" applyFill="1" applyBorder="1" applyAlignment="1"/>
    <xf numFmtId="0" fontId="10" fillId="63" borderId="64" xfId="0" applyFont="1" applyFill="1" applyBorder="1" applyAlignment="1">
      <alignment horizontal="center"/>
    </xf>
    <xf numFmtId="0" fontId="10" fillId="63" borderId="65" xfId="0" applyFont="1" applyFill="1" applyBorder="1" applyAlignment="1"/>
    <xf numFmtId="0" fontId="0" fillId="35" borderId="65" xfId="0" applyFont="1" applyFill="1" applyBorder="1" applyAlignment="1">
      <alignment horizontal="center"/>
    </xf>
    <xf numFmtId="0" fontId="10" fillId="35" borderId="118" xfId="0" applyFont="1" applyFill="1" applyBorder="1" applyAlignment="1">
      <alignment horizontal="center"/>
    </xf>
    <xf numFmtId="0" fontId="0" fillId="0" borderId="118" xfId="0" applyFont="1" applyBorder="1" applyAlignment="1">
      <alignment horizontal="center"/>
    </xf>
    <xf numFmtId="0" fontId="0" fillId="35" borderId="2" xfId="0" applyFont="1" applyFill="1" applyBorder="1" applyAlignment="1">
      <alignment horizontal="center" vertical="center"/>
    </xf>
    <xf numFmtId="0" fontId="0" fillId="35" borderId="84" xfId="0" applyFont="1" applyFill="1" applyBorder="1" applyAlignment="1">
      <alignment horizontal="center" vertical="center"/>
    </xf>
    <xf numFmtId="0" fontId="0" fillId="36" borderId="21" xfId="0" applyFont="1" applyFill="1" applyBorder="1" applyAlignment="1">
      <alignment horizontal="center"/>
    </xf>
    <xf numFmtId="0" fontId="0" fillId="36" borderId="16" xfId="0" applyFont="1" applyFill="1" applyBorder="1" applyAlignment="1"/>
    <xf numFmtId="165" fontId="0" fillId="25" borderId="1" xfId="0" applyNumberFormat="1" applyFont="1" applyFill="1" applyBorder="1" applyAlignment="1">
      <alignment horizontal="center"/>
    </xf>
    <xf numFmtId="165" fontId="0" fillId="25" borderId="1" xfId="0" applyNumberFormat="1" applyFont="1" applyFill="1" applyBorder="1" applyAlignment="1">
      <alignment horizontal="center" vertical="center"/>
    </xf>
    <xf numFmtId="165" fontId="0" fillId="0" borderId="1" xfId="0" applyNumberFormat="1" applyFont="1" applyBorder="1" applyAlignment="1">
      <alignment horizontal="center"/>
    </xf>
    <xf numFmtId="0" fontId="77" fillId="40" borderId="35" xfId="618" applyFont="1" applyFill="1" applyBorder="1" applyAlignment="1" applyProtection="1">
      <alignment horizontal="center" vertical="center" wrapText="1"/>
    </xf>
    <xf numFmtId="0" fontId="13" fillId="40" borderId="1" xfId="54" applyFont="1" applyFill="1" applyBorder="1" applyAlignment="1" applyProtection="1">
      <alignment horizontal="left" vertical="top" wrapText="1"/>
      <protection locked="0"/>
    </xf>
    <xf numFmtId="0" fontId="13" fillId="40" borderId="102" xfId="54" applyFont="1" applyFill="1" applyBorder="1" applyAlignment="1" applyProtection="1">
      <alignment horizontal="left" vertical="top" wrapText="1"/>
      <protection locked="0"/>
    </xf>
    <xf numFmtId="0" fontId="13" fillId="49" borderId="102" xfId="54" applyFont="1" applyFill="1" applyBorder="1" applyAlignment="1" applyProtection="1">
      <alignment horizontal="left" vertical="top"/>
      <protection locked="0"/>
    </xf>
    <xf numFmtId="0" fontId="13" fillId="49" borderId="102" xfId="54" applyFill="1" applyBorder="1" applyAlignment="1" applyProtection="1">
      <alignment horizontal="left" vertical="top"/>
      <protection locked="0"/>
    </xf>
    <xf numFmtId="0" fontId="13" fillId="0" borderId="1" xfId="54" applyFont="1" applyBorder="1" applyAlignment="1" applyProtection="1">
      <alignment horizontal="left" vertical="top" wrapText="1"/>
      <protection locked="0"/>
    </xf>
    <xf numFmtId="0" fontId="13" fillId="52" borderId="1" xfId="54" applyFont="1" applyFill="1" applyBorder="1" applyAlignment="1" applyProtection="1">
      <alignment horizontal="left" vertical="top" wrapText="1"/>
    </xf>
    <xf numFmtId="0" fontId="13" fillId="40" borderId="104" xfId="54" applyFont="1" applyFill="1" applyBorder="1" applyAlignment="1" applyProtection="1">
      <alignment horizontal="left" vertical="top" wrapText="1"/>
      <protection locked="0"/>
    </xf>
    <xf numFmtId="14" fontId="13" fillId="49" borderId="1" xfId="54" applyNumberFormat="1" applyFill="1" applyBorder="1" applyAlignment="1" applyProtection="1">
      <alignment horizontal="center"/>
      <protection locked="0"/>
    </xf>
    <xf numFmtId="0" fontId="13" fillId="49" borderId="1" xfId="54" applyFill="1" applyBorder="1" applyAlignment="1" applyProtection="1">
      <alignment horizontal="center"/>
      <protection locked="0"/>
    </xf>
    <xf numFmtId="0" fontId="13" fillId="49" borderId="1" xfId="54" applyFill="1" applyBorder="1" applyAlignment="1" applyProtection="1">
      <alignment horizontal="left"/>
      <protection locked="0"/>
    </xf>
    <xf numFmtId="0" fontId="13" fillId="43" borderId="16" xfId="54" applyFont="1" applyFill="1" applyBorder="1" applyAlignment="1" applyProtection="1">
      <alignment horizontal="left" vertical="top" wrapText="1"/>
    </xf>
    <xf numFmtId="0" fontId="13" fillId="43" borderId="16" xfId="54" applyFill="1" applyBorder="1" applyAlignment="1" applyProtection="1">
      <alignment horizontal="left" vertical="top" wrapText="1"/>
    </xf>
    <xf numFmtId="0" fontId="13" fillId="60" borderId="102" xfId="54" applyFont="1" applyFill="1" applyBorder="1" applyAlignment="1" applyProtection="1">
      <alignment horizontal="left" vertical="top" wrapText="1"/>
      <protection locked="0"/>
    </xf>
    <xf numFmtId="0" fontId="13" fillId="49" borderId="3" xfId="54" applyFont="1" applyFill="1" applyBorder="1" applyAlignment="1" applyProtection="1">
      <alignment horizontal="left" vertical="top" wrapText="1"/>
      <protection locked="0"/>
    </xf>
    <xf numFmtId="14" fontId="13" fillId="49" borderId="1" xfId="54" applyNumberFormat="1" applyFont="1" applyFill="1" applyBorder="1" applyAlignment="1" applyProtection="1">
      <alignment horizontal="center"/>
      <protection locked="0"/>
    </xf>
    <xf numFmtId="0" fontId="13" fillId="0" borderId="1" xfId="54" applyBorder="1" applyAlignment="1" applyProtection="1">
      <alignment horizontal="left" vertical="top" wrapText="1"/>
      <protection locked="0"/>
    </xf>
    <xf numFmtId="0" fontId="13" fillId="60" borderId="102" xfId="54" applyFont="1" applyFill="1" applyBorder="1" applyAlignment="1" applyProtection="1">
      <alignment vertical="top" wrapText="1"/>
      <protection locked="0"/>
    </xf>
    <xf numFmtId="0" fontId="13" fillId="60" borderId="102" xfId="54" applyFill="1" applyBorder="1" applyAlignment="1" applyProtection="1">
      <alignment horizontal="left" vertical="top" wrapText="1"/>
      <protection locked="0"/>
    </xf>
    <xf numFmtId="0" fontId="13" fillId="0" borderId="1" xfId="54" applyFont="1" applyFill="1" applyBorder="1" applyAlignment="1" applyProtection="1">
      <alignment horizontal="left" vertical="top" wrapText="1"/>
      <protection locked="0"/>
    </xf>
    <xf numFmtId="0" fontId="13" fillId="0" borderId="102" xfId="54" applyFont="1" applyBorder="1" applyAlignment="1" applyProtection="1">
      <alignment horizontal="left" vertical="top" wrapText="1"/>
      <protection locked="0"/>
    </xf>
    <xf numFmtId="0" fontId="13" fillId="49" borderId="105" xfId="54" applyFont="1" applyFill="1" applyBorder="1" applyAlignment="1" applyProtection="1">
      <alignment horizontal="left" vertical="top" wrapText="1"/>
      <protection locked="0"/>
    </xf>
    <xf numFmtId="1" fontId="13" fillId="49" borderId="1" xfId="54" quotePrefix="1" applyNumberFormat="1" applyFill="1" applyBorder="1" applyAlignment="1" applyProtection="1">
      <alignment horizontal="center"/>
      <protection locked="0"/>
    </xf>
    <xf numFmtId="0" fontId="13" fillId="40" borderId="1" xfId="54" applyFill="1" applyBorder="1" applyAlignment="1" applyProtection="1">
      <alignment horizontal="left" vertical="top"/>
      <protection locked="0"/>
    </xf>
    <xf numFmtId="0" fontId="13" fillId="49" borderId="1" xfId="54" applyFont="1" applyFill="1" applyBorder="1" applyAlignment="1" applyProtection="1">
      <alignment horizontal="left" vertical="top" wrapText="1"/>
      <protection locked="0"/>
    </xf>
    <xf numFmtId="0" fontId="13" fillId="49" borderId="1" xfId="54" applyFill="1" applyBorder="1" applyAlignment="1" applyProtection="1">
      <alignment horizontal="left" vertical="top" wrapText="1"/>
      <protection locked="0"/>
    </xf>
    <xf numFmtId="0" fontId="13" fillId="49" borderId="16" xfId="54" applyFont="1" applyFill="1" applyBorder="1" applyAlignment="1" applyProtection="1">
      <alignment horizontal="left" vertical="top" wrapText="1"/>
      <protection locked="0"/>
    </xf>
    <xf numFmtId="0" fontId="13" fillId="49" borderId="42" xfId="54" applyFont="1" applyFill="1" applyBorder="1" applyAlignment="1" applyProtection="1">
      <alignment horizontal="left" vertical="top" wrapText="1"/>
      <protection locked="0"/>
    </xf>
    <xf numFmtId="0" fontId="13" fillId="0" borderId="102" xfId="54" applyBorder="1" applyAlignment="1" applyProtection="1">
      <alignment horizontal="left" vertical="top" wrapText="1"/>
      <protection locked="0"/>
    </xf>
    <xf numFmtId="0" fontId="13" fillId="43" borderId="1" xfId="54" applyFill="1" applyBorder="1" applyAlignment="1" applyProtection="1">
      <alignment horizontal="left" vertical="top" wrapText="1"/>
    </xf>
    <xf numFmtId="0" fontId="13" fillId="49" borderId="1" xfId="54" applyFont="1" applyFill="1" applyBorder="1" applyAlignment="1" applyProtection="1">
      <alignment horizontal="center"/>
      <protection locked="0"/>
    </xf>
    <xf numFmtId="14" fontId="13" fillId="49" borderId="1" xfId="54" applyNumberFormat="1" applyFont="1" applyFill="1" applyBorder="1" applyAlignment="1" applyProtection="1">
      <alignment horizontal="left"/>
      <protection locked="0"/>
    </xf>
    <xf numFmtId="14" fontId="13" fillId="49" borderId="1" xfId="54" applyNumberFormat="1" applyFill="1" applyBorder="1" applyAlignment="1" applyProtection="1">
      <alignment horizontal="left"/>
      <protection locked="0"/>
    </xf>
    <xf numFmtId="0" fontId="13" fillId="40" borderId="102" xfId="54" applyFill="1" applyBorder="1" applyAlignment="1" applyProtection="1">
      <alignment horizontal="left" vertical="top" wrapText="1"/>
      <protection locked="0"/>
    </xf>
    <xf numFmtId="0" fontId="13" fillId="49" borderId="102" xfId="54" applyFont="1" applyFill="1" applyBorder="1" applyAlignment="1" applyProtection="1">
      <alignment horizontal="left" vertical="top" wrapText="1"/>
      <protection locked="0"/>
    </xf>
    <xf numFmtId="0" fontId="13" fillId="25" borderId="1" xfId="54" applyFill="1" applyBorder="1" applyAlignment="1" applyProtection="1">
      <alignment horizontal="center" vertical="center" wrapText="1"/>
      <protection locked="0"/>
    </xf>
    <xf numFmtId="0" fontId="2" fillId="27" borderId="29" xfId="0" applyFont="1" applyFill="1" applyBorder="1" applyAlignment="1" applyProtection="1">
      <alignment horizontal="center" vertical="center" wrapText="1"/>
      <protection locked="0"/>
    </xf>
    <xf numFmtId="0" fontId="34" fillId="27" borderId="18" xfId="0" applyNumberFormat="1" applyFont="1" applyFill="1" applyBorder="1" applyAlignment="1" applyProtection="1">
      <alignment vertical="center" wrapText="1"/>
      <protection locked="0"/>
    </xf>
    <xf numFmtId="173" fontId="34" fillId="27" borderId="4" xfId="610" applyNumberFormat="1" applyFont="1" applyFill="1" applyBorder="1" applyAlignment="1" applyProtection="1">
      <alignment horizontal="left" vertical="center" wrapText="1"/>
      <protection locked="0"/>
    </xf>
    <xf numFmtId="0" fontId="34" fillId="27" borderId="4" xfId="0" applyNumberFormat="1" applyFont="1" applyFill="1" applyBorder="1" applyAlignment="1" applyProtection="1">
      <alignment horizontal="center" vertical="center" wrapText="1"/>
      <protection locked="0"/>
    </xf>
    <xf numFmtId="0" fontId="34" fillId="27" borderId="22" xfId="0" applyNumberFormat="1" applyFont="1" applyFill="1" applyBorder="1" applyAlignment="1" applyProtection="1">
      <alignment vertical="center" wrapText="1"/>
      <protection locked="0"/>
    </xf>
    <xf numFmtId="0" fontId="34" fillId="27" borderId="4" xfId="0" applyNumberFormat="1" applyFont="1" applyFill="1" applyBorder="1" applyAlignment="1" applyProtection="1">
      <alignment vertical="center" wrapText="1"/>
      <protection locked="0"/>
    </xf>
    <xf numFmtId="0" fontId="2" fillId="27" borderId="13" xfId="0" applyFont="1" applyFill="1" applyBorder="1" applyAlignment="1" applyProtection="1">
      <alignment horizontal="center" vertical="center" wrapText="1"/>
      <protection locked="0"/>
    </xf>
    <xf numFmtId="0" fontId="2" fillId="27" borderId="13" xfId="0" applyFont="1" applyFill="1" applyBorder="1" applyAlignment="1" applyProtection="1">
      <alignment horizontal="center" wrapText="1"/>
      <protection locked="0"/>
    </xf>
    <xf numFmtId="0" fontId="2" fillId="27" borderId="61" xfId="0" applyFont="1" applyFill="1" applyBorder="1" applyAlignment="1" applyProtection="1">
      <alignment horizontal="center" vertical="center" wrapText="1"/>
      <protection locked="0"/>
    </xf>
    <xf numFmtId="0" fontId="2" fillId="27" borderId="10" xfId="0" applyFont="1" applyFill="1" applyBorder="1" applyAlignment="1" applyProtection="1">
      <alignment horizontal="center" vertical="center" wrapText="1"/>
      <protection locked="0"/>
    </xf>
    <xf numFmtId="0" fontId="2" fillId="27" borderId="20" xfId="0" applyFont="1" applyFill="1" applyBorder="1" applyAlignment="1" applyProtection="1">
      <alignment horizontal="center" vertical="center" wrapText="1"/>
      <protection locked="0"/>
    </xf>
    <xf numFmtId="0" fontId="2" fillId="27" borderId="62" xfId="0" applyFont="1" applyFill="1" applyBorder="1" applyAlignment="1" applyProtection="1">
      <alignment horizontal="center" vertical="center" wrapText="1"/>
      <protection locked="0"/>
    </xf>
    <xf numFmtId="0" fontId="2" fillId="27" borderId="17" xfId="0" applyFont="1" applyFill="1" applyBorder="1" applyAlignment="1" applyProtection="1">
      <alignment horizontal="center" vertical="center" wrapText="1"/>
      <protection locked="0"/>
    </xf>
    <xf numFmtId="0" fontId="2" fillId="27" borderId="36" xfId="0" applyFont="1" applyFill="1" applyBorder="1" applyAlignment="1" applyProtection="1">
      <alignment horizontal="center" vertical="center" wrapText="1"/>
      <protection locked="0"/>
    </xf>
    <xf numFmtId="0" fontId="2" fillId="27" borderId="12" xfId="0" applyFont="1" applyFill="1" applyBorder="1" applyAlignment="1" applyProtection="1">
      <alignment horizontal="center" vertical="center" wrapText="1"/>
      <protection locked="0"/>
    </xf>
    <xf numFmtId="0" fontId="2" fillId="27" borderId="45" xfId="0" applyFont="1" applyFill="1" applyBorder="1" applyAlignment="1" applyProtection="1">
      <alignment horizontal="center" vertical="center" wrapText="1"/>
      <protection locked="0"/>
    </xf>
    <xf numFmtId="0" fontId="1" fillId="27" borderId="93" xfId="0" applyFont="1" applyFill="1" applyBorder="1" applyAlignment="1" applyProtection="1">
      <alignment horizontal="center" vertical="center"/>
      <protection locked="0"/>
    </xf>
    <xf numFmtId="0" fontId="1" fillId="27" borderId="38" xfId="0" applyFont="1" applyFill="1" applyBorder="1" applyAlignment="1" applyProtection="1">
      <alignment horizontal="center" vertical="center"/>
      <protection locked="0"/>
    </xf>
    <xf numFmtId="0" fontId="2" fillId="27" borderId="30" xfId="0" applyFont="1" applyFill="1" applyBorder="1" applyAlignment="1" applyProtection="1">
      <alignment horizontal="center" vertical="center" wrapText="1"/>
      <protection locked="0"/>
    </xf>
    <xf numFmtId="0" fontId="2" fillId="27" borderId="17" xfId="0" applyFont="1" applyFill="1" applyBorder="1" applyAlignment="1" applyProtection="1">
      <alignment horizontal="center" wrapText="1"/>
      <protection locked="0"/>
    </xf>
    <xf numFmtId="0" fontId="2" fillId="27" borderId="30" xfId="0" applyFont="1" applyFill="1" applyBorder="1" applyAlignment="1" applyProtection="1">
      <alignment horizontal="center" wrapText="1"/>
      <protection locked="0"/>
    </xf>
    <xf numFmtId="0" fontId="2" fillId="27" borderId="14" xfId="0" applyFont="1" applyFill="1" applyBorder="1" applyAlignment="1" applyProtection="1">
      <alignment horizontal="center" vertical="center" wrapText="1"/>
      <protection locked="0"/>
    </xf>
    <xf numFmtId="0" fontId="0" fillId="27" borderId="23" xfId="0" applyFill="1" applyBorder="1" applyAlignment="1" applyProtection="1">
      <alignment horizontal="center" vertical="center"/>
      <protection locked="0"/>
    </xf>
    <xf numFmtId="0" fontId="58" fillId="0" borderId="0" xfId="0" applyFont="1" applyAlignment="1" applyProtection="1">
      <alignment horizontal="center"/>
      <protection locked="0"/>
    </xf>
    <xf numFmtId="0" fontId="58" fillId="0" borderId="0" xfId="0" applyFont="1" applyAlignment="1" applyProtection="1">
      <alignment horizontal="center" vertical="center"/>
      <protection locked="0"/>
    </xf>
    <xf numFmtId="0" fontId="13" fillId="49" borderId="102" xfId="54" applyFont="1" applyFill="1" applyBorder="1" applyAlignment="1" applyProtection="1">
      <alignment wrapText="1"/>
      <protection locked="0"/>
    </xf>
    <xf numFmtId="0" fontId="11" fillId="49" borderId="102" xfId="54" applyFont="1" applyFill="1" applyBorder="1" applyAlignment="1" applyProtection="1">
      <protection locked="0"/>
    </xf>
    <xf numFmtId="0" fontId="13" fillId="0" borderId="0" xfId="54" applyFill="1" applyProtection="1"/>
    <xf numFmtId="0" fontId="13" fillId="0" borderId="0" xfId="54" applyFill="1" applyAlignment="1" applyProtection="1"/>
    <xf numFmtId="0" fontId="77" fillId="40" borderId="16" xfId="54" applyFont="1" applyFill="1" applyBorder="1" applyAlignment="1" applyProtection="1">
      <alignment vertical="top"/>
    </xf>
    <xf numFmtId="0" fontId="77" fillId="0" borderId="16" xfId="54" applyFont="1" applyBorder="1" applyAlignment="1" applyProtection="1">
      <alignment wrapText="1"/>
    </xf>
    <xf numFmtId="0" fontId="13" fillId="0" borderId="0" xfId="54" applyAlignment="1" applyProtection="1">
      <alignment horizontal="center" vertical="center" wrapText="1"/>
    </xf>
    <xf numFmtId="0" fontId="77" fillId="41" borderId="1" xfId="54" applyFont="1" applyFill="1" applyBorder="1" applyAlignment="1" applyProtection="1">
      <alignment horizontal="center" vertical="center" wrapText="1"/>
    </xf>
    <xf numFmtId="0" fontId="77" fillId="0" borderId="0" xfId="54" applyFont="1" applyProtection="1"/>
    <xf numFmtId="0" fontId="79" fillId="0" borderId="0" xfId="54" applyFont="1" applyProtection="1"/>
    <xf numFmtId="0" fontId="13" fillId="0" borderId="0" xfId="54" applyFont="1" applyProtection="1"/>
    <xf numFmtId="0" fontId="13" fillId="0" borderId="93" xfId="54" applyFont="1" applyBorder="1" applyProtection="1"/>
    <xf numFmtId="0" fontId="80" fillId="0" borderId="0" xfId="54" applyFont="1" applyProtection="1"/>
    <xf numFmtId="0" fontId="13" fillId="25" borderId="102" xfId="54" applyFont="1" applyFill="1" applyBorder="1" applyAlignment="1" applyProtection="1">
      <protection locked="0"/>
    </xf>
    <xf numFmtId="0" fontId="11" fillId="25" borderId="102" xfId="54" applyFont="1" applyFill="1" applyBorder="1" applyAlignment="1" applyProtection="1">
      <alignment horizontal="left"/>
      <protection locked="0"/>
    </xf>
    <xf numFmtId="0" fontId="35" fillId="0" borderId="0" xfId="618" applyFont="1" applyFill="1" applyBorder="1" applyProtection="1"/>
    <xf numFmtId="0" fontId="82" fillId="0" borderId="0" xfId="618" applyFont="1" applyFill="1" applyBorder="1" applyProtection="1"/>
    <xf numFmtId="0" fontId="83" fillId="0" borderId="0" xfId="618" applyFont="1" applyFill="1" applyBorder="1" applyProtection="1"/>
    <xf numFmtId="0" fontId="83" fillId="0" borderId="0" xfId="618" applyFont="1" applyFill="1" applyBorder="1" applyAlignment="1" applyProtection="1">
      <alignment wrapText="1"/>
    </xf>
    <xf numFmtId="0" fontId="64" fillId="0" borderId="0" xfId="618" applyFont="1" applyFill="1" applyBorder="1" applyProtection="1"/>
    <xf numFmtId="0" fontId="80" fillId="40" borderId="0" xfId="618" applyFont="1" applyFill="1" applyBorder="1" applyAlignment="1" applyProtection="1">
      <alignment horizontal="left" vertical="center"/>
    </xf>
    <xf numFmtId="0" fontId="80" fillId="40" borderId="0" xfId="618" applyFont="1" applyFill="1" applyBorder="1" applyAlignment="1" applyProtection="1">
      <alignment horizontal="center" vertical="center"/>
    </xf>
    <xf numFmtId="0" fontId="35" fillId="40" borderId="0" xfId="618" applyFont="1" applyFill="1" applyBorder="1" applyProtection="1"/>
    <xf numFmtId="0" fontId="86" fillId="0" borderId="0" xfId="618" applyFont="1" applyFill="1" applyBorder="1" applyProtection="1"/>
    <xf numFmtId="0" fontId="87" fillId="43" borderId="3" xfId="618" applyFont="1" applyFill="1" applyBorder="1" applyAlignment="1" applyProtection="1">
      <alignment horizontal="center" vertical="center" wrapText="1"/>
    </xf>
    <xf numFmtId="0" fontId="87" fillId="49" borderId="3" xfId="618" applyFont="1" applyFill="1" applyBorder="1" applyAlignment="1" applyProtection="1">
      <alignment horizontal="center" vertical="center" wrapText="1"/>
    </xf>
    <xf numFmtId="0" fontId="87" fillId="49" borderId="3" xfId="54" applyFont="1" applyFill="1" applyBorder="1" applyAlignment="1" applyProtection="1">
      <alignment horizontal="center" vertical="center" wrapText="1"/>
    </xf>
    <xf numFmtId="0" fontId="87" fillId="40" borderId="3" xfId="54" applyFont="1" applyFill="1" applyBorder="1" applyAlignment="1" applyProtection="1">
      <alignment horizontal="center" vertical="center" wrapText="1"/>
    </xf>
    <xf numFmtId="0" fontId="88" fillId="50" borderId="84" xfId="618" applyFont="1" applyFill="1" applyBorder="1" applyAlignment="1" applyProtection="1">
      <alignment horizontal="center" vertical="center" wrapText="1"/>
    </xf>
    <xf numFmtId="0" fontId="13" fillId="40" borderId="0" xfId="54" applyFill="1" applyBorder="1" applyAlignment="1" applyProtection="1"/>
    <xf numFmtId="0" fontId="13" fillId="0" borderId="0" xfId="54" applyFill="1" applyBorder="1" applyAlignment="1" applyProtection="1"/>
    <xf numFmtId="0" fontId="13" fillId="0" borderId="0" xfId="618" applyFont="1" applyFill="1" applyBorder="1" applyProtection="1"/>
    <xf numFmtId="0" fontId="85" fillId="25" borderId="1" xfId="618" applyFont="1" applyFill="1" applyBorder="1" applyAlignment="1" applyProtection="1">
      <alignment horizontal="left" vertical="top" wrapText="1"/>
    </xf>
    <xf numFmtId="0" fontId="83" fillId="0" borderId="0" xfId="618" applyFont="1" applyFill="1" applyBorder="1" applyAlignment="1" applyProtection="1">
      <alignment horizontal="center"/>
    </xf>
    <xf numFmtId="0" fontId="13" fillId="0" borderId="0" xfId="618" applyFont="1" applyFill="1" applyBorder="1" applyAlignment="1" applyProtection="1">
      <alignment wrapText="1"/>
    </xf>
    <xf numFmtId="0" fontId="80" fillId="0" borderId="0" xfId="618" applyFont="1" applyFill="1" applyBorder="1" applyAlignment="1" applyProtection="1">
      <alignment horizontal="center"/>
    </xf>
    <xf numFmtId="0" fontId="80" fillId="0" borderId="0" xfId="618" applyFont="1" applyFill="1" applyBorder="1" applyProtection="1"/>
    <xf numFmtId="166" fontId="83" fillId="0" borderId="0" xfId="618" applyNumberFormat="1" applyFont="1" applyFill="1" applyBorder="1" applyProtection="1"/>
    <xf numFmtId="0" fontId="77" fillId="0" borderId="0" xfId="618" applyFont="1" applyFill="1" applyBorder="1" applyAlignment="1" applyProtection="1">
      <alignment horizontal="center" wrapText="1"/>
    </xf>
    <xf numFmtId="166" fontId="83" fillId="0" borderId="0" xfId="618" applyNumberFormat="1" applyFont="1" applyFill="1" applyBorder="1" applyAlignment="1" applyProtection="1">
      <alignment horizontal="center"/>
    </xf>
    <xf numFmtId="0" fontId="13" fillId="43" borderId="102" xfId="54" applyFont="1" applyFill="1" applyBorder="1" applyAlignment="1" applyProtection="1">
      <alignment horizontal="left" vertical="top" wrapText="1"/>
      <protection locked="0"/>
    </xf>
    <xf numFmtId="0" fontId="13" fillId="43" borderId="103" xfId="54" applyFont="1" applyFill="1" applyBorder="1" applyAlignment="1" applyProtection="1">
      <alignment horizontal="left" vertical="top" wrapText="1"/>
      <protection locked="0"/>
    </xf>
    <xf numFmtId="0" fontId="13" fillId="43" borderId="102" xfId="618" applyFont="1" applyFill="1" applyBorder="1" applyAlignment="1" applyProtection="1">
      <alignment horizontal="left" vertical="top" wrapText="1"/>
      <protection locked="0"/>
    </xf>
    <xf numFmtId="0" fontId="13" fillId="43" borderId="50" xfId="54" applyFont="1" applyFill="1" applyBorder="1" applyAlignment="1" applyProtection="1">
      <alignment horizontal="left" vertical="top" wrapText="1"/>
      <protection locked="0"/>
    </xf>
    <xf numFmtId="0" fontId="93" fillId="44" borderId="1" xfId="505" applyFont="1" applyFill="1" applyBorder="1" applyAlignment="1" applyProtection="1">
      <alignment horizontal="left" vertical="top" wrapText="1"/>
      <protection locked="0"/>
    </xf>
    <xf numFmtId="0" fontId="12" fillId="53" borderId="1" xfId="505" applyFill="1" applyBorder="1" applyAlignment="1" applyProtection="1">
      <alignment horizontal="left" vertical="top" wrapText="1"/>
      <protection locked="0"/>
    </xf>
    <xf numFmtId="0" fontId="94" fillId="44" borderId="1" xfId="505" applyFont="1" applyFill="1" applyBorder="1" applyAlignment="1" applyProtection="1">
      <alignment horizontal="left" vertical="top" wrapText="1"/>
      <protection locked="0"/>
    </xf>
    <xf numFmtId="0" fontId="94" fillId="0" borderId="1" xfId="505" quotePrefix="1" applyFont="1" applyBorder="1" applyAlignment="1" applyProtection="1">
      <alignment horizontal="left" vertical="top" wrapText="1"/>
      <protection locked="0"/>
    </xf>
    <xf numFmtId="0" fontId="94" fillId="0" borderId="1" xfId="505" applyFont="1" applyBorder="1" applyAlignment="1" applyProtection="1">
      <alignment horizontal="left" vertical="top" wrapText="1"/>
      <protection locked="0"/>
    </xf>
    <xf numFmtId="0" fontId="93" fillId="0" borderId="1" xfId="505" applyFont="1" applyBorder="1" applyAlignment="1" applyProtection="1">
      <alignment horizontal="left" vertical="top" wrapText="1"/>
      <protection locked="0"/>
    </xf>
    <xf numFmtId="0" fontId="77" fillId="0" borderId="0" xfId="54" applyFont="1" applyAlignment="1" applyProtection="1">
      <alignment vertical="center"/>
    </xf>
    <xf numFmtId="0" fontId="12" fillId="40" borderId="0" xfId="505" applyFill="1" applyProtection="1"/>
    <xf numFmtId="0" fontId="103" fillId="50" borderId="1" xfId="54" applyFont="1" applyFill="1" applyBorder="1" applyAlignment="1" applyProtection="1">
      <alignment horizontal="center" vertical="center" wrapText="1"/>
    </xf>
    <xf numFmtId="0" fontId="13" fillId="0" borderId="0" xfId="54" applyAlignment="1" applyProtection="1">
      <alignment vertical="center"/>
    </xf>
    <xf numFmtId="0" fontId="103" fillId="55" borderId="16" xfId="54" applyFont="1" applyFill="1" applyBorder="1" applyAlignment="1" applyProtection="1">
      <alignment vertical="center"/>
    </xf>
    <xf numFmtId="0" fontId="103" fillId="55" borderId="2" xfId="54" applyFont="1" applyFill="1" applyBorder="1" applyAlignment="1" applyProtection="1">
      <alignment vertical="center" wrapText="1"/>
    </xf>
    <xf numFmtId="0" fontId="104" fillId="43" borderId="1" xfId="54" applyFont="1" applyFill="1" applyBorder="1" applyAlignment="1" applyProtection="1">
      <alignment horizontal="center" vertical="center" wrapText="1"/>
    </xf>
    <xf numFmtId="0" fontId="105" fillId="0" borderId="0" xfId="54" applyFont="1" applyAlignment="1" applyProtection="1">
      <alignment vertical="center"/>
    </xf>
    <xf numFmtId="0" fontId="103" fillId="0" borderId="3" xfId="54" applyFont="1" applyFill="1" applyBorder="1" applyAlignment="1" applyProtection="1">
      <alignment horizontal="center" vertical="center" wrapText="1"/>
    </xf>
    <xf numFmtId="0" fontId="103" fillId="27" borderId="1" xfId="54" applyFont="1" applyFill="1" applyBorder="1" applyAlignment="1" applyProtection="1">
      <alignment horizontal="center" vertical="center" wrapText="1"/>
    </xf>
    <xf numFmtId="0" fontId="105" fillId="43" borderId="42" xfId="54" applyFont="1" applyFill="1" applyBorder="1" applyAlignment="1" applyProtection="1">
      <alignment horizontal="center" vertical="center" wrapText="1"/>
    </xf>
    <xf numFmtId="0" fontId="106" fillId="0" borderId="3" xfId="54" applyFont="1" applyFill="1" applyBorder="1" applyAlignment="1" applyProtection="1">
      <alignment horizontal="center" vertical="center" wrapText="1"/>
    </xf>
    <xf numFmtId="0" fontId="13" fillId="43" borderId="42" xfId="54" applyFill="1" applyBorder="1" applyAlignment="1" applyProtection="1">
      <alignment horizontal="center" vertical="center" wrapText="1"/>
    </xf>
    <xf numFmtId="0" fontId="13" fillId="0" borderId="1" xfId="54" applyFont="1" applyBorder="1" applyAlignment="1" applyProtection="1">
      <alignment horizontal="center" vertical="center" wrapText="1"/>
    </xf>
    <xf numFmtId="0" fontId="13" fillId="0" borderId="1" xfId="54" applyBorder="1" applyAlignment="1" applyProtection="1">
      <alignment horizontal="center" vertical="center" wrapText="1"/>
    </xf>
    <xf numFmtId="0" fontId="103" fillId="27" borderId="1" xfId="54" applyFont="1" applyFill="1" applyBorder="1" applyAlignment="1" applyProtection="1">
      <alignment horizontal="center" wrapText="1"/>
    </xf>
    <xf numFmtId="0" fontId="104" fillId="27" borderId="1" xfId="54" applyFont="1" applyFill="1" applyBorder="1" applyAlignment="1" applyProtection="1">
      <alignment horizontal="center" vertical="center" wrapText="1"/>
    </xf>
    <xf numFmtId="0" fontId="13" fillId="40" borderId="0" xfId="54" applyFill="1" applyBorder="1" applyAlignment="1" applyProtection="1">
      <alignment horizontal="center" vertical="center" wrapText="1"/>
    </xf>
    <xf numFmtId="0" fontId="13" fillId="0" borderId="0" xfId="54" applyFont="1" applyBorder="1" applyAlignment="1" applyProtection="1">
      <alignment horizontal="center" vertical="center" wrapText="1"/>
    </xf>
    <xf numFmtId="0" fontId="103" fillId="56" borderId="1" xfId="54" applyFont="1" applyFill="1" applyBorder="1" applyAlignment="1" applyProtection="1">
      <alignment horizontal="center" vertical="center" wrapText="1"/>
    </xf>
    <xf numFmtId="0" fontId="103" fillId="0" borderId="0" xfId="54" applyFont="1" applyFill="1" applyBorder="1" applyAlignment="1" applyProtection="1">
      <alignment horizontal="center" vertical="center" wrapText="1"/>
    </xf>
    <xf numFmtId="0" fontId="103" fillId="43" borderId="1" xfId="54" applyFont="1" applyFill="1" applyBorder="1" applyAlignment="1" applyProtection="1">
      <alignment horizontal="center" vertical="center" wrapText="1"/>
    </xf>
    <xf numFmtId="0" fontId="103" fillId="0" borderId="1" xfId="54" applyFont="1" applyFill="1" applyBorder="1" applyAlignment="1" applyProtection="1">
      <alignment horizontal="center" vertical="center" wrapText="1"/>
    </xf>
    <xf numFmtId="0" fontId="103" fillId="56" borderId="2" xfId="54" applyFont="1" applyFill="1" applyBorder="1" applyAlignment="1" applyProtection="1">
      <alignment horizontal="center" vertical="center" wrapText="1"/>
    </xf>
    <xf numFmtId="0" fontId="103" fillId="56" borderId="16" xfId="54" applyFont="1" applyFill="1" applyBorder="1" applyAlignment="1" applyProtection="1">
      <alignment horizontal="center" vertical="center" wrapText="1"/>
    </xf>
    <xf numFmtId="0" fontId="103" fillId="56" borderId="42" xfId="54" applyFont="1" applyFill="1" applyBorder="1" applyAlignment="1" applyProtection="1">
      <alignment horizontal="center" vertical="center" wrapText="1"/>
    </xf>
    <xf numFmtId="0" fontId="103" fillId="0" borderId="35" xfId="54" applyFont="1" applyFill="1" applyBorder="1" applyAlignment="1" applyProtection="1">
      <alignment horizontal="center" vertical="center" wrapText="1"/>
    </xf>
    <xf numFmtId="0" fontId="103" fillId="56" borderId="28" xfId="54" applyFont="1" applyFill="1" applyBorder="1" applyAlignment="1" applyProtection="1">
      <alignment horizontal="center" vertical="center" wrapText="1"/>
    </xf>
    <xf numFmtId="0" fontId="103" fillId="56" borderId="84" xfId="54" applyFont="1" applyFill="1" applyBorder="1" applyAlignment="1" applyProtection="1">
      <alignment horizontal="center" vertical="center" wrapText="1"/>
    </xf>
    <xf numFmtId="0" fontId="103" fillId="56" borderId="40" xfId="54" applyFont="1" applyFill="1" applyBorder="1" applyAlignment="1" applyProtection="1">
      <alignment horizontal="center" vertical="center" wrapText="1"/>
    </xf>
    <xf numFmtId="0" fontId="104" fillId="0" borderId="1" xfId="54" applyFont="1" applyBorder="1" applyAlignment="1" applyProtection="1">
      <alignment horizontal="center" wrapText="1"/>
    </xf>
    <xf numFmtId="0" fontId="104" fillId="40" borderId="1" xfId="54" applyFont="1" applyFill="1" applyBorder="1" applyAlignment="1" applyProtection="1">
      <alignment horizontal="center" wrapText="1"/>
    </xf>
    <xf numFmtId="0" fontId="103" fillId="56" borderId="27" xfId="54" applyFont="1" applyFill="1" applyBorder="1" applyAlignment="1" applyProtection="1">
      <alignment horizontal="center" vertical="center" wrapText="1"/>
    </xf>
    <xf numFmtId="0" fontId="103" fillId="56" borderId="93" xfId="54" applyFont="1" applyFill="1" applyBorder="1" applyAlignment="1" applyProtection="1">
      <alignment horizontal="center" vertical="center" wrapText="1"/>
    </xf>
    <xf numFmtId="0" fontId="103" fillId="56" borderId="39" xfId="54" applyFont="1" applyFill="1" applyBorder="1" applyAlignment="1" applyProtection="1">
      <alignment horizontal="center" vertical="center" wrapText="1"/>
    </xf>
    <xf numFmtId="0" fontId="109" fillId="56" borderId="1" xfId="54" applyFont="1" applyFill="1" applyBorder="1" applyAlignment="1" applyProtection="1">
      <alignment horizontal="center" vertical="center" wrapText="1"/>
    </xf>
    <xf numFmtId="0" fontId="104" fillId="56" borderId="1" xfId="54" applyFont="1" applyFill="1" applyBorder="1" applyAlignment="1" applyProtection="1">
      <alignment horizontal="center" vertical="center" wrapText="1"/>
    </xf>
    <xf numFmtId="0" fontId="109" fillId="0" borderId="0" xfId="54" applyFont="1" applyFill="1" applyBorder="1" applyAlignment="1" applyProtection="1">
      <alignment horizontal="center" vertical="center" wrapText="1"/>
    </xf>
    <xf numFmtId="0" fontId="89" fillId="0" borderId="0" xfId="54" applyFont="1" applyBorder="1" applyAlignment="1" applyProtection="1">
      <alignment horizontal="center" vertical="top" wrapText="1"/>
    </xf>
    <xf numFmtId="0" fontId="89" fillId="0" borderId="0" xfId="54" applyFont="1" applyFill="1" applyAlignment="1" applyProtection="1">
      <alignment vertical="top"/>
    </xf>
    <xf numFmtId="0" fontId="89" fillId="0" borderId="0" xfId="54" applyFont="1" applyFill="1" applyAlignment="1" applyProtection="1">
      <alignment vertical="top" wrapText="1"/>
    </xf>
    <xf numFmtId="0" fontId="89" fillId="40" borderId="0" xfId="54" applyFont="1" applyFill="1" applyAlignment="1" applyProtection="1">
      <alignment vertical="top"/>
    </xf>
    <xf numFmtId="0" fontId="89" fillId="40" borderId="0" xfId="54" applyFont="1" applyFill="1" applyAlignment="1" applyProtection="1">
      <alignment vertical="top" wrapText="1"/>
    </xf>
    <xf numFmtId="0" fontId="89" fillId="40" borderId="0" xfId="54" applyFont="1" applyFill="1" applyProtection="1"/>
    <xf numFmtId="0" fontId="89" fillId="40" borderId="0" xfId="54" applyFont="1" applyFill="1" applyBorder="1" applyProtection="1"/>
    <xf numFmtId="0" fontId="89" fillId="0" borderId="0" xfId="54" applyFont="1" applyFill="1" applyBorder="1" applyProtection="1"/>
    <xf numFmtId="0" fontId="89" fillId="40" borderId="0" xfId="54" applyFont="1" applyFill="1" applyAlignment="1" applyProtection="1">
      <alignment vertical="center" wrapText="1"/>
    </xf>
    <xf numFmtId="49" fontId="89" fillId="40" borderId="0" xfId="54" applyNumberFormat="1" applyFont="1" applyFill="1" applyAlignment="1" applyProtection="1">
      <alignment horizontal="right" vertical="center"/>
    </xf>
    <xf numFmtId="0" fontId="77" fillId="40" borderId="0" xfId="54" applyFont="1" applyFill="1" applyAlignment="1" applyProtection="1">
      <alignment vertical="center"/>
    </xf>
    <xf numFmtId="0" fontId="35" fillId="40" borderId="0" xfId="618" applyFont="1" applyFill="1" applyBorder="1" applyAlignment="1" applyProtection="1">
      <alignment horizontal="left" vertical="center"/>
    </xf>
    <xf numFmtId="0" fontId="80" fillId="40" borderId="0" xfId="54" applyFont="1" applyFill="1" applyBorder="1" applyAlignment="1" applyProtection="1">
      <alignment horizontal="center" vertical="top"/>
    </xf>
    <xf numFmtId="0" fontId="80" fillId="40" borderId="0" xfId="54" applyFont="1" applyFill="1" applyBorder="1" applyAlignment="1" applyProtection="1">
      <alignment vertical="top"/>
    </xf>
    <xf numFmtId="0" fontId="89" fillId="40" borderId="0" xfId="54" applyFont="1" applyFill="1" applyBorder="1" applyAlignment="1" applyProtection="1">
      <alignment horizontal="center" vertical="center" wrapText="1"/>
    </xf>
    <xf numFmtId="0" fontId="89" fillId="0" borderId="0" xfId="54" applyFont="1" applyFill="1" applyBorder="1" applyAlignment="1" applyProtection="1">
      <alignment horizontal="center" vertical="center" wrapText="1"/>
    </xf>
    <xf numFmtId="0" fontId="89" fillId="0" borderId="0" xfId="54" applyFont="1" applyFill="1" applyBorder="1" applyAlignment="1" applyProtection="1">
      <alignment vertical="top" wrapText="1"/>
    </xf>
    <xf numFmtId="0" fontId="89" fillId="40" borderId="93" xfId="54" applyFont="1" applyFill="1" applyBorder="1" applyAlignment="1" applyProtection="1">
      <alignment wrapText="1"/>
    </xf>
    <xf numFmtId="0" fontId="80" fillId="57" borderId="1" xfId="54" applyFont="1" applyFill="1" applyBorder="1" applyAlignment="1" applyProtection="1">
      <alignment horizontal="left" vertical="top" wrapText="1"/>
    </xf>
    <xf numFmtId="0" fontId="112" fillId="40" borderId="0" xfId="54" applyFont="1" applyFill="1" applyBorder="1" applyAlignment="1" applyProtection="1">
      <alignment horizontal="left"/>
    </xf>
    <xf numFmtId="0" fontId="112" fillId="0" borderId="0" xfId="54" applyFont="1" applyFill="1" applyBorder="1" applyAlignment="1" applyProtection="1">
      <alignment horizontal="left"/>
    </xf>
    <xf numFmtId="0" fontId="80" fillId="43" borderId="3" xfId="54" applyFont="1" applyFill="1" applyBorder="1" applyAlignment="1" applyProtection="1">
      <alignment horizontal="left" wrapText="1"/>
    </xf>
    <xf numFmtId="0" fontId="80" fillId="0" borderId="3" xfId="54" applyFont="1" applyFill="1" applyBorder="1" applyAlignment="1" applyProtection="1">
      <alignment horizontal="left" wrapText="1"/>
    </xf>
    <xf numFmtId="0" fontId="80" fillId="40" borderId="3" xfId="54" applyFont="1" applyFill="1" applyBorder="1" applyAlignment="1" applyProtection="1">
      <alignment horizontal="left" wrapText="1"/>
    </xf>
    <xf numFmtId="0" fontId="80" fillId="40" borderId="1" xfId="54" applyFont="1" applyFill="1" applyBorder="1" applyAlignment="1" applyProtection="1"/>
    <xf numFmtId="0" fontId="89" fillId="40" borderId="0" xfId="54" applyFont="1" applyFill="1" applyBorder="1" applyAlignment="1" applyProtection="1"/>
    <xf numFmtId="0" fontId="89" fillId="0" borderId="0" xfId="54" applyFont="1" applyFill="1" applyBorder="1" applyAlignment="1" applyProtection="1"/>
    <xf numFmtId="0" fontId="114" fillId="40" borderId="0" xfId="618" applyFont="1" applyFill="1" applyBorder="1" applyAlignment="1" applyProtection="1">
      <alignment vertical="top"/>
    </xf>
    <xf numFmtId="0" fontId="114" fillId="0" borderId="0" xfId="618" applyFont="1" applyFill="1" applyBorder="1" applyAlignment="1" applyProtection="1">
      <alignment vertical="top"/>
    </xf>
    <xf numFmtId="0" fontId="89" fillId="40" borderId="0" xfId="54" applyFont="1" applyFill="1" applyBorder="1" applyAlignment="1" applyProtection="1">
      <alignment horizontal="center" vertical="top" wrapText="1"/>
    </xf>
    <xf numFmtId="0" fontId="89" fillId="40" borderId="0" xfId="54" applyFont="1" applyFill="1" applyAlignment="1" applyProtection="1">
      <alignment wrapText="1"/>
    </xf>
    <xf numFmtId="49" fontId="89" fillId="40" borderId="0" xfId="54" applyNumberFormat="1" applyFont="1" applyFill="1" applyAlignment="1" applyProtection="1">
      <alignment horizontal="right" vertical="top"/>
    </xf>
    <xf numFmtId="49" fontId="89" fillId="40" borderId="0" xfId="54" applyNumberFormat="1" applyFont="1" applyFill="1" applyBorder="1" applyAlignment="1" applyProtection="1">
      <alignment horizontal="right" vertical="top"/>
    </xf>
    <xf numFmtId="0" fontId="89" fillId="0" borderId="0" xfId="54" applyFont="1" applyAlignment="1" applyProtection="1">
      <alignment wrapText="1"/>
    </xf>
    <xf numFmtId="49" fontId="89" fillId="43" borderId="0" xfId="54" applyNumberFormat="1" applyFont="1" applyFill="1" applyAlignment="1" applyProtection="1">
      <alignment horizontal="right" vertical="top"/>
    </xf>
    <xf numFmtId="0" fontId="89" fillId="0" borderId="0" xfId="54" applyFont="1" applyAlignment="1" applyProtection="1">
      <alignment vertical="top"/>
    </xf>
    <xf numFmtId="0" fontId="89" fillId="0" borderId="0" xfId="54" applyFont="1" applyAlignment="1" applyProtection="1">
      <alignment vertical="top" wrapText="1"/>
    </xf>
    <xf numFmtId="0" fontId="89" fillId="41" borderId="0" xfId="54" applyFont="1" applyFill="1" applyProtection="1"/>
    <xf numFmtId="0" fontId="48" fillId="0" borderId="0" xfId="612" applyFill="1" applyAlignment="1" applyProtection="1"/>
    <xf numFmtId="0" fontId="89" fillId="40" borderId="0" xfId="54" applyFont="1" applyFill="1" applyBorder="1" applyAlignment="1" applyProtection="1">
      <alignment horizontal="left"/>
    </xf>
    <xf numFmtId="0" fontId="13" fillId="40" borderId="0" xfId="54" applyFill="1" applyProtection="1"/>
    <xf numFmtId="0" fontId="116" fillId="40" borderId="0" xfId="54" applyFont="1" applyFill="1" applyProtection="1"/>
    <xf numFmtId="0" fontId="80" fillId="40" borderId="0" xfId="54" applyFont="1" applyFill="1" applyBorder="1" applyAlignment="1" applyProtection="1">
      <alignment horizontal="center"/>
    </xf>
    <xf numFmtId="0" fontId="13" fillId="0" borderId="0" xfId="54" applyFill="1" applyAlignment="1" applyProtection="1">
      <alignment vertical="center"/>
    </xf>
    <xf numFmtId="0" fontId="91" fillId="50" borderId="16" xfId="54" applyFont="1" applyFill="1" applyBorder="1" applyAlignment="1" applyProtection="1">
      <alignment horizontal="left" vertical="top"/>
    </xf>
    <xf numFmtId="0" fontId="91" fillId="50" borderId="2" xfId="54" applyFont="1" applyFill="1" applyBorder="1" applyAlignment="1" applyProtection="1">
      <alignment horizontal="left" vertical="top"/>
    </xf>
    <xf numFmtId="0" fontId="91" fillId="50" borderId="2" xfId="54" quotePrefix="1" applyFont="1" applyFill="1" applyBorder="1" applyAlignment="1" applyProtection="1">
      <alignment horizontal="left" vertical="top"/>
    </xf>
    <xf numFmtId="0" fontId="116" fillId="50" borderId="2" xfId="54" applyFont="1" applyFill="1" applyBorder="1" applyAlignment="1" applyProtection="1">
      <alignment horizontal="left" vertical="top"/>
    </xf>
    <xf numFmtId="0" fontId="116" fillId="50" borderId="1" xfId="54" applyFont="1" applyFill="1" applyBorder="1" applyAlignment="1" applyProtection="1">
      <alignment horizontal="left" vertical="top"/>
    </xf>
    <xf numFmtId="0" fontId="13" fillId="59" borderId="0" xfId="54" applyFill="1" applyAlignment="1" applyProtection="1">
      <alignment vertical="center"/>
    </xf>
    <xf numFmtId="0" fontId="13" fillId="40" borderId="0" xfId="54" applyFill="1" applyBorder="1" applyProtection="1"/>
    <xf numFmtId="0" fontId="13" fillId="40" borderId="0" xfId="54" applyFill="1" applyBorder="1" applyAlignment="1" applyProtection="1">
      <alignment horizontal="left" vertical="top"/>
    </xf>
    <xf numFmtId="0" fontId="81" fillId="40" borderId="0" xfId="54" applyFont="1" applyFill="1" applyBorder="1" applyProtection="1"/>
    <xf numFmtId="0" fontId="13" fillId="40" borderId="0" xfId="54" applyFill="1" applyBorder="1" applyAlignment="1" applyProtection="1">
      <alignment horizontal="center"/>
    </xf>
    <xf numFmtId="0" fontId="13" fillId="40" borderId="0" xfId="54" applyFont="1" applyFill="1" applyBorder="1" applyAlignment="1" applyProtection="1">
      <alignment wrapText="1"/>
    </xf>
    <xf numFmtId="0" fontId="81" fillId="40" borderId="0" xfId="54" applyFont="1" applyFill="1" applyBorder="1" applyAlignment="1" applyProtection="1">
      <alignment vertical="top"/>
    </xf>
    <xf numFmtId="0" fontId="13" fillId="40" borderId="0" xfId="54" applyFont="1" applyFill="1" applyBorder="1" applyProtection="1"/>
    <xf numFmtId="0" fontId="77" fillId="40" borderId="0" xfId="54" applyFont="1" applyFill="1" applyBorder="1" applyAlignment="1" applyProtection="1">
      <alignment horizontal="left"/>
    </xf>
    <xf numFmtId="0" fontId="13" fillId="0" borderId="0" xfId="54" applyBorder="1" applyProtection="1"/>
    <xf numFmtId="0" fontId="13" fillId="40" borderId="0" xfId="54" quotePrefix="1" applyFont="1" applyFill="1" applyBorder="1" applyAlignment="1" applyProtection="1">
      <alignment horizontal="left" indent="1"/>
    </xf>
    <xf numFmtId="0" fontId="77" fillId="40" borderId="0" xfId="54" applyFont="1" applyFill="1" applyBorder="1" applyAlignment="1" applyProtection="1">
      <alignment horizontal="left" wrapText="1"/>
    </xf>
    <xf numFmtId="0" fontId="13" fillId="0" borderId="0" xfId="54" applyFill="1" applyBorder="1" applyProtection="1"/>
    <xf numFmtId="0" fontId="78" fillId="0" borderId="0" xfId="54" applyFont="1" applyBorder="1" applyAlignment="1" applyProtection="1">
      <alignment horizontal="left" vertical="top"/>
    </xf>
    <xf numFmtId="0" fontId="13" fillId="0" borderId="0" xfId="54" applyFill="1" applyAlignment="1" applyProtection="1">
      <alignment wrapText="1"/>
    </xf>
    <xf numFmtId="0" fontId="77" fillId="40" borderId="0" xfId="54" applyFont="1" applyFill="1" applyBorder="1" applyAlignment="1" applyProtection="1">
      <alignment wrapText="1"/>
    </xf>
    <xf numFmtId="0" fontId="77" fillId="40" borderId="0" xfId="54" applyFont="1" applyFill="1" applyBorder="1" applyAlignment="1" applyProtection="1"/>
    <xf numFmtId="0" fontId="77" fillId="40" borderId="0" xfId="54" applyFont="1" applyFill="1" applyBorder="1" applyAlignment="1" applyProtection="1">
      <alignment horizontal="center" vertical="center" textRotation="180" wrapText="1"/>
    </xf>
    <xf numFmtId="0" fontId="13" fillId="0" borderId="0" xfId="54" applyAlignment="1" applyProtection="1">
      <alignment wrapText="1"/>
    </xf>
    <xf numFmtId="0" fontId="13" fillId="0" borderId="0" xfId="54" applyFont="1" applyFill="1" applyProtection="1"/>
    <xf numFmtId="0" fontId="117" fillId="0" borderId="0" xfId="54" applyFont="1" applyProtection="1"/>
    <xf numFmtId="0" fontId="13" fillId="0" borderId="0" xfId="54" applyAlignment="1" applyProtection="1">
      <alignment vertical="center" wrapText="1"/>
    </xf>
    <xf numFmtId="0" fontId="78" fillId="40" borderId="0" xfId="54" applyFont="1" applyFill="1" applyBorder="1" applyAlignment="1" applyProtection="1">
      <alignment horizontal="center"/>
    </xf>
    <xf numFmtId="0" fontId="91" fillId="50" borderId="16" xfId="54" applyFont="1" applyFill="1" applyBorder="1" applyAlignment="1" applyProtection="1">
      <alignment horizontal="left" vertical="center"/>
    </xf>
    <xf numFmtId="0" fontId="77" fillId="50" borderId="2" xfId="54" applyFont="1" applyFill="1" applyBorder="1" applyAlignment="1" applyProtection="1">
      <alignment vertical="center" wrapText="1"/>
    </xf>
    <xf numFmtId="0" fontId="77" fillId="50" borderId="2" xfId="54" quotePrefix="1" applyFont="1" applyFill="1" applyBorder="1" applyAlignment="1" applyProtection="1">
      <alignment vertical="center" wrapText="1"/>
    </xf>
    <xf numFmtId="0" fontId="77" fillId="50" borderId="42" xfId="54" applyFont="1" applyFill="1" applyBorder="1" applyAlignment="1" applyProtection="1">
      <alignment vertical="center" wrapText="1"/>
    </xf>
    <xf numFmtId="0" fontId="13" fillId="40" borderId="0" xfId="54" applyFill="1" applyAlignment="1" applyProtection="1">
      <alignment vertical="center"/>
    </xf>
    <xf numFmtId="0" fontId="13" fillId="61" borderId="0" xfId="54" applyFill="1" applyAlignment="1" applyProtection="1">
      <alignment vertical="center"/>
    </xf>
    <xf numFmtId="0" fontId="77" fillId="62" borderId="0" xfId="54" applyFont="1" applyFill="1" applyBorder="1" applyAlignment="1" applyProtection="1">
      <alignment horizontal="left" wrapText="1"/>
    </xf>
    <xf numFmtId="0" fontId="77" fillId="0" borderId="0" xfId="54" applyFont="1" applyBorder="1" applyAlignment="1" applyProtection="1">
      <alignment horizontal="left" wrapText="1"/>
    </xf>
    <xf numFmtId="0" fontId="77" fillId="0" borderId="0" xfId="54" applyFont="1" applyBorder="1" applyAlignment="1" applyProtection="1">
      <alignment wrapText="1"/>
    </xf>
    <xf numFmtId="0" fontId="118" fillId="0" borderId="0" xfId="54" applyFont="1" applyProtection="1"/>
    <xf numFmtId="0" fontId="13" fillId="40" borderId="0" xfId="54" applyFill="1" applyBorder="1" applyAlignment="1" applyProtection="1">
      <alignment horizontal="left" vertical="center" wrapText="1" indent="1"/>
    </xf>
    <xf numFmtId="0" fontId="13" fillId="40" borderId="0" xfId="54" applyFill="1" applyBorder="1" applyAlignment="1" applyProtection="1">
      <alignment horizontal="left" vertical="center" indent="1"/>
    </xf>
    <xf numFmtId="0" fontId="78" fillId="40" borderId="0" xfId="54" applyFont="1" applyFill="1" applyBorder="1" applyAlignment="1" applyProtection="1">
      <alignment vertical="center" wrapText="1"/>
    </xf>
    <xf numFmtId="0" fontId="13" fillId="40" borderId="0" xfId="54" applyFill="1" applyBorder="1" applyAlignment="1" applyProtection="1">
      <alignment horizontal="center" vertical="center"/>
    </xf>
    <xf numFmtId="0" fontId="13" fillId="40" borderId="0" xfId="54" applyFill="1" applyBorder="1" applyAlignment="1" applyProtection="1">
      <alignment horizontal="left" vertical="center" wrapText="1"/>
    </xf>
    <xf numFmtId="0" fontId="118" fillId="40" borderId="0" xfId="54" applyFont="1" applyFill="1" applyProtection="1"/>
    <xf numFmtId="0" fontId="13" fillId="40" borderId="0" xfId="54" applyFill="1" applyAlignment="1" applyProtection="1">
      <alignment horizontal="left" wrapText="1"/>
    </xf>
    <xf numFmtId="0" fontId="77" fillId="40" borderId="0" xfId="54" applyFont="1" applyFill="1" applyAlignment="1" applyProtection="1">
      <alignment horizontal="left" wrapText="1"/>
    </xf>
    <xf numFmtId="0" fontId="13" fillId="0" borderId="0" xfId="54" applyFont="1" applyAlignment="1" applyProtection="1">
      <alignment wrapText="1"/>
    </xf>
    <xf numFmtId="0" fontId="15" fillId="0" borderId="0" xfId="54" applyFont="1" applyAlignment="1" applyProtection="1">
      <alignment wrapText="1"/>
    </xf>
    <xf numFmtId="0" fontId="77" fillId="0" borderId="0" xfId="54" applyFont="1" applyAlignment="1" applyProtection="1">
      <alignment wrapText="1"/>
    </xf>
    <xf numFmtId="0" fontId="119" fillId="26" borderId="0" xfId="54" applyFont="1" applyFill="1" applyProtection="1"/>
    <xf numFmtId="0" fontId="13" fillId="26" borderId="0" xfId="54" applyFont="1" applyFill="1" applyAlignment="1" applyProtection="1">
      <alignment wrapText="1"/>
    </xf>
    <xf numFmtId="0" fontId="88" fillId="0" borderId="0" xfId="54" applyFont="1" applyAlignment="1" applyProtection="1">
      <alignment wrapText="1"/>
    </xf>
    <xf numFmtId="0" fontId="77" fillId="50" borderId="2" xfId="54" applyNumberFormat="1" applyFont="1" applyFill="1" applyBorder="1" applyAlignment="1" applyProtection="1">
      <alignment vertical="center" wrapText="1"/>
    </xf>
    <xf numFmtId="0" fontId="91" fillId="50" borderId="42" xfId="54" applyFont="1" applyFill="1" applyBorder="1" applyAlignment="1" applyProtection="1">
      <alignment vertical="top" wrapText="1"/>
    </xf>
    <xf numFmtId="0" fontId="13" fillId="40" borderId="0" xfId="54" applyFont="1" applyFill="1" applyProtection="1"/>
    <xf numFmtId="0" fontId="13" fillId="40" borderId="0" xfId="54" applyFill="1" applyAlignment="1" applyProtection="1">
      <alignment vertical="top"/>
    </xf>
    <xf numFmtId="0" fontId="13" fillId="40" borderId="0" xfId="54" applyFill="1" applyBorder="1" applyAlignment="1" applyProtection="1">
      <alignment vertical="top"/>
    </xf>
    <xf numFmtId="0" fontId="13" fillId="40" borderId="0" xfId="54" applyFont="1" applyFill="1" applyBorder="1" applyAlignment="1" applyProtection="1">
      <alignment vertical="top"/>
    </xf>
    <xf numFmtId="0" fontId="72" fillId="0" borderId="1" xfId="54" applyFont="1" applyBorder="1" applyAlignment="1" applyProtection="1">
      <alignment horizontal="center"/>
    </xf>
    <xf numFmtId="0" fontId="72" fillId="0" borderId="1" xfId="54" applyFont="1" applyBorder="1" applyAlignment="1" applyProtection="1">
      <alignment horizontal="center" wrapText="1"/>
    </xf>
    <xf numFmtId="0" fontId="13" fillId="0" borderId="1" xfId="54" applyBorder="1" applyProtection="1"/>
    <xf numFmtId="165" fontId="13" fillId="0" borderId="1" xfId="54" applyNumberFormat="1" applyBorder="1" applyAlignment="1" applyProtection="1">
      <alignment horizontal="center"/>
    </xf>
    <xf numFmtId="0" fontId="13" fillId="0" borderId="1" xfId="54" applyBorder="1" applyAlignment="1" applyProtection="1">
      <alignment horizontal="center"/>
    </xf>
    <xf numFmtId="0" fontId="13" fillId="0" borderId="1" xfId="54" applyBorder="1" applyAlignment="1" applyProtection="1">
      <alignment wrapText="1"/>
    </xf>
    <xf numFmtId="0" fontId="13" fillId="0" borderId="0" xfId="54" applyFill="1" applyAlignment="1" applyProtection="1">
      <alignment horizontal="left" indent="1"/>
    </xf>
    <xf numFmtId="0" fontId="13" fillId="0" borderId="0" xfId="54" applyFill="1" applyBorder="1" applyAlignment="1" applyProtection="1">
      <alignment horizontal="left" indent="1"/>
    </xf>
    <xf numFmtId="0" fontId="13" fillId="0" borderId="0" xfId="54" applyBorder="1" applyAlignment="1" applyProtection="1">
      <alignment horizontal="left" indent="1"/>
    </xf>
    <xf numFmtId="0" fontId="13" fillId="0" borderId="0" xfId="54" applyAlignment="1" applyProtection="1">
      <alignment horizontal="left" indent="1"/>
    </xf>
    <xf numFmtId="0" fontId="13" fillId="40" borderId="0" xfId="54" applyFill="1" applyBorder="1" applyAlignment="1" applyProtection="1">
      <alignment vertical="center" wrapText="1"/>
    </xf>
    <xf numFmtId="0" fontId="78" fillId="40" borderId="0" xfId="54" applyFont="1" applyFill="1" applyBorder="1" applyAlignment="1" applyProtection="1">
      <alignment horizontal="left" vertical="center" wrapText="1"/>
    </xf>
    <xf numFmtId="0" fontId="78" fillId="0" borderId="0" xfId="54" applyFont="1" applyBorder="1" applyProtection="1"/>
    <xf numFmtId="0" fontId="13" fillId="0" borderId="0" xfId="54" applyBorder="1" applyAlignment="1" applyProtection="1">
      <alignment horizontal="left" vertical="top"/>
    </xf>
    <xf numFmtId="0" fontId="13" fillId="0" borderId="0" xfId="54" applyFill="1" applyAlignment="1" applyProtection="1">
      <alignment horizontal="left" vertical="top" wrapText="1"/>
    </xf>
    <xf numFmtId="0" fontId="77" fillId="40" borderId="28" xfId="54" applyFont="1" applyFill="1" applyBorder="1" applyAlignment="1" applyProtection="1">
      <alignment horizontal="left" vertical="top"/>
    </xf>
    <xf numFmtId="0" fontId="13" fillId="0" borderId="84" xfId="54" applyBorder="1" applyAlignment="1" applyProtection="1">
      <alignment vertical="top" wrapText="1"/>
    </xf>
    <xf numFmtId="0" fontId="13" fillId="40" borderId="40" xfId="54" applyFill="1" applyBorder="1" applyAlignment="1" applyProtection="1">
      <alignment horizontal="left" vertical="top" wrapText="1"/>
    </xf>
    <xf numFmtId="0" fontId="13" fillId="0" borderId="0" xfId="54" applyFill="1" applyBorder="1" applyAlignment="1" applyProtection="1">
      <alignment horizontal="left" vertical="top"/>
    </xf>
    <xf numFmtId="0" fontId="13" fillId="0" borderId="0" xfId="54" applyAlignment="1" applyProtection="1">
      <alignment horizontal="left" vertical="top"/>
    </xf>
    <xf numFmtId="0" fontId="13" fillId="0" borderId="0" xfId="54" applyFill="1" applyAlignment="1" applyProtection="1">
      <alignment horizontal="left" vertical="top"/>
    </xf>
    <xf numFmtId="0" fontId="13" fillId="0" borderId="86" xfId="54" applyBorder="1" applyAlignment="1" applyProtection="1">
      <alignment vertical="top" wrapText="1"/>
    </xf>
    <xf numFmtId="0" fontId="13" fillId="0" borderId="0" xfId="54" applyBorder="1" applyAlignment="1" applyProtection="1">
      <alignment vertical="top" wrapText="1"/>
    </xf>
    <xf numFmtId="0" fontId="13" fillId="40" borderId="41" xfId="54" applyFill="1" applyBorder="1" applyAlignment="1" applyProtection="1">
      <alignment horizontal="left" vertical="top" wrapText="1"/>
    </xf>
    <xf numFmtId="0" fontId="13" fillId="0" borderId="86" xfId="54" applyBorder="1" applyAlignment="1" applyProtection="1">
      <alignment horizontal="left" vertical="top"/>
    </xf>
    <xf numFmtId="0" fontId="13" fillId="0" borderId="86" xfId="54" applyBorder="1" applyAlignment="1" applyProtection="1">
      <alignment wrapText="1"/>
    </xf>
    <xf numFmtId="0" fontId="13" fillId="0" borderId="0" xfId="54" applyBorder="1" applyAlignment="1" applyProtection="1">
      <alignment wrapText="1"/>
    </xf>
    <xf numFmtId="0" fontId="13" fillId="40" borderId="39" xfId="54" applyFill="1" applyBorder="1" applyAlignment="1" applyProtection="1">
      <alignment horizontal="left" vertical="top" wrapText="1"/>
    </xf>
    <xf numFmtId="0" fontId="77" fillId="40" borderId="27" xfId="54" applyFont="1" applyFill="1" applyBorder="1" applyAlignment="1" applyProtection="1">
      <alignment horizontal="left" vertical="top"/>
    </xf>
    <xf numFmtId="0" fontId="13" fillId="0" borderId="93" xfId="54" applyBorder="1" applyAlignment="1" applyProtection="1">
      <alignment wrapText="1"/>
    </xf>
    <xf numFmtId="0" fontId="13" fillId="40" borderId="1" xfId="54" applyFill="1" applyBorder="1" applyAlignment="1" applyProtection="1">
      <alignment horizontal="left" vertical="top" wrapText="1"/>
    </xf>
    <xf numFmtId="0" fontId="77" fillId="40" borderId="86" xfId="54" applyFont="1" applyFill="1" applyBorder="1" applyAlignment="1" applyProtection="1">
      <alignment horizontal="left" vertical="top"/>
    </xf>
    <xf numFmtId="0" fontId="13" fillId="25" borderId="0" xfId="54" applyFill="1" applyBorder="1" applyAlignment="1" applyProtection="1">
      <alignment horizontal="left" vertical="top" wrapText="1"/>
    </xf>
    <xf numFmtId="0" fontId="13" fillId="25" borderId="0" xfId="54" applyFont="1" applyFill="1" applyBorder="1" applyAlignment="1" applyProtection="1">
      <alignment horizontal="left" vertical="top" wrapText="1"/>
    </xf>
    <xf numFmtId="0" fontId="13" fillId="25" borderId="41" xfId="54" applyFont="1" applyFill="1" applyBorder="1" applyAlignment="1" applyProtection="1">
      <alignment horizontal="left" vertical="top" wrapText="1"/>
    </xf>
    <xf numFmtId="0" fontId="13" fillId="0" borderId="0" xfId="54" applyFont="1" applyFill="1" applyAlignment="1" applyProtection="1">
      <alignment wrapText="1"/>
    </xf>
    <xf numFmtId="0" fontId="120" fillId="0" borderId="0" xfId="54" applyFont="1" applyBorder="1" applyProtection="1"/>
    <xf numFmtId="0" fontId="13" fillId="40" borderId="0" xfId="54" applyFill="1" applyBorder="1" applyAlignment="1" applyProtection="1">
      <alignment horizontal="left" vertical="top" wrapText="1"/>
    </xf>
    <xf numFmtId="0" fontId="78" fillId="40" borderId="0" xfId="54" applyFont="1" applyFill="1" applyBorder="1" applyAlignment="1" applyProtection="1">
      <alignment horizontal="left" vertical="top" wrapText="1"/>
    </xf>
    <xf numFmtId="0" fontId="118" fillId="0" borderId="0" xfId="54" applyFont="1" applyFill="1" applyBorder="1" applyProtection="1"/>
    <xf numFmtId="0" fontId="13" fillId="40" borderId="0" xfId="54" applyFont="1" applyFill="1" applyBorder="1" applyAlignment="1" applyProtection="1">
      <alignment horizontal="left" wrapText="1"/>
    </xf>
    <xf numFmtId="0" fontId="13" fillId="50" borderId="2" xfId="54" applyFill="1" applyBorder="1" applyAlignment="1" applyProtection="1">
      <alignment vertical="top" wrapText="1"/>
    </xf>
    <xf numFmtId="0" fontId="13" fillId="29" borderId="0" xfId="54" applyFill="1" applyAlignment="1" applyProtection="1">
      <alignment vertical="center"/>
    </xf>
    <xf numFmtId="0" fontId="13" fillId="40" borderId="0" xfId="54" applyFont="1" applyFill="1" applyBorder="1" applyAlignment="1" applyProtection="1">
      <alignment horizontal="left" vertical="top"/>
    </xf>
    <xf numFmtId="0" fontId="81" fillId="40" borderId="0" xfId="54" applyFont="1" applyFill="1" applyBorder="1" applyAlignment="1" applyProtection="1">
      <alignment horizontal="left" vertical="top"/>
    </xf>
    <xf numFmtId="0" fontId="13" fillId="0" borderId="0" xfId="54" applyFill="1" applyBorder="1" applyAlignment="1" applyProtection="1">
      <alignment wrapText="1"/>
    </xf>
    <xf numFmtId="0" fontId="13" fillId="0" borderId="0" xfId="54" applyBorder="1" applyAlignment="1" applyProtection="1">
      <alignment horizontal="left" vertical="top" wrapText="1"/>
    </xf>
    <xf numFmtId="0" fontId="77" fillId="0" borderId="28" xfId="54" applyFont="1" applyBorder="1" applyAlignment="1" applyProtection="1">
      <alignment vertical="top"/>
    </xf>
    <xf numFmtId="0" fontId="77" fillId="0" borderId="86" xfId="54" applyFont="1" applyBorder="1" applyAlignment="1" applyProtection="1">
      <alignment vertical="top" wrapText="1"/>
    </xf>
    <xf numFmtId="0" fontId="13" fillId="0" borderId="0" xfId="54" applyAlignment="1" applyProtection="1">
      <alignment horizontal="left" vertical="top" wrapText="1"/>
    </xf>
    <xf numFmtId="0" fontId="13" fillId="40" borderId="3" xfId="54" applyFill="1" applyBorder="1" applyAlignment="1" applyProtection="1">
      <alignment horizontal="left" vertical="top" wrapText="1"/>
    </xf>
    <xf numFmtId="0" fontId="13" fillId="25" borderId="0" xfId="54" applyFill="1" applyAlignment="1" applyProtection="1">
      <alignment wrapText="1"/>
    </xf>
    <xf numFmtId="0" fontId="13" fillId="25" borderId="84" xfId="54" applyFill="1" applyBorder="1" applyAlignment="1" applyProtection="1">
      <alignment horizontal="left" vertical="top" wrapText="1"/>
    </xf>
    <xf numFmtId="0" fontId="13" fillId="25" borderId="84" xfId="54" applyFont="1" applyFill="1" applyBorder="1" applyAlignment="1" applyProtection="1">
      <alignment horizontal="left" vertical="top" wrapText="1"/>
    </xf>
    <xf numFmtId="0" fontId="13" fillId="25" borderId="40" xfId="54" applyFont="1" applyFill="1" applyBorder="1" applyAlignment="1" applyProtection="1">
      <alignment horizontal="left" vertical="top" wrapText="1"/>
    </xf>
    <xf numFmtId="0" fontId="13" fillId="0" borderId="93" xfId="54" applyBorder="1" applyAlignment="1" applyProtection="1">
      <alignment vertical="top" wrapText="1"/>
    </xf>
    <xf numFmtId="0" fontId="13" fillId="0" borderId="84" xfId="54" applyBorder="1" applyAlignment="1" applyProtection="1">
      <alignment vertical="top"/>
    </xf>
    <xf numFmtId="0" fontId="13" fillId="0" borderId="86" xfId="54" applyBorder="1" applyAlignment="1" applyProtection="1">
      <alignment vertical="top"/>
    </xf>
    <xf numFmtId="0" fontId="13" fillId="0" borderId="0" xfId="54" applyBorder="1" applyAlignment="1" applyProtection="1">
      <alignment vertical="top"/>
    </xf>
    <xf numFmtId="0" fontId="13" fillId="0" borderId="93" xfId="54" applyBorder="1" applyAlignment="1" applyProtection="1">
      <alignment vertical="top"/>
    </xf>
    <xf numFmtId="0" fontId="13" fillId="25" borderId="84" xfId="54" applyFont="1" applyFill="1" applyBorder="1" applyAlignment="1" applyProtection="1">
      <alignment vertical="top" wrapText="1"/>
    </xf>
    <xf numFmtId="0" fontId="13" fillId="25" borderId="0" xfId="54" applyFill="1" applyProtection="1"/>
    <xf numFmtId="0" fontId="13" fillId="0" borderId="0" xfId="54" applyFill="1" applyBorder="1" applyAlignment="1" applyProtection="1">
      <alignment vertical="center"/>
    </xf>
    <xf numFmtId="0" fontId="13" fillId="40" borderId="0" xfId="54" applyFill="1" applyAlignment="1" applyProtection="1">
      <alignment horizontal="left" vertical="top"/>
    </xf>
    <xf numFmtId="0" fontId="13" fillId="40" borderId="0" xfId="54" quotePrefix="1" applyFont="1" applyFill="1" applyBorder="1" applyAlignment="1" applyProtection="1">
      <alignment horizontal="left" vertical="top" wrapText="1"/>
    </xf>
    <xf numFmtId="0" fontId="13" fillId="40" borderId="0" xfId="54" applyFont="1" applyFill="1" applyBorder="1" applyAlignment="1" applyProtection="1">
      <alignment horizontal="left" vertical="top" wrapText="1"/>
    </xf>
    <xf numFmtId="0" fontId="13" fillId="0" borderId="84" xfId="54" applyFont="1" applyBorder="1" applyAlignment="1" applyProtection="1">
      <alignment vertical="top"/>
    </xf>
    <xf numFmtId="0" fontId="13" fillId="0" borderId="0" xfId="54" applyFill="1" applyBorder="1" applyAlignment="1" applyProtection="1">
      <alignment horizontal="left" vertical="center" wrapText="1"/>
    </xf>
    <xf numFmtId="0" fontId="13" fillId="0" borderId="0" xfId="54" applyBorder="1" applyAlignment="1" applyProtection="1">
      <alignment horizontal="left" vertical="center" wrapText="1"/>
    </xf>
    <xf numFmtId="0" fontId="104" fillId="50" borderId="2" xfId="54" applyFont="1" applyFill="1" applyBorder="1" applyAlignment="1" applyProtection="1">
      <alignment horizontal="left" vertical="center"/>
    </xf>
    <xf numFmtId="0" fontId="91" fillId="50" borderId="2" xfId="54" quotePrefix="1" applyFont="1" applyFill="1" applyBorder="1" applyAlignment="1" applyProtection="1">
      <alignment horizontal="left" vertical="top" wrapText="1"/>
    </xf>
    <xf numFmtId="0" fontId="104" fillId="50" borderId="2" xfId="54" applyFont="1" applyFill="1" applyBorder="1" applyAlignment="1" applyProtection="1">
      <alignment horizontal="left" vertical="center" wrapText="1"/>
    </xf>
    <xf numFmtId="0" fontId="77" fillId="40" borderId="0" xfId="54" applyFont="1" applyFill="1" applyBorder="1" applyAlignment="1" applyProtection="1">
      <alignment horizontal="center" vertical="center" wrapText="1"/>
    </xf>
    <xf numFmtId="0" fontId="104" fillId="40" borderId="0" xfId="54" applyFont="1" applyFill="1" applyBorder="1" applyAlignment="1" applyProtection="1">
      <alignment horizontal="center" vertical="center" wrapText="1"/>
    </xf>
    <xf numFmtId="0" fontId="78" fillId="0" borderId="0" xfId="54" applyFont="1" applyFill="1" applyBorder="1" applyAlignment="1" applyProtection="1">
      <alignment horizontal="left" vertical="top"/>
    </xf>
    <xf numFmtId="0" fontId="88" fillId="0" borderId="0" xfId="54" applyFont="1" applyFill="1" applyBorder="1" applyProtection="1"/>
    <xf numFmtId="0" fontId="88" fillId="0" borderId="0" xfId="54" applyFont="1" applyProtection="1"/>
    <xf numFmtId="0" fontId="13" fillId="40" borderId="40" xfId="54" applyFill="1" applyBorder="1" applyAlignment="1" applyProtection="1">
      <alignment horizontal="center"/>
    </xf>
    <xf numFmtId="0" fontId="13" fillId="40" borderId="41" xfId="54" applyFill="1" applyBorder="1" applyAlignment="1" applyProtection="1">
      <alignment horizontal="center"/>
    </xf>
    <xf numFmtId="0" fontId="13" fillId="40" borderId="0" xfId="54" applyFont="1" applyFill="1" applyBorder="1" applyAlignment="1" applyProtection="1">
      <alignment horizontal="left" vertical="center" wrapText="1"/>
    </xf>
    <xf numFmtId="0" fontId="13" fillId="40" borderId="0" xfId="54" applyFill="1" applyBorder="1" applyAlignment="1" applyProtection="1">
      <alignment horizontal="left"/>
    </xf>
    <xf numFmtId="0" fontId="77" fillId="40" borderId="0" xfId="54" applyFont="1" applyFill="1" applyBorder="1" applyProtection="1"/>
    <xf numFmtId="0" fontId="13" fillId="40" borderId="0" xfId="54" applyFont="1" applyFill="1" applyBorder="1" applyAlignment="1" applyProtection="1">
      <alignment horizontal="left"/>
    </xf>
    <xf numFmtId="0" fontId="77" fillId="62" borderId="93" xfId="54" applyFont="1" applyFill="1" applyBorder="1" applyAlignment="1" applyProtection="1">
      <alignment wrapText="1"/>
    </xf>
    <xf numFmtId="0" fontId="77" fillId="0" borderId="93" xfId="54" applyFont="1" applyBorder="1" applyAlignment="1" applyProtection="1">
      <alignment wrapText="1"/>
    </xf>
    <xf numFmtId="0" fontId="77" fillId="50" borderId="2" xfId="54" quotePrefix="1" applyFont="1" applyFill="1" applyBorder="1" applyAlignment="1" applyProtection="1">
      <alignment vertical="center"/>
    </xf>
    <xf numFmtId="0" fontId="13" fillId="50" borderId="2" xfId="54" applyFill="1" applyBorder="1" applyAlignment="1" applyProtection="1">
      <alignment vertical="top"/>
    </xf>
    <xf numFmtId="0" fontId="15" fillId="40" borderId="0" xfId="54" applyFont="1" applyFill="1" applyBorder="1" applyProtection="1"/>
    <xf numFmtId="0" fontId="15" fillId="40" borderId="0" xfId="54" applyFont="1" applyFill="1" applyBorder="1" applyAlignment="1" applyProtection="1">
      <alignment horizontal="left"/>
    </xf>
    <xf numFmtId="0" fontId="77" fillId="40" borderId="93" xfId="54" applyFont="1" applyFill="1" applyBorder="1" applyAlignment="1" applyProtection="1"/>
    <xf numFmtId="0" fontId="13" fillId="40" borderId="0" xfId="54" applyFont="1" applyFill="1" applyAlignment="1" applyProtection="1">
      <alignment wrapText="1"/>
    </xf>
    <xf numFmtId="0" fontId="91" fillId="50" borderId="2" xfId="54" applyFont="1" applyFill="1" applyBorder="1" applyAlignment="1" applyProtection="1">
      <alignment vertical="center" wrapText="1"/>
    </xf>
    <xf numFmtId="0" fontId="91" fillId="50" borderId="2" xfId="54" applyFont="1" applyFill="1" applyBorder="1" applyAlignment="1" applyProtection="1">
      <alignment horizontal="center" vertical="center"/>
    </xf>
    <xf numFmtId="0" fontId="91" fillId="50" borderId="2" xfId="54" applyFont="1" applyFill="1" applyBorder="1" applyAlignment="1" applyProtection="1">
      <alignment vertical="top"/>
    </xf>
    <xf numFmtId="0" fontId="13" fillId="0" borderId="0" xfId="54" applyFont="1" applyFill="1" applyBorder="1" applyProtection="1"/>
    <xf numFmtId="0" fontId="13" fillId="40" borderId="0" xfId="54" applyFont="1" applyFill="1" applyBorder="1" applyAlignment="1" applyProtection="1"/>
    <xf numFmtId="0" fontId="77" fillId="40" borderId="101" xfId="54" applyFont="1" applyFill="1" applyBorder="1" applyAlignment="1" applyProtection="1">
      <alignment wrapText="1"/>
    </xf>
    <xf numFmtId="0" fontId="13" fillId="62" borderId="0" xfId="54" applyFill="1" applyBorder="1" applyAlignment="1" applyProtection="1">
      <alignment vertical="top" wrapText="1"/>
    </xf>
    <xf numFmtId="0" fontId="13" fillId="62" borderId="0" xfId="54" applyFill="1" applyBorder="1" applyAlignment="1" applyProtection="1">
      <alignment horizontal="left" vertical="top" wrapText="1"/>
    </xf>
    <xf numFmtId="0" fontId="77" fillId="40" borderId="116" xfId="54" applyFont="1" applyFill="1" applyBorder="1" applyAlignment="1" applyProtection="1">
      <alignment wrapText="1"/>
    </xf>
    <xf numFmtId="0" fontId="88" fillId="40" borderId="0" xfId="54" applyFont="1" applyFill="1" applyBorder="1" applyProtection="1"/>
    <xf numFmtId="0" fontId="78" fillId="40" borderId="0" xfId="54" applyFont="1" applyFill="1" applyBorder="1" applyProtection="1"/>
    <xf numFmtId="0" fontId="118" fillId="40" borderId="0" xfId="54" applyFont="1" applyFill="1" applyBorder="1" applyProtection="1"/>
    <xf numFmtId="0" fontId="88" fillId="40" borderId="41" xfId="54" applyFont="1" applyFill="1" applyBorder="1" applyAlignment="1" applyProtection="1">
      <alignment horizontal="left" vertical="top" wrapText="1"/>
    </xf>
    <xf numFmtId="0" fontId="13" fillId="0" borderId="41" xfId="54" applyFont="1" applyBorder="1" applyAlignment="1" applyProtection="1">
      <alignment vertical="top" wrapText="1"/>
    </xf>
    <xf numFmtId="0" fontId="13" fillId="0" borderId="0" xfId="54" applyFont="1" applyFill="1" applyAlignment="1" applyProtection="1">
      <alignment vertical="center"/>
    </xf>
    <xf numFmtId="0" fontId="15" fillId="26" borderId="0" xfId="54" applyFont="1" applyFill="1" applyAlignment="1" applyProtection="1">
      <alignment wrapText="1"/>
    </xf>
    <xf numFmtId="0" fontId="13" fillId="40" borderId="0" xfId="54" applyFont="1" applyFill="1" applyAlignment="1" applyProtection="1">
      <alignment vertical="center"/>
    </xf>
    <xf numFmtId="0" fontId="77" fillId="0" borderId="1" xfId="54" applyFont="1" applyBorder="1" applyAlignment="1" applyProtection="1">
      <alignment horizontal="center" vertical="center" wrapText="1"/>
    </xf>
    <xf numFmtId="0" fontId="77" fillId="0" borderId="16" xfId="54" applyFont="1" applyBorder="1" applyAlignment="1" applyProtection="1">
      <alignment horizontal="center" vertical="center" wrapText="1"/>
    </xf>
    <xf numFmtId="0" fontId="13" fillId="43" borderId="16" xfId="54" applyNumberFormat="1" applyFill="1" applyBorder="1" applyAlignment="1" applyProtection="1">
      <alignment horizontal="center"/>
    </xf>
    <xf numFmtId="0" fontId="13" fillId="43" borderId="0" xfId="54" applyFill="1" applyAlignment="1" applyProtection="1">
      <alignment vertical="center"/>
    </xf>
    <xf numFmtId="0" fontId="80" fillId="40" borderId="0" xfId="54" applyFont="1" applyFill="1" applyBorder="1" applyAlignment="1" applyProtection="1">
      <alignment horizontal="left"/>
    </xf>
    <xf numFmtId="0" fontId="116" fillId="50" borderId="16" xfId="54" applyFont="1" applyFill="1" applyBorder="1" applyAlignment="1" applyProtection="1">
      <alignment horizontal="left" vertical="top"/>
    </xf>
    <xf numFmtId="0" fontId="81" fillId="40" borderId="84" xfId="54" applyFont="1" applyFill="1" applyBorder="1" applyAlignment="1" applyProtection="1"/>
    <xf numFmtId="0" fontId="13" fillId="40" borderId="0" xfId="54" applyFill="1" applyBorder="1" applyAlignment="1" applyProtection="1">
      <alignment wrapText="1"/>
    </xf>
    <xf numFmtId="0" fontId="91" fillId="50" borderId="2" xfId="54" applyFont="1" applyFill="1" applyBorder="1" applyAlignment="1" applyProtection="1">
      <alignment vertical="top" wrapText="1"/>
    </xf>
    <xf numFmtId="0" fontId="91" fillId="50" borderId="2" xfId="54" applyFont="1" applyFill="1" applyBorder="1" applyAlignment="1" applyProtection="1">
      <alignment horizontal="left" vertical="top" wrapText="1"/>
    </xf>
    <xf numFmtId="0" fontId="116" fillId="50" borderId="1" xfId="54" applyFont="1" applyFill="1" applyBorder="1" applyAlignment="1" applyProtection="1">
      <alignment horizontal="left" vertical="top" wrapText="1"/>
    </xf>
    <xf numFmtId="0" fontId="13" fillId="40" borderId="0" xfId="54" applyFill="1" applyBorder="1" applyAlignment="1" applyProtection="1">
      <alignment vertical="center"/>
    </xf>
    <xf numFmtId="0" fontId="13" fillId="40" borderId="84" xfId="54" applyFill="1" applyBorder="1" applyAlignment="1" applyProtection="1">
      <alignment horizontal="center"/>
    </xf>
    <xf numFmtId="0" fontId="13" fillId="40" borderId="84" xfId="54" applyFill="1" applyBorder="1" applyProtection="1"/>
    <xf numFmtId="0" fontId="13" fillId="0" borderId="0" xfId="54" applyFont="1" applyBorder="1" applyProtection="1"/>
    <xf numFmtId="0" fontId="15" fillId="0" borderId="0" xfId="54" applyFont="1" applyBorder="1" applyAlignment="1" applyProtection="1">
      <alignment wrapText="1"/>
    </xf>
    <xf numFmtId="0" fontId="13" fillId="0" borderId="0" xfId="54" applyFill="1" applyBorder="1" applyAlignment="1" applyProtection="1">
      <alignment horizontal="left" wrapText="1"/>
    </xf>
    <xf numFmtId="0" fontId="13" fillId="0" borderId="0" xfId="54" applyFill="1" applyBorder="1" applyAlignment="1" applyProtection="1">
      <alignment vertical="top" wrapText="1"/>
    </xf>
    <xf numFmtId="0" fontId="13" fillId="40" borderId="0" xfId="54" applyFill="1" applyBorder="1" applyAlignment="1" applyProtection="1">
      <alignment horizontal="left" wrapText="1"/>
    </xf>
    <xf numFmtId="0" fontId="13" fillId="40" borderId="84" xfId="54" applyFill="1" applyBorder="1" applyAlignment="1" applyProtection="1">
      <alignment horizontal="left" wrapText="1"/>
    </xf>
    <xf numFmtId="0" fontId="77" fillId="40" borderId="93" xfId="54" applyFont="1" applyFill="1" applyBorder="1" applyAlignment="1" applyProtection="1">
      <alignment wrapText="1"/>
    </xf>
    <xf numFmtId="0" fontId="77" fillId="40" borderId="84" xfId="54" applyFont="1" applyFill="1" applyBorder="1" applyAlignment="1" applyProtection="1">
      <alignment horizontal="left" wrapText="1"/>
    </xf>
    <xf numFmtId="0" fontId="121" fillId="26" borderId="0" xfId="54" applyFont="1" applyFill="1" applyBorder="1" applyProtection="1"/>
    <xf numFmtId="0" fontId="121" fillId="0" borderId="0" xfId="54" applyFont="1" applyAlignment="1" applyProtection="1">
      <alignment wrapText="1"/>
    </xf>
    <xf numFmtId="0" fontId="15" fillId="0" borderId="0" xfId="54" applyFont="1" applyFill="1" applyProtection="1"/>
    <xf numFmtId="0" fontId="15" fillId="0" borderId="0" xfId="54" applyFont="1" applyFill="1" applyAlignment="1" applyProtection="1">
      <alignment horizontal="left" vertical="top"/>
    </xf>
    <xf numFmtId="0" fontId="13" fillId="0" borderId="28" xfId="54" applyFill="1" applyBorder="1" applyAlignment="1" applyProtection="1">
      <alignment vertical="top"/>
    </xf>
    <xf numFmtId="0" fontId="13" fillId="40" borderId="0" xfId="54" applyFont="1" applyFill="1" applyBorder="1" applyAlignment="1" applyProtection="1">
      <alignment horizontal="right" vertical="center"/>
    </xf>
    <xf numFmtId="0" fontId="13" fillId="40" borderId="86" xfId="54" applyFill="1" applyBorder="1" applyProtection="1"/>
    <xf numFmtId="0" fontId="13" fillId="40" borderId="41" xfId="54" applyFont="1" applyFill="1" applyBorder="1" applyAlignment="1" applyProtection="1">
      <alignment horizontal="right" vertical="center"/>
    </xf>
    <xf numFmtId="0" fontId="13" fillId="40" borderId="27" xfId="54" applyFill="1" applyBorder="1" applyProtection="1"/>
    <xf numFmtId="0" fontId="13" fillId="40" borderId="93" xfId="54" applyFill="1" applyBorder="1" applyProtection="1"/>
    <xf numFmtId="0" fontId="13" fillId="40" borderId="93" xfId="54" applyFont="1" applyFill="1" applyBorder="1" applyAlignment="1" applyProtection="1">
      <alignment horizontal="right" vertical="center"/>
    </xf>
    <xf numFmtId="0" fontId="13" fillId="0" borderId="16" xfId="54" applyFont="1" applyBorder="1" applyAlignment="1" applyProtection="1">
      <alignment horizontal="left" vertical="top" wrapText="1"/>
    </xf>
    <xf numFmtId="0" fontId="88" fillId="0" borderId="0" xfId="54" applyFont="1" applyFill="1" applyProtection="1"/>
    <xf numFmtId="0" fontId="15" fillId="0" borderId="0" xfId="54" applyFont="1" applyFill="1" applyAlignment="1" applyProtection="1">
      <alignment wrapText="1"/>
    </xf>
    <xf numFmtId="0" fontId="85" fillId="40" borderId="0" xfId="54" applyFont="1" applyFill="1" applyBorder="1" applyAlignment="1" applyProtection="1">
      <alignment horizontal="left" vertical="center" wrapText="1"/>
    </xf>
    <xf numFmtId="0" fontId="91" fillId="50" borderId="2" xfId="54" applyFont="1" applyFill="1" applyBorder="1" applyAlignment="1" applyProtection="1">
      <alignment horizontal="left" vertical="center"/>
    </xf>
    <xf numFmtId="0" fontId="116" fillId="40" borderId="0" xfId="54" applyFont="1" applyFill="1" applyBorder="1" applyAlignment="1" applyProtection="1">
      <alignment horizontal="left" vertical="top"/>
    </xf>
    <xf numFmtId="0" fontId="15" fillId="40" borderId="0" xfId="54" applyFont="1" applyFill="1" applyBorder="1" applyAlignment="1" applyProtection="1">
      <alignment horizontal="left" vertical="top"/>
    </xf>
    <xf numFmtId="0" fontId="15" fillId="40" borderId="0" xfId="54" applyFont="1" applyFill="1" applyAlignment="1" applyProtection="1">
      <alignment wrapText="1"/>
    </xf>
    <xf numFmtId="0" fontId="13" fillId="0" borderId="0" xfId="54" applyFont="1" applyFill="1" applyBorder="1" applyAlignment="1" applyProtection="1">
      <alignment horizontal="left" vertical="top" wrapText="1"/>
    </xf>
    <xf numFmtId="0" fontId="13" fillId="40" borderId="0" xfId="54" applyFont="1" applyFill="1" applyBorder="1" applyAlignment="1" applyProtection="1">
      <alignment horizontal="center" vertical="center" wrapText="1"/>
    </xf>
    <xf numFmtId="0" fontId="77" fillId="0" borderId="0" xfId="54" applyFont="1" applyFill="1" applyBorder="1" applyAlignment="1" applyProtection="1">
      <alignment horizontal="left" vertical="top"/>
    </xf>
    <xf numFmtId="0" fontId="13" fillId="0" borderId="93" xfId="54" applyFont="1" applyFill="1" applyBorder="1" applyAlignment="1" applyProtection="1">
      <alignment horizontal="left" vertical="top" wrapText="1"/>
    </xf>
    <xf numFmtId="0" fontId="77" fillId="0" borderId="35" xfId="54" applyFont="1" applyBorder="1" applyAlignment="1" applyProtection="1">
      <alignment horizontal="center" vertical="center" wrapText="1"/>
    </xf>
    <xf numFmtId="1" fontId="13" fillId="43" borderId="1" xfId="54" applyNumberFormat="1" applyFont="1" applyFill="1" applyBorder="1" applyAlignment="1" applyProtection="1">
      <alignment horizontal="center" wrapText="1"/>
    </xf>
    <xf numFmtId="2" fontId="13" fillId="43" borderId="1" xfId="54" applyNumberFormat="1" applyFill="1" applyBorder="1" applyAlignment="1" applyProtection="1">
      <alignment horizontal="center"/>
    </xf>
    <xf numFmtId="0" fontId="77" fillId="40" borderId="0" xfId="54" applyFont="1" applyFill="1" applyAlignment="1" applyProtection="1">
      <alignment horizontal="center" vertical="center" wrapText="1"/>
    </xf>
    <xf numFmtId="0" fontId="13" fillId="40" borderId="0" xfId="54" applyFont="1" applyFill="1" applyAlignment="1" applyProtection="1">
      <alignment horizontal="center" vertical="center" wrapText="1"/>
    </xf>
    <xf numFmtId="0" fontId="13" fillId="40" borderId="0" xfId="54" applyFont="1" applyFill="1" applyAlignment="1" applyProtection="1">
      <alignment horizontal="center"/>
    </xf>
    <xf numFmtId="0" fontId="77" fillId="0" borderId="0" xfId="54" applyFont="1" applyAlignment="1" applyProtection="1">
      <alignment horizontal="center" vertical="center" wrapText="1"/>
    </xf>
    <xf numFmtId="0" fontId="13" fillId="40" borderId="0" xfId="54" applyFill="1" applyAlignment="1" applyProtection="1">
      <alignment horizontal="center" vertical="center" wrapText="1"/>
    </xf>
    <xf numFmtId="0" fontId="91" fillId="50" borderId="2" xfId="54" quotePrefix="1" applyFont="1" applyFill="1" applyBorder="1" applyAlignment="1" applyProtection="1">
      <alignment horizontal="left" vertical="center"/>
    </xf>
    <xf numFmtId="14" fontId="13" fillId="40" borderId="0" xfId="54" applyNumberFormat="1" applyFill="1" applyBorder="1" applyAlignment="1" applyProtection="1">
      <alignment horizontal="left"/>
    </xf>
    <xf numFmtId="0" fontId="77" fillId="62" borderId="0" xfId="54" applyFont="1" applyFill="1" applyBorder="1" applyAlignment="1" applyProtection="1">
      <alignment wrapText="1"/>
    </xf>
    <xf numFmtId="0" fontId="77" fillId="0" borderId="0" xfId="54" applyFont="1" applyAlignment="1" applyProtection="1">
      <alignment vertical="top" wrapText="1"/>
    </xf>
    <xf numFmtId="0" fontId="88" fillId="40" borderId="0" xfId="54" applyFont="1" applyFill="1" applyAlignment="1" applyProtection="1">
      <alignment wrapText="1"/>
    </xf>
    <xf numFmtId="0" fontId="13" fillId="40" borderId="1" xfId="54" applyFont="1" applyFill="1" applyBorder="1" applyAlignment="1" applyProtection="1">
      <alignment horizontal="center"/>
    </xf>
    <xf numFmtId="0" fontId="13" fillId="40" borderId="1" xfId="54" applyFont="1" applyFill="1" applyBorder="1" applyAlignment="1" applyProtection="1">
      <alignment horizontal="center" vertical="center" wrapText="1"/>
    </xf>
    <xf numFmtId="0" fontId="13" fillId="40" borderId="1" xfId="54" applyFill="1" applyBorder="1" applyAlignment="1" applyProtection="1">
      <alignment horizontal="center" vertical="center"/>
    </xf>
    <xf numFmtId="0" fontId="77" fillId="40" borderId="0" xfId="54" applyFont="1" applyFill="1" applyBorder="1" applyAlignment="1" applyProtection="1">
      <alignment horizontal="left" vertical="center"/>
    </xf>
    <xf numFmtId="0" fontId="13" fillId="0" borderId="0" xfId="54" applyFont="1" applyAlignment="1" applyProtection="1">
      <alignment horizontal="center" vertical="center" wrapText="1"/>
    </xf>
    <xf numFmtId="0" fontId="13" fillId="0" borderId="0" xfId="54" applyAlignment="1" applyProtection="1">
      <alignment horizontal="center" wrapText="1"/>
    </xf>
    <xf numFmtId="0" fontId="13" fillId="52" borderId="1" xfId="54" applyFill="1" applyBorder="1" applyAlignment="1" applyProtection="1">
      <alignment horizontal="center" vertical="center"/>
    </xf>
    <xf numFmtId="9" fontId="77" fillId="52" borderId="1" xfId="52" applyFont="1" applyFill="1" applyBorder="1" applyAlignment="1" applyProtection="1">
      <alignment horizontal="center" vertical="center"/>
    </xf>
    <xf numFmtId="0" fontId="85" fillId="52" borderId="1" xfId="54" applyFont="1" applyFill="1" applyBorder="1" applyAlignment="1" applyProtection="1">
      <alignment horizontal="center" vertical="center"/>
    </xf>
    <xf numFmtId="0" fontId="77" fillId="0" borderId="1" xfId="54" applyFont="1" applyBorder="1" applyAlignment="1" applyProtection="1">
      <alignment horizontal="center" vertical="center"/>
    </xf>
    <xf numFmtId="0" fontId="77" fillId="52" borderId="1" xfId="54" applyFont="1" applyFill="1" applyBorder="1" applyAlignment="1" applyProtection="1">
      <alignment horizontal="center" vertical="center"/>
    </xf>
    <xf numFmtId="0" fontId="77" fillId="25" borderId="0" xfId="54" applyFont="1" applyFill="1" applyBorder="1" applyAlignment="1" applyProtection="1">
      <alignment horizontal="center" vertical="center"/>
    </xf>
    <xf numFmtId="0" fontId="77" fillId="0" borderId="0" xfId="54" applyFont="1" applyBorder="1" applyAlignment="1" applyProtection="1">
      <alignment horizontal="center" vertical="center"/>
    </xf>
    <xf numFmtId="9" fontId="77" fillId="25" borderId="0" xfId="52" applyFont="1" applyFill="1" applyBorder="1" applyAlignment="1" applyProtection="1">
      <alignment horizontal="center" vertical="center"/>
    </xf>
    <xf numFmtId="0" fontId="13" fillId="40" borderId="0" xfId="54" applyFont="1" applyFill="1" applyBorder="1" applyAlignment="1" applyProtection="1">
      <alignment horizontal="left" vertical="center"/>
    </xf>
    <xf numFmtId="0" fontId="119" fillId="0" borderId="0" xfId="54" applyFont="1" applyProtection="1"/>
    <xf numFmtId="0" fontId="13" fillId="0" borderId="0" xfId="54" applyAlignment="1" applyProtection="1">
      <alignment horizontal="center"/>
    </xf>
    <xf numFmtId="1" fontId="13" fillId="52" borderId="1" xfId="54" applyNumberFormat="1" applyFill="1" applyBorder="1" applyAlignment="1" applyProtection="1">
      <alignment horizontal="center" vertical="center"/>
    </xf>
    <xf numFmtId="0" fontId="13" fillId="0" borderId="0" xfId="54" applyFont="1" applyAlignment="1" applyProtection="1">
      <alignment horizontal="center" vertical="center"/>
    </xf>
    <xf numFmtId="1" fontId="13" fillId="52" borderId="1" xfId="54" applyNumberFormat="1" applyFont="1" applyFill="1" applyBorder="1" applyAlignment="1" applyProtection="1">
      <alignment horizontal="center" vertical="center"/>
    </xf>
    <xf numFmtId="0" fontId="13" fillId="0" borderId="1" xfId="54" applyBorder="1" applyAlignment="1" applyProtection="1">
      <alignment horizontal="center" wrapText="1"/>
    </xf>
    <xf numFmtId="0" fontId="13" fillId="0" borderId="1" xfId="54" applyBorder="1" applyAlignment="1" applyProtection="1">
      <alignment horizontal="center" vertical="center"/>
    </xf>
    <xf numFmtId="0" fontId="13" fillId="0" borderId="1" xfId="54" quotePrefix="1" applyBorder="1" applyAlignment="1" applyProtection="1">
      <alignment horizontal="center" vertical="center"/>
    </xf>
    <xf numFmtId="0" fontId="13" fillId="0" borderId="1" xfId="54" applyFont="1" applyBorder="1" applyAlignment="1" applyProtection="1">
      <alignment horizontal="center" vertical="center"/>
    </xf>
    <xf numFmtId="0" fontId="89" fillId="40" borderId="0" xfId="54" applyFont="1" applyFill="1" applyBorder="1" applyAlignment="1" applyProtection="1">
      <alignment horizontal="center"/>
    </xf>
    <xf numFmtId="0" fontId="116" fillId="50" borderId="2" xfId="54" applyFont="1" applyFill="1" applyBorder="1" applyAlignment="1" applyProtection="1">
      <alignment horizontal="left" vertical="center"/>
    </xf>
    <xf numFmtId="0" fontId="116" fillId="50" borderId="2" xfId="54" quotePrefix="1" applyFont="1" applyFill="1" applyBorder="1" applyAlignment="1" applyProtection="1">
      <alignment horizontal="left" vertical="center"/>
    </xf>
    <xf numFmtId="0" fontId="116" fillId="50" borderId="2" xfId="54" applyFont="1" applyFill="1" applyBorder="1" applyAlignment="1" applyProtection="1">
      <alignment vertical="top" wrapText="1"/>
    </xf>
    <xf numFmtId="0" fontId="13" fillId="40" borderId="0" xfId="54" applyFont="1" applyFill="1" applyBorder="1" applyAlignment="1" applyProtection="1">
      <alignment horizontal="center"/>
    </xf>
    <xf numFmtId="0" fontId="13" fillId="0" borderId="0" xfId="54" applyFont="1" applyFill="1" applyBorder="1" applyAlignment="1" applyProtection="1">
      <alignment horizontal="left" vertical="top"/>
    </xf>
    <xf numFmtId="0" fontId="88" fillId="0" borderId="0" xfId="54" applyFont="1" applyFill="1" applyAlignment="1" applyProtection="1">
      <alignment horizontal="left" vertical="top" wrapText="1"/>
    </xf>
    <xf numFmtId="0" fontId="13" fillId="0" borderId="0" xfId="54" applyFont="1" applyFill="1" applyAlignment="1" applyProtection="1">
      <alignment horizontal="left" vertical="top"/>
    </xf>
    <xf numFmtId="0" fontId="13" fillId="40" borderId="0" xfId="54" applyFont="1" applyFill="1" applyBorder="1" applyAlignment="1" applyProtection="1">
      <alignment vertical="center" wrapText="1"/>
    </xf>
    <xf numFmtId="14" fontId="124" fillId="0" borderId="0" xfId="54" applyNumberFormat="1" applyFont="1" applyFill="1" applyAlignment="1" applyProtection="1">
      <alignment horizontal="left"/>
    </xf>
    <xf numFmtId="0" fontId="78" fillId="0" borderId="0" xfId="54" applyFont="1" applyProtection="1"/>
    <xf numFmtId="0" fontId="125" fillId="0" borderId="0" xfId="54" applyFont="1" applyProtection="1"/>
    <xf numFmtId="0" fontId="127" fillId="0" borderId="0" xfId="54" applyFont="1" applyAlignment="1" applyProtection="1"/>
    <xf numFmtId="0" fontId="127" fillId="0" borderId="1" xfId="54" applyFont="1" applyBorder="1" applyAlignment="1" applyProtection="1">
      <alignment horizontal="center" wrapText="1"/>
    </xf>
    <xf numFmtId="0" fontId="127" fillId="0" borderId="0" xfId="54" applyFont="1" applyBorder="1" applyAlignment="1" applyProtection="1">
      <alignment horizontal="center" wrapText="1"/>
    </xf>
    <xf numFmtId="166" fontId="127" fillId="0" borderId="0" xfId="54" applyNumberFormat="1" applyFont="1" applyFill="1" applyBorder="1" applyAlignment="1" applyProtection="1">
      <alignment horizontal="center"/>
    </xf>
    <xf numFmtId="0" fontId="13" fillId="0" borderId="0" xfId="54" applyFont="1" applyAlignment="1" applyProtection="1">
      <alignment horizontal="center"/>
    </xf>
    <xf numFmtId="0" fontId="13" fillId="0" borderId="1" xfId="54" applyFont="1" applyBorder="1" applyAlignment="1" applyProtection="1">
      <alignment horizontal="right"/>
    </xf>
    <xf numFmtId="0" fontId="13" fillId="0" borderId="3" xfId="54" applyFont="1" applyBorder="1" applyAlignment="1" applyProtection="1">
      <alignment horizontal="right"/>
    </xf>
    <xf numFmtId="0" fontId="13" fillId="0" borderId="42" xfId="54" applyFont="1" applyBorder="1" applyProtection="1"/>
    <xf numFmtId="0" fontId="13" fillId="0" borderId="35" xfId="54" applyFont="1" applyBorder="1" applyAlignment="1" applyProtection="1">
      <alignment horizontal="right"/>
    </xf>
    <xf numFmtId="0" fontId="13" fillId="0" borderId="0" xfId="54" applyFont="1" applyAlignment="1" applyProtection="1"/>
    <xf numFmtId="0" fontId="13" fillId="0" borderId="35" xfId="54" applyFont="1" applyBorder="1" applyProtection="1"/>
    <xf numFmtId="0" fontId="13" fillId="0" borderId="0" xfId="54" applyFont="1" applyAlignment="1" applyProtection="1">
      <alignment horizontal="right"/>
    </xf>
    <xf numFmtId="1" fontId="13" fillId="0" borderId="0" xfId="54" applyNumberFormat="1" applyFont="1" applyAlignment="1" applyProtection="1">
      <alignment horizontal="center"/>
    </xf>
    <xf numFmtId="0" fontId="13" fillId="0" borderId="0" xfId="54" applyFont="1" applyBorder="1" applyAlignment="1" applyProtection="1">
      <alignment horizontal="right"/>
    </xf>
    <xf numFmtId="2" fontId="13" fillId="0" borderId="0" xfId="54" applyNumberFormat="1" applyFont="1" applyBorder="1" applyProtection="1"/>
    <xf numFmtId="165" fontId="13" fillId="0" borderId="0" xfId="54" applyNumberFormat="1" applyFont="1" applyBorder="1" applyAlignment="1" applyProtection="1">
      <alignment horizontal="center"/>
    </xf>
    <xf numFmtId="1" fontId="13" fillId="0" borderId="0" xfId="54" applyNumberFormat="1" applyFont="1" applyBorder="1" applyAlignment="1" applyProtection="1">
      <alignment horizontal="center"/>
    </xf>
    <xf numFmtId="0" fontId="13" fillId="0" borderId="0" xfId="54" applyFont="1" applyFill="1" applyBorder="1" applyAlignment="1" applyProtection="1">
      <alignment horizontal="right"/>
    </xf>
    <xf numFmtId="2" fontId="13" fillId="0" borderId="0" xfId="54" applyNumberFormat="1" applyFont="1" applyBorder="1" applyAlignment="1" applyProtection="1">
      <alignment horizontal="center"/>
    </xf>
    <xf numFmtId="0" fontId="77" fillId="40" borderId="93" xfId="54" applyFont="1" applyFill="1" applyBorder="1" applyAlignment="1" applyProtection="1">
      <alignment vertical="center" textRotation="180" wrapText="1"/>
    </xf>
    <xf numFmtId="0" fontId="13" fillId="0" borderId="1" xfId="54" applyBorder="1" applyAlignment="1" applyProtection="1">
      <alignment vertical="top" wrapText="1"/>
    </xf>
    <xf numFmtId="0" fontId="13" fillId="0" borderId="1" xfId="54" applyFont="1" applyBorder="1" applyAlignment="1" applyProtection="1">
      <alignment vertical="top" wrapText="1"/>
    </xf>
    <xf numFmtId="0" fontId="77" fillId="0" borderId="0" xfId="54" applyFont="1" applyFill="1" applyBorder="1" applyAlignment="1" applyProtection="1">
      <alignment horizontal="left" wrapText="1"/>
    </xf>
    <xf numFmtId="0" fontId="77" fillId="40" borderId="117" xfId="54" applyFont="1" applyFill="1" applyBorder="1" applyAlignment="1" applyProtection="1">
      <alignment vertical="center" textRotation="180" wrapText="1"/>
    </xf>
    <xf numFmtId="1" fontId="43" fillId="25" borderId="1" xfId="0" applyNumberFormat="1" applyFont="1" applyFill="1" applyBorder="1" applyAlignment="1" applyProtection="1">
      <alignment horizontal="center" vertical="center" wrapText="1"/>
    </xf>
    <xf numFmtId="0" fontId="67" fillId="40" borderId="0" xfId="54" applyFont="1" applyFill="1" applyAlignment="1" applyProtection="1"/>
    <xf numFmtId="0" fontId="131" fillId="40" borderId="0" xfId="54" applyFont="1" applyFill="1" applyAlignment="1" applyProtection="1">
      <alignment wrapText="1"/>
    </xf>
    <xf numFmtId="0" fontId="66" fillId="0" borderId="0" xfId="54" applyFont="1"/>
    <xf numFmtId="0" fontId="66" fillId="40" borderId="0" xfId="54" applyFont="1" applyFill="1" applyAlignment="1" applyProtection="1"/>
    <xf numFmtId="0" fontId="66" fillId="40" borderId="0" xfId="54" applyFont="1" applyFill="1" applyAlignment="1" applyProtection="1">
      <alignment horizontal="right" vertical="top" wrapText="1"/>
    </xf>
    <xf numFmtId="0" fontId="86" fillId="40" borderId="36" xfId="54" applyFont="1" applyFill="1" applyBorder="1" applyAlignment="1" applyProtection="1">
      <alignment horizontal="justify" wrapText="1"/>
    </xf>
    <xf numFmtId="0" fontId="86" fillId="40" borderId="47" xfId="54" applyFont="1" applyFill="1" applyBorder="1" applyAlignment="1" applyProtection="1">
      <alignment horizontal="justify" wrapText="1"/>
    </xf>
    <xf numFmtId="0" fontId="70" fillId="40" borderId="36" xfId="54" applyFont="1" applyFill="1" applyBorder="1" applyAlignment="1" applyProtection="1"/>
    <xf numFmtId="0" fontId="86" fillId="40" borderId="47" xfId="54" applyFont="1" applyFill="1" applyBorder="1" applyAlignment="1" applyProtection="1">
      <alignment wrapText="1"/>
    </xf>
    <xf numFmtId="0" fontId="86" fillId="40" borderId="36" xfId="54" applyFont="1" applyFill="1" applyBorder="1" applyAlignment="1" applyProtection="1"/>
    <xf numFmtId="0" fontId="86" fillId="40" borderId="34" xfId="54" applyFont="1" applyFill="1" applyBorder="1" applyAlignment="1" applyProtection="1">
      <alignment wrapText="1"/>
    </xf>
    <xf numFmtId="0" fontId="86" fillId="40" borderId="44" xfId="54" applyFont="1" applyFill="1" applyBorder="1" applyAlignment="1" applyProtection="1"/>
    <xf numFmtId="0" fontId="86" fillId="40" borderId="79" xfId="54" applyFont="1" applyFill="1" applyBorder="1" applyAlignment="1" applyProtection="1">
      <alignment wrapText="1"/>
    </xf>
    <xf numFmtId="0" fontId="2" fillId="25" borderId="48" xfId="0" applyNumberFormat="1" applyFont="1" applyFill="1" applyBorder="1" applyAlignment="1" applyProtection="1">
      <alignment horizontal="center" vertical="center" wrapText="1"/>
      <protection locked="0"/>
    </xf>
    <xf numFmtId="0" fontId="2" fillId="25" borderId="1" xfId="0" applyNumberFormat="1" applyFont="1" applyFill="1" applyBorder="1" applyAlignment="1" applyProtection="1">
      <alignment horizontal="center" vertical="center" wrapText="1"/>
      <protection locked="0"/>
    </xf>
    <xf numFmtId="0" fontId="2" fillId="25" borderId="3" xfId="0" applyNumberFormat="1" applyFont="1" applyFill="1" applyBorder="1" applyAlignment="1" applyProtection="1">
      <alignment horizontal="center" vertical="center" wrapText="1"/>
      <protection locked="0"/>
    </xf>
    <xf numFmtId="0" fontId="2" fillId="25" borderId="9" xfId="0" applyNumberFormat="1" applyFont="1" applyFill="1" applyBorder="1" applyAlignment="1" applyProtection="1">
      <alignment horizontal="center" vertical="center" wrapText="1"/>
      <protection locked="0"/>
    </xf>
    <xf numFmtId="0" fontId="2" fillId="34" borderId="35" xfId="0" applyNumberFormat="1" applyFont="1" applyFill="1" applyBorder="1" applyAlignment="1" applyProtection="1">
      <alignment horizontal="center" vertical="center" wrapText="1"/>
      <protection locked="0"/>
    </xf>
    <xf numFmtId="0" fontId="4" fillId="34" borderId="35" xfId="0" applyNumberFormat="1" applyFont="1" applyFill="1" applyBorder="1" applyAlignment="1" applyProtection="1">
      <alignment horizontal="center" vertical="center" wrapText="1"/>
      <protection locked="0"/>
    </xf>
    <xf numFmtId="0" fontId="4" fillId="34" borderId="94" xfId="0" applyNumberFormat="1" applyFont="1" applyFill="1" applyBorder="1" applyAlignment="1" applyProtection="1">
      <alignment horizontal="center" vertical="center" wrapText="1"/>
      <protection locked="0"/>
    </xf>
    <xf numFmtId="0" fontId="2" fillId="25" borderId="35" xfId="0" applyNumberFormat="1" applyFont="1" applyFill="1" applyBorder="1" applyAlignment="1" applyProtection="1">
      <alignment horizontal="center" vertical="center" wrapText="1"/>
      <protection locked="0"/>
    </xf>
    <xf numFmtId="0" fontId="1" fillId="25" borderId="1" xfId="0" applyNumberFormat="1" applyFont="1" applyFill="1" applyBorder="1" applyAlignment="1" applyProtection="1">
      <alignment horizontal="center" vertical="center"/>
      <protection locked="0"/>
    </xf>
    <xf numFmtId="0" fontId="1" fillId="25" borderId="9" xfId="0" applyNumberFormat="1" applyFont="1" applyFill="1" applyBorder="1" applyAlignment="1" applyProtection="1">
      <alignment horizontal="center" vertical="center"/>
      <protection locked="0"/>
    </xf>
    <xf numFmtId="0" fontId="1" fillId="34" borderId="35" xfId="0" applyNumberFormat="1" applyFont="1" applyFill="1" applyBorder="1" applyAlignment="1" applyProtection="1">
      <alignment horizontal="center" vertical="center"/>
      <protection locked="0"/>
    </xf>
    <xf numFmtId="0" fontId="1" fillId="34" borderId="1" xfId="0" applyNumberFormat="1" applyFont="1" applyFill="1" applyBorder="1" applyAlignment="1" applyProtection="1">
      <alignment horizontal="center" vertical="center"/>
      <protection locked="0"/>
    </xf>
    <xf numFmtId="0" fontId="1" fillId="34" borderId="3" xfId="0" applyNumberFormat="1" applyFont="1" applyFill="1" applyBorder="1" applyAlignment="1" applyProtection="1">
      <alignment horizontal="center" vertical="center"/>
      <protection locked="0"/>
    </xf>
    <xf numFmtId="0" fontId="1" fillId="25" borderId="48" xfId="0" applyNumberFormat="1" applyFont="1" applyFill="1" applyBorder="1" applyAlignment="1" applyProtection="1">
      <alignment horizontal="center" vertical="center"/>
      <protection locked="0"/>
    </xf>
    <xf numFmtId="0" fontId="1" fillId="32" borderId="82" xfId="0" applyNumberFormat="1" applyFont="1" applyFill="1" applyBorder="1" applyAlignment="1" applyProtection="1">
      <alignment horizontal="center" vertical="center"/>
      <protection locked="0"/>
    </xf>
    <xf numFmtId="0" fontId="1" fillId="32" borderId="70" xfId="0" applyNumberFormat="1" applyFont="1" applyFill="1" applyBorder="1" applyAlignment="1" applyProtection="1">
      <alignment horizontal="center" vertical="center"/>
      <protection locked="0"/>
    </xf>
    <xf numFmtId="0" fontId="1" fillId="32" borderId="45" xfId="0" applyNumberFormat="1" applyFont="1" applyFill="1" applyBorder="1" applyAlignment="1" applyProtection="1">
      <alignment horizontal="center" vertical="center"/>
      <protection locked="0"/>
    </xf>
    <xf numFmtId="0" fontId="1" fillId="32" borderId="81" xfId="0" applyNumberFormat="1" applyFont="1" applyFill="1" applyBorder="1" applyAlignment="1" applyProtection="1">
      <alignment horizontal="center" vertical="center"/>
      <protection locked="0"/>
    </xf>
    <xf numFmtId="0" fontId="1" fillId="25" borderId="35" xfId="0" applyNumberFormat="1" applyFont="1" applyFill="1" applyBorder="1" applyAlignment="1" applyProtection="1">
      <alignment horizontal="center" vertical="center"/>
      <protection locked="0"/>
    </xf>
    <xf numFmtId="0" fontId="1" fillId="25" borderId="3" xfId="0" applyNumberFormat="1" applyFont="1" applyFill="1" applyBorder="1" applyAlignment="1" applyProtection="1">
      <alignment horizontal="center" vertical="center"/>
      <protection locked="0"/>
    </xf>
    <xf numFmtId="0" fontId="1" fillId="32" borderId="2" xfId="0" applyNumberFormat="1" applyFont="1" applyFill="1" applyBorder="1" applyAlignment="1" applyProtection="1">
      <alignment horizontal="center" vertical="center"/>
      <protection locked="0"/>
    </xf>
    <xf numFmtId="0" fontId="1" fillId="25" borderId="50" xfId="0" applyNumberFormat="1" applyFont="1" applyFill="1" applyBorder="1" applyAlignment="1" applyProtection="1">
      <alignment horizontal="center" vertical="center"/>
      <protection locked="0"/>
    </xf>
    <xf numFmtId="0" fontId="1" fillId="34" borderId="64" xfId="0" applyNumberFormat="1" applyFont="1" applyFill="1" applyBorder="1" applyAlignment="1" applyProtection="1">
      <alignment horizontal="center" vertical="center"/>
      <protection locked="0"/>
    </xf>
    <xf numFmtId="0" fontId="1" fillId="25" borderId="6" xfId="0" applyNumberFormat="1" applyFont="1" applyFill="1" applyBorder="1" applyAlignment="1" applyProtection="1">
      <alignment horizontal="center" vertical="center"/>
      <protection locked="0"/>
    </xf>
    <xf numFmtId="0" fontId="1" fillId="27" borderId="1" xfId="0" applyNumberFormat="1" applyFont="1" applyFill="1" applyBorder="1" applyAlignment="1" applyProtection="1">
      <alignment horizontal="center" vertical="center"/>
      <protection locked="0"/>
    </xf>
    <xf numFmtId="0" fontId="1" fillId="27" borderId="3" xfId="0" applyNumberFormat="1" applyFont="1" applyFill="1" applyBorder="1" applyAlignment="1" applyProtection="1">
      <alignment horizontal="center" vertical="center"/>
      <protection locked="0"/>
    </xf>
    <xf numFmtId="0" fontId="1" fillId="25" borderId="1" xfId="53" applyNumberFormat="1" applyFont="1" applyFill="1" applyBorder="1" applyAlignment="1" applyProtection="1">
      <alignment horizontal="center" vertical="center"/>
      <protection locked="0"/>
    </xf>
    <xf numFmtId="0" fontId="1" fillId="27" borderId="35" xfId="0" applyNumberFormat="1" applyFont="1" applyFill="1" applyBorder="1" applyAlignment="1" applyProtection="1">
      <alignment horizontal="center" vertical="center"/>
      <protection locked="0"/>
    </xf>
    <xf numFmtId="0" fontId="1" fillId="27" borderId="50" xfId="0" applyNumberFormat="1" applyFont="1" applyFill="1" applyBorder="1" applyAlignment="1" applyProtection="1">
      <alignment horizontal="center" vertical="center"/>
      <protection locked="0"/>
    </xf>
    <xf numFmtId="0" fontId="1" fillId="32" borderId="84" xfId="0" applyNumberFormat="1" applyFont="1" applyFill="1" applyBorder="1" applyAlignment="1" applyProtection="1">
      <alignment horizontal="center" vertical="center"/>
      <protection locked="0"/>
    </xf>
    <xf numFmtId="0" fontId="1" fillId="32" borderId="118" xfId="0" applyNumberFormat="1" applyFont="1" applyFill="1" applyBorder="1" applyAlignment="1" applyProtection="1">
      <alignment horizontal="center" vertical="center"/>
      <protection locked="0"/>
    </xf>
    <xf numFmtId="0" fontId="1" fillId="32" borderId="0" xfId="0" applyNumberFormat="1" applyFont="1" applyFill="1" applyBorder="1" applyAlignment="1" applyProtection="1">
      <alignment horizontal="center" vertical="center"/>
      <protection locked="0"/>
    </xf>
    <xf numFmtId="0" fontId="1" fillId="32" borderId="21" xfId="0" applyNumberFormat="1" applyFont="1" applyFill="1" applyBorder="1" applyAlignment="1" applyProtection="1">
      <alignment horizontal="center" vertical="center"/>
      <protection locked="0"/>
    </xf>
    <xf numFmtId="0" fontId="1" fillId="32" borderId="70" xfId="0" applyNumberFormat="1" applyFont="1" applyFill="1" applyBorder="1" applyAlignment="1" applyProtection="1">
      <alignment vertical="center"/>
      <protection locked="0"/>
    </xf>
    <xf numFmtId="0" fontId="1" fillId="32" borderId="0" xfId="0" applyNumberFormat="1" applyFont="1" applyFill="1" applyBorder="1" applyAlignment="1" applyProtection="1">
      <alignment vertical="center"/>
      <protection locked="0"/>
    </xf>
    <xf numFmtId="0" fontId="1" fillId="32" borderId="118" xfId="0" applyNumberFormat="1" applyFont="1" applyFill="1" applyBorder="1" applyAlignment="1" applyProtection="1">
      <alignment vertical="center"/>
      <protection locked="0"/>
    </xf>
    <xf numFmtId="0" fontId="2" fillId="25" borderId="94" xfId="0" applyNumberFormat="1" applyFont="1" applyFill="1" applyBorder="1" applyAlignment="1" applyProtection="1">
      <alignment horizontal="center" vertical="center"/>
      <protection locked="0"/>
    </xf>
    <xf numFmtId="0" fontId="2" fillId="32" borderId="21" xfId="0" applyNumberFormat="1" applyFont="1" applyFill="1" applyBorder="1" applyAlignment="1" applyProtection="1">
      <alignment wrapText="1"/>
      <protection locked="0"/>
    </xf>
    <xf numFmtId="0" fontId="1" fillId="34" borderId="6" xfId="0" applyNumberFormat="1" applyFont="1" applyFill="1" applyBorder="1" applyAlignment="1" applyProtection="1">
      <alignment horizontal="center" vertical="center"/>
      <protection locked="0"/>
    </xf>
    <xf numFmtId="0" fontId="1" fillId="34" borderId="50" xfId="0" applyNumberFormat="1" applyFont="1" applyFill="1" applyBorder="1" applyAlignment="1" applyProtection="1">
      <alignment horizontal="center" vertical="center"/>
      <protection locked="0"/>
    </xf>
    <xf numFmtId="0" fontId="2" fillId="32" borderId="2" xfId="0" applyNumberFormat="1" applyFont="1" applyFill="1" applyBorder="1" applyAlignment="1" applyProtection="1">
      <alignment wrapText="1"/>
      <protection locked="0"/>
    </xf>
    <xf numFmtId="0" fontId="1" fillId="32" borderId="2" xfId="0" applyNumberFormat="1" applyFont="1" applyFill="1" applyBorder="1" applyAlignment="1" applyProtection="1">
      <alignment vertical="center"/>
      <protection locked="0"/>
    </xf>
    <xf numFmtId="0" fontId="2" fillId="32" borderId="84" xfId="0" applyNumberFormat="1" applyFont="1" applyFill="1" applyBorder="1" applyAlignment="1" applyProtection="1">
      <alignment wrapText="1"/>
    </xf>
    <xf numFmtId="0" fontId="2" fillId="32" borderId="45" xfId="0" applyNumberFormat="1" applyFont="1" applyFill="1" applyBorder="1" applyAlignment="1" applyProtection="1">
      <alignment wrapText="1"/>
    </xf>
    <xf numFmtId="0" fontId="5" fillId="2" borderId="45" xfId="0" applyNumberFormat="1" applyFont="1" applyFill="1" applyBorder="1" applyAlignment="1">
      <alignment horizontal="center" vertical="center"/>
    </xf>
    <xf numFmtId="0" fontId="87" fillId="0" borderId="0" xfId="0" applyFont="1" applyProtection="1"/>
    <xf numFmtId="0" fontId="85" fillId="0" borderId="0" xfId="0" applyFont="1" applyProtection="1"/>
    <xf numFmtId="0" fontId="134" fillId="0" borderId="0" xfId="0" applyFont="1" applyProtection="1"/>
    <xf numFmtId="0" fontId="85" fillId="0" borderId="0" xfId="0" applyFont="1" applyAlignment="1" applyProtection="1">
      <alignment wrapText="1"/>
    </xf>
    <xf numFmtId="0" fontId="32" fillId="0" borderId="0" xfId="54" applyFont="1" applyBorder="1"/>
    <xf numFmtId="0" fontId="135" fillId="64" borderId="23" xfId="44" applyFont="1" applyFill="1" applyBorder="1" applyAlignment="1">
      <alignment vertical="center"/>
    </xf>
    <xf numFmtId="0" fontId="46" fillId="64" borderId="21" xfId="44" applyFont="1" applyFill="1" applyBorder="1" applyAlignment="1">
      <alignment vertical="center"/>
    </xf>
    <xf numFmtId="0" fontId="46" fillId="64" borderId="24" xfId="44" applyFont="1" applyFill="1" applyBorder="1" applyAlignment="1">
      <alignment vertical="center"/>
    </xf>
    <xf numFmtId="0" fontId="32" fillId="0" borderId="19" xfId="44" applyFont="1" applyBorder="1"/>
    <xf numFmtId="0" fontId="32" fillId="0" borderId="70" xfId="44" applyFont="1" applyBorder="1"/>
    <xf numFmtId="0" fontId="32" fillId="0" borderId="46" xfId="44" applyFont="1" applyBorder="1"/>
    <xf numFmtId="0" fontId="13" fillId="0" borderId="0" xfId="54" applyFont="1"/>
    <xf numFmtId="0" fontId="32" fillId="0" borderId="36" xfId="44" applyFont="1" applyBorder="1"/>
    <xf numFmtId="0" fontId="32" fillId="0" borderId="0" xfId="44" applyFont="1" applyBorder="1"/>
    <xf numFmtId="0" fontId="32" fillId="0" borderId="47" xfId="44" applyFont="1" applyBorder="1"/>
    <xf numFmtId="0" fontId="35" fillId="0" borderId="0" xfId="620"/>
    <xf numFmtId="0" fontId="47" fillId="0" borderId="36" xfId="44" applyFont="1" applyBorder="1"/>
    <xf numFmtId="0" fontId="32" fillId="0" borderId="0" xfId="0" applyFont="1" applyAlignment="1" applyProtection="1">
      <alignment horizontal="right"/>
      <protection locked="0"/>
    </xf>
    <xf numFmtId="0" fontId="136" fillId="65" borderId="23" xfId="0" applyFont="1" applyFill="1" applyBorder="1" applyAlignment="1">
      <alignment horizontal="center" vertical="center"/>
    </xf>
    <xf numFmtId="0" fontId="136" fillId="65" borderId="4" xfId="0" applyFont="1" applyFill="1" applyBorder="1" applyAlignment="1">
      <alignment horizontal="center" vertical="center"/>
    </xf>
    <xf numFmtId="0" fontId="32" fillId="0" borderId="0" xfId="0" applyFont="1" applyFill="1" applyBorder="1" applyAlignment="1" applyProtection="1">
      <alignment horizontal="right"/>
      <protection locked="0"/>
    </xf>
    <xf numFmtId="167" fontId="32" fillId="25" borderId="98" xfId="2" applyNumberFormat="1" applyFont="1" applyFill="1" applyBorder="1" applyAlignment="1" applyProtection="1">
      <alignment horizontal="center" vertical="center"/>
    </xf>
    <xf numFmtId="167" fontId="32" fillId="25" borderId="24" xfId="2" applyNumberFormat="1" applyFont="1" applyFill="1" applyBorder="1" applyAlignment="1" applyProtection="1">
      <alignment horizontal="center" vertical="center"/>
    </xf>
    <xf numFmtId="0" fontId="32" fillId="0" borderId="0" xfId="54" applyFont="1" applyBorder="1" applyAlignment="1" applyProtection="1">
      <protection locked="0"/>
    </xf>
    <xf numFmtId="0" fontId="32" fillId="0" borderId="0" xfId="54" applyFont="1" applyFill="1" applyBorder="1" applyAlignment="1" applyProtection="1">
      <protection locked="0"/>
    </xf>
    <xf numFmtId="0" fontId="32" fillId="0" borderId="47" xfId="54" applyFont="1" applyFill="1" applyBorder="1" applyAlignment="1" applyProtection="1">
      <protection locked="0"/>
    </xf>
    <xf numFmtId="0" fontId="135" fillId="64" borderId="1" xfId="44" applyFont="1" applyFill="1" applyBorder="1" applyAlignment="1">
      <alignment horizontal="center" vertical="center"/>
    </xf>
    <xf numFmtId="0" fontId="32" fillId="0" borderId="11" xfId="44" applyFont="1" applyBorder="1"/>
    <xf numFmtId="44" fontId="32" fillId="0" borderId="35" xfId="2" applyNumberFormat="1" applyFont="1" applyBorder="1" applyProtection="1"/>
    <xf numFmtId="165" fontId="33" fillId="25" borderId="35" xfId="44" applyNumberFormat="1" applyFont="1" applyFill="1" applyBorder="1" applyAlignment="1" applyProtection="1">
      <alignment horizontal="center"/>
    </xf>
    <xf numFmtId="0" fontId="32" fillId="0" borderId="1" xfId="54" applyFont="1" applyBorder="1" applyAlignment="1" applyProtection="1">
      <protection locked="0"/>
    </xf>
    <xf numFmtId="175" fontId="32" fillId="0" borderId="34" xfId="2" applyNumberFormat="1" applyFont="1" applyBorder="1" applyAlignment="1" applyProtection="1"/>
    <xf numFmtId="0" fontId="33" fillId="0" borderId="7" xfId="44" applyFont="1" applyBorder="1"/>
    <xf numFmtId="44" fontId="33" fillId="31" borderId="35" xfId="2" applyNumberFormat="1" applyFont="1" applyFill="1" applyBorder="1" applyProtection="1"/>
    <xf numFmtId="0" fontId="32" fillId="0" borderId="7" xfId="44" applyFont="1" applyBorder="1"/>
    <xf numFmtId="0" fontId="46" fillId="0" borderId="0" xfId="44" applyFont="1" applyFill="1" applyBorder="1" applyAlignment="1">
      <alignment vertical="center"/>
    </xf>
    <xf numFmtId="0" fontId="32" fillId="0" borderId="0" xfId="54" applyFont="1" applyFill="1" applyBorder="1" applyAlignment="1"/>
    <xf numFmtId="0" fontId="32" fillId="0" borderId="89" xfId="44" applyFont="1" applyBorder="1"/>
    <xf numFmtId="9" fontId="32" fillId="0" borderId="35" xfId="52" applyFont="1" applyBorder="1" applyProtection="1"/>
    <xf numFmtId="0" fontId="32" fillId="0" borderId="86" xfId="54" applyFont="1" applyBorder="1"/>
    <xf numFmtId="0" fontId="32" fillId="0" borderId="7" xfId="44" applyFont="1" applyFill="1" applyBorder="1" applyAlignment="1">
      <alignment vertical="center" wrapText="1"/>
    </xf>
    <xf numFmtId="0" fontId="32" fillId="0" borderId="86" xfId="54" applyFont="1" applyFill="1" applyBorder="1" applyAlignment="1" applyProtection="1">
      <protection locked="0"/>
    </xf>
    <xf numFmtId="0" fontId="135" fillId="64" borderId="1" xfId="44" applyFont="1" applyFill="1" applyBorder="1" applyAlignment="1">
      <alignment horizontal="center" vertical="center" wrapText="1"/>
    </xf>
    <xf numFmtId="0" fontId="32" fillId="0" borderId="47" xfId="54" applyFont="1" applyBorder="1"/>
    <xf numFmtId="0" fontId="33" fillId="0" borderId="7" xfId="54" applyFont="1" applyFill="1" applyBorder="1" applyAlignment="1" applyProtection="1">
      <protection locked="0"/>
    </xf>
    <xf numFmtId="0" fontId="32" fillId="0" borderId="1" xfId="54" applyFont="1" applyBorder="1" applyAlignment="1" applyProtection="1">
      <alignment horizontal="center"/>
    </xf>
    <xf numFmtId="176" fontId="32" fillId="0" borderId="0" xfId="54" applyNumberFormat="1" applyFont="1" applyFill="1" applyBorder="1" applyAlignment="1"/>
    <xf numFmtId="0" fontId="32" fillId="0" borderId="7" xfId="54" applyFont="1" applyFill="1" applyBorder="1" applyAlignment="1" applyProtection="1">
      <alignment wrapText="1"/>
      <protection locked="0"/>
    </xf>
    <xf numFmtId="9" fontId="32" fillId="0" borderId="1" xfId="1" applyFont="1" applyBorder="1" applyProtection="1"/>
    <xf numFmtId="0" fontId="32" fillId="0" borderId="44" xfId="54" applyFont="1" applyFill="1" applyBorder="1" applyAlignment="1" applyProtection="1">
      <protection locked="0"/>
    </xf>
    <xf numFmtId="0" fontId="32" fillId="0" borderId="45" xfId="54" applyFont="1" applyFill="1" applyBorder="1" applyAlignment="1" applyProtection="1">
      <protection locked="0"/>
    </xf>
    <xf numFmtId="0" fontId="32" fillId="0" borderId="45" xfId="54" applyFont="1" applyBorder="1"/>
    <xf numFmtId="0" fontId="32" fillId="0" borderId="79" xfId="54" applyFont="1" applyFill="1" applyBorder="1" applyAlignment="1" applyProtection="1">
      <protection locked="0"/>
    </xf>
    <xf numFmtId="0" fontId="135" fillId="64" borderId="44" xfId="44" applyFont="1" applyFill="1" applyBorder="1"/>
    <xf numFmtId="0" fontId="32" fillId="64" borderId="45" xfId="44" applyFont="1" applyFill="1" applyBorder="1"/>
    <xf numFmtId="0" fontId="32" fillId="64" borderId="79" xfId="44" applyFont="1" applyFill="1" applyBorder="1"/>
    <xf numFmtId="0" fontId="32" fillId="0" borderId="0" xfId="44" applyFont="1" applyBorder="1" applyAlignment="1">
      <alignment horizontal="right"/>
    </xf>
    <xf numFmtId="0" fontId="137" fillId="31" borderId="34" xfId="44" applyFont="1" applyFill="1" applyBorder="1" applyAlignment="1">
      <alignment horizontal="center"/>
    </xf>
    <xf numFmtId="0" fontId="138" fillId="0" borderId="120" xfId="44" applyFont="1" applyBorder="1" applyAlignment="1">
      <alignment horizontal="center"/>
    </xf>
    <xf numFmtId="0" fontId="138" fillId="0" borderId="121" xfId="44" applyFont="1" applyBorder="1" applyAlignment="1">
      <alignment horizontal="center"/>
    </xf>
    <xf numFmtId="0" fontId="138" fillId="0" borderId="123" xfId="44" applyFont="1" applyBorder="1" applyAlignment="1">
      <alignment horizontal="center"/>
    </xf>
    <xf numFmtId="0" fontId="138" fillId="0" borderId="124" xfId="44" applyFont="1" applyBorder="1" applyAlignment="1">
      <alignment horizontal="center"/>
    </xf>
    <xf numFmtId="175" fontId="139" fillId="0" borderId="125" xfId="2" applyNumberFormat="1" applyFont="1" applyBorder="1" applyAlignment="1">
      <alignment horizontal="center"/>
    </xf>
    <xf numFmtId="165" fontId="139" fillId="0" borderId="42" xfId="44" applyNumberFormat="1" applyFont="1" applyBorder="1" applyAlignment="1">
      <alignment horizontal="center"/>
    </xf>
    <xf numFmtId="175" fontId="32" fillId="0" borderId="1" xfId="2" applyNumberFormat="1" applyFont="1" applyBorder="1" applyAlignment="1">
      <alignment horizontal="center"/>
    </xf>
    <xf numFmtId="9" fontId="32" fillId="0" borderId="1" xfId="52" applyFont="1" applyBorder="1" applyAlignment="1">
      <alignment horizontal="center"/>
    </xf>
    <xf numFmtId="175" fontId="32" fillId="0" borderId="1" xfId="44" applyNumberFormat="1" applyFont="1" applyBorder="1" applyAlignment="1">
      <alignment horizontal="center"/>
    </xf>
    <xf numFmtId="9" fontId="32" fillId="0" borderId="34" xfId="52" applyFont="1" applyBorder="1" applyAlignment="1">
      <alignment horizontal="center"/>
    </xf>
    <xf numFmtId="0" fontId="32" fillId="0" borderId="20" xfId="54" applyFont="1" applyBorder="1" applyAlignment="1" applyProtection="1">
      <protection locked="0"/>
    </xf>
    <xf numFmtId="0" fontId="139" fillId="0" borderId="84" xfId="54" applyFont="1" applyBorder="1" applyAlignment="1" applyProtection="1">
      <protection locked="0"/>
    </xf>
    <xf numFmtId="0" fontId="32" fillId="0" borderId="84" xfId="54" applyFont="1" applyBorder="1" applyAlignment="1" applyProtection="1">
      <protection locked="0"/>
    </xf>
    <xf numFmtId="0" fontId="32" fillId="0" borderId="43" xfId="54" applyFont="1" applyBorder="1" applyAlignment="1" applyProtection="1">
      <protection locked="0"/>
    </xf>
    <xf numFmtId="0" fontId="32" fillId="0" borderId="47" xfId="54" applyFont="1" applyBorder="1" applyAlignment="1" applyProtection="1">
      <protection locked="0"/>
    </xf>
    <xf numFmtId="0" fontId="33" fillId="0" borderId="35" xfId="44" applyFont="1" applyBorder="1" applyAlignment="1">
      <alignment horizontal="center"/>
    </xf>
    <xf numFmtId="0" fontId="139" fillId="0" borderId="42" xfId="44" applyFont="1" applyBorder="1" applyAlignment="1">
      <alignment horizontal="center"/>
    </xf>
    <xf numFmtId="175" fontId="32" fillId="0" borderId="1" xfId="2" applyNumberFormat="1" applyFont="1" applyBorder="1" applyAlignment="1" applyProtection="1">
      <alignment horizontal="center"/>
      <protection locked="0"/>
    </xf>
    <xf numFmtId="0" fontId="135" fillId="64" borderId="23" xfId="54" applyFont="1" applyFill="1" applyBorder="1" applyAlignment="1" applyProtection="1">
      <protection locked="0"/>
    </xf>
    <xf numFmtId="0" fontId="136" fillId="64" borderId="21" xfId="54" applyFont="1" applyFill="1" applyBorder="1" applyAlignment="1" applyProtection="1">
      <protection locked="0"/>
    </xf>
    <xf numFmtId="0" fontId="136" fillId="64" borderId="24" xfId="54" applyFont="1" applyFill="1" applyBorder="1" applyAlignment="1" applyProtection="1">
      <protection locked="0"/>
    </xf>
    <xf numFmtId="0" fontId="32" fillId="0" borderId="19" xfId="54" applyFont="1" applyFill="1" applyBorder="1" applyAlignment="1" applyProtection="1">
      <protection locked="0"/>
    </xf>
    <xf numFmtId="0" fontId="32" fillId="0" borderId="70" xfId="54" applyFont="1" applyFill="1" applyBorder="1" applyAlignment="1" applyProtection="1">
      <protection locked="0"/>
    </xf>
    <xf numFmtId="0" fontId="33" fillId="0" borderId="70" xfId="496" applyFont="1" applyFill="1" applyBorder="1" applyAlignment="1" applyProtection="1">
      <alignment horizontal="center" vertical="center" wrapText="1"/>
      <protection hidden="1"/>
    </xf>
    <xf numFmtId="0" fontId="32" fillId="0" borderId="46" xfId="54" applyFont="1" applyFill="1" applyBorder="1" applyAlignment="1" applyProtection="1">
      <protection locked="0"/>
    </xf>
    <xf numFmtId="0" fontId="32" fillId="0" borderId="36" xfId="54" applyFont="1" applyFill="1" applyBorder="1" applyAlignment="1" applyProtection="1">
      <protection locked="0"/>
    </xf>
    <xf numFmtId="0" fontId="33" fillId="0" borderId="0" xfId="496" applyFont="1" applyFill="1" applyBorder="1" applyAlignment="1" applyProtection="1">
      <alignment horizontal="center" vertical="center" wrapText="1"/>
      <protection hidden="1"/>
    </xf>
    <xf numFmtId="0" fontId="33" fillId="0" borderId="1" xfId="496" applyFont="1" applyFill="1" applyBorder="1" applyAlignment="1" applyProtection="1">
      <alignment horizontal="center" vertical="center" wrapText="1"/>
      <protection hidden="1"/>
    </xf>
    <xf numFmtId="167" fontId="32" fillId="0" borderId="0" xfId="496" applyNumberFormat="1" applyFont="1" applyFill="1" applyBorder="1" applyAlignment="1" applyProtection="1">
      <alignment horizontal="center" vertical="center" wrapText="1"/>
      <protection hidden="1"/>
    </xf>
    <xf numFmtId="0" fontId="33" fillId="0" borderId="47" xfId="496" applyFont="1" applyFill="1" applyBorder="1" applyAlignment="1" applyProtection="1">
      <alignment horizontal="center" vertical="center" wrapText="1"/>
      <protection hidden="1"/>
    </xf>
    <xf numFmtId="0" fontId="33" fillId="0" borderId="7" xfId="54" applyFont="1" applyFill="1" applyBorder="1" applyAlignment="1" applyProtection="1">
      <alignment horizontal="left" vertical="center" wrapText="1"/>
      <protection locked="0"/>
    </xf>
    <xf numFmtId="167" fontId="32" fillId="0" borderId="1" xfId="496" applyNumberFormat="1" applyFont="1" applyFill="1" applyBorder="1" applyAlignment="1" applyProtection="1">
      <alignment horizontal="center" vertical="center" wrapText="1"/>
      <protection hidden="1"/>
    </xf>
    <xf numFmtId="167" fontId="32" fillId="25" borderId="0" xfId="496" applyNumberFormat="1" applyFont="1" applyFill="1" applyBorder="1" applyAlignment="1" applyProtection="1">
      <alignment horizontal="center" vertical="center" wrapText="1"/>
      <protection hidden="1"/>
    </xf>
    <xf numFmtId="0" fontId="33" fillId="0" borderId="7" xfId="496" applyFont="1" applyFill="1" applyBorder="1" applyAlignment="1" applyProtection="1">
      <alignment horizontal="left" vertical="center" wrapText="1"/>
      <protection hidden="1"/>
    </xf>
    <xf numFmtId="167" fontId="32" fillId="0" borderId="47" xfId="496" applyNumberFormat="1" applyFont="1" applyFill="1" applyBorder="1" applyAlignment="1" applyProtection="1">
      <alignment horizontal="center" vertical="center" wrapText="1"/>
      <protection hidden="1"/>
    </xf>
    <xf numFmtId="167" fontId="32" fillId="0" borderId="44" xfId="496" applyNumberFormat="1" applyFont="1" applyFill="1" applyBorder="1" applyAlignment="1" applyProtection="1">
      <alignment horizontal="center" vertical="center" wrapText="1"/>
      <protection hidden="1"/>
    </xf>
    <xf numFmtId="167" fontId="32" fillId="0" borderId="45" xfId="496" applyNumberFormat="1" applyFont="1" applyFill="1" applyBorder="1" applyAlignment="1" applyProtection="1">
      <alignment horizontal="center" vertical="center" wrapText="1"/>
      <protection hidden="1"/>
    </xf>
    <xf numFmtId="167" fontId="32" fillId="0" borderId="79" xfId="496" applyNumberFormat="1" applyFont="1" applyFill="1" applyBorder="1" applyAlignment="1" applyProtection="1">
      <alignment horizontal="center" vertical="center" wrapText="1"/>
      <protection hidden="1"/>
    </xf>
    <xf numFmtId="0" fontId="135" fillId="64" borderId="19" xfId="54" applyFont="1" applyFill="1" applyBorder="1" applyAlignment="1" applyProtection="1">
      <protection locked="0"/>
    </xf>
    <xf numFmtId="0" fontId="136" fillId="64" borderId="70" xfId="54" applyFont="1" applyFill="1" applyBorder="1" applyAlignment="1" applyProtection="1">
      <protection locked="0"/>
    </xf>
    <xf numFmtId="0" fontId="136" fillId="64" borderId="46" xfId="54" applyFont="1" applyFill="1" applyBorder="1" applyAlignment="1" applyProtection="1">
      <protection locked="0"/>
    </xf>
    <xf numFmtId="0" fontId="32" fillId="0" borderId="19" xfId="54" applyFont="1" applyBorder="1"/>
    <xf numFmtId="0" fontId="32" fillId="0" borderId="70" xfId="54" applyFont="1" applyBorder="1"/>
    <xf numFmtId="0" fontId="32" fillId="0" borderId="46" xfId="54" applyFont="1" applyBorder="1"/>
    <xf numFmtId="0" fontId="47" fillId="0" borderId="36" xfId="54" applyFont="1" applyBorder="1"/>
    <xf numFmtId="0" fontId="32" fillId="0" borderId="36" xfId="54" applyFont="1" applyBorder="1"/>
    <xf numFmtId="0" fontId="32" fillId="0" borderId="7" xfId="54" applyFont="1" applyBorder="1"/>
    <xf numFmtId="44" fontId="32" fillId="0" borderId="1" xfId="2" applyFont="1" applyBorder="1"/>
    <xf numFmtId="44" fontId="32" fillId="0" borderId="1" xfId="2" applyFont="1" applyFill="1" applyBorder="1" applyAlignment="1" applyProtection="1"/>
    <xf numFmtId="0" fontId="140" fillId="0" borderId="0" xfId="54" applyFont="1" applyBorder="1"/>
    <xf numFmtId="44" fontId="32" fillId="0" borderId="0" xfId="2" applyFont="1" applyBorder="1"/>
    <xf numFmtId="0" fontId="32" fillId="0" borderId="7" xfId="54" applyFont="1" applyBorder="1" applyAlignment="1">
      <alignment wrapText="1"/>
    </xf>
    <xf numFmtId="0" fontId="32" fillId="0" borderId="44" xfId="54" applyFont="1" applyBorder="1"/>
    <xf numFmtId="0" fontId="32" fillId="0" borderId="79" xfId="54" applyFont="1" applyBorder="1"/>
    <xf numFmtId="0" fontId="32" fillId="0" borderId="70" xfId="54" applyNumberFormat="1" applyFont="1" applyBorder="1"/>
    <xf numFmtId="0" fontId="32" fillId="0" borderId="36" xfId="54" applyFont="1" applyBorder="1" applyAlignment="1"/>
    <xf numFmtId="0" fontId="32" fillId="0" borderId="0" xfId="54" applyFont="1" applyBorder="1" applyAlignment="1">
      <alignment wrapText="1"/>
    </xf>
    <xf numFmtId="0" fontId="32" fillId="0" borderId="47" xfId="54" applyFont="1" applyBorder="1" applyAlignment="1">
      <alignment wrapText="1"/>
    </xf>
    <xf numFmtId="0" fontId="32" fillId="0" borderId="36" xfId="54" applyFont="1" applyFill="1" applyBorder="1" applyAlignment="1"/>
    <xf numFmtId="0" fontId="32" fillId="0" borderId="0" xfId="54" applyNumberFormat="1" applyFont="1" applyBorder="1"/>
    <xf numFmtId="0" fontId="32" fillId="2" borderId="1" xfId="54" applyNumberFormat="1" applyFont="1" applyFill="1" applyBorder="1"/>
    <xf numFmtId="175" fontId="32" fillId="2" borderId="1" xfId="54" applyNumberFormat="1" applyFont="1" applyFill="1" applyBorder="1"/>
    <xf numFmtId="44" fontId="32" fillId="2" borderId="1" xfId="2" applyFont="1" applyFill="1" applyBorder="1" applyAlignment="1" applyProtection="1"/>
    <xf numFmtId="0" fontId="32" fillId="0" borderId="1" xfId="54" applyFont="1" applyBorder="1"/>
    <xf numFmtId="170" fontId="32" fillId="2" borderId="1" xfId="54" applyNumberFormat="1" applyFont="1" applyFill="1" applyBorder="1"/>
    <xf numFmtId="44" fontId="32" fillId="2" borderId="1" xfId="2" applyFont="1" applyFill="1" applyBorder="1"/>
    <xf numFmtId="177" fontId="32" fillId="2" borderId="1" xfId="2" applyNumberFormat="1" applyFont="1" applyFill="1" applyBorder="1"/>
    <xf numFmtId="0" fontId="141" fillId="0" borderId="0" xfId="54" applyFont="1" applyBorder="1"/>
    <xf numFmtId="0" fontId="32" fillId="0" borderId="10" xfId="54" applyFont="1" applyBorder="1"/>
    <xf numFmtId="0" fontId="32" fillId="0" borderId="1" xfId="54" applyFont="1" applyFill="1" applyBorder="1" applyAlignment="1" applyProtection="1">
      <protection locked="0"/>
    </xf>
    <xf numFmtId="44" fontId="32" fillId="0" borderId="1" xfId="2" applyNumberFormat="1" applyFont="1" applyBorder="1"/>
    <xf numFmtId="0" fontId="32" fillId="0" borderId="1" xfId="2" applyNumberFormat="1" applyFont="1" applyBorder="1"/>
    <xf numFmtId="167" fontId="32" fillId="42" borderId="126" xfId="496" applyNumberFormat="1" applyFont="1" applyFill="1" applyBorder="1" applyAlignment="1" applyProtection="1">
      <alignment horizontal="center" vertical="center" wrapText="1"/>
      <protection hidden="1"/>
    </xf>
    <xf numFmtId="167" fontId="32" fillId="42" borderId="127" xfId="496" applyNumberFormat="1" applyFont="1" applyFill="1" applyBorder="1" applyAlignment="1" applyProtection="1">
      <alignment horizontal="center" vertical="center" wrapText="1"/>
      <protection hidden="1"/>
    </xf>
    <xf numFmtId="167" fontId="32" fillId="42" borderId="128" xfId="496" applyNumberFormat="1" applyFont="1" applyFill="1" applyBorder="1" applyAlignment="1" applyProtection="1">
      <alignment horizontal="center" vertical="center" wrapText="1"/>
      <protection hidden="1"/>
    </xf>
    <xf numFmtId="167" fontId="32" fillId="42" borderId="129" xfId="496" applyNumberFormat="1" applyFont="1" applyFill="1" applyBorder="1" applyAlignment="1" applyProtection="1">
      <alignment horizontal="center" vertical="center" wrapText="1"/>
      <protection hidden="1"/>
    </xf>
    <xf numFmtId="167" fontId="32" fillId="42" borderId="130" xfId="496" applyNumberFormat="1" applyFont="1" applyFill="1" applyBorder="1" applyAlignment="1" applyProtection="1">
      <alignment horizontal="center" vertical="center" wrapText="1"/>
      <protection hidden="1"/>
    </xf>
    <xf numFmtId="167" fontId="32" fillId="42" borderId="131" xfId="496" applyNumberFormat="1" applyFont="1" applyFill="1" applyBorder="1" applyAlignment="1" applyProtection="1">
      <alignment horizontal="center" vertical="center" wrapText="1"/>
      <protection hidden="1"/>
    </xf>
    <xf numFmtId="0" fontId="142" fillId="0" borderId="132" xfId="54" applyFont="1" applyFill="1" applyBorder="1" applyAlignment="1" applyProtection="1"/>
    <xf numFmtId="175" fontId="142" fillId="0" borderId="133" xfId="2" applyNumberFormat="1" applyFont="1" applyFill="1" applyBorder="1" applyAlignment="1" applyProtection="1"/>
    <xf numFmtId="44" fontId="142" fillId="0" borderId="133" xfId="53" applyFont="1" applyFill="1" applyBorder="1" applyAlignment="1" applyProtection="1">
      <alignment vertical="center" wrapText="1"/>
    </xf>
    <xf numFmtId="0" fontId="42" fillId="2" borderId="64" xfId="0" applyNumberFormat="1" applyFont="1" applyFill="1" applyBorder="1" applyAlignment="1">
      <alignment horizontal="center" vertical="center" wrapText="1"/>
    </xf>
    <xf numFmtId="0" fontId="4" fillId="25" borderId="1" xfId="53" applyNumberFormat="1" applyFont="1" applyFill="1" applyBorder="1" applyAlignment="1" applyProtection="1">
      <alignment horizontal="center" vertical="center" wrapText="1"/>
    </xf>
    <xf numFmtId="0" fontId="4" fillId="25" borderId="3" xfId="53" applyNumberFormat="1" applyFont="1" applyFill="1" applyBorder="1" applyAlignment="1" applyProtection="1">
      <alignment horizontal="center" vertical="center" wrapText="1"/>
    </xf>
    <xf numFmtId="0" fontId="4" fillId="25" borderId="9" xfId="53" applyNumberFormat="1" applyFont="1" applyFill="1" applyBorder="1" applyAlignment="1" applyProtection="1">
      <alignment horizontal="center" vertical="center" wrapText="1"/>
    </xf>
    <xf numFmtId="0" fontId="4" fillId="34" borderId="35" xfId="53" applyNumberFormat="1" applyFont="1" applyFill="1" applyBorder="1" applyAlignment="1" applyProtection="1">
      <alignment horizontal="center" vertical="center" wrapText="1"/>
    </xf>
    <xf numFmtId="0" fontId="4" fillId="34" borderId="1" xfId="53" applyNumberFormat="1" applyFont="1" applyFill="1" applyBorder="1" applyAlignment="1" applyProtection="1">
      <alignment horizontal="center" vertical="center" wrapText="1"/>
    </xf>
    <xf numFmtId="0" fontId="4" fillId="34" borderId="94" xfId="53" applyNumberFormat="1" applyFont="1" applyFill="1" applyBorder="1" applyAlignment="1" applyProtection="1">
      <alignment horizontal="center" vertical="center" wrapText="1"/>
    </xf>
    <xf numFmtId="0" fontId="4" fillId="25" borderId="6" xfId="53" applyNumberFormat="1" applyFont="1" applyFill="1" applyBorder="1" applyAlignment="1" applyProtection="1">
      <alignment horizontal="center" vertical="center" wrapText="1"/>
    </xf>
    <xf numFmtId="0" fontId="4" fillId="34" borderId="3" xfId="53" applyNumberFormat="1" applyFont="1" applyFill="1" applyBorder="1" applyAlignment="1" applyProtection="1">
      <alignment horizontal="center" vertical="center" wrapText="1"/>
    </xf>
    <xf numFmtId="0" fontId="4" fillId="25" borderId="48" xfId="53" applyNumberFormat="1" applyFont="1" applyFill="1" applyBorder="1" applyAlignment="1" applyProtection="1">
      <alignment horizontal="center" vertical="center" wrapText="1"/>
    </xf>
    <xf numFmtId="0" fontId="1" fillId="32" borderId="82" xfId="53" applyNumberFormat="1" applyFont="1" applyFill="1" applyBorder="1" applyAlignment="1">
      <alignment horizontal="center" vertical="center" wrapText="1"/>
    </xf>
    <xf numFmtId="0" fontId="1" fillId="32" borderId="70" xfId="53" applyNumberFormat="1" applyFont="1" applyFill="1" applyBorder="1" applyAlignment="1">
      <alignment horizontal="center" vertical="center" wrapText="1"/>
    </xf>
    <xf numFmtId="0" fontId="1" fillId="32" borderId="45" xfId="53" applyNumberFormat="1" applyFont="1" applyFill="1" applyBorder="1" applyAlignment="1">
      <alignment horizontal="center" vertical="center" wrapText="1"/>
    </xf>
    <xf numFmtId="0" fontId="1" fillId="25" borderId="3" xfId="53" applyNumberFormat="1" applyFont="1" applyFill="1" applyBorder="1" applyAlignment="1">
      <alignment horizontal="center" vertical="center" wrapText="1"/>
    </xf>
    <xf numFmtId="0" fontId="1" fillId="32" borderId="84" xfId="53" applyNumberFormat="1" applyFont="1" applyFill="1" applyBorder="1" applyAlignment="1">
      <alignment horizontal="center" vertical="center" wrapText="1"/>
    </xf>
    <xf numFmtId="0" fontId="4" fillId="34" borderId="64" xfId="53" applyNumberFormat="1" applyFont="1" applyFill="1" applyBorder="1" applyAlignment="1" applyProtection="1">
      <alignment horizontal="center" vertical="center" wrapText="1"/>
    </xf>
    <xf numFmtId="0" fontId="1" fillId="32" borderId="2" xfId="0" applyNumberFormat="1" applyFont="1" applyFill="1" applyBorder="1" applyAlignment="1">
      <alignment horizontal="center" vertical="center" wrapText="1"/>
    </xf>
    <xf numFmtId="0" fontId="4" fillId="25" borderId="35" xfId="53" applyNumberFormat="1" applyFont="1" applyFill="1" applyBorder="1" applyAlignment="1" applyProtection="1">
      <alignment horizontal="center" vertical="center" wrapText="1"/>
    </xf>
    <xf numFmtId="0" fontId="4" fillId="25" borderId="50" xfId="53" applyNumberFormat="1" applyFont="1" applyFill="1" applyBorder="1" applyAlignment="1" applyProtection="1">
      <alignment horizontal="center" vertical="center" wrapText="1"/>
    </xf>
    <xf numFmtId="0" fontId="1" fillId="32" borderId="2" xfId="53" applyNumberFormat="1" applyFont="1" applyFill="1" applyBorder="1" applyAlignment="1">
      <alignment horizontal="center" vertical="center" wrapText="1"/>
    </xf>
    <xf numFmtId="0" fontId="1" fillId="32" borderId="118" xfId="53" applyNumberFormat="1" applyFont="1" applyFill="1" applyBorder="1" applyAlignment="1">
      <alignment horizontal="center" vertical="center" wrapText="1"/>
    </xf>
    <xf numFmtId="0" fontId="1" fillId="32" borderId="0" xfId="53" applyNumberFormat="1" applyFont="1" applyFill="1" applyBorder="1" applyAlignment="1">
      <alignment horizontal="center" vertical="center" wrapText="1"/>
    </xf>
    <xf numFmtId="0" fontId="1" fillId="32" borderId="21" xfId="0" applyNumberFormat="1" applyFont="1" applyFill="1" applyBorder="1" applyAlignment="1">
      <alignment horizontal="center" vertical="center" wrapText="1"/>
    </xf>
    <xf numFmtId="0" fontId="1" fillId="32" borderId="70" xfId="0" applyNumberFormat="1" applyFont="1" applyFill="1" applyBorder="1" applyAlignment="1">
      <alignment vertical="center" wrapText="1"/>
    </xf>
    <xf numFmtId="0" fontId="1" fillId="32" borderId="0" xfId="0" applyNumberFormat="1" applyFont="1" applyFill="1" applyBorder="1" applyAlignment="1">
      <alignment vertical="center" wrapText="1"/>
    </xf>
    <xf numFmtId="0" fontId="1" fillId="32" borderId="118" xfId="0" applyNumberFormat="1" applyFont="1" applyFill="1" applyBorder="1" applyAlignment="1">
      <alignment vertical="center" wrapText="1"/>
    </xf>
    <xf numFmtId="0" fontId="4" fillId="25" borderId="94" xfId="53" applyNumberFormat="1" applyFont="1" applyFill="1" applyBorder="1" applyAlignment="1" applyProtection="1">
      <alignment horizontal="center" vertical="center" wrapText="1"/>
    </xf>
    <xf numFmtId="0" fontId="2" fillId="32" borderId="21" xfId="0" applyNumberFormat="1" applyFont="1" applyFill="1" applyBorder="1" applyAlignment="1" applyProtection="1">
      <alignment wrapText="1"/>
    </xf>
    <xf numFmtId="0" fontId="1" fillId="34" borderId="50" xfId="53" applyNumberFormat="1" applyFont="1" applyFill="1" applyBorder="1" applyAlignment="1">
      <alignment horizontal="center" vertical="center" wrapText="1"/>
    </xf>
    <xf numFmtId="0" fontId="1" fillId="25" borderId="6" xfId="53" applyNumberFormat="1" applyFont="1" applyFill="1" applyBorder="1" applyAlignment="1">
      <alignment horizontal="center" vertical="center" wrapText="1"/>
    </xf>
    <xf numFmtId="0" fontId="2" fillId="32" borderId="2" xfId="0" applyNumberFormat="1" applyFont="1" applyFill="1" applyBorder="1" applyAlignment="1" applyProtection="1">
      <alignment wrapText="1"/>
    </xf>
    <xf numFmtId="0" fontId="1" fillId="0" borderId="1" xfId="53" applyNumberFormat="1" applyFont="1" applyBorder="1" applyAlignment="1">
      <alignment horizontal="center" vertical="center" wrapText="1"/>
    </xf>
    <xf numFmtId="0" fontId="1" fillId="32" borderId="2" xfId="0" applyNumberFormat="1" applyFont="1" applyFill="1" applyBorder="1" applyAlignment="1">
      <alignment vertical="center" wrapText="1"/>
    </xf>
    <xf numFmtId="0" fontId="0" fillId="0" borderId="0" xfId="0" applyNumberFormat="1" applyAlignment="1">
      <alignment wrapText="1"/>
    </xf>
    <xf numFmtId="0" fontId="0" fillId="0" borderId="0" xfId="0" applyNumberFormat="1" applyFont="1" applyAlignment="1">
      <alignment wrapText="1"/>
    </xf>
    <xf numFmtId="167" fontId="142" fillId="0" borderId="139" xfId="496" applyNumberFormat="1" applyFont="1" applyFill="1" applyBorder="1" applyAlignment="1" applyProtection="1">
      <alignment horizontal="center" vertical="center" wrapText="1"/>
      <protection hidden="1"/>
    </xf>
    <xf numFmtId="167" fontId="142" fillId="0" borderId="140" xfId="496" applyNumberFormat="1" applyFont="1" applyFill="1" applyBorder="1" applyAlignment="1" applyProtection="1">
      <alignment horizontal="center" vertical="center" wrapText="1"/>
      <protection hidden="1"/>
    </xf>
    <xf numFmtId="167" fontId="142" fillId="0" borderId="141" xfId="496" applyNumberFormat="1" applyFont="1" applyFill="1" applyBorder="1" applyAlignment="1" applyProtection="1">
      <alignment horizontal="center" vertical="center" wrapText="1"/>
      <protection hidden="1"/>
    </xf>
    <xf numFmtId="167" fontId="142" fillId="25" borderId="142" xfId="486" applyNumberFormat="1" applyFont="1" applyFill="1" applyBorder="1" applyAlignment="1" applyProtection="1">
      <alignment horizontal="center"/>
      <protection hidden="1"/>
    </xf>
    <xf numFmtId="167" fontId="142" fillId="0" borderId="143" xfId="496" applyNumberFormat="1" applyFont="1" applyFill="1" applyBorder="1" applyAlignment="1" applyProtection="1">
      <alignment horizontal="center" vertical="center" wrapText="1"/>
      <protection hidden="1"/>
    </xf>
    <xf numFmtId="167" fontId="142" fillId="0" borderId="144" xfId="496" applyNumberFormat="1" applyFont="1" applyFill="1" applyBorder="1" applyAlignment="1" applyProtection="1">
      <alignment horizontal="center" vertical="center" wrapText="1"/>
      <protection hidden="1"/>
    </xf>
    <xf numFmtId="0" fontId="142" fillId="0" borderId="142" xfId="54" applyFont="1" applyFill="1" applyBorder="1" applyAlignment="1" applyProtection="1">
      <protection locked="0"/>
    </xf>
    <xf numFmtId="167" fontId="142" fillId="25" borderId="143" xfId="486" applyNumberFormat="1" applyFont="1" applyFill="1" applyBorder="1" applyAlignment="1" applyProtection="1">
      <alignment horizontal="center"/>
      <protection hidden="1"/>
    </xf>
    <xf numFmtId="167" fontId="142" fillId="25" borderId="144" xfId="486" applyNumberFormat="1" applyFont="1" applyFill="1" applyBorder="1" applyAlignment="1" applyProtection="1">
      <alignment horizontal="center"/>
      <protection hidden="1"/>
    </xf>
    <xf numFmtId="0" fontId="142" fillId="0" borderId="143" xfId="54" applyFont="1" applyFill="1" applyBorder="1" applyAlignment="1" applyProtection="1">
      <protection locked="0"/>
    </xf>
    <xf numFmtId="0" fontId="142" fillId="0" borderId="144" xfId="54" applyFont="1" applyFill="1" applyBorder="1" applyAlignment="1" applyProtection="1">
      <protection locked="0"/>
    </xf>
    <xf numFmtId="0" fontId="142" fillId="0" borderId="142" xfId="54" applyFont="1" applyFill="1" applyBorder="1" applyAlignment="1" applyProtection="1">
      <alignment vertical="center" wrapText="1"/>
      <protection locked="0"/>
    </xf>
    <xf numFmtId="0" fontId="142" fillId="0" borderId="143" xfId="54" applyFont="1" applyFill="1" applyBorder="1" applyAlignment="1" applyProtection="1">
      <alignment vertical="center" wrapText="1"/>
      <protection locked="0"/>
    </xf>
    <xf numFmtId="0" fontId="142" fillId="0" borderId="144" xfId="54" applyFont="1" applyFill="1" applyBorder="1" applyAlignment="1" applyProtection="1">
      <alignment vertical="center" wrapText="1"/>
      <protection locked="0"/>
    </xf>
    <xf numFmtId="0" fontId="142" fillId="0" borderId="145" xfId="54" applyFont="1" applyFill="1" applyBorder="1" applyAlignment="1" applyProtection="1">
      <alignment vertical="center" wrapText="1"/>
      <protection locked="0"/>
    </xf>
    <xf numFmtId="0" fontId="142" fillId="0" borderId="146" xfId="54" applyFont="1" applyFill="1" applyBorder="1" applyAlignment="1" applyProtection="1">
      <alignment vertical="center" wrapText="1"/>
      <protection locked="0"/>
    </xf>
    <xf numFmtId="0" fontId="142" fillId="0" borderId="147" xfId="54" applyFont="1" applyFill="1" applyBorder="1" applyAlignment="1" applyProtection="1">
      <alignment vertical="center" wrapText="1"/>
      <protection locked="0"/>
    </xf>
    <xf numFmtId="167" fontId="142" fillId="0" borderId="148" xfId="496" applyNumberFormat="1" applyFont="1" applyFill="1" applyBorder="1" applyAlignment="1" applyProtection="1">
      <alignment horizontal="center" vertical="center" wrapText="1"/>
      <protection hidden="1"/>
    </xf>
    <xf numFmtId="0" fontId="142" fillId="0" borderId="143" xfId="54" applyFont="1" applyFill="1" applyBorder="1" applyAlignment="1" applyProtection="1"/>
    <xf numFmtId="167" fontId="142" fillId="25" borderId="149" xfId="486" applyNumberFormat="1" applyFont="1" applyFill="1" applyBorder="1" applyAlignment="1" applyProtection="1">
      <alignment horizontal="center"/>
      <protection hidden="1"/>
    </xf>
    <xf numFmtId="0" fontId="142" fillId="0" borderId="149" xfId="54" applyFont="1" applyFill="1" applyBorder="1" applyAlignment="1" applyProtection="1">
      <protection locked="0"/>
    </xf>
    <xf numFmtId="0" fontId="142" fillId="0" borderId="149" xfId="54" applyFont="1" applyFill="1" applyBorder="1" applyAlignment="1" applyProtection="1">
      <alignment vertical="center" wrapText="1"/>
      <protection locked="0"/>
    </xf>
    <xf numFmtId="0" fontId="142" fillId="0" borderId="150" xfId="54" applyFont="1" applyFill="1" applyBorder="1" applyAlignment="1" applyProtection="1">
      <alignment vertical="center" wrapText="1"/>
      <protection locked="0"/>
    </xf>
    <xf numFmtId="0" fontId="142" fillId="0" borderId="151" xfId="54" applyFont="1" applyFill="1" applyBorder="1" applyAlignment="1" applyProtection="1"/>
    <xf numFmtId="167" fontId="142" fillId="0" borderId="152" xfId="496" applyNumberFormat="1" applyFont="1" applyFill="1" applyBorder="1" applyAlignment="1" applyProtection="1">
      <alignment horizontal="center" vertical="center" wrapText="1"/>
      <protection hidden="1"/>
    </xf>
    <xf numFmtId="167" fontId="142" fillId="0" borderId="153" xfId="496" applyNumberFormat="1" applyFont="1" applyFill="1" applyBorder="1" applyAlignment="1" applyProtection="1">
      <alignment horizontal="center" vertical="center" wrapText="1"/>
      <protection hidden="1"/>
    </xf>
    <xf numFmtId="167" fontId="142" fillId="0" borderId="154" xfId="496" applyNumberFormat="1" applyFont="1" applyFill="1" applyBorder="1" applyAlignment="1" applyProtection="1">
      <alignment horizontal="center" vertical="center" wrapText="1"/>
      <protection hidden="1"/>
    </xf>
    <xf numFmtId="0" fontId="142" fillId="0" borderId="155" xfId="54" applyFont="1" applyFill="1" applyBorder="1" applyAlignment="1" applyProtection="1"/>
    <xf numFmtId="167" fontId="142" fillId="0" borderId="156" xfId="496" applyNumberFormat="1" applyFont="1" applyFill="1" applyBorder="1" applyAlignment="1" applyProtection="1">
      <alignment horizontal="left" vertical="center" wrapText="1"/>
      <protection hidden="1"/>
    </xf>
    <xf numFmtId="167" fontId="143" fillId="25" borderId="157" xfId="44" applyNumberFormat="1" applyFont="1" applyFill="1" applyBorder="1" applyAlignment="1" applyProtection="1">
      <alignment horizontal="center" vertical="center"/>
    </xf>
    <xf numFmtId="167" fontId="142" fillId="0" borderId="158" xfId="496" applyNumberFormat="1" applyFont="1" applyFill="1" applyBorder="1" applyAlignment="1" applyProtection="1">
      <alignment horizontal="left" vertical="center" wrapText="1"/>
      <protection hidden="1"/>
    </xf>
    <xf numFmtId="167" fontId="143" fillId="25" borderId="159" xfId="44" applyNumberFormat="1" applyFont="1" applyFill="1" applyBorder="1" applyAlignment="1" applyProtection="1">
      <alignment horizontal="center" vertical="center"/>
    </xf>
    <xf numFmtId="0" fontId="142" fillId="0" borderId="160" xfId="54" applyFont="1" applyFill="1" applyBorder="1" applyAlignment="1" applyProtection="1">
      <protection locked="0"/>
    </xf>
    <xf numFmtId="0" fontId="142" fillId="0" borderId="160" xfId="54" applyFont="1" applyFill="1" applyBorder="1" applyAlignment="1" applyProtection="1">
      <alignment vertical="center" wrapText="1"/>
      <protection locked="0"/>
    </xf>
    <xf numFmtId="167" fontId="143" fillId="25" borderId="161" xfId="486" applyNumberFormat="1" applyFont="1" applyFill="1" applyBorder="1" applyAlignment="1" applyProtection="1">
      <alignment horizontal="left"/>
      <protection hidden="1"/>
    </xf>
    <xf numFmtId="0" fontId="142" fillId="0" borderId="162" xfId="54" applyFont="1" applyFill="1" applyBorder="1" applyAlignment="1" applyProtection="1"/>
    <xf numFmtId="0" fontId="142" fillId="0" borderId="163" xfId="54" applyFont="1" applyFill="1" applyBorder="1" applyAlignment="1" applyProtection="1"/>
    <xf numFmtId="0" fontId="142" fillId="0" borderId="164" xfId="54" applyFont="1" applyFill="1" applyBorder="1" applyAlignment="1" applyProtection="1">
      <alignment vertical="center" wrapText="1"/>
    </xf>
    <xf numFmtId="0" fontId="142" fillId="0" borderId="165" xfId="54" applyFont="1" applyFill="1" applyBorder="1" applyAlignment="1" applyProtection="1">
      <alignment vertical="center" wrapText="1"/>
      <protection locked="0"/>
    </xf>
    <xf numFmtId="0" fontId="142" fillId="0" borderId="166" xfId="54" applyFont="1" applyFill="1" applyBorder="1" applyAlignment="1" applyProtection="1">
      <alignment vertical="center" wrapText="1"/>
      <protection locked="0"/>
    </xf>
    <xf numFmtId="0" fontId="142" fillId="0" borderId="167" xfId="54" applyFont="1" applyFill="1" applyBorder="1" applyAlignment="1" applyProtection="1"/>
    <xf numFmtId="175" fontId="142" fillId="0" borderId="134" xfId="2" applyNumberFormat="1" applyFont="1" applyFill="1" applyBorder="1" applyAlignment="1" applyProtection="1"/>
    <xf numFmtId="0" fontId="142" fillId="0" borderId="135" xfId="54" applyFont="1" applyFill="1" applyBorder="1" applyAlignment="1" applyProtection="1"/>
    <xf numFmtId="0" fontId="142" fillId="0" borderId="136" xfId="54" applyFont="1" applyFill="1" applyBorder="1" applyAlignment="1" applyProtection="1"/>
    <xf numFmtId="0" fontId="142" fillId="0" borderId="136" xfId="54" applyFont="1" applyFill="1" applyBorder="1" applyAlignment="1" applyProtection="1">
      <alignment vertical="center" wrapText="1"/>
    </xf>
    <xf numFmtId="0" fontId="142" fillId="0" borderId="168" xfId="54" applyFont="1" applyFill="1" applyBorder="1" applyAlignment="1" applyProtection="1"/>
    <xf numFmtId="175" fontId="142" fillId="0" borderId="137" xfId="2" applyNumberFormat="1" applyFont="1" applyFill="1" applyBorder="1" applyAlignment="1" applyProtection="1"/>
    <xf numFmtId="0" fontId="142" fillId="0" borderId="138" xfId="54" applyFont="1" applyFill="1" applyBorder="1" applyAlignment="1" applyProtection="1">
      <alignment vertical="center" wrapText="1"/>
    </xf>
    <xf numFmtId="0" fontId="143" fillId="0" borderId="134" xfId="54" applyFont="1" applyFill="1" applyBorder="1" applyAlignment="1" applyProtection="1">
      <alignment horizontal="center" vertical="center" wrapText="1"/>
    </xf>
    <xf numFmtId="0" fontId="143" fillId="0" borderId="135" xfId="54" applyFont="1" applyFill="1" applyBorder="1" applyAlignment="1" applyProtection="1">
      <alignment horizontal="center" vertical="center" wrapText="1"/>
    </xf>
    <xf numFmtId="3" fontId="142" fillId="0" borderId="136" xfId="54" applyNumberFormat="1" applyFont="1" applyFill="1" applyBorder="1" applyAlignment="1" applyProtection="1">
      <alignment vertical="center" wrapText="1"/>
    </xf>
    <xf numFmtId="0" fontId="142" fillId="0" borderId="168" xfId="54" applyFont="1" applyFill="1" applyBorder="1" applyAlignment="1" applyProtection="1">
      <alignment vertical="center" wrapText="1"/>
    </xf>
    <xf numFmtId="44" fontId="142" fillId="0" borderId="137" xfId="53" applyFont="1" applyFill="1" applyBorder="1" applyAlignment="1" applyProtection="1">
      <alignment vertical="center" wrapText="1"/>
    </xf>
    <xf numFmtId="3" fontId="142" fillId="0" borderId="138" xfId="54" applyNumberFormat="1" applyFont="1" applyFill="1" applyBorder="1" applyAlignment="1" applyProtection="1">
      <alignment vertical="center" wrapText="1"/>
    </xf>
    <xf numFmtId="44" fontId="0" fillId="66" borderId="37" xfId="53" applyFont="1" applyFill="1" applyBorder="1"/>
    <xf numFmtId="44" fontId="1" fillId="25" borderId="1" xfId="53" applyFont="1" applyFill="1" applyBorder="1" applyAlignment="1" applyProtection="1">
      <alignment horizontal="center" vertical="center"/>
      <protection locked="0"/>
    </xf>
    <xf numFmtId="44" fontId="1" fillId="25" borderId="9" xfId="53" applyFont="1" applyFill="1" applyBorder="1" applyAlignment="1" applyProtection="1">
      <alignment horizontal="center" vertical="center"/>
      <protection locked="0"/>
    </xf>
    <xf numFmtId="44" fontId="1" fillId="34" borderId="35" xfId="53" applyFont="1" applyFill="1" applyBorder="1" applyAlignment="1" applyProtection="1">
      <alignment horizontal="center" vertical="center"/>
      <protection locked="0"/>
    </xf>
    <xf numFmtId="44" fontId="1" fillId="34" borderId="1" xfId="53" applyFont="1" applyFill="1" applyBorder="1" applyAlignment="1" applyProtection="1">
      <alignment horizontal="center" vertical="center"/>
      <protection locked="0"/>
    </xf>
    <xf numFmtId="44" fontId="1" fillId="34" borderId="3" xfId="53" applyFont="1" applyFill="1" applyBorder="1" applyAlignment="1" applyProtection="1">
      <alignment horizontal="center" vertical="center"/>
      <protection locked="0"/>
    </xf>
    <xf numFmtId="44" fontId="1" fillId="25" borderId="48" xfId="53" applyFont="1" applyFill="1" applyBorder="1" applyAlignment="1" applyProtection="1">
      <alignment horizontal="center" vertical="center"/>
      <protection locked="0"/>
    </xf>
    <xf numFmtId="44" fontId="1" fillId="32" borderId="82" xfId="53" applyFont="1" applyFill="1" applyBorder="1" applyAlignment="1" applyProtection="1">
      <alignment horizontal="center" vertical="center"/>
      <protection locked="0"/>
    </xf>
    <xf numFmtId="44" fontId="1" fillId="32" borderId="70" xfId="53" applyFont="1" applyFill="1" applyBorder="1" applyAlignment="1" applyProtection="1">
      <alignment horizontal="center" vertical="center"/>
      <protection locked="0"/>
    </xf>
    <xf numFmtId="44" fontId="1" fillId="32" borderId="45" xfId="53" applyFont="1" applyFill="1" applyBorder="1" applyAlignment="1" applyProtection="1">
      <alignment horizontal="center" vertical="center"/>
      <protection locked="0"/>
    </xf>
    <xf numFmtId="44" fontId="1" fillId="32" borderId="81" xfId="53" applyFont="1" applyFill="1" applyBorder="1" applyAlignment="1" applyProtection="1">
      <alignment horizontal="center" vertical="center"/>
      <protection locked="0"/>
    </xf>
    <xf numFmtId="44" fontId="1" fillId="25" borderId="35" xfId="53" applyFont="1" applyFill="1" applyBorder="1" applyAlignment="1" applyProtection="1">
      <alignment horizontal="center" vertical="center"/>
      <protection locked="0"/>
    </xf>
    <xf numFmtId="44" fontId="1" fillId="25" borderId="3" xfId="53" applyFont="1" applyFill="1" applyBorder="1" applyAlignment="1" applyProtection="1">
      <alignment horizontal="center" vertical="center"/>
      <protection locked="0"/>
    </xf>
    <xf numFmtId="44" fontId="1" fillId="32" borderId="2" xfId="53" applyFont="1" applyFill="1" applyBorder="1" applyAlignment="1" applyProtection="1">
      <alignment horizontal="center" vertical="center"/>
      <protection locked="0"/>
    </xf>
    <xf numFmtId="44" fontId="1" fillId="25" borderId="50" xfId="53" applyFont="1" applyFill="1" applyBorder="1" applyAlignment="1">
      <alignment horizontal="center" vertical="center"/>
    </xf>
    <xf numFmtId="44" fontId="1" fillId="34" borderId="64" xfId="53" applyFont="1" applyFill="1" applyBorder="1" applyAlignment="1" applyProtection="1">
      <alignment horizontal="center" vertical="center"/>
      <protection locked="0"/>
    </xf>
    <xf numFmtId="44" fontId="1" fillId="25" borderId="6" xfId="53" applyFont="1" applyFill="1" applyBorder="1" applyAlignment="1" applyProtection="1">
      <alignment horizontal="center" vertical="center"/>
      <protection locked="0"/>
    </xf>
    <xf numFmtId="44" fontId="1" fillId="27" borderId="1" xfId="53" applyFont="1" applyFill="1" applyBorder="1" applyAlignment="1" applyProtection="1">
      <alignment horizontal="center" vertical="center"/>
      <protection locked="0"/>
    </xf>
    <xf numFmtId="44" fontId="1" fillId="27" borderId="3" xfId="53" applyFont="1" applyFill="1" applyBorder="1" applyAlignment="1" applyProtection="1">
      <alignment horizontal="center" vertical="center"/>
      <protection locked="0"/>
    </xf>
    <xf numFmtId="44" fontId="1" fillId="27" borderId="35" xfId="53" applyFont="1" applyFill="1" applyBorder="1" applyAlignment="1" applyProtection="1">
      <alignment horizontal="center" vertical="center"/>
      <protection locked="0"/>
    </xf>
    <xf numFmtId="44" fontId="1" fillId="32" borderId="84" xfId="53" applyFont="1" applyFill="1" applyBorder="1" applyAlignment="1" applyProtection="1">
      <alignment horizontal="center" vertical="center"/>
      <protection locked="0"/>
    </xf>
    <xf numFmtId="44" fontId="1" fillId="32" borderId="118" xfId="53" applyFont="1" applyFill="1" applyBorder="1" applyAlignment="1">
      <alignment horizontal="center" vertical="center"/>
    </xf>
    <xf numFmtId="44" fontId="1" fillId="32" borderId="93" xfId="53" applyFont="1" applyFill="1" applyBorder="1" applyAlignment="1" applyProtection="1">
      <alignment horizontal="center" vertical="center"/>
      <protection locked="0"/>
    </xf>
    <xf numFmtId="44" fontId="1" fillId="27" borderId="50" xfId="53" applyFont="1" applyFill="1" applyBorder="1" applyAlignment="1" applyProtection="1">
      <alignment horizontal="center" vertical="center"/>
      <protection locked="0"/>
    </xf>
    <xf numFmtId="44" fontId="1" fillId="32" borderId="0" xfId="53" applyFont="1" applyFill="1" applyBorder="1" applyAlignment="1" applyProtection="1">
      <alignment horizontal="center" vertical="center"/>
      <protection locked="0"/>
    </xf>
    <xf numFmtId="44" fontId="1" fillId="32" borderId="21" xfId="53" applyFont="1" applyFill="1" applyBorder="1" applyAlignment="1">
      <alignment horizontal="center" vertical="center"/>
    </xf>
    <xf numFmtId="44" fontId="1" fillId="32" borderId="21" xfId="53" applyFont="1" applyFill="1" applyBorder="1" applyAlignment="1" applyProtection="1">
      <alignment horizontal="center" vertical="center"/>
      <protection locked="0"/>
    </xf>
    <xf numFmtId="44" fontId="1" fillId="32" borderId="70" xfId="53" applyFont="1" applyFill="1" applyBorder="1" applyAlignment="1">
      <alignment vertical="center"/>
    </xf>
    <xf numFmtId="44" fontId="1" fillId="32" borderId="70" xfId="53" applyFont="1" applyFill="1" applyBorder="1" applyAlignment="1" applyProtection="1">
      <alignment vertical="center"/>
      <protection locked="0"/>
    </xf>
    <xf numFmtId="44" fontId="1" fillId="32" borderId="0" xfId="53" applyFont="1" applyFill="1" applyBorder="1" applyAlignment="1">
      <alignment vertical="center"/>
    </xf>
    <xf numFmtId="44" fontId="1" fillId="32" borderId="0" xfId="53" applyFont="1" applyFill="1" applyBorder="1" applyAlignment="1" applyProtection="1">
      <alignment vertical="center"/>
      <protection locked="0"/>
    </xf>
    <xf numFmtId="44" fontId="1" fillId="32" borderId="118" xfId="53" applyFont="1" applyFill="1" applyBorder="1" applyAlignment="1">
      <alignment vertical="center"/>
    </xf>
    <xf numFmtId="44" fontId="1" fillId="32" borderId="93" xfId="53" applyFont="1" applyFill="1" applyBorder="1" applyAlignment="1" applyProtection="1">
      <alignment vertical="center"/>
      <protection locked="0"/>
    </xf>
    <xf numFmtId="44" fontId="2" fillId="25" borderId="94" xfId="53" applyFont="1" applyFill="1" applyBorder="1" applyAlignment="1" applyProtection="1">
      <alignment horizontal="center" vertical="center"/>
      <protection locked="0"/>
    </xf>
    <xf numFmtId="44" fontId="1" fillId="34" borderId="6" xfId="53" applyFont="1" applyFill="1" applyBorder="1" applyAlignment="1" applyProtection="1">
      <alignment horizontal="center" vertical="center"/>
      <protection locked="0"/>
    </xf>
    <xf numFmtId="44" fontId="1" fillId="34" borderId="50" xfId="53" applyFont="1" applyFill="1" applyBorder="1" applyAlignment="1" applyProtection="1">
      <alignment horizontal="center" vertical="center"/>
      <protection locked="0"/>
    </xf>
    <xf numFmtId="44" fontId="1" fillId="32" borderId="2" xfId="53" applyFont="1" applyFill="1" applyBorder="1" applyAlignment="1">
      <alignment vertical="center"/>
    </xf>
    <xf numFmtId="44" fontId="1" fillId="32" borderId="2" xfId="53" applyFont="1" applyFill="1" applyBorder="1" applyAlignment="1" applyProtection="1">
      <alignment vertical="center"/>
      <protection locked="0"/>
    </xf>
    <xf numFmtId="44" fontId="42" fillId="2" borderId="48" xfId="53" applyFont="1" applyFill="1" applyBorder="1" applyAlignment="1">
      <alignment horizontal="center" vertical="center"/>
    </xf>
    <xf numFmtId="44" fontId="2" fillId="0" borderId="48" xfId="53" applyFont="1" applyFill="1" applyBorder="1" applyAlignment="1" applyProtection="1">
      <alignment horizontal="center" vertical="center"/>
    </xf>
    <xf numFmtId="44" fontId="2" fillId="25" borderId="48" xfId="53" applyFont="1" applyFill="1" applyBorder="1" applyAlignment="1" applyProtection="1">
      <alignment horizontal="center" vertical="center"/>
      <protection locked="0"/>
    </xf>
    <xf numFmtId="44" fontId="2" fillId="25" borderId="1" xfId="53" applyFont="1" applyFill="1" applyBorder="1" applyAlignment="1" applyProtection="1">
      <alignment horizontal="center" vertical="center"/>
    </xf>
    <xf numFmtId="44" fontId="2" fillId="25" borderId="1" xfId="53" applyFont="1" applyFill="1" applyBorder="1" applyAlignment="1" applyProtection="1">
      <alignment horizontal="center" vertical="center"/>
      <protection locked="0"/>
    </xf>
    <xf numFmtId="44" fontId="2" fillId="0" borderId="1" xfId="53" applyFont="1" applyFill="1" applyBorder="1" applyAlignment="1" applyProtection="1">
      <alignment horizontal="center" vertical="center"/>
    </xf>
    <xf numFmtId="44" fontId="2" fillId="25" borderId="3" xfId="53" applyFont="1" applyFill="1" applyBorder="1" applyAlignment="1" applyProtection="1">
      <alignment horizontal="center" vertical="center"/>
    </xf>
    <xf numFmtId="44" fontId="2" fillId="25" borderId="3" xfId="53" applyFont="1" applyFill="1" applyBorder="1" applyAlignment="1" applyProtection="1">
      <alignment horizontal="center" vertical="center"/>
      <protection locked="0"/>
    </xf>
    <xf numFmtId="44" fontId="2" fillId="25" borderId="9" xfId="53" applyFont="1" applyFill="1" applyBorder="1" applyAlignment="1" applyProtection="1">
      <alignment horizontal="center" vertical="center"/>
    </xf>
    <xf numFmtId="44" fontId="2" fillId="25" borderId="9" xfId="53" applyFont="1" applyFill="1" applyBorder="1" applyAlignment="1" applyProtection="1">
      <alignment horizontal="center" vertical="center"/>
      <protection locked="0"/>
    </xf>
    <xf numFmtId="44" fontId="4" fillId="34" borderId="35" xfId="53" applyFont="1" applyFill="1" applyBorder="1" applyAlignment="1" applyProtection="1">
      <alignment horizontal="center" vertical="center"/>
    </xf>
    <xf numFmtId="44" fontId="2" fillId="34" borderId="35" xfId="53" applyFont="1" applyFill="1" applyBorder="1" applyAlignment="1" applyProtection="1">
      <alignment horizontal="center" vertical="center"/>
      <protection locked="0"/>
    </xf>
    <xf numFmtId="44" fontId="4" fillId="34" borderId="1" xfId="53" applyFont="1" applyFill="1" applyBorder="1" applyAlignment="1" applyProtection="1">
      <alignment horizontal="center" vertical="center"/>
    </xf>
    <xf numFmtId="44" fontId="2" fillId="34" borderId="1" xfId="53" applyFont="1" applyFill="1" applyBorder="1" applyAlignment="1" applyProtection="1">
      <alignment horizontal="center" vertical="center"/>
      <protection locked="0"/>
    </xf>
    <xf numFmtId="44" fontId="4" fillId="34" borderId="1" xfId="53" applyFont="1" applyFill="1" applyBorder="1" applyAlignment="1" applyProtection="1">
      <alignment horizontal="center" vertical="center"/>
      <protection locked="0"/>
    </xf>
    <xf numFmtId="44" fontId="4" fillId="34" borderId="9" xfId="53" applyFont="1" applyFill="1" applyBorder="1" applyAlignment="1" applyProtection="1">
      <alignment horizontal="center" vertical="center"/>
    </xf>
    <xf numFmtId="44" fontId="4" fillId="34" borderId="9" xfId="53" applyFont="1" applyFill="1" applyBorder="1" applyAlignment="1" applyProtection="1">
      <alignment horizontal="center" vertical="center"/>
      <protection locked="0"/>
    </xf>
    <xf numFmtId="44" fontId="2" fillId="32" borderId="21" xfId="53" applyFont="1" applyFill="1" applyBorder="1" applyAlignment="1" applyProtection="1"/>
    <xf numFmtId="44" fontId="2" fillId="32" borderId="21" xfId="53" applyFont="1" applyFill="1" applyBorder="1" applyAlignment="1" applyProtection="1">
      <protection locked="0"/>
    </xf>
    <xf numFmtId="44" fontId="2" fillId="32" borderId="2" xfId="53" applyFont="1" applyFill="1" applyBorder="1" applyAlignment="1" applyProtection="1"/>
    <xf numFmtId="44" fontId="2" fillId="32" borderId="2" xfId="53" applyFont="1" applyFill="1" applyBorder="1" applyAlignment="1" applyProtection="1">
      <protection locked="0"/>
    </xf>
    <xf numFmtId="44" fontId="2" fillId="32" borderId="84" xfId="53" applyFont="1" applyFill="1" applyBorder="1" applyAlignment="1" applyProtection="1"/>
    <xf numFmtId="44" fontId="2" fillId="32" borderId="45" xfId="53" applyFont="1" applyFill="1" applyBorder="1" applyAlignment="1" applyProtection="1"/>
    <xf numFmtId="44" fontId="0" fillId="0" borderId="0" xfId="53" applyFont="1" applyAlignment="1"/>
    <xf numFmtId="44" fontId="31" fillId="25" borderId="0" xfId="53" applyFont="1" applyFill="1" applyBorder="1" applyAlignment="1" applyProtection="1">
      <alignment vertical="center"/>
    </xf>
    <xf numFmtId="0" fontId="50" fillId="0" borderId="12"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7" fillId="0" borderId="29" xfId="0" applyNumberFormat="1" applyFont="1" applyFill="1" applyBorder="1" applyAlignment="1" applyProtection="1">
      <alignment vertical="center" wrapText="1"/>
      <protection locked="0"/>
    </xf>
    <xf numFmtId="0" fontId="7" fillId="0" borderId="30"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vertical="center" wrapText="1"/>
      <protection locked="0"/>
    </xf>
    <xf numFmtId="0" fontId="50" fillId="0" borderId="17" xfId="0" applyNumberFormat="1" applyFont="1" applyFill="1" applyBorder="1" applyAlignment="1" applyProtection="1">
      <alignment vertical="center" wrapText="1"/>
      <protection locked="0"/>
    </xf>
    <xf numFmtId="0" fontId="2" fillId="32" borderId="118" xfId="0" applyFont="1" applyFill="1" applyBorder="1" applyAlignment="1" applyProtection="1">
      <alignment wrapText="1"/>
    </xf>
    <xf numFmtId="0" fontId="44" fillId="25" borderId="0" xfId="0" applyNumberFormat="1" applyFont="1" applyFill="1" applyBorder="1"/>
    <xf numFmtId="0" fontId="0" fillId="0" borderId="0" xfId="0" applyNumberFormat="1" applyFont="1"/>
    <xf numFmtId="0" fontId="2" fillId="32" borderId="33" xfId="0" applyFont="1" applyFill="1" applyBorder="1" applyAlignment="1" applyProtection="1">
      <alignment wrapText="1"/>
    </xf>
    <xf numFmtId="167" fontId="32" fillId="33" borderId="92" xfId="44" applyNumberFormat="1" applyFont="1" applyFill="1" applyBorder="1" applyAlignment="1">
      <alignment horizontal="center" vertical="center"/>
    </xf>
    <xf numFmtId="167" fontId="32" fillId="33" borderId="33" xfId="44" applyNumberFormat="1" applyFont="1" applyFill="1" applyBorder="1" applyAlignment="1">
      <alignment horizontal="center" vertical="center"/>
    </xf>
    <xf numFmtId="167" fontId="32" fillId="33" borderId="63" xfId="44" applyNumberFormat="1" applyFont="1" applyFill="1" applyBorder="1" applyAlignment="1">
      <alignment horizontal="center" vertical="center"/>
    </xf>
    <xf numFmtId="0" fontId="2" fillId="32" borderId="43" xfId="0" applyNumberFormat="1" applyFont="1" applyFill="1" applyBorder="1" applyAlignment="1" applyProtection="1">
      <alignment wrapText="1"/>
    </xf>
    <xf numFmtId="0" fontId="2" fillId="32" borderId="79" xfId="0" applyNumberFormat="1" applyFont="1" applyFill="1" applyBorder="1" applyAlignment="1" applyProtection="1">
      <alignment wrapText="1"/>
    </xf>
    <xf numFmtId="167" fontId="32" fillId="33" borderId="11" xfId="44" applyNumberFormat="1" applyFont="1" applyFill="1" applyBorder="1" applyAlignment="1">
      <alignment horizontal="center" vertical="center"/>
    </xf>
    <xf numFmtId="0" fontId="2" fillId="32" borderId="15" xfId="0" applyFont="1" applyFill="1" applyBorder="1" applyAlignment="1" applyProtection="1">
      <alignment wrapText="1"/>
    </xf>
    <xf numFmtId="0" fontId="2" fillId="32" borderId="20" xfId="0" applyNumberFormat="1" applyFont="1" applyFill="1" applyBorder="1" applyAlignment="1" applyProtection="1">
      <alignment wrapText="1"/>
    </xf>
    <xf numFmtId="0" fontId="2" fillId="32" borderId="44" xfId="0" applyNumberFormat="1" applyFont="1" applyFill="1" applyBorder="1" applyAlignment="1" applyProtection="1">
      <alignment wrapText="1"/>
    </xf>
    <xf numFmtId="0" fontId="33" fillId="33" borderId="98" xfId="44" applyNumberFormat="1" applyFont="1" applyFill="1" applyBorder="1" applyAlignment="1">
      <alignment vertical="center" wrapText="1"/>
    </xf>
    <xf numFmtId="0" fontId="33" fillId="33" borderId="64" xfId="44" applyFont="1" applyFill="1" applyBorder="1" applyAlignment="1">
      <alignment vertical="center" wrapText="1"/>
    </xf>
    <xf numFmtId="0" fontId="33" fillId="33" borderId="64" xfId="44" applyNumberFormat="1" applyFont="1" applyFill="1" applyBorder="1" applyAlignment="1">
      <alignment vertical="center" wrapText="1"/>
    </xf>
    <xf numFmtId="0" fontId="33" fillId="33" borderId="65" xfId="44" applyNumberFormat="1" applyFont="1" applyFill="1" applyBorder="1" applyAlignment="1">
      <alignment vertical="center" wrapText="1"/>
    </xf>
    <xf numFmtId="0" fontId="44" fillId="33" borderId="23" xfId="0" applyNumberFormat="1" applyFont="1" applyFill="1" applyBorder="1"/>
    <xf numFmtId="0" fontId="44" fillId="33" borderId="21" xfId="0" applyFont="1" applyFill="1" applyBorder="1"/>
    <xf numFmtId="167" fontId="44" fillId="33" borderId="21" xfId="0" applyNumberFormat="1" applyFont="1" applyFill="1" applyBorder="1"/>
    <xf numFmtId="0" fontId="44" fillId="33" borderId="21" xfId="0" applyNumberFormat="1" applyFont="1" applyFill="1" applyBorder="1"/>
    <xf numFmtId="0" fontId="44" fillId="33" borderId="24" xfId="0" applyNumberFormat="1" applyFont="1" applyFill="1" applyBorder="1"/>
    <xf numFmtId="1" fontId="4" fillId="25" borderId="35" xfId="610" applyNumberFormat="1" applyFont="1" applyFill="1" applyBorder="1" applyAlignment="1" applyProtection="1">
      <alignment horizontal="center" vertical="center" wrapText="1"/>
    </xf>
    <xf numFmtId="165" fontId="5" fillId="2" borderId="22" xfId="53" applyNumberFormat="1" applyFont="1" applyFill="1" applyBorder="1" applyAlignment="1">
      <alignment horizontal="center" vertical="center" wrapText="1"/>
    </xf>
    <xf numFmtId="0" fontId="0" fillId="0" borderId="3" xfId="0" applyFont="1" applyFill="1" applyBorder="1" applyAlignment="1">
      <alignment horizontal="center" vertical="center"/>
    </xf>
    <xf numFmtId="166" fontId="0" fillId="0" borderId="3" xfId="0" applyNumberFormat="1" applyFont="1" applyBorder="1" applyAlignment="1">
      <alignment horizontal="center" vertical="center"/>
    </xf>
    <xf numFmtId="2" fontId="0" fillId="0" borderId="3" xfId="0" applyNumberFormat="1" applyFont="1" applyBorder="1" applyAlignment="1">
      <alignment horizontal="center" vertical="center"/>
    </xf>
    <xf numFmtId="1" fontId="1" fillId="0" borderId="7" xfId="0" applyNumberFormat="1" applyFont="1" applyFill="1" applyBorder="1" applyAlignment="1">
      <alignment horizontal="center" vertical="center"/>
    </xf>
    <xf numFmtId="1" fontId="1" fillId="0" borderId="42" xfId="0" applyNumberFormat="1" applyFont="1" applyFill="1" applyBorder="1" applyAlignment="1">
      <alignment horizontal="center" vertical="center"/>
    </xf>
    <xf numFmtId="0" fontId="86" fillId="40" borderId="19" xfId="54" applyFont="1" applyFill="1" applyBorder="1" applyAlignment="1" applyProtection="1">
      <alignment horizontal="justify" wrapText="1"/>
    </xf>
    <xf numFmtId="0" fontId="86" fillId="40" borderId="46" xfId="54" applyFont="1" applyFill="1" applyBorder="1" applyAlignment="1" applyProtection="1">
      <alignment horizontal="justify" wrapText="1"/>
    </xf>
    <xf numFmtId="0" fontId="86" fillId="27" borderId="36" xfId="54" applyFont="1" applyFill="1" applyBorder="1" applyAlignment="1" applyProtection="1">
      <alignment horizontal="left" wrapText="1"/>
    </xf>
    <xf numFmtId="0" fontId="86" fillId="27" borderId="47" xfId="54" applyFont="1" applyFill="1" applyBorder="1" applyAlignment="1" applyProtection="1">
      <alignment horizontal="left" wrapText="1"/>
    </xf>
    <xf numFmtId="0" fontId="34" fillId="25" borderId="44" xfId="0" applyNumberFormat="1" applyFont="1" applyFill="1" applyBorder="1" applyAlignment="1" applyProtection="1">
      <alignment horizontal="right" vertical="center" wrapText="1"/>
    </xf>
    <xf numFmtId="0" fontId="34" fillId="25" borderId="79" xfId="0" applyNumberFormat="1" applyFont="1" applyFill="1" applyBorder="1" applyAlignment="1" applyProtection="1">
      <alignment horizontal="right" vertical="center" wrapText="1"/>
    </xf>
    <xf numFmtId="0" fontId="2" fillId="32" borderId="23" xfId="0" applyFont="1" applyFill="1" applyBorder="1" applyAlignment="1" applyProtection="1">
      <alignment horizontal="center" wrapText="1"/>
    </xf>
    <xf numFmtId="0" fontId="2" fillId="32" borderId="24" xfId="0" applyFont="1" applyFill="1" applyBorder="1" applyAlignment="1" applyProtection="1">
      <alignment horizontal="center" wrapText="1"/>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25" borderId="2" xfId="0" applyNumberFormat="1" applyFont="1" applyFill="1" applyBorder="1" applyAlignment="1" applyProtection="1">
      <alignment horizontal="center" vertical="center" wrapText="1"/>
    </xf>
    <xf numFmtId="0" fontId="2" fillId="25" borderId="31" xfId="0" applyNumberFormat="1" applyFont="1" applyFill="1" applyBorder="1" applyAlignment="1" applyProtection="1">
      <alignment horizontal="center" vertical="center" wrapText="1"/>
    </xf>
    <xf numFmtId="0" fontId="4" fillId="25" borderId="42" xfId="0" applyNumberFormat="1" applyFont="1" applyFill="1" applyBorder="1" applyAlignment="1" applyProtection="1">
      <alignment horizontal="center" vertical="center" wrapText="1"/>
    </xf>
    <xf numFmtId="0" fontId="2" fillId="25" borderId="16" xfId="0" applyNumberFormat="1" applyFont="1" applyFill="1" applyBorder="1" applyAlignment="1" applyProtection="1">
      <alignment horizontal="center" vertical="center" wrapText="1"/>
    </xf>
    <xf numFmtId="0" fontId="4" fillId="0" borderId="2"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1" fillId="0" borderId="42" xfId="0" applyFont="1" applyBorder="1" applyAlignment="1">
      <alignment horizontal="center" vertical="center" wrapText="1"/>
    </xf>
    <xf numFmtId="0" fontId="1" fillId="0" borderId="16" xfId="0" applyFont="1" applyBorder="1" applyAlignment="1">
      <alignment horizontal="center" vertical="center" wrapText="1"/>
    </xf>
    <xf numFmtId="0" fontId="2" fillId="25" borderId="1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vertical="center" wrapText="1"/>
    </xf>
    <xf numFmtId="0" fontId="2" fillId="0" borderId="83" xfId="0" applyNumberFormat="1" applyFont="1" applyFill="1" applyBorder="1" applyAlignment="1" applyProtection="1">
      <alignment horizontal="center" vertical="center" wrapText="1"/>
    </xf>
    <xf numFmtId="0" fontId="2" fillId="32" borderId="10" xfId="0" applyFont="1" applyFill="1" applyBorder="1" applyAlignment="1" applyProtection="1">
      <alignment horizontal="center" wrapText="1"/>
    </xf>
    <xf numFmtId="0" fontId="2" fillId="32" borderId="31" xfId="0" applyFont="1" applyFill="1" applyBorder="1" applyAlignment="1" applyProtection="1">
      <alignment horizontal="center" wrapText="1"/>
    </xf>
    <xf numFmtId="0" fontId="1" fillId="0" borderId="2" xfId="0" applyFont="1" applyBorder="1" applyAlignment="1">
      <alignment horizontal="center" vertical="center" wrapText="1"/>
    </xf>
    <xf numFmtId="0" fontId="1" fillId="0" borderId="31" xfId="0" applyFont="1" applyBorder="1" applyAlignment="1">
      <alignment horizontal="center" vertical="center" wrapText="1"/>
    </xf>
    <xf numFmtId="0" fontId="4" fillId="0" borderId="84" xfId="0" applyNumberFormat="1" applyFont="1" applyFill="1" applyBorder="1" applyAlignment="1" applyProtection="1">
      <alignment horizontal="center" vertical="center" wrapText="1"/>
    </xf>
    <xf numFmtId="0" fontId="4" fillId="0" borderId="43" xfId="0" applyNumberFormat="1"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0" fontId="7" fillId="0" borderId="30" xfId="0" applyNumberFormat="1" applyFont="1" applyFill="1" applyBorder="1" applyAlignment="1" applyProtection="1">
      <alignment horizontal="center" vertical="center" wrapText="1"/>
    </xf>
    <xf numFmtId="0" fontId="7" fillId="0" borderId="29" xfId="0" applyNumberFormat="1" applyFont="1" applyFill="1" applyBorder="1" applyAlignment="1" applyProtection="1">
      <alignment horizontal="center" vertical="center" wrapText="1"/>
    </xf>
    <xf numFmtId="0" fontId="7" fillId="25" borderId="18" xfId="0" applyNumberFormat="1" applyFont="1" applyFill="1" applyBorder="1" applyAlignment="1" applyProtection="1">
      <alignment horizontal="left" vertical="center"/>
    </xf>
    <xf numFmtId="0" fontId="7" fillId="25" borderId="29" xfId="0" applyNumberFormat="1" applyFont="1" applyFill="1" applyBorder="1" applyAlignment="1" applyProtection="1">
      <alignment horizontal="left" vertical="center"/>
    </xf>
    <xf numFmtId="0" fontId="7" fillId="25" borderId="18" xfId="0" applyNumberFormat="1" applyFont="1" applyFill="1" applyBorder="1" applyAlignment="1" applyProtection="1">
      <alignment horizontal="center" vertical="center" wrapText="1"/>
    </xf>
    <xf numFmtId="0" fontId="7" fillId="25" borderId="29"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left" vertical="center" wrapText="1"/>
    </xf>
    <xf numFmtId="0" fontId="2" fillId="0" borderId="22" xfId="0" applyNumberFormat="1" applyFont="1" applyFill="1" applyBorder="1" applyAlignment="1" applyProtection="1">
      <alignment horizontal="left" vertical="center" wrapText="1"/>
    </xf>
    <xf numFmtId="0" fontId="2" fillId="27" borderId="30" xfId="0" applyFont="1" applyFill="1" applyBorder="1" applyAlignment="1" applyProtection="1">
      <alignment horizontal="center" vertical="center" wrapText="1"/>
      <protection locked="0"/>
    </xf>
    <xf numFmtId="0" fontId="2" fillId="27" borderId="29" xfId="0"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89"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center" vertical="center" wrapText="1"/>
    </xf>
    <xf numFmtId="0" fontId="4" fillId="0" borderId="18" xfId="0" applyNumberFormat="1" applyFont="1" applyFill="1" applyBorder="1" applyAlignment="1" applyProtection="1">
      <alignment horizontal="left" vertical="center" wrapText="1"/>
    </xf>
    <xf numFmtId="0" fontId="4" fillId="0" borderId="17" xfId="0" applyNumberFormat="1" applyFont="1" applyFill="1" applyBorder="1" applyAlignment="1" applyProtection="1">
      <alignment horizontal="left" vertical="center" wrapText="1"/>
    </xf>
    <xf numFmtId="0" fontId="4" fillId="0" borderId="29" xfId="0" applyNumberFormat="1" applyFont="1" applyFill="1" applyBorder="1" applyAlignment="1" applyProtection="1">
      <alignment horizontal="left" vertical="center" wrapText="1"/>
    </xf>
    <xf numFmtId="0" fontId="51" fillId="0" borderId="30"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0" borderId="30" xfId="0" applyNumberFormat="1" applyFont="1" applyFill="1" applyBorder="1" applyAlignment="1" applyProtection="1">
      <alignment horizontal="center" vertical="center" wrapText="1"/>
    </xf>
    <xf numFmtId="0" fontId="51" fillId="0" borderId="22"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left" vertical="center" wrapText="1"/>
    </xf>
    <xf numFmtId="0" fontId="2" fillId="0" borderId="17" xfId="0" applyNumberFormat="1" applyFont="1" applyFill="1" applyBorder="1" applyAlignment="1" applyProtection="1">
      <alignment horizontal="left" vertical="center" wrapText="1"/>
    </xf>
    <xf numFmtId="0" fontId="2" fillId="0" borderId="29" xfId="0" applyNumberFormat="1" applyFont="1" applyFill="1" applyBorder="1" applyAlignment="1" applyProtection="1">
      <alignment horizontal="left" vertical="center" wrapText="1"/>
    </xf>
    <xf numFmtId="0" fontId="1" fillId="25" borderId="2" xfId="0" applyFont="1" applyFill="1" applyBorder="1" applyAlignment="1">
      <alignment horizontal="center" vertical="center"/>
    </xf>
    <xf numFmtId="0" fontId="1" fillId="25" borderId="31" xfId="0" applyFont="1" applyFill="1" applyBorder="1" applyAlignment="1">
      <alignment horizontal="center" vertical="center"/>
    </xf>
    <xf numFmtId="0" fontId="7" fillId="0" borderId="18" xfId="0" applyNumberFormat="1" applyFont="1" applyFill="1" applyBorder="1" applyAlignment="1" applyProtection="1">
      <alignment horizontal="center" vertical="center" wrapText="1"/>
    </xf>
    <xf numFmtId="0" fontId="7" fillId="0" borderId="22"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79"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xf>
    <xf numFmtId="0" fontId="51" fillId="0" borderId="17" xfId="0" applyNumberFormat="1" applyFont="1" applyFill="1" applyBorder="1" applyAlignment="1" applyProtection="1">
      <alignment horizontal="center" vertical="center" wrapText="1"/>
      <protection locked="0"/>
    </xf>
    <xf numFmtId="0" fontId="51" fillId="0" borderId="29" xfId="0" applyNumberFormat="1" applyFont="1" applyFill="1" applyBorder="1" applyAlignment="1" applyProtection="1">
      <alignment horizontal="center" vertical="center" wrapText="1"/>
      <protection locked="0"/>
    </xf>
    <xf numFmtId="0" fontId="2" fillId="25" borderId="68" xfId="0" applyNumberFormat="1" applyFont="1" applyFill="1" applyBorder="1" applyAlignment="1" applyProtection="1">
      <alignment horizontal="center" vertical="center" wrapText="1"/>
    </xf>
    <xf numFmtId="0" fontId="2" fillId="25" borderId="88" xfId="0" applyNumberFormat="1" applyFont="1" applyFill="1" applyBorder="1" applyAlignment="1" applyProtection="1">
      <alignment horizontal="center" vertical="center" wrapText="1"/>
    </xf>
    <xf numFmtId="0" fontId="1" fillId="25" borderId="2" xfId="0" applyFont="1" applyFill="1" applyBorder="1" applyAlignment="1">
      <alignment horizontal="center" vertical="center" wrapText="1"/>
    </xf>
    <xf numFmtId="0" fontId="1" fillId="25" borderId="31" xfId="0" applyFont="1" applyFill="1" applyBorder="1" applyAlignment="1">
      <alignment horizontal="center" vertical="center" wrapText="1"/>
    </xf>
    <xf numFmtId="0" fontId="2" fillId="32" borderId="21" xfId="0" applyFont="1" applyFill="1" applyBorder="1" applyAlignment="1" applyProtection="1">
      <alignment horizontal="center" wrapText="1"/>
    </xf>
    <xf numFmtId="0" fontId="2" fillId="32" borderId="61" xfId="0" applyFont="1" applyFill="1" applyBorder="1" applyAlignment="1" applyProtection="1">
      <alignment horizontal="center" wrapText="1"/>
    </xf>
    <xf numFmtId="0" fontId="2" fillId="32" borderId="80" xfId="0" applyFont="1" applyFill="1" applyBorder="1" applyAlignment="1" applyProtection="1">
      <alignment horizontal="center" wrapText="1"/>
    </xf>
    <xf numFmtId="0" fontId="2" fillId="32" borderId="44" xfId="0" applyFont="1" applyFill="1" applyBorder="1" applyAlignment="1" applyProtection="1">
      <alignment horizontal="center" wrapText="1"/>
    </xf>
    <xf numFmtId="0" fontId="2" fillId="32" borderId="79" xfId="0" applyFont="1" applyFill="1" applyBorder="1" applyAlignment="1" applyProtection="1">
      <alignment horizontal="center" wrapText="1"/>
    </xf>
    <xf numFmtId="0" fontId="2" fillId="32" borderId="36" xfId="0" applyFont="1" applyFill="1" applyBorder="1" applyAlignment="1" applyProtection="1">
      <alignment horizontal="center" wrapText="1"/>
    </xf>
    <xf numFmtId="0" fontId="2" fillId="32" borderId="47" xfId="0" applyFont="1" applyFill="1" applyBorder="1" applyAlignment="1" applyProtection="1">
      <alignment horizontal="center" wrapText="1"/>
    </xf>
    <xf numFmtId="0" fontId="2" fillId="32" borderId="10" xfId="0" applyNumberFormat="1" applyFont="1" applyFill="1" applyBorder="1" applyAlignment="1" applyProtection="1">
      <alignment horizontal="center" vertical="center" wrapText="1"/>
    </xf>
    <xf numFmtId="0" fontId="2" fillId="32" borderId="31" xfId="0" applyNumberFormat="1" applyFont="1" applyFill="1" applyBorder="1" applyAlignment="1" applyProtection="1">
      <alignment horizontal="center" vertical="center" wrapText="1"/>
    </xf>
    <xf numFmtId="0" fontId="4" fillId="25" borderId="36" xfId="0" applyNumberFormat="1" applyFont="1" applyFill="1" applyBorder="1" applyAlignment="1" applyProtection="1">
      <alignment horizontal="center" vertical="center" wrapText="1"/>
    </xf>
    <xf numFmtId="0" fontId="4" fillId="25" borderId="47" xfId="0" applyNumberFormat="1" applyFont="1" applyFill="1" applyBorder="1" applyAlignment="1" applyProtection="1">
      <alignment horizontal="center" vertical="center" wrapText="1"/>
    </xf>
    <xf numFmtId="0" fontId="4" fillId="25" borderId="44" xfId="0" applyNumberFormat="1" applyFont="1" applyFill="1" applyBorder="1" applyAlignment="1" applyProtection="1">
      <alignment horizontal="center" vertical="center" wrapText="1"/>
    </xf>
    <xf numFmtId="0" fontId="4" fillId="25" borderId="79" xfId="0" applyNumberFormat="1" applyFont="1" applyFill="1" applyBorder="1" applyAlignment="1" applyProtection="1">
      <alignment horizontal="center" vertical="center" wrapText="1"/>
    </xf>
    <xf numFmtId="0" fontId="2" fillId="32" borderId="15" xfId="0" applyFont="1" applyFill="1" applyBorder="1" applyAlignment="1" applyProtection="1">
      <alignment horizontal="center" wrapText="1"/>
    </xf>
    <xf numFmtId="0" fontId="2" fillId="32" borderId="33" xfId="0" applyFont="1" applyFill="1" applyBorder="1" applyAlignment="1" applyProtection="1">
      <alignment horizontal="center" wrapText="1"/>
    </xf>
    <xf numFmtId="0" fontId="4" fillId="25" borderId="38" xfId="0" applyNumberFormat="1" applyFont="1" applyFill="1" applyBorder="1" applyAlignment="1" applyProtection="1">
      <alignment horizontal="center" vertical="center" wrapText="1"/>
    </xf>
    <xf numFmtId="0" fontId="4" fillId="25" borderId="33" xfId="0" applyNumberFormat="1" applyFont="1" applyFill="1" applyBorder="1" applyAlignment="1" applyProtection="1">
      <alignment horizontal="center" vertical="center" wrapText="1"/>
    </xf>
    <xf numFmtId="0" fontId="2" fillId="25" borderId="20" xfId="0" applyNumberFormat="1" applyFont="1" applyFill="1" applyBorder="1" applyAlignment="1" applyProtection="1">
      <alignment horizontal="center" vertical="center" wrapText="1"/>
    </xf>
    <xf numFmtId="0" fontId="2" fillId="25" borderId="43" xfId="0" applyNumberFormat="1" applyFont="1" applyFill="1" applyBorder="1" applyAlignment="1" applyProtection="1">
      <alignment horizontal="center" vertical="center" wrapText="1"/>
    </xf>
    <xf numFmtId="0" fontId="8" fillId="2" borderId="23" xfId="0" applyFont="1" applyFill="1" applyBorder="1" applyAlignment="1">
      <alignment horizontal="center" wrapText="1"/>
    </xf>
    <xf numFmtId="0" fontId="8" fillId="2" borderId="21" xfId="0" applyFont="1" applyFill="1" applyBorder="1" applyAlignment="1">
      <alignment horizontal="center" wrapText="1"/>
    </xf>
    <xf numFmtId="0" fontId="8" fillId="2" borderId="24" xfId="0" applyFont="1" applyFill="1" applyBorder="1" applyAlignment="1">
      <alignment horizontal="center" wrapText="1"/>
    </xf>
    <xf numFmtId="0" fontId="5" fillId="2" borderId="18" xfId="0" applyNumberFormat="1" applyFont="1" applyFill="1" applyBorder="1" applyAlignment="1" applyProtection="1">
      <alignment horizontal="center" vertical="top" textRotation="90" wrapText="1"/>
    </xf>
    <xf numFmtId="0" fontId="5" fillId="2" borderId="17" xfId="0" applyNumberFormat="1" applyFont="1" applyFill="1" applyBorder="1" applyAlignment="1" applyProtection="1">
      <alignment horizontal="center" vertical="top" textRotation="90" wrapText="1"/>
    </xf>
    <xf numFmtId="0" fontId="5" fillId="2" borderId="22" xfId="0" applyNumberFormat="1" applyFont="1" applyFill="1" applyBorder="1" applyAlignment="1" applyProtection="1">
      <alignment horizontal="center" vertical="top" textRotation="90" wrapText="1"/>
    </xf>
    <xf numFmtId="0" fontId="3" fillId="0" borderId="15" xfId="0" applyNumberFormat="1" applyFont="1" applyFill="1" applyBorder="1" applyAlignment="1" applyProtection="1">
      <alignment vertical="top" wrapText="1"/>
    </xf>
    <xf numFmtId="0" fontId="3" fillId="0" borderId="10" xfId="0" applyNumberFormat="1" applyFont="1" applyFill="1" applyBorder="1" applyAlignment="1" applyProtection="1">
      <alignment vertical="top" wrapText="1"/>
    </xf>
    <xf numFmtId="0" fontId="3" fillId="0" borderId="13" xfId="0" applyNumberFormat="1" applyFont="1" applyFill="1" applyBorder="1" applyAlignment="1" applyProtection="1">
      <alignment horizontal="left" vertical="top" wrapText="1"/>
    </xf>
    <xf numFmtId="0" fontId="5" fillId="0" borderId="13" xfId="0" applyNumberFormat="1" applyFont="1" applyFill="1" applyBorder="1" applyAlignment="1" applyProtection="1">
      <alignment horizontal="left" vertical="top" wrapText="1"/>
    </xf>
    <xf numFmtId="0" fontId="3" fillId="0" borderId="10" xfId="0" applyNumberFormat="1" applyFont="1" applyFill="1" applyBorder="1" applyAlignment="1" applyProtection="1">
      <alignment horizontal="left" vertical="top" wrapText="1"/>
    </xf>
    <xf numFmtId="0" fontId="5" fillId="0" borderId="10" xfId="0" applyNumberFormat="1" applyFont="1" applyFill="1" applyBorder="1" applyAlignment="1" applyProtection="1">
      <alignment horizontal="left" vertical="top" wrapText="1"/>
    </xf>
    <xf numFmtId="0" fontId="2" fillId="0" borderId="10" xfId="0" applyNumberFormat="1" applyFont="1" applyFill="1" applyBorder="1" applyAlignment="1" applyProtection="1">
      <alignment horizontal="center" vertical="center" wrapText="1"/>
    </xf>
    <xf numFmtId="0" fontId="3" fillId="0" borderId="20" xfId="0" applyNumberFormat="1" applyFont="1" applyFill="1" applyBorder="1" applyAlignment="1" applyProtection="1">
      <alignment horizontal="left" vertical="top" wrapText="1"/>
    </xf>
    <xf numFmtId="0" fontId="3" fillId="0" borderId="15" xfId="0" applyNumberFormat="1" applyFont="1" applyFill="1" applyBorder="1" applyAlignment="1" applyProtection="1">
      <alignment horizontal="left" vertical="top" wrapText="1"/>
    </xf>
    <xf numFmtId="0" fontId="2" fillId="0" borderId="2" xfId="0" applyNumberFormat="1" applyFont="1" applyFill="1" applyBorder="1" applyAlignment="1" applyProtection="1">
      <alignment horizontal="center" vertical="center"/>
    </xf>
    <xf numFmtId="0" fontId="2" fillId="0" borderId="31" xfId="0" applyNumberFormat="1" applyFont="1" applyFill="1" applyBorder="1" applyAlignment="1" applyProtection="1">
      <alignment horizontal="center" vertical="center"/>
    </xf>
    <xf numFmtId="0" fontId="2" fillId="25" borderId="2" xfId="0" applyNumberFormat="1" applyFont="1" applyFill="1" applyBorder="1" applyAlignment="1" applyProtection="1">
      <alignment horizontal="center" vertical="center"/>
    </xf>
    <xf numFmtId="0" fontId="2" fillId="25" borderId="31"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left" vertical="top" wrapText="1"/>
    </xf>
    <xf numFmtId="9" fontId="2" fillId="0" borderId="42"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4" fillId="0" borderId="31" xfId="0" applyNumberFormat="1" applyFont="1" applyFill="1" applyBorder="1" applyAlignment="1" applyProtection="1">
      <alignment horizontal="center" vertical="center" wrapText="1"/>
    </xf>
    <xf numFmtId="0" fontId="4" fillId="25" borderId="2" xfId="0" applyNumberFormat="1" applyFont="1" applyFill="1" applyBorder="1" applyAlignment="1" applyProtection="1">
      <alignment horizontal="center" vertical="center" wrapText="1"/>
    </xf>
    <xf numFmtId="0" fontId="4" fillId="25" borderId="31" xfId="0" applyNumberFormat="1" applyFont="1" applyFill="1" applyBorder="1" applyAlignment="1" applyProtection="1">
      <alignment horizontal="center" vertical="center" wrapText="1"/>
    </xf>
    <xf numFmtId="0" fontId="2" fillId="32" borderId="20" xfId="0" applyNumberFormat="1" applyFont="1" applyFill="1" applyBorder="1" applyAlignment="1" applyProtection="1">
      <alignment horizontal="center" wrapText="1"/>
    </xf>
    <xf numFmtId="0" fontId="2" fillId="32" borderId="43" xfId="0" applyNumberFormat="1" applyFont="1" applyFill="1" applyBorder="1" applyAlignment="1" applyProtection="1">
      <alignment horizontal="center" wrapText="1"/>
    </xf>
    <xf numFmtId="0" fontId="2" fillId="32" borderId="15" xfId="0" applyNumberFormat="1" applyFont="1" applyFill="1" applyBorder="1" applyAlignment="1" applyProtection="1">
      <alignment horizontal="center" wrapText="1"/>
    </xf>
    <xf numFmtId="0" fontId="2" fillId="32" borderId="33" xfId="0" applyNumberFormat="1" applyFont="1" applyFill="1" applyBorder="1" applyAlignment="1" applyProtection="1">
      <alignment horizontal="center" wrapText="1"/>
    </xf>
    <xf numFmtId="0" fontId="34" fillId="25" borderId="19" xfId="0" applyNumberFormat="1" applyFont="1" applyFill="1" applyBorder="1" applyAlignment="1" applyProtection="1">
      <alignment horizontal="right" vertical="center" wrapText="1"/>
    </xf>
    <xf numFmtId="0" fontId="34" fillId="25" borderId="46" xfId="0" applyNumberFormat="1" applyFont="1" applyFill="1" applyBorder="1" applyAlignment="1" applyProtection="1">
      <alignment horizontal="right" vertical="center" wrapText="1"/>
    </xf>
    <xf numFmtId="0" fontId="34" fillId="25" borderId="23" xfId="0" applyNumberFormat="1" applyFont="1" applyFill="1" applyBorder="1" applyAlignment="1" applyProtection="1">
      <alignment horizontal="right" vertical="center" wrapText="1"/>
    </xf>
    <xf numFmtId="0" fontId="34" fillId="25" borderId="24" xfId="0" applyNumberFormat="1" applyFont="1" applyFill="1" applyBorder="1" applyAlignment="1" applyProtection="1">
      <alignment horizontal="right" vertical="center" wrapText="1"/>
    </xf>
    <xf numFmtId="0" fontId="10" fillId="27" borderId="23" xfId="0" applyFont="1" applyFill="1" applyBorder="1" applyAlignment="1" applyProtection="1">
      <alignment horizontal="left" vertical="center"/>
      <protection locked="0"/>
    </xf>
    <xf numFmtId="0" fontId="10" fillId="27" borderId="24" xfId="0" applyFont="1" applyFill="1" applyBorder="1" applyAlignment="1" applyProtection="1">
      <alignment horizontal="left" vertical="center"/>
      <protection locked="0"/>
    </xf>
    <xf numFmtId="0" fontId="3" fillId="0" borderId="18" xfId="0" applyNumberFormat="1" applyFont="1" applyFill="1" applyBorder="1" applyAlignment="1" applyProtection="1">
      <alignment horizontal="center" vertical="top" wrapText="1"/>
    </xf>
    <xf numFmtId="0" fontId="5" fillId="0" borderId="17" xfId="0" applyNumberFormat="1" applyFont="1" applyFill="1" applyBorder="1" applyAlignment="1" applyProtection="1">
      <alignment horizontal="center" vertical="top" wrapText="1"/>
    </xf>
    <xf numFmtId="0" fontId="5" fillId="0" borderId="22" xfId="0" applyNumberFormat="1" applyFont="1" applyFill="1" applyBorder="1" applyAlignment="1" applyProtection="1">
      <alignment horizontal="center" vertical="top" wrapText="1"/>
    </xf>
    <xf numFmtId="0" fontId="2" fillId="2" borderId="23" xfId="0" applyNumberFormat="1" applyFont="1" applyFill="1" applyBorder="1" applyAlignment="1" applyProtection="1">
      <alignment horizontal="center" wrapText="1"/>
    </xf>
    <xf numFmtId="0" fontId="2" fillId="2" borderId="24" xfId="0" applyNumberFormat="1" applyFont="1" applyFill="1" applyBorder="1" applyAlignment="1" applyProtection="1">
      <alignment horizontal="center" wrapText="1"/>
    </xf>
    <xf numFmtId="9" fontId="2" fillId="0" borderId="2" xfId="0" applyNumberFormat="1" applyFont="1" applyFill="1" applyBorder="1" applyAlignment="1" applyProtection="1">
      <alignment horizontal="center" vertical="center" wrapText="1"/>
    </xf>
    <xf numFmtId="9" fontId="2" fillId="0" borderId="31" xfId="0" applyNumberFormat="1" applyFont="1" applyFill="1" applyBorder="1" applyAlignment="1" applyProtection="1">
      <alignment horizontal="center" vertical="center" wrapText="1"/>
    </xf>
    <xf numFmtId="0" fontId="3" fillId="2" borderId="18" xfId="0" applyNumberFormat="1" applyFont="1" applyFill="1" applyBorder="1" applyAlignment="1" applyProtection="1">
      <alignment horizontal="left" vertical="top" textRotation="90" shrinkToFit="1"/>
    </xf>
    <xf numFmtId="0" fontId="3" fillId="2" borderId="17" xfId="0" applyNumberFormat="1" applyFont="1" applyFill="1" applyBorder="1" applyAlignment="1" applyProtection="1">
      <alignment horizontal="left" vertical="top" textRotation="90" shrinkToFit="1"/>
    </xf>
    <xf numFmtId="0" fontId="3" fillId="2" borderId="22" xfId="0" applyNumberFormat="1" applyFont="1" applyFill="1" applyBorder="1" applyAlignment="1" applyProtection="1">
      <alignment horizontal="left" vertical="top" textRotation="90" shrinkToFit="1"/>
    </xf>
    <xf numFmtId="0" fontId="2" fillId="27" borderId="10" xfId="0" applyNumberFormat="1" applyFont="1" applyFill="1" applyBorder="1" applyAlignment="1" applyProtection="1">
      <alignment horizontal="center" vertical="center" wrapText="1"/>
      <protection locked="0"/>
    </xf>
    <xf numFmtId="0" fontId="2" fillId="27" borderId="31" xfId="0" applyNumberFormat="1" applyFont="1" applyFill="1" applyBorder="1" applyAlignment="1" applyProtection="1">
      <alignment horizontal="center" vertical="center" wrapText="1"/>
      <protection locked="0"/>
    </xf>
    <xf numFmtId="0" fontId="2" fillId="0" borderId="20" xfId="0" applyNumberFormat="1" applyFont="1" applyFill="1" applyBorder="1" applyAlignment="1" applyProtection="1">
      <alignment horizontal="center" vertical="center" wrapText="1"/>
    </xf>
    <xf numFmtId="0" fontId="0" fillId="0" borderId="43" xfId="0" applyBorder="1" applyAlignment="1">
      <alignment horizontal="center" vertical="center"/>
    </xf>
    <xf numFmtId="0" fontId="1" fillId="0" borderId="39" xfId="0" applyFont="1" applyBorder="1" applyAlignment="1">
      <alignment horizontal="center" vertical="center" wrapText="1"/>
    </xf>
    <xf numFmtId="0" fontId="1" fillId="0" borderId="27" xfId="0" applyFont="1" applyBorder="1" applyAlignment="1">
      <alignment horizontal="center" vertical="center" wrapText="1"/>
    </xf>
    <xf numFmtId="0" fontId="3" fillId="2" borderId="17" xfId="0" applyNumberFormat="1" applyFont="1" applyFill="1" applyBorder="1" applyAlignment="1" applyProtection="1">
      <alignment horizontal="center" vertical="top" textRotation="90" shrinkToFit="1"/>
    </xf>
    <xf numFmtId="0" fontId="3" fillId="2" borderId="22" xfId="0" applyNumberFormat="1" applyFont="1" applyFill="1" applyBorder="1" applyAlignment="1" applyProtection="1">
      <alignment horizontal="center" vertical="top" textRotation="90" shrinkToFit="1"/>
    </xf>
    <xf numFmtId="0" fontId="4" fillId="0" borderId="93" xfId="0" applyNumberFormat="1" applyFont="1" applyFill="1" applyBorder="1" applyAlignment="1" applyProtection="1">
      <alignment horizontal="center" vertical="center" wrapText="1"/>
    </xf>
    <xf numFmtId="0" fontId="4" fillId="0" borderId="33" xfId="0" applyNumberFormat="1" applyFont="1" applyFill="1" applyBorder="1" applyAlignment="1" applyProtection="1">
      <alignment horizontal="center" vertical="center" wrapText="1"/>
    </xf>
    <xf numFmtId="0" fontId="4" fillId="25" borderId="16" xfId="0" applyNumberFormat="1" applyFont="1" applyFill="1" applyBorder="1" applyAlignment="1" applyProtection="1">
      <alignment horizontal="center" vertical="center" wrapText="1"/>
    </xf>
    <xf numFmtId="0" fontId="4" fillId="0" borderId="30" xfId="0" applyNumberFormat="1" applyFont="1" applyFill="1" applyBorder="1" applyAlignment="1" applyProtection="1">
      <alignment horizontal="left" vertical="center" wrapText="1"/>
    </xf>
    <xf numFmtId="0" fontId="4" fillId="0" borderId="22" xfId="0" applyNumberFormat="1" applyFont="1" applyFill="1" applyBorder="1" applyAlignment="1" applyProtection="1">
      <alignment horizontal="left" vertical="center" wrapText="1"/>
    </xf>
    <xf numFmtId="0" fontId="4" fillId="25" borderId="84" xfId="0" applyNumberFormat="1" applyFont="1" applyFill="1" applyBorder="1" applyAlignment="1" applyProtection="1">
      <alignment horizontal="center" vertical="top" wrapText="1"/>
    </xf>
    <xf numFmtId="0" fontId="2" fillId="25" borderId="43" xfId="0" applyNumberFormat="1" applyFont="1" applyFill="1" applyBorder="1" applyAlignment="1" applyProtection="1">
      <alignment horizontal="center" vertical="top" wrapText="1"/>
    </xf>
    <xf numFmtId="0" fontId="2" fillId="25" borderId="45" xfId="0" applyNumberFormat="1" applyFont="1" applyFill="1" applyBorder="1" applyAlignment="1" applyProtection="1">
      <alignment horizontal="center" vertical="top" wrapText="1"/>
    </xf>
    <xf numFmtId="0" fontId="2" fillId="25" borderId="79" xfId="0" applyNumberFormat="1" applyFont="1" applyFill="1" applyBorder="1" applyAlignment="1" applyProtection="1">
      <alignment horizontal="center" vertical="top" wrapText="1"/>
    </xf>
    <xf numFmtId="0" fontId="5" fillId="0" borderId="18" xfId="0" applyNumberFormat="1" applyFont="1" applyFill="1" applyBorder="1" applyAlignment="1" applyProtection="1">
      <alignment horizontal="center" vertical="top" wrapText="1"/>
    </xf>
    <xf numFmtId="0" fontId="2" fillId="27" borderId="7" xfId="0" applyNumberFormat="1" applyFont="1" applyFill="1" applyBorder="1" applyAlignment="1" applyProtection="1">
      <alignment horizontal="center" vertical="center" wrapText="1"/>
      <protection locked="0"/>
    </xf>
    <xf numFmtId="0" fontId="2" fillId="27" borderId="34" xfId="0" applyNumberFormat="1" applyFont="1" applyFill="1" applyBorder="1" applyAlignment="1" applyProtection="1">
      <alignment horizontal="center" vertical="center" wrapText="1"/>
      <protection locked="0"/>
    </xf>
    <xf numFmtId="0" fontId="2" fillId="25" borderId="36" xfId="0" applyNumberFormat="1" applyFont="1" applyFill="1" applyBorder="1" applyAlignment="1" applyProtection="1">
      <alignment horizontal="center" vertical="center" wrapText="1"/>
    </xf>
    <xf numFmtId="0" fontId="2" fillId="25" borderId="47" xfId="0" applyNumberFormat="1" applyFont="1" applyFill="1" applyBorder="1" applyAlignment="1" applyProtection="1">
      <alignment horizontal="center" vertical="center" wrapText="1"/>
    </xf>
    <xf numFmtId="0" fontId="2" fillId="25" borderId="15" xfId="0" applyNumberFormat="1" applyFont="1" applyFill="1" applyBorder="1" applyAlignment="1" applyProtection="1">
      <alignment horizontal="center" vertical="center" wrapText="1"/>
    </xf>
    <xf numFmtId="0" fontId="2" fillId="25" borderId="33" xfId="0" applyNumberFormat="1" applyFont="1" applyFill="1" applyBorder="1" applyAlignment="1" applyProtection="1">
      <alignment horizontal="center" vertical="center" wrapText="1"/>
    </xf>
    <xf numFmtId="0" fontId="3" fillId="2" borderId="18" xfId="0" applyNumberFormat="1" applyFont="1" applyFill="1" applyBorder="1" applyAlignment="1" applyProtection="1">
      <alignment vertical="top" textRotation="90" wrapText="1"/>
    </xf>
    <xf numFmtId="0" fontId="3" fillId="2" borderId="17" xfId="0" applyNumberFormat="1" applyFont="1" applyFill="1" applyBorder="1" applyAlignment="1" applyProtection="1">
      <alignment vertical="top" textRotation="90" wrapText="1"/>
    </xf>
    <xf numFmtId="0" fontId="3" fillId="2" borderId="22" xfId="0" applyNumberFormat="1" applyFont="1" applyFill="1" applyBorder="1" applyAlignment="1" applyProtection="1">
      <alignment vertical="top" textRotation="90" wrapText="1"/>
    </xf>
    <xf numFmtId="0" fontId="2" fillId="25" borderId="39" xfId="0" applyNumberFormat="1" applyFont="1" applyFill="1" applyBorder="1" applyAlignment="1" applyProtection="1">
      <alignment horizontal="center" vertical="center" wrapText="1"/>
    </xf>
    <xf numFmtId="0" fontId="2" fillId="25" borderId="27" xfId="0" applyNumberFormat="1" applyFont="1" applyFill="1" applyBorder="1" applyAlignment="1" applyProtection="1">
      <alignment horizontal="center" vertical="center" wrapText="1"/>
    </xf>
    <xf numFmtId="0" fontId="2" fillId="25" borderId="42" xfId="0" applyNumberFormat="1" applyFont="1" applyFill="1" applyBorder="1" applyAlignment="1" applyProtection="1">
      <alignment horizontal="center" vertical="center" wrapText="1"/>
    </xf>
    <xf numFmtId="0" fontId="4" fillId="25" borderId="20" xfId="0" applyNumberFormat="1" applyFont="1" applyFill="1" applyBorder="1" applyAlignment="1" applyProtection="1">
      <alignment horizontal="center" vertical="center" wrapText="1"/>
    </xf>
    <xf numFmtId="0" fontId="4" fillId="25" borderId="43" xfId="0" applyNumberFormat="1" applyFont="1" applyFill="1" applyBorder="1" applyAlignment="1" applyProtection="1">
      <alignment horizontal="center" vertical="center" wrapText="1"/>
    </xf>
    <xf numFmtId="0" fontId="4" fillId="25" borderId="15" xfId="0" applyNumberFormat="1" applyFont="1" applyFill="1" applyBorder="1" applyAlignment="1" applyProtection="1">
      <alignment horizontal="center" vertical="center" wrapText="1"/>
    </xf>
    <xf numFmtId="0" fontId="5" fillId="0" borderId="18" xfId="0" applyNumberFormat="1" applyFont="1" applyFill="1" applyBorder="1" applyAlignment="1" applyProtection="1">
      <alignment horizontal="left" vertical="top" wrapText="1"/>
    </xf>
    <xf numFmtId="0" fontId="5" fillId="0" borderId="22" xfId="0" applyNumberFormat="1" applyFont="1" applyFill="1" applyBorder="1" applyAlignment="1" applyProtection="1">
      <alignment horizontal="left" vertical="top" wrapText="1"/>
    </xf>
    <xf numFmtId="0" fontId="4" fillId="25" borderId="17" xfId="0" applyNumberFormat="1" applyFont="1" applyFill="1" applyBorder="1" applyAlignment="1" applyProtection="1">
      <alignment horizontal="left" vertical="center" wrapText="1"/>
    </xf>
    <xf numFmtId="0" fontId="4" fillId="25" borderId="22" xfId="0" applyNumberFormat="1" applyFont="1" applyFill="1" applyBorder="1" applyAlignment="1" applyProtection="1">
      <alignment horizontal="left" vertical="center" wrapText="1"/>
    </xf>
    <xf numFmtId="0" fontId="4" fillId="25" borderId="12" xfId="0" applyNumberFormat="1" applyFont="1" applyFill="1" applyBorder="1" applyAlignment="1" applyProtection="1">
      <alignment horizontal="center" vertical="center" wrapText="1"/>
    </xf>
    <xf numFmtId="0" fontId="4" fillId="25" borderId="13" xfId="0" applyNumberFormat="1" applyFont="1" applyFill="1" applyBorder="1" applyAlignment="1" applyProtection="1">
      <alignment horizontal="center" vertical="center" wrapText="1"/>
    </xf>
    <xf numFmtId="0" fontId="4" fillId="25" borderId="5" xfId="0" applyNumberFormat="1" applyFont="1" applyFill="1" applyBorder="1" applyAlignment="1" applyProtection="1">
      <alignment horizontal="center" vertical="center" wrapText="1"/>
    </xf>
    <xf numFmtId="0" fontId="4" fillId="25" borderId="49" xfId="0" applyNumberFormat="1" applyFont="1" applyFill="1" applyBorder="1" applyAlignment="1" applyProtection="1">
      <alignment horizontal="center" vertical="center" wrapText="1"/>
    </xf>
    <xf numFmtId="0" fontId="4" fillId="25" borderId="7" xfId="0" applyNumberFormat="1" applyFont="1" applyFill="1" applyBorder="1" applyAlignment="1" applyProtection="1">
      <alignment horizontal="center" vertical="center" wrapText="1"/>
    </xf>
    <xf numFmtId="0" fontId="4" fillId="25" borderId="34" xfId="0" applyNumberFormat="1" applyFont="1" applyFill="1" applyBorder="1" applyAlignment="1" applyProtection="1">
      <alignment horizontal="center" vertical="center" wrapText="1"/>
    </xf>
    <xf numFmtId="0" fontId="5" fillId="2" borderId="18" xfId="0" applyNumberFormat="1" applyFont="1" applyFill="1" applyBorder="1" applyAlignment="1" applyProtection="1">
      <alignment horizontal="left" vertical="top" textRotation="90" wrapText="1"/>
    </xf>
    <xf numFmtId="0" fontId="5" fillId="2" borderId="17" xfId="0" applyNumberFormat="1" applyFont="1" applyFill="1" applyBorder="1" applyAlignment="1" applyProtection="1">
      <alignment horizontal="left" vertical="top" textRotation="90" wrapText="1"/>
    </xf>
    <xf numFmtId="0" fontId="5" fillId="2" borderId="22" xfId="0" applyNumberFormat="1" applyFont="1" applyFill="1" applyBorder="1" applyAlignment="1" applyProtection="1">
      <alignment horizontal="left" vertical="top" textRotation="90" wrapText="1"/>
    </xf>
    <xf numFmtId="0" fontId="5" fillId="0" borderId="17" xfId="0" applyNumberFormat="1" applyFont="1" applyFill="1" applyBorder="1" applyAlignment="1" applyProtection="1">
      <alignment horizontal="left" vertical="top" wrapText="1"/>
    </xf>
    <xf numFmtId="0" fontId="2" fillId="25" borderId="34"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left" vertical="top" wrapText="1"/>
    </xf>
    <xf numFmtId="0" fontId="2" fillId="25" borderId="61" xfId="0" applyNumberFormat="1" applyFont="1" applyFill="1" applyBorder="1" applyAlignment="1" applyProtection="1">
      <alignment horizontal="center" vertical="center" wrapText="1"/>
    </xf>
    <xf numFmtId="0" fontId="2" fillId="25" borderId="80" xfId="0" applyNumberFormat="1" applyFont="1" applyFill="1" applyBorder="1" applyAlignment="1" applyProtection="1">
      <alignment horizontal="center" vertical="center" wrapText="1"/>
    </xf>
    <xf numFmtId="0" fontId="3" fillId="2" borderId="18" xfId="0" applyNumberFormat="1" applyFont="1" applyFill="1" applyBorder="1" applyAlignment="1" applyProtection="1">
      <alignment horizontal="center" vertical="top" textRotation="90" wrapText="1"/>
    </xf>
    <xf numFmtId="0" fontId="3" fillId="2" borderId="22" xfId="0" applyNumberFormat="1" applyFont="1" applyFill="1" applyBorder="1" applyAlignment="1" applyProtection="1">
      <alignment horizontal="center" vertical="top" textRotation="90" wrapText="1"/>
    </xf>
    <xf numFmtId="0" fontId="5" fillId="25" borderId="17" xfId="0" applyNumberFormat="1" applyFont="1" applyFill="1" applyBorder="1" applyAlignment="1" applyProtection="1">
      <alignment horizontal="left" vertical="top" wrapText="1"/>
    </xf>
    <xf numFmtId="0" fontId="5" fillId="25" borderId="22" xfId="0" applyNumberFormat="1" applyFont="1" applyFill="1" applyBorder="1" applyAlignment="1" applyProtection="1">
      <alignment horizontal="left" vertical="top" wrapText="1"/>
    </xf>
    <xf numFmtId="0" fontId="1" fillId="0" borderId="30" xfId="0" applyFont="1" applyBorder="1" applyAlignment="1">
      <alignment horizontal="left" vertical="center" wrapText="1"/>
    </xf>
    <xf numFmtId="0" fontId="1" fillId="0" borderId="29" xfId="0" applyFont="1" applyBorder="1" applyAlignment="1">
      <alignment horizontal="left" vertical="center" wrapText="1"/>
    </xf>
    <xf numFmtId="0" fontId="3" fillId="0" borderId="30" xfId="0" applyNumberFormat="1" applyFont="1" applyFill="1" applyBorder="1" applyAlignment="1" applyProtection="1">
      <alignment horizontal="left" vertical="top" wrapText="1"/>
    </xf>
    <xf numFmtId="0" fontId="3" fillId="0" borderId="29" xfId="0" applyNumberFormat="1" applyFont="1" applyFill="1" applyBorder="1" applyAlignment="1" applyProtection="1">
      <alignment horizontal="left" vertical="top" wrapText="1"/>
    </xf>
    <xf numFmtId="0" fontId="5" fillId="25" borderId="18" xfId="0" applyNumberFormat="1" applyFont="1" applyFill="1" applyBorder="1" applyAlignment="1" applyProtection="1">
      <alignment horizontal="center" vertical="top" wrapText="1"/>
    </xf>
    <xf numFmtId="0" fontId="5" fillId="25" borderId="17" xfId="0" applyNumberFormat="1" applyFont="1" applyFill="1" applyBorder="1" applyAlignment="1" applyProtection="1">
      <alignment horizontal="center" vertical="top" wrapText="1"/>
    </xf>
    <xf numFmtId="0" fontId="5" fillId="25" borderId="22" xfId="0" applyNumberFormat="1" applyFont="1" applyFill="1" applyBorder="1" applyAlignment="1" applyProtection="1">
      <alignment horizontal="center" vertical="top" wrapText="1"/>
    </xf>
    <xf numFmtId="0" fontId="3" fillId="2" borderId="17" xfId="0" applyNumberFormat="1" applyFont="1" applyFill="1" applyBorder="1" applyAlignment="1" applyProtection="1">
      <alignment horizontal="center" vertical="top" textRotation="90" wrapText="1"/>
    </xf>
    <xf numFmtId="0" fontId="4" fillId="0" borderId="30"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61" fillId="2" borderId="88" xfId="0" applyFont="1" applyFill="1" applyBorder="1" applyAlignment="1">
      <alignment horizontal="center" vertical="center" wrapText="1"/>
    </xf>
    <xf numFmtId="0" fontId="61" fillId="2" borderId="45" xfId="0" applyFont="1" applyFill="1" applyBorder="1" applyAlignment="1">
      <alignment horizontal="center" vertical="center"/>
    </xf>
    <xf numFmtId="0" fontId="10" fillId="2" borderId="12" xfId="0" applyFont="1" applyFill="1" applyBorder="1" applyAlignment="1">
      <alignment horizontal="left" vertical="top" wrapText="1"/>
    </xf>
    <xf numFmtId="0" fontId="10" fillId="2" borderId="13" xfId="0" applyFont="1" applyFill="1" applyBorder="1" applyAlignment="1">
      <alignment horizontal="left" vertical="top" wrapText="1"/>
    </xf>
    <xf numFmtId="0" fontId="10" fillId="2" borderId="14" xfId="0" applyFont="1" applyFill="1" applyBorder="1" applyAlignment="1">
      <alignment horizontal="left" vertical="top" wrapText="1"/>
    </xf>
    <xf numFmtId="0" fontId="10" fillId="2" borderId="13" xfId="0" applyFont="1" applyFill="1" applyBorder="1" applyAlignment="1">
      <alignment horizontal="left" vertical="top"/>
    </xf>
    <xf numFmtId="0" fontId="10" fillId="2" borderId="99" xfId="0" applyFont="1" applyFill="1" applyBorder="1" applyAlignment="1">
      <alignment horizontal="center"/>
    </xf>
    <xf numFmtId="0" fontId="10" fillId="2" borderId="21" xfId="0" applyFont="1" applyFill="1" applyBorder="1" applyAlignment="1">
      <alignment horizontal="center"/>
    </xf>
    <xf numFmtId="0" fontId="0" fillId="0" borderId="27" xfId="0" applyFont="1" applyBorder="1" applyAlignment="1">
      <alignment horizontal="center"/>
    </xf>
    <xf numFmtId="0" fontId="0" fillId="0" borderId="93" xfId="0" applyFont="1" applyBorder="1" applyAlignment="1">
      <alignment horizontal="center"/>
    </xf>
    <xf numFmtId="2" fontId="0" fillId="0" borderId="16" xfId="0" applyNumberFormat="1" applyFont="1" applyBorder="1" applyAlignment="1">
      <alignment horizontal="center"/>
    </xf>
    <xf numFmtId="2" fontId="0" fillId="0" borderId="2" xfId="0" applyNumberFormat="1" applyFont="1" applyBorder="1" applyAlignment="1">
      <alignment horizontal="center"/>
    </xf>
    <xf numFmtId="0" fontId="0" fillId="0" borderId="28" xfId="0" applyFont="1" applyBorder="1" applyAlignment="1">
      <alignment horizontal="center"/>
    </xf>
    <xf numFmtId="0" fontId="0" fillId="0" borderId="84" xfId="0" applyFont="1" applyBorder="1" applyAlignment="1">
      <alignment horizontal="center"/>
    </xf>
    <xf numFmtId="0" fontId="10" fillId="2" borderId="66" xfId="0" applyFont="1" applyFill="1" applyBorder="1" applyAlignment="1">
      <alignment horizontal="center"/>
    </xf>
    <xf numFmtId="0" fontId="0" fillId="0" borderId="92" xfId="0" applyFont="1" applyBorder="1" applyAlignment="1">
      <alignment horizontal="center"/>
    </xf>
    <xf numFmtId="2" fontId="0" fillId="0" borderId="42" xfId="0" applyNumberFormat="1" applyFont="1" applyBorder="1" applyAlignment="1">
      <alignment horizontal="center"/>
    </xf>
    <xf numFmtId="0" fontId="0" fillId="0" borderId="40" xfId="0" applyFont="1" applyBorder="1" applyAlignment="1">
      <alignment horizontal="center"/>
    </xf>
    <xf numFmtId="0" fontId="61" fillId="2" borderId="68" xfId="0" applyFont="1" applyFill="1" applyBorder="1" applyAlignment="1">
      <alignment horizontal="center" vertical="center"/>
    </xf>
    <xf numFmtId="0" fontId="34" fillId="2" borderId="46" xfId="0" applyNumberFormat="1" applyFont="1" applyFill="1" applyBorder="1" applyAlignment="1" applyProtection="1">
      <alignment horizontal="left" vertical="top" wrapText="1"/>
    </xf>
    <xf numFmtId="0" fontId="34" fillId="2" borderId="47" xfId="0" applyNumberFormat="1" applyFont="1" applyFill="1" applyBorder="1" applyAlignment="1" applyProtection="1">
      <alignment horizontal="left" vertical="top" wrapText="1"/>
    </xf>
    <xf numFmtId="0" fontId="0" fillId="0" borderId="1" xfId="0" applyFont="1" applyBorder="1" applyAlignment="1">
      <alignment horizontal="center"/>
    </xf>
    <xf numFmtId="0" fontId="0" fillId="0" borderId="16" xfId="0" applyFont="1" applyBorder="1" applyAlignment="1">
      <alignment horizontal="center"/>
    </xf>
    <xf numFmtId="0" fontId="0" fillId="0" borderId="2" xfId="0" applyFont="1" applyBorder="1" applyAlignment="1">
      <alignment horizontal="center"/>
    </xf>
    <xf numFmtId="0" fontId="0" fillId="0" borderId="42" xfId="0" applyFont="1" applyBorder="1" applyAlignment="1">
      <alignment horizontal="center"/>
    </xf>
    <xf numFmtId="0" fontId="0" fillId="35" borderId="16" xfId="0" applyFont="1" applyFill="1" applyBorder="1" applyAlignment="1">
      <alignment horizontal="center"/>
    </xf>
    <xf numFmtId="0" fontId="0" fillId="35" borderId="2" xfId="0" applyFont="1" applyFill="1" applyBorder="1" applyAlignment="1">
      <alignment horizontal="center"/>
    </xf>
    <xf numFmtId="0" fontId="0" fillId="35" borderId="42" xfId="0" applyFont="1" applyFill="1" applyBorder="1" applyAlignment="1">
      <alignment horizontal="center"/>
    </xf>
    <xf numFmtId="0" fontId="0" fillId="0" borderId="100" xfId="0" applyFont="1" applyBorder="1" applyAlignment="1">
      <alignment horizontal="center"/>
    </xf>
    <xf numFmtId="0" fontId="0" fillId="0" borderId="70" xfId="0" applyFont="1" applyBorder="1" applyAlignment="1">
      <alignment horizontal="center"/>
    </xf>
    <xf numFmtId="0" fontId="0" fillId="0" borderId="78" xfId="0" applyFont="1" applyBorder="1" applyAlignment="1">
      <alignment horizontal="center"/>
    </xf>
    <xf numFmtId="0" fontId="10" fillId="2" borderId="87" xfId="0" applyFont="1" applyFill="1" applyBorder="1" applyAlignment="1">
      <alignment horizontal="left" vertical="top"/>
    </xf>
    <xf numFmtId="0" fontId="10" fillId="2" borderId="90" xfId="0" applyFont="1" applyFill="1" applyBorder="1" applyAlignment="1">
      <alignment horizontal="left" vertical="top"/>
    </xf>
    <xf numFmtId="0" fontId="10" fillId="2" borderId="18" xfId="0" applyFont="1" applyFill="1" applyBorder="1" applyAlignment="1">
      <alignment horizontal="left" vertical="top"/>
    </xf>
    <xf numFmtId="0" fontId="10" fillId="2" borderId="17" xfId="0" applyFont="1" applyFill="1" applyBorder="1" applyAlignment="1">
      <alignment horizontal="left" vertical="top"/>
    </xf>
    <xf numFmtId="0" fontId="10" fillId="2" borderId="22" xfId="0" applyFont="1" applyFill="1" applyBorder="1" applyAlignment="1">
      <alignment horizontal="left" vertical="top"/>
    </xf>
    <xf numFmtId="0" fontId="10" fillId="2" borderId="63" xfId="0" applyFont="1" applyFill="1" applyBorder="1" applyAlignment="1">
      <alignment horizontal="left" vertical="top" wrapText="1"/>
    </xf>
    <xf numFmtId="0" fontId="10" fillId="2" borderId="34" xfId="0" applyFont="1" applyFill="1" applyBorder="1" applyAlignment="1">
      <alignment horizontal="left" vertical="top" wrapText="1"/>
    </xf>
    <xf numFmtId="0" fontId="10" fillId="2" borderId="87" xfId="0" applyFont="1" applyFill="1" applyBorder="1" applyAlignment="1">
      <alignment horizontal="left" vertical="top" wrapText="1"/>
    </xf>
    <xf numFmtId="0" fontId="10" fillId="2" borderId="90" xfId="0" applyFont="1" applyFill="1" applyBorder="1" applyAlignment="1">
      <alignment horizontal="left" vertical="top" wrapText="1"/>
    </xf>
    <xf numFmtId="0" fontId="10" fillId="2" borderId="63" xfId="0" applyFont="1" applyFill="1" applyBorder="1" applyAlignment="1">
      <alignment horizontal="left" vertical="top"/>
    </xf>
    <xf numFmtId="0" fontId="10" fillId="35" borderId="27" xfId="0" applyFont="1" applyFill="1" applyBorder="1" applyAlignment="1">
      <alignment horizontal="center"/>
    </xf>
    <xf numFmtId="0" fontId="10" fillId="35" borderId="93" xfId="0" applyFont="1" applyFill="1" applyBorder="1" applyAlignment="1">
      <alignment horizontal="center"/>
    </xf>
    <xf numFmtId="0" fontId="10" fillId="35" borderId="92" xfId="0" applyFont="1" applyFill="1" applyBorder="1" applyAlignment="1">
      <alignment horizontal="center"/>
    </xf>
    <xf numFmtId="0" fontId="10" fillId="35" borderId="16" xfId="0" applyFont="1" applyFill="1" applyBorder="1" applyAlignment="1">
      <alignment horizontal="center"/>
    </xf>
    <xf numFmtId="0" fontId="10" fillId="35" borderId="2" xfId="0" applyFont="1" applyFill="1" applyBorder="1" applyAlignment="1">
      <alignment horizontal="center"/>
    </xf>
    <xf numFmtId="0" fontId="10" fillId="35" borderId="42" xfId="0" applyFont="1" applyFill="1" applyBorder="1" applyAlignment="1">
      <alignment horizontal="center"/>
    </xf>
    <xf numFmtId="0" fontId="61" fillId="2" borderId="64" xfId="0" applyFont="1" applyFill="1" applyBorder="1" applyAlignment="1">
      <alignment horizontal="center" vertical="center"/>
    </xf>
    <xf numFmtId="0" fontId="10" fillId="2" borderId="12" xfId="0" applyFont="1" applyFill="1" applyBorder="1" applyAlignment="1">
      <alignment horizontal="left" vertical="top"/>
    </xf>
    <xf numFmtId="0" fontId="10" fillId="2" borderId="64" xfId="0" applyFont="1" applyFill="1" applyBorder="1" applyAlignment="1">
      <alignment horizontal="center"/>
    </xf>
    <xf numFmtId="0" fontId="34" fillId="2" borderId="18" xfId="0" applyNumberFormat="1" applyFont="1" applyFill="1" applyBorder="1" applyAlignment="1" applyProtection="1">
      <alignment horizontal="left" vertical="top" wrapText="1"/>
    </xf>
    <xf numFmtId="0" fontId="34" fillId="2" borderId="17" xfId="0" applyNumberFormat="1" applyFont="1" applyFill="1" applyBorder="1" applyAlignment="1" applyProtection="1">
      <alignment horizontal="left" vertical="top" wrapText="1"/>
    </xf>
    <xf numFmtId="0" fontId="34" fillId="2" borderId="22" xfId="0" applyNumberFormat="1" applyFont="1" applyFill="1" applyBorder="1" applyAlignment="1" applyProtection="1">
      <alignment horizontal="left" vertical="top" wrapText="1"/>
    </xf>
    <xf numFmtId="0" fontId="10" fillId="35" borderId="28" xfId="0" applyFont="1" applyFill="1" applyBorder="1" applyAlignment="1">
      <alignment horizontal="center"/>
    </xf>
    <xf numFmtId="0" fontId="10" fillId="35" borderId="84" xfId="0" applyFont="1" applyFill="1" applyBorder="1" applyAlignment="1">
      <alignment horizontal="center"/>
    </xf>
    <xf numFmtId="0" fontId="10" fillId="35" borderId="40" xfId="0" applyFont="1" applyFill="1" applyBorder="1" applyAlignment="1">
      <alignment horizontal="center"/>
    </xf>
    <xf numFmtId="0" fontId="0" fillId="35" borderId="16" xfId="0" quotePrefix="1" applyFont="1" applyFill="1" applyBorder="1" applyAlignment="1">
      <alignment horizontal="center"/>
    </xf>
    <xf numFmtId="0" fontId="0" fillId="35" borderId="42" xfId="0" quotePrefix="1" applyFont="1" applyFill="1" applyBorder="1" applyAlignment="1">
      <alignment horizontal="center"/>
    </xf>
    <xf numFmtId="0" fontId="0" fillId="25" borderId="1" xfId="0" applyFont="1" applyFill="1" applyBorder="1" applyAlignment="1">
      <alignment horizontal="center"/>
    </xf>
    <xf numFmtId="0" fontId="0" fillId="0" borderId="25" xfId="0" applyFont="1" applyBorder="1" applyAlignment="1">
      <alignment horizontal="center"/>
    </xf>
    <xf numFmtId="0" fontId="0" fillId="0" borderId="67" xfId="0" applyFont="1" applyBorder="1" applyAlignment="1">
      <alignment horizontal="center"/>
    </xf>
    <xf numFmtId="0" fontId="0" fillId="25" borderId="16" xfId="0" applyFont="1" applyFill="1" applyBorder="1" applyAlignment="1">
      <alignment horizontal="center"/>
    </xf>
    <xf numFmtId="0" fontId="0" fillId="25" borderId="42" xfId="0" applyFont="1" applyFill="1" applyBorder="1" applyAlignment="1">
      <alignment horizontal="center"/>
    </xf>
    <xf numFmtId="0" fontId="10" fillId="2" borderId="23" xfId="0" applyFont="1" applyFill="1" applyBorder="1" applyAlignment="1">
      <alignment horizontal="center"/>
    </xf>
    <xf numFmtId="0" fontId="10" fillId="2" borderId="100" xfId="0" applyFont="1" applyFill="1" applyBorder="1" applyAlignment="1">
      <alignment horizontal="center"/>
    </xf>
    <xf numFmtId="0" fontId="10" fillId="2" borderId="78" xfId="0" applyFont="1" applyFill="1" applyBorder="1" applyAlignment="1">
      <alignment horizontal="center"/>
    </xf>
    <xf numFmtId="0" fontId="0" fillId="0" borderId="6" xfId="0" applyFont="1" applyBorder="1" applyAlignment="1">
      <alignment horizontal="center"/>
    </xf>
    <xf numFmtId="0" fontId="0" fillId="35" borderId="28" xfId="0" applyFont="1" applyFill="1" applyBorder="1" applyAlignment="1">
      <alignment horizontal="center"/>
    </xf>
    <xf numFmtId="0" fontId="0" fillId="35" borderId="40" xfId="0" applyFont="1" applyFill="1" applyBorder="1" applyAlignment="1">
      <alignment horizontal="center"/>
    </xf>
    <xf numFmtId="0" fontId="0" fillId="25" borderId="2" xfId="0" applyFont="1" applyFill="1" applyBorder="1" applyAlignment="1">
      <alignment horizontal="center"/>
    </xf>
    <xf numFmtId="0" fontId="0" fillId="35" borderId="99" xfId="0" applyFont="1" applyFill="1" applyBorder="1" applyAlignment="1">
      <alignment horizontal="center"/>
    </xf>
    <xf numFmtId="0" fontId="0" fillId="35" borderId="66" xfId="0" applyFont="1" applyFill="1" applyBorder="1" applyAlignment="1">
      <alignment horizontal="center"/>
    </xf>
    <xf numFmtId="0" fontId="0" fillId="0" borderId="86" xfId="0" applyFont="1" applyBorder="1" applyAlignment="1">
      <alignment horizontal="center"/>
    </xf>
    <xf numFmtId="0" fontId="0" fillId="0" borderId="41" xfId="0" applyFont="1" applyBorder="1" applyAlignment="1">
      <alignment horizontal="center"/>
    </xf>
    <xf numFmtId="0" fontId="61" fillId="2" borderId="23" xfId="0" applyFont="1" applyFill="1" applyBorder="1" applyAlignment="1">
      <alignment horizontal="center" vertical="center"/>
    </xf>
    <xf numFmtId="0" fontId="61" fillId="2" borderId="66" xfId="0" applyFont="1" applyFill="1" applyBorder="1" applyAlignment="1">
      <alignment horizontal="center" vertical="center"/>
    </xf>
    <xf numFmtId="0" fontId="10" fillId="2" borderId="85" xfId="0" applyFont="1" applyFill="1" applyBorder="1" applyAlignment="1">
      <alignment horizontal="left" vertical="top" wrapText="1"/>
    </xf>
    <xf numFmtId="0" fontId="10" fillId="2" borderId="97" xfId="0" applyFont="1" applyFill="1" applyBorder="1" applyAlignment="1">
      <alignment horizontal="left" vertical="top" wrapText="1"/>
    </xf>
    <xf numFmtId="0" fontId="10" fillId="2" borderId="1" xfId="0" applyFont="1" applyFill="1" applyBorder="1" applyAlignment="1">
      <alignment horizontal="center"/>
    </xf>
    <xf numFmtId="0" fontId="0" fillId="36" borderId="99" xfId="0" applyFont="1" applyFill="1" applyBorder="1" applyAlignment="1">
      <alignment horizontal="center"/>
    </xf>
    <xf numFmtId="0" fontId="0" fillId="36" borderId="66" xfId="0" applyFont="1" applyFill="1" applyBorder="1" applyAlignment="1">
      <alignment horizontal="center"/>
    </xf>
    <xf numFmtId="0" fontId="10" fillId="2" borderId="16" xfId="0" applyFont="1" applyFill="1" applyBorder="1" applyAlignment="1">
      <alignment horizontal="center"/>
    </xf>
    <xf numFmtId="0" fontId="10" fillId="2" borderId="42" xfId="0" applyFont="1" applyFill="1" applyBorder="1" applyAlignment="1">
      <alignment horizontal="center"/>
    </xf>
    <xf numFmtId="0" fontId="0" fillId="36" borderId="16" xfId="0" applyFont="1" applyFill="1" applyBorder="1" applyAlignment="1">
      <alignment horizontal="center"/>
    </xf>
    <xf numFmtId="0" fontId="0" fillId="36" borderId="42" xfId="0" applyFont="1" applyFill="1" applyBorder="1" applyAlignment="1">
      <alignment horizontal="center"/>
    </xf>
    <xf numFmtId="0" fontId="0" fillId="36" borderId="2" xfId="0" applyFont="1" applyFill="1" applyBorder="1" applyAlignment="1">
      <alignment horizontal="center"/>
    </xf>
    <xf numFmtId="165" fontId="0" fillId="25" borderId="1" xfId="0" applyNumberFormat="1" applyFont="1" applyFill="1" applyBorder="1" applyAlignment="1">
      <alignment horizontal="center"/>
    </xf>
    <xf numFmtId="0" fontId="10" fillId="2" borderId="28" xfId="0" applyFont="1" applyFill="1" applyBorder="1" applyAlignment="1">
      <alignment horizontal="center"/>
    </xf>
    <xf numFmtId="0" fontId="10" fillId="2" borderId="84" xfId="0" applyFont="1" applyFill="1" applyBorder="1" applyAlignment="1">
      <alignment horizontal="center"/>
    </xf>
    <xf numFmtId="0" fontId="10" fillId="2" borderId="40" xfId="0" applyFont="1" applyFill="1" applyBorder="1" applyAlignment="1">
      <alignment horizontal="center"/>
    </xf>
    <xf numFmtId="0" fontId="10" fillId="2" borderId="40" xfId="0" applyFont="1" applyFill="1" applyBorder="1" applyAlignment="1">
      <alignment horizontal="left" vertical="top"/>
    </xf>
    <xf numFmtId="0" fontId="10" fillId="2" borderId="41" xfId="0" applyFont="1" applyFill="1" applyBorder="1" applyAlignment="1">
      <alignment horizontal="left" vertical="top"/>
    </xf>
    <xf numFmtId="0" fontId="10" fillId="2" borderId="68" xfId="0" applyFont="1" applyFill="1" applyBorder="1" applyAlignment="1">
      <alignment horizontal="left" vertical="top"/>
    </xf>
    <xf numFmtId="0" fontId="10" fillId="2" borderId="89" xfId="0" applyFont="1" applyFill="1" applyBorder="1" applyAlignment="1">
      <alignment horizontal="left" vertical="top"/>
    </xf>
    <xf numFmtId="0" fontId="10" fillId="2" borderId="97" xfId="0" applyFont="1" applyFill="1" applyBorder="1" applyAlignment="1">
      <alignment horizontal="left" vertical="top"/>
    </xf>
    <xf numFmtId="0" fontId="10" fillId="2" borderId="11" xfId="0" applyFont="1" applyFill="1" applyBorder="1" applyAlignment="1">
      <alignment horizontal="left" vertical="top"/>
    </xf>
    <xf numFmtId="0" fontId="10" fillId="2" borderId="89" xfId="0" applyFont="1" applyFill="1" applyBorder="1" applyAlignment="1">
      <alignment horizontal="left" vertical="top" wrapText="1"/>
    </xf>
    <xf numFmtId="0" fontId="10" fillId="2" borderId="11" xfId="0" applyFont="1" applyFill="1" applyBorder="1" applyAlignment="1">
      <alignment horizontal="left" vertical="top" wrapText="1"/>
    </xf>
    <xf numFmtId="0" fontId="0" fillId="2" borderId="1" xfId="0" applyFill="1" applyBorder="1" applyAlignment="1">
      <alignment horizontal="center"/>
    </xf>
    <xf numFmtId="0" fontId="0" fillId="2" borderId="35" xfId="0" applyFill="1" applyBorder="1" applyAlignment="1">
      <alignment horizontal="center"/>
    </xf>
    <xf numFmtId="0" fontId="0" fillId="2" borderId="35" xfId="0" applyFill="1" applyBorder="1" applyAlignment="1">
      <alignment horizontal="center" wrapText="1"/>
    </xf>
    <xf numFmtId="0" fontId="0" fillId="2" borderId="1" xfId="0" applyFill="1" applyBorder="1" applyAlignment="1">
      <alignment horizontal="center" wrapText="1"/>
    </xf>
    <xf numFmtId="0" fontId="0" fillId="2" borderId="27" xfId="0" applyFill="1" applyBorder="1" applyAlignment="1">
      <alignment horizontal="center"/>
    </xf>
    <xf numFmtId="0" fontId="0" fillId="2" borderId="16" xfId="0" applyFill="1" applyBorder="1" applyAlignment="1">
      <alignment horizontal="center"/>
    </xf>
    <xf numFmtId="0" fontId="0" fillId="2" borderId="50" xfId="0" applyFill="1" applyBorder="1" applyAlignment="1">
      <alignment horizontal="center"/>
    </xf>
    <xf numFmtId="0" fontId="0" fillId="2" borderId="23" xfId="0" applyFont="1" applyFill="1" applyBorder="1" applyAlignment="1">
      <alignment horizontal="center"/>
    </xf>
    <xf numFmtId="0" fontId="0" fillId="2" borderId="24" xfId="0" applyFont="1" applyFill="1" applyBorder="1" applyAlignment="1">
      <alignment horizontal="center"/>
    </xf>
    <xf numFmtId="0" fontId="0" fillId="0" borderId="61" xfId="0" applyFont="1" applyBorder="1" applyAlignment="1">
      <alignment horizontal="left"/>
    </xf>
    <xf numFmtId="0" fontId="0" fillId="0" borderId="80" xfId="0" applyFont="1" applyBorder="1" applyAlignment="1">
      <alignment horizontal="left"/>
    </xf>
    <xf numFmtId="0" fontId="0" fillId="0" borderId="10" xfId="0" applyFont="1" applyBorder="1"/>
    <xf numFmtId="0" fontId="0" fillId="0" borderId="31" xfId="0" applyFont="1" applyBorder="1"/>
    <xf numFmtId="0" fontId="0" fillId="0" borderId="62" xfId="0" applyFont="1" applyBorder="1"/>
    <xf numFmtId="0" fontId="0" fillId="0" borderId="83" xfId="0" applyFont="1" applyBorder="1"/>
    <xf numFmtId="0" fontId="0" fillId="0" borderId="61" xfId="0" applyBorder="1" applyAlignment="1">
      <alignment horizontal="center"/>
    </xf>
    <xf numFmtId="0" fontId="0" fillId="0" borderId="81" xfId="0" applyBorder="1" applyAlignment="1">
      <alignment horizontal="center"/>
    </xf>
    <xf numFmtId="0" fontId="0" fillId="0" borderId="80" xfId="0" applyBorder="1" applyAlignment="1">
      <alignment horizontal="center"/>
    </xf>
    <xf numFmtId="0" fontId="0" fillId="0" borderId="47" xfId="0" applyBorder="1" applyAlignment="1">
      <alignment horizontal="center"/>
    </xf>
    <xf numFmtId="0" fontId="6" fillId="25" borderId="46" xfId="0" applyNumberFormat="1" applyFont="1" applyFill="1" applyBorder="1" applyAlignment="1" applyProtection="1">
      <alignment horizontal="center" vertical="center" wrapText="1"/>
    </xf>
    <xf numFmtId="0" fontId="6" fillId="25" borderId="47" xfId="0" applyNumberFormat="1" applyFont="1" applyFill="1" applyBorder="1" applyAlignment="1" applyProtection="1">
      <alignment horizontal="center" vertical="center" wrapText="1"/>
    </xf>
    <xf numFmtId="0" fontId="6" fillId="25" borderId="79" xfId="0" applyNumberFormat="1" applyFont="1" applyFill="1" applyBorder="1" applyAlignment="1" applyProtection="1">
      <alignment horizontal="center" vertical="center" wrapText="1"/>
    </xf>
    <xf numFmtId="0" fontId="5" fillId="34" borderId="17" xfId="0" applyNumberFormat="1" applyFont="1" applyFill="1" applyBorder="1" applyAlignment="1" applyProtection="1">
      <alignment horizontal="center" vertical="center" wrapText="1"/>
    </xf>
    <xf numFmtId="0" fontId="0" fillId="32" borderId="13" xfId="0" applyFont="1" applyFill="1" applyBorder="1" applyAlignment="1">
      <alignment horizontal="center"/>
    </xf>
    <xf numFmtId="0" fontId="1" fillId="32" borderId="18" xfId="0" applyFont="1" applyFill="1" applyBorder="1" applyAlignment="1">
      <alignment horizontal="center" vertical="center"/>
    </xf>
    <xf numFmtId="0" fontId="1" fillId="32" borderId="17" xfId="0" applyFont="1" applyFill="1" applyBorder="1" applyAlignment="1">
      <alignment horizontal="center" vertical="center"/>
    </xf>
    <xf numFmtId="0" fontId="1" fillId="32" borderId="29" xfId="0" applyFont="1" applyFill="1" applyBorder="1" applyAlignment="1">
      <alignment horizontal="center" vertical="center"/>
    </xf>
    <xf numFmtId="0" fontId="6" fillId="25" borderId="18" xfId="0" applyNumberFormat="1" applyFont="1" applyFill="1" applyBorder="1" applyAlignment="1" applyProtection="1">
      <alignment horizontal="center" vertical="center" wrapText="1"/>
    </xf>
    <xf numFmtId="0" fontId="6" fillId="25" borderId="17" xfId="0" applyNumberFormat="1" applyFont="1" applyFill="1" applyBorder="1" applyAlignment="1" applyProtection="1">
      <alignment horizontal="center" vertical="center" wrapText="1"/>
    </xf>
    <xf numFmtId="0" fontId="6" fillId="25" borderId="22" xfId="0" applyNumberFormat="1" applyFont="1" applyFill="1" applyBorder="1" applyAlignment="1" applyProtection="1">
      <alignment horizontal="center" vertical="center" wrapText="1"/>
    </xf>
    <xf numFmtId="0" fontId="5" fillId="34" borderId="12" xfId="0" applyNumberFormat="1" applyFont="1" applyFill="1" applyBorder="1" applyAlignment="1" applyProtection="1">
      <alignment horizontal="center" vertical="center" wrapText="1"/>
    </xf>
    <xf numFmtId="0" fontId="5" fillId="34" borderId="13" xfId="0" applyNumberFormat="1" applyFont="1" applyFill="1" applyBorder="1" applyAlignment="1" applyProtection="1">
      <alignment horizontal="center" vertical="center" wrapText="1"/>
    </xf>
    <xf numFmtId="0" fontId="44" fillId="34" borderId="13" xfId="0" applyFont="1" applyFill="1" applyBorder="1" applyAlignment="1">
      <alignment horizontal="center" vertical="center"/>
    </xf>
    <xf numFmtId="0" fontId="44" fillId="34" borderId="14" xfId="0" applyFont="1" applyFill="1" applyBorder="1" applyAlignment="1">
      <alignment horizontal="center" vertical="center"/>
    </xf>
    <xf numFmtId="0" fontId="6" fillId="25" borderId="61" xfId="0" applyNumberFormat="1" applyFont="1" applyFill="1" applyBorder="1" applyAlignment="1" applyProtection="1">
      <alignment horizontal="center" vertical="center" wrapText="1"/>
    </xf>
    <xf numFmtId="0" fontId="6" fillId="25" borderId="10" xfId="0" applyNumberFormat="1" applyFont="1" applyFill="1" applyBorder="1" applyAlignment="1" applyProtection="1">
      <alignment horizontal="center" vertical="center" wrapText="1"/>
    </xf>
    <xf numFmtId="0" fontId="6" fillId="25" borderId="20" xfId="0" applyNumberFormat="1" applyFont="1" applyFill="1" applyBorder="1" applyAlignment="1" applyProtection="1">
      <alignment horizontal="center" vertical="center" wrapText="1"/>
    </xf>
    <xf numFmtId="0" fontId="3" fillId="34" borderId="61" xfId="0" applyNumberFormat="1" applyFont="1" applyFill="1" applyBorder="1" applyAlignment="1" applyProtection="1">
      <alignment horizontal="center" vertical="center" wrapText="1"/>
    </xf>
    <xf numFmtId="0" fontId="3" fillId="34" borderId="10" xfId="0" applyNumberFormat="1" applyFont="1" applyFill="1" applyBorder="1" applyAlignment="1" applyProtection="1">
      <alignment horizontal="center" vertical="center" wrapText="1"/>
    </xf>
    <xf numFmtId="0" fontId="5" fillId="34" borderId="10" xfId="0" applyNumberFormat="1" applyFont="1" applyFill="1" applyBorder="1" applyAlignment="1" applyProtection="1">
      <alignment horizontal="center" vertical="center" wrapText="1"/>
    </xf>
    <xf numFmtId="0" fontId="5" fillId="34" borderId="62" xfId="0" applyNumberFormat="1" applyFont="1" applyFill="1" applyBorder="1" applyAlignment="1" applyProtection="1">
      <alignment horizontal="center" vertical="center" wrapText="1"/>
    </xf>
    <xf numFmtId="0" fontId="6" fillId="25" borderId="15" xfId="0" applyNumberFormat="1" applyFont="1" applyFill="1" applyBorder="1" applyAlignment="1" applyProtection="1">
      <alignment horizontal="center" vertical="center" wrapText="1"/>
    </xf>
    <xf numFmtId="0" fontId="6" fillId="25" borderId="62" xfId="0" applyNumberFormat="1" applyFont="1" applyFill="1" applyBorder="1" applyAlignment="1" applyProtection="1">
      <alignment horizontal="center" vertical="center" wrapText="1"/>
    </xf>
    <xf numFmtId="0" fontId="5" fillId="34" borderId="15" xfId="0" applyNumberFormat="1" applyFont="1" applyFill="1" applyBorder="1" applyAlignment="1" applyProtection="1">
      <alignment horizontal="center" vertical="center" wrapText="1"/>
    </xf>
    <xf numFmtId="0" fontId="6" fillId="25" borderId="36" xfId="0" applyNumberFormat="1" applyFont="1" applyFill="1" applyBorder="1" applyAlignment="1" applyProtection="1">
      <alignment horizontal="center" vertical="center" wrapText="1"/>
    </xf>
    <xf numFmtId="0" fontId="6" fillId="25" borderId="44" xfId="0" applyNumberFormat="1" applyFont="1" applyFill="1" applyBorder="1" applyAlignment="1" applyProtection="1">
      <alignment horizontal="center" vertical="center" wrapText="1"/>
    </xf>
    <xf numFmtId="0" fontId="6" fillId="25" borderId="19" xfId="0" applyNumberFormat="1" applyFont="1" applyFill="1" applyBorder="1" applyAlignment="1" applyProtection="1">
      <alignment horizontal="center" vertical="center" wrapText="1"/>
    </xf>
    <xf numFmtId="0" fontId="33" fillId="33" borderId="19" xfId="44" applyFont="1" applyFill="1" applyBorder="1" applyAlignment="1">
      <alignment horizontal="center" vertical="center"/>
    </xf>
    <xf numFmtId="0" fontId="33" fillId="33" borderId="70" xfId="44" applyFont="1" applyFill="1" applyBorder="1" applyAlignment="1">
      <alignment horizontal="center" vertical="center"/>
    </xf>
    <xf numFmtId="0" fontId="33" fillId="33" borderId="46" xfId="44" applyFont="1" applyFill="1" applyBorder="1" applyAlignment="1">
      <alignment horizontal="center" vertical="center"/>
    </xf>
    <xf numFmtId="0" fontId="33" fillId="33" borderId="36" xfId="44" applyFont="1" applyFill="1" applyBorder="1" applyAlignment="1">
      <alignment horizontal="center" vertical="center"/>
    </xf>
    <xf numFmtId="0" fontId="33" fillId="33" borderId="0" xfId="44" applyFont="1" applyFill="1" applyBorder="1" applyAlignment="1">
      <alignment horizontal="center" vertical="center"/>
    </xf>
    <xf numFmtId="0" fontId="33" fillId="33" borderId="47" xfId="44" applyFont="1" applyFill="1" applyBorder="1" applyAlignment="1">
      <alignment horizontal="center" vertical="center"/>
    </xf>
    <xf numFmtId="0" fontId="33" fillId="33" borderId="44" xfId="44" applyFont="1" applyFill="1" applyBorder="1" applyAlignment="1">
      <alignment horizontal="center" vertical="center"/>
    </xf>
    <xf numFmtId="0" fontId="33" fillId="33" borderId="45" xfId="44" applyFont="1" applyFill="1" applyBorder="1" applyAlignment="1">
      <alignment horizontal="center" vertical="center"/>
    </xf>
    <xf numFmtId="0" fontId="33" fillId="33" borderId="79" xfId="44" applyFont="1" applyFill="1" applyBorder="1" applyAlignment="1">
      <alignment horizontal="center" vertical="center"/>
    </xf>
    <xf numFmtId="0" fontId="47" fillId="0" borderId="36" xfId="44" applyFont="1" applyBorder="1" applyAlignment="1">
      <alignment horizontal="left" wrapText="1"/>
    </xf>
    <xf numFmtId="0" fontId="47" fillId="0" borderId="0" xfId="44" applyFont="1" applyBorder="1" applyAlignment="1">
      <alignment horizontal="left" wrapText="1"/>
    </xf>
    <xf numFmtId="0" fontId="47" fillId="0" borderId="47" xfId="44" applyFont="1" applyBorder="1" applyAlignment="1">
      <alignment horizontal="left" wrapText="1"/>
    </xf>
    <xf numFmtId="0" fontId="32" fillId="0" borderId="10" xfId="54" applyFont="1" applyFill="1" applyBorder="1" applyAlignment="1" applyProtection="1">
      <alignment horizontal="center"/>
      <protection locked="0"/>
    </xf>
    <xf numFmtId="0" fontId="32" fillId="0" borderId="42" xfId="54" applyFont="1" applyFill="1" applyBorder="1" applyAlignment="1" applyProtection="1">
      <alignment horizontal="center"/>
      <protection locked="0"/>
    </xf>
    <xf numFmtId="0" fontId="33" fillId="0" borderId="16" xfId="44" applyFont="1" applyFill="1" applyBorder="1" applyAlignment="1">
      <alignment horizontal="center"/>
    </xf>
    <xf numFmtId="0" fontId="33" fillId="0" borderId="31" xfId="44" applyFont="1" applyFill="1" applyBorder="1" applyAlignment="1">
      <alignment horizontal="center"/>
    </xf>
    <xf numFmtId="0" fontId="32" fillId="0" borderId="35" xfId="54" applyFont="1" applyBorder="1" applyAlignment="1" applyProtection="1">
      <alignment horizontal="left" wrapText="1"/>
      <protection locked="0"/>
    </xf>
    <xf numFmtId="0" fontId="32" fillId="0" borderId="9" xfId="54" applyFont="1" applyBorder="1" applyAlignment="1" applyProtection="1">
      <alignment horizontal="left" wrapText="1"/>
      <protection locked="0"/>
    </xf>
    <xf numFmtId="175" fontId="32" fillId="0" borderId="47" xfId="2" applyNumberFormat="1" applyFont="1" applyBorder="1" applyAlignment="1" applyProtection="1">
      <alignment horizontal="center"/>
    </xf>
    <xf numFmtId="175" fontId="32" fillId="0" borderId="79" xfId="2" applyNumberFormat="1" applyFont="1" applyBorder="1" applyAlignment="1" applyProtection="1">
      <alignment horizontal="center"/>
    </xf>
    <xf numFmtId="0" fontId="33" fillId="0" borderId="89" xfId="54" applyFont="1" applyBorder="1" applyAlignment="1">
      <alignment horizontal="center" wrapText="1"/>
    </xf>
    <xf numFmtId="0" fontId="33" fillId="0" borderId="11" xfId="54" applyFont="1" applyBorder="1" applyAlignment="1">
      <alignment horizontal="center" wrapText="1"/>
    </xf>
    <xf numFmtId="0" fontId="33" fillId="0" borderId="3" xfId="54" applyFont="1" applyBorder="1" applyAlignment="1">
      <alignment horizontal="center" wrapText="1"/>
    </xf>
    <xf numFmtId="0" fontId="33" fillId="0" borderId="35" xfId="54" applyFont="1" applyBorder="1" applyAlignment="1">
      <alignment horizontal="center" wrapText="1"/>
    </xf>
    <xf numFmtId="0" fontId="33" fillId="0" borderId="119" xfId="44" applyFont="1" applyBorder="1" applyAlignment="1">
      <alignment horizontal="left" wrapText="1"/>
    </xf>
    <xf numFmtId="0" fontId="33" fillId="0" borderId="122" xfId="44" applyFont="1" applyBorder="1" applyAlignment="1">
      <alignment horizontal="left" wrapText="1"/>
    </xf>
    <xf numFmtId="0" fontId="33" fillId="0" borderId="28" xfId="44" applyFont="1" applyBorder="1" applyAlignment="1">
      <alignment horizontal="center"/>
    </xf>
    <xf numFmtId="0" fontId="33" fillId="0" borderId="40" xfId="44" applyFont="1" applyBorder="1" applyAlignment="1">
      <alignment horizontal="center"/>
    </xf>
    <xf numFmtId="0" fontId="33" fillId="0" borderId="43" xfId="44" applyFont="1" applyBorder="1" applyAlignment="1">
      <alignment horizontal="center"/>
    </xf>
    <xf numFmtId="0" fontId="33" fillId="0" borderId="86" xfId="44" applyFont="1" applyBorder="1" applyAlignment="1">
      <alignment horizontal="center"/>
    </xf>
    <xf numFmtId="0" fontId="33" fillId="0" borderId="41" xfId="44" applyFont="1" applyBorder="1" applyAlignment="1">
      <alignment horizontal="center"/>
    </xf>
    <xf numFmtId="0" fontId="33" fillId="0" borderId="27" xfId="44" applyFont="1" applyBorder="1" applyAlignment="1">
      <alignment horizontal="center"/>
    </xf>
    <xf numFmtId="0" fontId="33" fillId="0" borderId="33" xfId="44" applyFont="1" applyBorder="1" applyAlignment="1">
      <alignment horizontal="center"/>
    </xf>
    <xf numFmtId="0" fontId="33" fillId="0" borderId="3" xfId="54" applyFont="1" applyBorder="1" applyAlignment="1" applyProtection="1">
      <alignment horizontal="center"/>
      <protection locked="0"/>
    </xf>
    <xf numFmtId="0" fontId="33" fillId="0" borderId="35" xfId="54" applyFont="1" applyBorder="1" applyAlignment="1" applyProtection="1">
      <alignment horizontal="center"/>
      <protection locked="0"/>
    </xf>
    <xf numFmtId="0" fontId="32" fillId="64" borderId="1" xfId="54" applyFont="1" applyFill="1" applyBorder="1" applyAlignment="1">
      <alignment horizontal="left"/>
    </xf>
    <xf numFmtId="0" fontId="32" fillId="25" borderId="1" xfId="54" applyFont="1" applyFill="1" applyBorder="1" applyAlignment="1">
      <alignment horizontal="left"/>
    </xf>
    <xf numFmtId="44" fontId="32" fillId="2" borderId="3" xfId="2" applyFont="1" applyFill="1" applyBorder="1" applyAlignment="1">
      <alignment horizontal="center" vertical="center"/>
    </xf>
    <xf numFmtId="44" fontId="32" fillId="2" borderId="35" xfId="2" applyFont="1" applyFill="1" applyBorder="1" applyAlignment="1">
      <alignment horizontal="center" vertical="center"/>
    </xf>
    <xf numFmtId="44" fontId="32" fillId="0" borderId="1" xfId="2" applyFont="1" applyBorder="1" applyAlignment="1">
      <alignment horizontal="center" vertical="center"/>
    </xf>
    <xf numFmtId="167" fontId="46" fillId="64" borderId="129" xfId="496" applyNumberFormat="1" applyFont="1" applyFill="1" applyBorder="1" applyAlignment="1" applyProtection="1">
      <alignment horizontal="left" vertical="center" wrapText="1"/>
      <protection hidden="1"/>
    </xf>
    <xf numFmtId="167" fontId="46" fillId="64" borderId="130" xfId="496" applyNumberFormat="1" applyFont="1" applyFill="1" applyBorder="1" applyAlignment="1" applyProtection="1">
      <alignment horizontal="left" vertical="center" wrapText="1"/>
      <protection hidden="1"/>
    </xf>
    <xf numFmtId="167" fontId="46" fillId="64" borderId="131" xfId="496" applyNumberFormat="1" applyFont="1" applyFill="1" applyBorder="1" applyAlignment="1" applyProtection="1">
      <alignment horizontal="left" vertical="center" wrapText="1"/>
      <protection hidden="1"/>
    </xf>
    <xf numFmtId="0" fontId="32" fillId="2" borderId="16" xfId="54" applyFont="1" applyFill="1" applyBorder="1" applyAlignment="1">
      <alignment horizontal="center"/>
    </xf>
    <xf numFmtId="0" fontId="32" fillId="2" borderId="42" xfId="54" applyFont="1" applyFill="1" applyBorder="1" applyAlignment="1">
      <alignment horizontal="center"/>
    </xf>
    <xf numFmtId="0" fontId="33" fillId="0" borderId="1" xfId="54" applyFont="1" applyFill="1" applyBorder="1" applyAlignment="1">
      <alignment horizontal="center" wrapText="1"/>
    </xf>
    <xf numFmtId="44" fontId="32" fillId="2" borderId="1" xfId="2" applyFont="1" applyFill="1" applyBorder="1" applyAlignment="1">
      <alignment horizontal="center" vertical="center"/>
    </xf>
    <xf numFmtId="0" fontId="13" fillId="0" borderId="0" xfId="486" applyFont="1" applyBorder="1" applyAlignment="1" applyProtection="1">
      <alignment horizontal="left" vertical="top" wrapText="1"/>
      <protection locked="0"/>
    </xf>
    <xf numFmtId="0" fontId="48" fillId="0" borderId="0" xfId="612" applyBorder="1" applyAlignment="1" applyProtection="1">
      <alignment horizontal="left" vertical="center"/>
      <protection locked="0"/>
    </xf>
    <xf numFmtId="0" fontId="13" fillId="40" borderId="86" xfId="486" quotePrefix="1" applyFont="1" applyFill="1" applyBorder="1" applyAlignment="1" applyProtection="1">
      <alignment horizontal="left"/>
      <protection locked="0"/>
    </xf>
    <xf numFmtId="0" fontId="13" fillId="0" borderId="0" xfId="54" applyProtection="1">
      <protection locked="0"/>
    </xf>
    <xf numFmtId="0" fontId="77" fillId="0" borderId="1" xfId="54" applyFont="1" applyBorder="1" applyAlignment="1" applyProtection="1">
      <alignment horizontal="center" vertical="center" wrapText="1"/>
    </xf>
    <xf numFmtId="0" fontId="13" fillId="49" borderId="3" xfId="54" applyFont="1" applyFill="1" applyBorder="1" applyAlignment="1" applyProtection="1">
      <alignment horizontal="left" vertical="center" wrapText="1"/>
      <protection locked="0"/>
    </xf>
    <xf numFmtId="0" fontId="13" fillId="49" borderId="35" xfId="54" applyFont="1" applyFill="1" applyBorder="1" applyAlignment="1" applyProtection="1">
      <alignment horizontal="left" vertical="center" wrapText="1"/>
      <protection locked="0"/>
    </xf>
    <xf numFmtId="0" fontId="13" fillId="0" borderId="3" xfId="54" applyFont="1" applyBorder="1" applyAlignment="1" applyProtection="1">
      <alignment horizontal="left" vertical="center" wrapText="1"/>
      <protection locked="0"/>
    </xf>
    <xf numFmtId="0" fontId="13" fillId="0" borderId="50" xfId="54" applyFont="1" applyBorder="1" applyAlignment="1" applyProtection="1">
      <alignment horizontal="left" vertical="center" wrapText="1"/>
      <protection locked="0"/>
    </xf>
    <xf numFmtId="0" fontId="13" fillId="0" borderId="35" xfId="54" applyFont="1" applyBorder="1" applyAlignment="1" applyProtection="1">
      <alignment horizontal="left" vertical="center" wrapText="1"/>
      <protection locked="0"/>
    </xf>
    <xf numFmtId="0" fontId="48" fillId="0" borderId="3" xfId="612" applyBorder="1" applyAlignment="1" applyProtection="1">
      <alignment horizontal="left" vertical="center"/>
      <protection locked="0"/>
    </xf>
    <xf numFmtId="0" fontId="48" fillId="0" borderId="50" xfId="612" applyBorder="1" applyAlignment="1" applyProtection="1">
      <alignment horizontal="left" vertical="center"/>
      <protection locked="0"/>
    </xf>
    <xf numFmtId="0" fontId="48" fillId="0" borderId="35" xfId="612" applyBorder="1" applyAlignment="1" applyProtection="1">
      <alignment horizontal="left" vertical="center"/>
      <protection locked="0"/>
    </xf>
    <xf numFmtId="0" fontId="13" fillId="40" borderId="3" xfId="54" applyFont="1" applyFill="1" applyBorder="1" applyAlignment="1" applyProtection="1">
      <alignment horizontal="left" vertical="center" wrapText="1"/>
      <protection locked="0"/>
    </xf>
    <xf numFmtId="0" fontId="13" fillId="40" borderId="50" xfId="54" applyFont="1" applyFill="1" applyBorder="1" applyAlignment="1" applyProtection="1">
      <alignment horizontal="left" vertical="center" wrapText="1"/>
      <protection locked="0"/>
    </xf>
    <xf numFmtId="0" fontId="13" fillId="40" borderId="35" xfId="54" applyFont="1" applyFill="1" applyBorder="1" applyAlignment="1" applyProtection="1">
      <alignment horizontal="left" vertical="center" wrapText="1"/>
      <protection locked="0"/>
    </xf>
    <xf numFmtId="0" fontId="83" fillId="0" borderId="0" xfId="618" applyFont="1" applyFill="1" applyBorder="1" applyAlignment="1" applyProtection="1">
      <alignment horizontal="right"/>
    </xf>
    <xf numFmtId="0" fontId="11" fillId="0" borderId="0" xfId="618" applyFont="1" applyFill="1" applyBorder="1" applyAlignment="1" applyProtection="1">
      <alignment vertical="top" wrapText="1"/>
    </xf>
    <xf numFmtId="0" fontId="11" fillId="0" borderId="0" xfId="618" applyFont="1" applyFill="1" applyBorder="1" applyAlignment="1" applyProtection="1">
      <alignment horizontal="left" vertical="top" wrapText="1"/>
    </xf>
    <xf numFmtId="0" fontId="77" fillId="40" borderId="28" xfId="618" applyFont="1" applyFill="1" applyBorder="1" applyAlignment="1" applyProtection="1">
      <alignment horizontal="left" wrapText="1"/>
    </xf>
    <xf numFmtId="0" fontId="77" fillId="40" borderId="86" xfId="618" applyFont="1" applyFill="1" applyBorder="1" applyAlignment="1" applyProtection="1">
      <alignment horizontal="left" wrapText="1"/>
    </xf>
    <xf numFmtId="0" fontId="77" fillId="51" borderId="3" xfId="618" applyFont="1" applyFill="1" applyBorder="1" applyAlignment="1" applyProtection="1">
      <alignment horizontal="left" wrapText="1"/>
    </xf>
    <xf numFmtId="0" fontId="77" fillId="51" borderId="35" xfId="618" applyFont="1" applyFill="1" applyBorder="1" applyAlignment="1" applyProtection="1">
      <alignment horizontal="left" wrapText="1"/>
    </xf>
    <xf numFmtId="49" fontId="85" fillId="49" borderId="16" xfId="618" applyNumberFormat="1" applyFont="1" applyFill="1" applyBorder="1" applyAlignment="1" applyProtection="1">
      <alignment horizontal="left" vertical="center" wrapText="1"/>
      <protection locked="0"/>
    </xf>
    <xf numFmtId="0" fontId="85" fillId="49" borderId="42" xfId="618" applyFont="1" applyFill="1" applyBorder="1" applyAlignment="1" applyProtection="1">
      <alignment horizontal="left" vertical="center" wrapText="1"/>
      <protection locked="0"/>
    </xf>
    <xf numFmtId="0" fontId="77" fillId="40" borderId="3" xfId="618" applyFont="1" applyFill="1" applyBorder="1" applyAlignment="1" applyProtection="1">
      <alignment horizontal="center" vertical="center" wrapText="1"/>
    </xf>
    <xf numFmtId="0" fontId="77" fillId="40" borderId="35" xfId="618" applyFont="1" applyFill="1" applyBorder="1" applyAlignment="1" applyProtection="1">
      <alignment horizontal="center" vertical="center" wrapText="1"/>
    </xf>
    <xf numFmtId="0" fontId="94" fillId="0" borderId="3" xfId="505" applyFont="1" applyBorder="1" applyAlignment="1" applyProtection="1">
      <alignment horizontal="left" vertical="top" wrapText="1"/>
    </xf>
    <xf numFmtId="0" fontId="94" fillId="0" borderId="35" xfId="505" applyFont="1" applyBorder="1" applyAlignment="1" applyProtection="1">
      <alignment horizontal="left" vertical="top" wrapText="1"/>
    </xf>
    <xf numFmtId="0" fontId="90" fillId="53" borderId="16" xfId="505" applyFont="1" applyFill="1" applyBorder="1" applyAlignment="1" applyProtection="1">
      <alignment horizontal="left" vertical="top"/>
    </xf>
    <xf numFmtId="0" fontId="90" fillId="53" borderId="42" xfId="505" applyFont="1" applyFill="1" applyBorder="1" applyAlignment="1" applyProtection="1">
      <alignment horizontal="left" vertical="top"/>
    </xf>
    <xf numFmtId="0" fontId="101" fillId="40" borderId="28" xfId="505" applyFont="1" applyFill="1" applyBorder="1" applyAlignment="1" applyProtection="1">
      <alignment horizontal="left" wrapText="1"/>
    </xf>
    <xf numFmtId="0" fontId="101" fillId="40" borderId="84" xfId="505" applyFont="1" applyFill="1" applyBorder="1" applyAlignment="1" applyProtection="1">
      <alignment horizontal="left" wrapText="1"/>
    </xf>
    <xf numFmtId="0" fontId="101" fillId="40" borderId="40" xfId="505" applyFont="1" applyFill="1" applyBorder="1" applyAlignment="1" applyProtection="1">
      <alignment horizontal="left" wrapText="1"/>
    </xf>
    <xf numFmtId="0" fontId="94" fillId="0" borderId="1" xfId="505" applyFont="1" applyFill="1" applyBorder="1" applyAlignment="1" applyProtection="1">
      <alignment horizontal="left" vertical="top" wrapText="1"/>
    </xf>
    <xf numFmtId="0" fontId="94" fillId="0" borderId="50" xfId="505" applyFont="1" applyBorder="1" applyAlignment="1" applyProtection="1">
      <alignment horizontal="left" vertical="top" wrapText="1"/>
    </xf>
    <xf numFmtId="0" fontId="93" fillId="0" borderId="1" xfId="505" applyFont="1" applyBorder="1" applyAlignment="1" applyProtection="1">
      <alignment horizontal="left" vertical="top" wrapText="1"/>
    </xf>
    <xf numFmtId="0" fontId="94" fillId="0" borderId="1" xfId="505" applyFont="1" applyBorder="1" applyAlignment="1" applyProtection="1">
      <alignment horizontal="left" vertical="top" wrapText="1"/>
    </xf>
    <xf numFmtId="0" fontId="11" fillId="0" borderId="0" xfId="618" applyFont="1" applyFill="1" applyBorder="1" applyAlignment="1" applyProtection="1">
      <alignment horizontal="left" vertical="top" wrapText="1"/>
      <protection locked="0"/>
    </xf>
    <xf numFmtId="0" fontId="90" fillId="49" borderId="16" xfId="505" applyFont="1" applyFill="1" applyBorder="1" applyAlignment="1" applyProtection="1">
      <alignment horizontal="center" wrapText="1"/>
      <protection locked="0"/>
    </xf>
    <xf numFmtId="0" fontId="90" fillId="49" borderId="42" xfId="505" applyFont="1" applyFill="1" applyBorder="1" applyAlignment="1" applyProtection="1">
      <alignment horizontal="center" wrapText="1"/>
      <protection locked="0"/>
    </xf>
    <xf numFmtId="0" fontId="93" fillId="0" borderId="3" xfId="505" applyFont="1" applyBorder="1" applyAlignment="1" applyProtection="1">
      <alignment horizontal="left" vertical="top" wrapText="1"/>
    </xf>
    <xf numFmtId="0" fontId="93" fillId="0" borderId="50" xfId="505" applyFont="1" applyBorder="1" applyAlignment="1" applyProtection="1">
      <alignment horizontal="left" vertical="top" wrapText="1"/>
    </xf>
    <xf numFmtId="0" fontId="93" fillId="0" borderId="35" xfId="505" applyFont="1" applyBorder="1" applyAlignment="1" applyProtection="1">
      <alignment horizontal="left" vertical="top" wrapText="1"/>
    </xf>
    <xf numFmtId="0" fontId="104" fillId="56" borderId="1" xfId="54" applyFont="1" applyFill="1" applyBorder="1" applyAlignment="1" applyProtection="1">
      <alignment horizontal="center" vertical="center" wrapText="1"/>
    </xf>
    <xf numFmtId="0" fontId="103" fillId="50" borderId="3" xfId="54" applyFont="1" applyFill="1" applyBorder="1" applyAlignment="1" applyProtection="1">
      <alignment horizontal="center" vertical="center" wrapText="1"/>
    </xf>
    <xf numFmtId="0" fontId="103" fillId="50" borderId="35" xfId="54" applyFont="1" applyFill="1" applyBorder="1" applyAlignment="1" applyProtection="1">
      <alignment horizontal="center" vertical="center" wrapText="1"/>
    </xf>
    <xf numFmtId="0" fontId="103" fillId="56" borderId="1" xfId="54" applyFont="1" applyFill="1" applyBorder="1" applyAlignment="1" applyProtection="1">
      <alignment horizontal="center" vertical="center" wrapText="1"/>
    </xf>
    <xf numFmtId="0" fontId="103" fillId="56" borderId="2" xfId="54" applyFont="1" applyFill="1" applyBorder="1" applyAlignment="1" applyProtection="1">
      <alignment horizontal="center" vertical="center" wrapText="1"/>
    </xf>
    <xf numFmtId="0" fontId="103" fillId="56" borderId="16" xfId="54" applyFont="1" applyFill="1" applyBorder="1" applyAlignment="1" applyProtection="1">
      <alignment horizontal="center" vertical="center" wrapText="1"/>
    </xf>
    <xf numFmtId="0" fontId="103" fillId="56" borderId="42" xfId="54" applyFont="1" applyFill="1" applyBorder="1" applyAlignment="1" applyProtection="1">
      <alignment horizontal="center" vertical="center" wrapText="1"/>
    </xf>
    <xf numFmtId="0" fontId="110" fillId="0" borderId="0" xfId="618" applyFont="1" applyFill="1" applyBorder="1" applyAlignment="1" applyProtection="1">
      <alignment horizontal="left" vertical="top" wrapText="1"/>
    </xf>
    <xf numFmtId="0" fontId="111" fillId="40" borderId="0" xfId="618" applyFont="1" applyFill="1" applyBorder="1" applyAlignment="1" applyProtection="1">
      <alignment horizontal="left" vertical="top" wrapText="1"/>
    </xf>
    <xf numFmtId="0" fontId="112" fillId="40" borderId="3" xfId="54" applyFont="1" applyFill="1" applyBorder="1" applyAlignment="1" applyProtection="1">
      <alignment horizontal="left" wrapText="1"/>
    </xf>
    <xf numFmtId="0" fontId="112" fillId="40" borderId="35" xfId="54" applyFont="1" applyFill="1" applyBorder="1" applyAlignment="1" applyProtection="1">
      <alignment horizontal="left" wrapText="1"/>
    </xf>
    <xf numFmtId="0" fontId="80" fillId="40" borderId="3" xfId="54" applyFont="1" applyFill="1" applyBorder="1" applyAlignment="1" applyProtection="1">
      <alignment horizontal="left" wrapText="1"/>
    </xf>
    <xf numFmtId="0" fontId="80" fillId="40" borderId="50" xfId="54" applyFont="1" applyFill="1" applyBorder="1" applyAlignment="1" applyProtection="1">
      <alignment horizontal="left" wrapText="1"/>
    </xf>
    <xf numFmtId="49" fontId="80" fillId="51" borderId="16" xfId="54" applyNumberFormat="1" applyFont="1" applyFill="1" applyBorder="1" applyAlignment="1" applyProtection="1">
      <alignment horizontal="left" vertical="top" wrapText="1"/>
      <protection locked="0"/>
    </xf>
    <xf numFmtId="49" fontId="80" fillId="51" borderId="2" xfId="54" applyNumberFormat="1" applyFont="1" applyFill="1" applyBorder="1" applyAlignment="1" applyProtection="1">
      <alignment horizontal="left" vertical="top" wrapText="1"/>
      <protection locked="0"/>
    </xf>
    <xf numFmtId="49" fontId="80" fillId="51" borderId="42" xfId="54" applyNumberFormat="1" applyFont="1" applyFill="1" applyBorder="1" applyAlignment="1" applyProtection="1">
      <alignment horizontal="left" vertical="top" wrapText="1"/>
      <protection locked="0"/>
    </xf>
    <xf numFmtId="0" fontId="80" fillId="51" borderId="1" xfId="54" applyFont="1" applyFill="1" applyBorder="1" applyAlignment="1" applyProtection="1">
      <alignment horizontal="left" vertical="top" wrapText="1"/>
      <protection locked="0"/>
    </xf>
    <xf numFmtId="0" fontId="89" fillId="51" borderId="1" xfId="54" applyFont="1" applyFill="1" applyBorder="1" applyAlignment="1" applyProtection="1">
      <alignment horizontal="left" vertical="top"/>
      <protection locked="0"/>
    </xf>
    <xf numFmtId="0" fontId="13" fillId="40" borderId="27" xfId="54" applyFont="1" applyFill="1" applyBorder="1" applyAlignment="1" applyProtection="1">
      <alignment horizontal="left" vertical="top" wrapText="1"/>
    </xf>
    <xf numFmtId="0" fontId="13" fillId="40" borderId="93" xfId="54" applyFont="1" applyFill="1" applyBorder="1" applyAlignment="1" applyProtection="1">
      <alignment horizontal="left" vertical="top" wrapText="1"/>
    </xf>
    <xf numFmtId="0" fontId="13" fillId="40" borderId="102" xfId="54" applyFont="1" applyFill="1" applyBorder="1" applyAlignment="1" applyProtection="1">
      <alignment horizontal="left" vertical="top" wrapText="1"/>
      <protection locked="0"/>
    </xf>
    <xf numFmtId="0" fontId="13" fillId="38" borderId="102" xfId="54" applyFill="1" applyBorder="1" applyAlignment="1" applyProtection="1">
      <alignment horizontal="left" vertical="top" wrapText="1"/>
      <protection locked="0"/>
    </xf>
    <xf numFmtId="0" fontId="77" fillId="40" borderId="0" xfId="54" applyFont="1" applyFill="1" applyBorder="1" applyAlignment="1" applyProtection="1">
      <alignment horizontal="left" wrapText="1"/>
    </xf>
    <xf numFmtId="0" fontId="77" fillId="40" borderId="0" xfId="54" applyFont="1" applyFill="1" applyBorder="1" applyAlignment="1" applyProtection="1">
      <alignment wrapText="1"/>
    </xf>
    <xf numFmtId="0" fontId="13" fillId="40" borderId="0" xfId="54" applyFill="1" applyBorder="1" applyAlignment="1" applyProtection="1">
      <alignment wrapText="1"/>
    </xf>
    <xf numFmtId="0" fontId="13" fillId="40" borderId="16" xfId="54" applyFont="1" applyFill="1" applyBorder="1" applyAlignment="1" applyProtection="1">
      <alignment horizontal="left" vertical="top" wrapText="1"/>
    </xf>
    <xf numFmtId="0" fontId="13" fillId="40" borderId="2" xfId="54" applyFont="1" applyFill="1" applyBorder="1" applyAlignment="1" applyProtection="1">
      <alignment horizontal="left" vertical="top" wrapText="1"/>
    </xf>
    <xf numFmtId="0" fontId="13" fillId="49" borderId="102" xfId="54" applyFont="1" applyFill="1" applyBorder="1" applyAlignment="1" applyProtection="1">
      <alignment horizontal="left" vertical="top"/>
      <protection locked="0"/>
    </xf>
    <xf numFmtId="0" fontId="13" fillId="49" borderId="102" xfId="54" applyFill="1" applyBorder="1" applyAlignment="1" applyProtection="1">
      <alignment horizontal="left" vertical="top"/>
      <protection locked="0"/>
    </xf>
    <xf numFmtId="0" fontId="13" fillId="0" borderId="1" xfId="54" applyFont="1" applyBorder="1" applyAlignment="1" applyProtection="1">
      <alignment horizontal="left" vertical="top" wrapText="1"/>
    </xf>
    <xf numFmtId="0" fontId="13" fillId="52" borderId="1" xfId="54" applyFont="1" applyFill="1" applyBorder="1" applyAlignment="1" applyProtection="1">
      <alignment horizontal="left" vertical="top" wrapText="1"/>
    </xf>
    <xf numFmtId="0" fontId="13" fillId="40" borderId="105" xfId="54" applyFont="1" applyFill="1" applyBorder="1" applyAlignment="1" applyProtection="1">
      <alignment horizontal="left" vertical="top" wrapText="1"/>
      <protection locked="0"/>
    </xf>
    <xf numFmtId="0" fontId="13" fillId="40" borderId="104" xfId="54" applyFont="1" applyFill="1" applyBorder="1" applyAlignment="1" applyProtection="1">
      <alignment horizontal="left" vertical="top" wrapText="1"/>
      <protection locked="0"/>
    </xf>
    <xf numFmtId="0" fontId="91" fillId="50" borderId="2" xfId="54" applyFont="1" applyFill="1" applyBorder="1" applyAlignment="1" applyProtection="1">
      <alignment horizontal="left" vertical="top" wrapText="1"/>
    </xf>
    <xf numFmtId="0" fontId="13" fillId="40" borderId="0" xfId="54" applyFont="1" applyFill="1" applyBorder="1" applyAlignment="1" applyProtection="1">
      <alignment horizontal="left" wrapText="1"/>
    </xf>
    <xf numFmtId="0" fontId="13" fillId="25" borderId="0" xfId="54" applyFont="1" applyFill="1" applyBorder="1" applyAlignment="1" applyProtection="1">
      <alignment horizontal="left" vertical="top" wrapText="1"/>
    </xf>
    <xf numFmtId="0" fontId="13" fillId="40" borderId="1" xfId="54" applyFont="1" applyFill="1" applyBorder="1" applyAlignment="1" applyProtection="1">
      <alignment horizontal="left" vertical="top" wrapText="1"/>
    </xf>
    <xf numFmtId="0" fontId="77" fillId="40" borderId="1" xfId="54" applyFont="1" applyFill="1" applyBorder="1" applyAlignment="1" applyProtection="1">
      <alignment horizontal="left" vertical="top" wrapText="1"/>
    </xf>
    <xf numFmtId="0" fontId="77" fillId="25" borderId="16" xfId="54" applyFont="1" applyFill="1" applyBorder="1" applyAlignment="1" applyProtection="1">
      <alignment horizontal="left" vertical="top" wrapText="1"/>
    </xf>
    <xf numFmtId="0" fontId="77" fillId="25" borderId="2" xfId="54" applyFont="1" applyFill="1" applyBorder="1" applyAlignment="1" applyProtection="1">
      <alignment horizontal="left" vertical="top" wrapText="1"/>
    </xf>
    <xf numFmtId="0" fontId="13" fillId="60" borderId="102" xfId="54" applyFont="1" applyFill="1" applyBorder="1" applyAlignment="1" applyProtection="1">
      <alignment horizontal="left" vertical="top" wrapText="1"/>
      <protection locked="0"/>
    </xf>
    <xf numFmtId="0" fontId="77" fillId="0" borderId="1" xfId="54" applyFont="1" applyBorder="1" applyAlignment="1" applyProtection="1">
      <alignment horizontal="left" vertical="top" wrapText="1"/>
    </xf>
    <xf numFmtId="0" fontId="77" fillId="0" borderId="35" xfId="54" applyFont="1" applyBorder="1" applyAlignment="1" applyProtection="1">
      <alignment horizontal="left" vertical="top" wrapText="1"/>
    </xf>
    <xf numFmtId="0" fontId="77" fillId="0" borderId="27" xfId="54" applyFont="1" applyBorder="1" applyAlignment="1" applyProtection="1">
      <alignment horizontal="left" vertical="top" wrapText="1"/>
    </xf>
    <xf numFmtId="0" fontId="77" fillId="0" borderId="16" xfId="54" applyFont="1" applyBorder="1" applyAlignment="1" applyProtection="1">
      <alignment horizontal="left" vertical="top" wrapText="1"/>
    </xf>
    <xf numFmtId="0" fontId="13" fillId="43" borderId="16" xfId="54" applyFont="1" applyFill="1" applyBorder="1" applyAlignment="1" applyProtection="1">
      <alignment horizontal="left" vertical="top" wrapText="1"/>
    </xf>
    <xf numFmtId="0" fontId="13" fillId="43" borderId="42" xfId="54" applyFont="1" applyFill="1" applyBorder="1" applyAlignment="1" applyProtection="1">
      <alignment horizontal="left" vertical="top" wrapText="1"/>
    </xf>
    <xf numFmtId="0" fontId="13" fillId="43" borderId="2" xfId="54" applyFont="1" applyFill="1" applyBorder="1" applyAlignment="1" applyProtection="1">
      <alignment horizontal="left" vertical="top" wrapText="1"/>
    </xf>
    <xf numFmtId="0" fontId="77" fillId="40" borderId="42" xfId="54" applyFont="1" applyFill="1" applyBorder="1" applyAlignment="1" applyProtection="1">
      <alignment horizontal="left" vertical="top" wrapText="1"/>
    </xf>
    <xf numFmtId="0" fontId="91" fillId="50" borderId="16" xfId="54" applyFont="1" applyFill="1" applyBorder="1" applyAlignment="1" applyProtection="1">
      <alignment horizontal="center" vertical="center"/>
    </xf>
    <xf numFmtId="0" fontId="91" fillId="50" borderId="2" xfId="54" applyFont="1" applyFill="1" applyBorder="1" applyAlignment="1" applyProtection="1">
      <alignment horizontal="center" vertical="center"/>
    </xf>
    <xf numFmtId="0" fontId="91" fillId="50" borderId="0" xfId="54" applyFont="1" applyFill="1" applyBorder="1" applyAlignment="1" applyProtection="1">
      <alignment horizontal="center" vertical="center"/>
    </xf>
    <xf numFmtId="0" fontId="91" fillId="50" borderId="41" xfId="54" applyFont="1" applyFill="1" applyBorder="1" applyAlignment="1" applyProtection="1">
      <alignment horizontal="center" vertical="center"/>
    </xf>
    <xf numFmtId="0" fontId="77" fillId="0" borderId="16" xfId="54" applyFont="1" applyFill="1" applyBorder="1" applyAlignment="1" applyProtection="1">
      <alignment horizontal="left" vertical="top" wrapText="1"/>
    </xf>
    <xf numFmtId="0" fontId="77" fillId="0" borderId="2" xfId="54" applyFont="1" applyFill="1" applyBorder="1" applyAlignment="1" applyProtection="1">
      <alignment horizontal="left" vertical="top" wrapText="1"/>
    </xf>
    <xf numFmtId="0" fontId="13" fillId="40" borderId="0" xfId="54" applyFill="1" applyBorder="1" applyAlignment="1" applyProtection="1">
      <alignment horizontal="center"/>
    </xf>
    <xf numFmtId="0" fontId="13" fillId="60" borderId="109" xfId="54" applyFont="1" applyFill="1" applyBorder="1" applyAlignment="1" applyProtection="1">
      <alignment vertical="top" wrapText="1"/>
      <protection locked="0"/>
    </xf>
    <xf numFmtId="0" fontId="13" fillId="60" borderId="101" xfId="54" applyFont="1" applyFill="1" applyBorder="1" applyAlignment="1" applyProtection="1">
      <alignment vertical="top" wrapText="1"/>
      <protection locked="0"/>
    </xf>
    <xf numFmtId="0" fontId="13" fillId="60" borderId="110" xfId="54" applyFont="1" applyFill="1" applyBorder="1" applyAlignment="1" applyProtection="1">
      <alignment vertical="top" wrapText="1"/>
      <protection locked="0"/>
    </xf>
    <xf numFmtId="0" fontId="13" fillId="40" borderId="0" xfId="54" quotePrefix="1" applyFont="1" applyFill="1" applyBorder="1" applyAlignment="1" applyProtection="1">
      <alignment horizontal="left" vertical="top" wrapText="1" indent="1"/>
    </xf>
    <xf numFmtId="0" fontId="77" fillId="40" borderId="101" xfId="54" applyFont="1" applyFill="1" applyBorder="1" applyAlignment="1" applyProtection="1">
      <alignment wrapText="1"/>
    </xf>
    <xf numFmtId="0" fontId="13" fillId="0" borderId="16" xfId="54" applyFont="1" applyBorder="1" applyAlignment="1" applyProtection="1">
      <alignment horizontal="left" vertical="top" wrapText="1"/>
    </xf>
    <xf numFmtId="0" fontId="13" fillId="0" borderId="42" xfId="54" applyBorder="1" applyAlignment="1" applyProtection="1">
      <alignment horizontal="left" vertical="top" wrapText="1"/>
    </xf>
    <xf numFmtId="0" fontId="13" fillId="43" borderId="16" xfId="54" applyFill="1" applyBorder="1" applyAlignment="1" applyProtection="1">
      <alignment horizontal="left" vertical="top" wrapText="1"/>
    </xf>
    <xf numFmtId="0" fontId="13" fillId="43" borderId="2" xfId="54" applyFill="1" applyBorder="1" applyAlignment="1" applyProtection="1">
      <alignment horizontal="left" vertical="top" wrapText="1"/>
    </xf>
    <xf numFmtId="0" fontId="13" fillId="60" borderId="106" xfId="54" applyFont="1" applyFill="1" applyBorder="1" applyAlignment="1" applyProtection="1">
      <alignment vertical="top" wrapText="1"/>
      <protection locked="0"/>
    </xf>
    <xf numFmtId="0" fontId="13" fillId="60" borderId="107" xfId="54" applyFont="1" applyFill="1" applyBorder="1" applyAlignment="1" applyProtection="1">
      <alignment vertical="top" wrapText="1"/>
      <protection locked="0"/>
    </xf>
    <xf numFmtId="0" fontId="13" fillId="60" borderId="108" xfId="54" applyFont="1" applyFill="1" applyBorder="1" applyAlignment="1" applyProtection="1">
      <alignment vertical="top" wrapText="1"/>
      <protection locked="0"/>
    </xf>
    <xf numFmtId="0" fontId="13" fillId="40" borderId="0" xfId="54" applyFill="1" applyBorder="1" applyAlignment="1" applyProtection="1">
      <alignment horizontal="left"/>
    </xf>
    <xf numFmtId="0" fontId="13" fillId="40" borderId="0" xfId="54" applyFont="1" applyFill="1" applyBorder="1" applyAlignment="1" applyProtection="1">
      <alignment horizontal="left" vertical="center" wrapText="1"/>
    </xf>
    <xf numFmtId="0" fontId="13" fillId="40" borderId="41" xfId="54" applyFill="1" applyBorder="1" applyAlignment="1" applyProtection="1">
      <alignment horizontal="left" vertical="center" wrapText="1"/>
    </xf>
    <xf numFmtId="0" fontId="13" fillId="40" borderId="50" xfId="54" applyFill="1" applyBorder="1" applyAlignment="1" applyProtection="1"/>
    <xf numFmtId="0" fontId="13" fillId="40" borderId="86" xfId="54" applyFill="1" applyBorder="1" applyAlignment="1" applyProtection="1"/>
    <xf numFmtId="14" fontId="13" fillId="40" borderId="0" xfId="54" applyNumberFormat="1" applyFill="1" applyBorder="1" applyAlignment="1" applyProtection="1">
      <alignment horizontal="center"/>
    </xf>
    <xf numFmtId="14" fontId="13" fillId="49" borderId="1" xfId="54" applyNumberFormat="1" applyFill="1" applyBorder="1" applyAlignment="1" applyProtection="1">
      <alignment horizontal="center"/>
      <protection locked="0"/>
    </xf>
    <xf numFmtId="0" fontId="13" fillId="49" borderId="1" xfId="54" applyFill="1" applyBorder="1" applyAlignment="1" applyProtection="1">
      <alignment horizontal="center"/>
      <protection locked="0"/>
    </xf>
    <xf numFmtId="0" fontId="116" fillId="50" borderId="16" xfId="54" applyFont="1" applyFill="1" applyBorder="1" applyAlignment="1" applyProtection="1">
      <alignment horizontal="left" vertical="top"/>
    </xf>
    <xf numFmtId="0" fontId="116" fillId="50" borderId="42" xfId="54" applyFont="1" applyFill="1" applyBorder="1" applyAlignment="1" applyProtection="1">
      <alignment horizontal="left" vertical="top"/>
    </xf>
    <xf numFmtId="0" fontId="116" fillId="50" borderId="1" xfId="54" applyFont="1" applyFill="1" applyBorder="1" applyAlignment="1" applyProtection="1">
      <alignment horizontal="left" vertical="top"/>
    </xf>
    <xf numFmtId="0" fontId="81" fillId="40" borderId="41" xfId="54" applyFont="1" applyFill="1" applyBorder="1" applyAlignment="1" applyProtection="1">
      <alignment horizontal="left"/>
    </xf>
    <xf numFmtId="0" fontId="81" fillId="40" borderId="50" xfId="54" applyFont="1" applyFill="1" applyBorder="1" applyAlignment="1" applyProtection="1">
      <alignment horizontal="left"/>
    </xf>
    <xf numFmtId="0" fontId="81" fillId="40" borderId="86" xfId="54" applyFont="1" applyFill="1" applyBorder="1" applyAlignment="1" applyProtection="1">
      <alignment horizontal="left"/>
    </xf>
    <xf numFmtId="14" fontId="13" fillId="49" borderId="16" xfId="54" applyNumberFormat="1" applyFont="1" applyFill="1" applyBorder="1" applyAlignment="1" applyProtection="1">
      <alignment horizontal="left"/>
      <protection locked="0"/>
    </xf>
    <xf numFmtId="14" fontId="13" fillId="49" borderId="42" xfId="54" applyNumberFormat="1" applyFont="1" applyFill="1" applyBorder="1" applyAlignment="1" applyProtection="1">
      <alignment horizontal="left"/>
      <protection locked="0"/>
    </xf>
    <xf numFmtId="0" fontId="13" fillId="49" borderId="1" xfId="54" applyFont="1" applyFill="1" applyBorder="1" applyAlignment="1" applyProtection="1">
      <alignment horizontal="left"/>
      <protection locked="0"/>
    </xf>
    <xf numFmtId="0" fontId="13" fillId="49" borderId="1" xfId="54" applyFill="1" applyBorder="1" applyAlignment="1" applyProtection="1">
      <alignment horizontal="left"/>
      <protection locked="0"/>
    </xf>
    <xf numFmtId="14" fontId="13" fillId="49" borderId="16" xfId="54" applyNumberFormat="1" applyFill="1" applyBorder="1" applyAlignment="1" applyProtection="1">
      <alignment horizontal="center"/>
      <protection locked="0"/>
    </xf>
    <xf numFmtId="14" fontId="13" fillId="49" borderId="42" xfId="54" applyNumberFormat="1" applyFill="1" applyBorder="1" applyAlignment="1" applyProtection="1">
      <alignment horizontal="center"/>
      <protection locked="0"/>
    </xf>
    <xf numFmtId="0" fontId="13" fillId="43" borderId="111" xfId="54" applyFont="1" applyFill="1" applyBorder="1" applyAlignment="1" applyProtection="1">
      <alignment horizontal="left" vertical="top" wrapText="1"/>
    </xf>
    <xf numFmtId="0" fontId="77" fillId="40" borderId="93" xfId="54" applyFont="1" applyFill="1" applyBorder="1" applyAlignment="1" applyProtection="1">
      <alignment horizontal="left" wrapText="1"/>
    </xf>
    <xf numFmtId="0" fontId="13" fillId="0" borderId="2" xfId="54" applyFont="1" applyBorder="1" applyAlignment="1" applyProtection="1">
      <alignment horizontal="left" vertical="top" wrapText="1"/>
    </xf>
    <xf numFmtId="0" fontId="77" fillId="40" borderId="35" xfId="54" applyFont="1" applyFill="1" applyBorder="1" applyAlignment="1" applyProtection="1">
      <alignment horizontal="left" vertical="top" wrapText="1"/>
    </xf>
    <xf numFmtId="0" fontId="77" fillId="40" borderId="84" xfId="54" applyFont="1" applyFill="1" applyBorder="1" applyAlignment="1" applyProtection="1">
      <alignment horizontal="left" wrapText="1"/>
    </xf>
    <xf numFmtId="0" fontId="77" fillId="40" borderId="2" xfId="54" applyFont="1" applyFill="1" applyBorder="1" applyAlignment="1" applyProtection="1">
      <alignment horizontal="left" wrapText="1"/>
    </xf>
    <xf numFmtId="0" fontId="77" fillId="40" borderId="0" xfId="54" applyFont="1" applyFill="1" applyBorder="1" applyAlignment="1" applyProtection="1">
      <alignment horizontal="left" vertical="top" wrapText="1"/>
    </xf>
    <xf numFmtId="0" fontId="13" fillId="40" borderId="0" xfId="54" quotePrefix="1" applyFont="1" applyFill="1" applyBorder="1" applyAlignment="1" applyProtection="1">
      <alignment horizontal="left" vertical="top" wrapText="1"/>
    </xf>
    <xf numFmtId="0" fontId="77" fillId="40" borderId="0" xfId="54" applyFont="1" applyFill="1" applyBorder="1" applyAlignment="1" applyProtection="1">
      <alignment vertical="center" wrapText="1"/>
    </xf>
    <xf numFmtId="0" fontId="77" fillId="40" borderId="111" xfId="54" applyFont="1" applyFill="1" applyBorder="1" applyAlignment="1" applyProtection="1">
      <alignment horizontal="left" vertical="top" wrapText="1"/>
    </xf>
    <xf numFmtId="0" fontId="13" fillId="49" borderId="3" xfId="54" applyFont="1" applyFill="1" applyBorder="1" applyAlignment="1" applyProtection="1">
      <alignment horizontal="left" vertical="top" wrapText="1"/>
      <protection locked="0"/>
    </xf>
    <xf numFmtId="0" fontId="13" fillId="49" borderId="50" xfId="54" applyFont="1" applyFill="1" applyBorder="1" applyAlignment="1" applyProtection="1">
      <alignment horizontal="left" vertical="top" wrapText="1"/>
      <protection locked="0"/>
    </xf>
    <xf numFmtId="0" fontId="13" fillId="49" borderId="35" xfId="54" applyFont="1" applyFill="1" applyBorder="1" applyAlignment="1" applyProtection="1">
      <alignment horizontal="left" vertical="top" wrapText="1"/>
      <protection locked="0"/>
    </xf>
    <xf numFmtId="14" fontId="13" fillId="49" borderId="42" xfId="54" applyNumberFormat="1" applyFill="1" applyBorder="1" applyAlignment="1" applyProtection="1">
      <alignment horizontal="left"/>
      <protection locked="0"/>
    </xf>
    <xf numFmtId="0" fontId="13" fillId="0" borderId="28" xfId="54" applyBorder="1" applyAlignment="1" applyProtection="1">
      <alignment horizontal="left" vertical="top"/>
    </xf>
    <xf numFmtId="0" fontId="13" fillId="0" borderId="84" xfId="54" applyBorder="1" applyAlignment="1" applyProtection="1">
      <alignment horizontal="left" vertical="top"/>
    </xf>
    <xf numFmtId="0" fontId="13" fillId="0" borderId="42" xfId="54" applyFont="1" applyBorder="1" applyAlignment="1" applyProtection="1">
      <alignment horizontal="left" vertical="top" wrapText="1"/>
    </xf>
    <xf numFmtId="0" fontId="77" fillId="40" borderId="27" xfId="54" applyFont="1" applyFill="1" applyBorder="1" applyAlignment="1" applyProtection="1">
      <alignment horizontal="left" vertical="top" wrapText="1"/>
    </xf>
    <xf numFmtId="0" fontId="77" fillId="40" borderId="39" xfId="54" applyFont="1" applyFill="1" applyBorder="1" applyAlignment="1" applyProtection="1">
      <alignment horizontal="left" vertical="top" wrapText="1"/>
    </xf>
    <xf numFmtId="0" fontId="13" fillId="43" borderId="86" xfId="54" applyFont="1" applyFill="1" applyBorder="1" applyAlignment="1" applyProtection="1">
      <alignment horizontal="left" vertical="top" wrapText="1"/>
    </xf>
    <xf numFmtId="0" fontId="13" fillId="43" borderId="113" xfId="54" applyFont="1" applyFill="1" applyBorder="1" applyAlignment="1" applyProtection="1">
      <alignment horizontal="left" vertical="top" wrapText="1"/>
    </xf>
    <xf numFmtId="0" fontId="13" fillId="43" borderId="27" xfId="54" applyFont="1" applyFill="1" applyBorder="1" applyAlignment="1" applyProtection="1">
      <alignment horizontal="left" vertical="top" wrapText="1"/>
    </xf>
    <xf numFmtId="0" fontId="13" fillId="43" borderId="114" xfId="54" applyFont="1" applyFill="1" applyBorder="1" applyAlignment="1" applyProtection="1">
      <alignment horizontal="left" vertical="top" wrapText="1"/>
    </xf>
    <xf numFmtId="0" fontId="13" fillId="49" borderId="1" xfId="54" applyFont="1" applyFill="1" applyBorder="1" applyAlignment="1" applyProtection="1">
      <alignment horizontal="center" vertical="top" wrapText="1"/>
      <protection locked="0"/>
    </xf>
    <xf numFmtId="0" fontId="13" fillId="40" borderId="0" xfId="54" applyFont="1" applyFill="1" applyBorder="1" applyAlignment="1" applyProtection="1">
      <alignment horizontal="left" vertical="top" wrapText="1" indent="1"/>
    </xf>
    <xf numFmtId="0" fontId="77" fillId="40" borderId="93" xfId="54" applyFont="1" applyFill="1" applyBorder="1" applyAlignment="1" applyProtection="1">
      <alignment wrapText="1"/>
    </xf>
    <xf numFmtId="0" fontId="13" fillId="0" borderId="16" xfId="54" applyBorder="1" applyAlignment="1" applyProtection="1">
      <alignment horizontal="center" vertical="top"/>
    </xf>
    <xf numFmtId="0" fontId="13" fillId="0" borderId="2" xfId="54" applyBorder="1" applyAlignment="1" applyProtection="1">
      <alignment horizontal="center" vertical="top"/>
    </xf>
    <xf numFmtId="0" fontId="13" fillId="49" borderId="3" xfId="54" applyFont="1" applyFill="1" applyBorder="1" applyAlignment="1" applyProtection="1">
      <alignment horizontal="center" vertical="top" wrapText="1"/>
      <protection locked="0"/>
    </xf>
    <xf numFmtId="0" fontId="13" fillId="49" borderId="50" xfId="54" applyFont="1" applyFill="1" applyBorder="1" applyAlignment="1" applyProtection="1">
      <alignment horizontal="center" vertical="top" wrapText="1"/>
      <protection locked="0"/>
    </xf>
    <xf numFmtId="0" fontId="13" fillId="49" borderId="35" xfId="54" applyFont="1" applyFill="1" applyBorder="1" applyAlignment="1" applyProtection="1">
      <alignment horizontal="center" vertical="top" wrapText="1"/>
      <protection locked="0"/>
    </xf>
    <xf numFmtId="14" fontId="13" fillId="49" borderId="16" xfId="54" applyNumberFormat="1" applyFill="1" applyBorder="1" applyAlignment="1" applyProtection="1">
      <alignment horizontal="left"/>
      <protection locked="0"/>
    </xf>
    <xf numFmtId="0" fontId="77" fillId="40" borderId="2" xfId="54" applyFont="1" applyFill="1" applyBorder="1" applyAlignment="1" applyProtection="1">
      <alignment horizontal="left"/>
    </xf>
    <xf numFmtId="0" fontId="13" fillId="0" borderId="28" xfId="54" applyFont="1" applyBorder="1" applyAlignment="1" applyProtection="1">
      <alignment horizontal="left" vertical="top" wrapText="1"/>
    </xf>
    <xf numFmtId="0" fontId="13" fillId="0" borderId="84" xfId="54" applyFont="1" applyBorder="1" applyAlignment="1" applyProtection="1">
      <alignment horizontal="left" vertical="top" wrapText="1"/>
    </xf>
    <xf numFmtId="0" fontId="13" fillId="0" borderId="115" xfId="54" applyFont="1" applyBorder="1" applyAlignment="1" applyProtection="1">
      <alignment horizontal="left" vertical="top" wrapText="1"/>
    </xf>
    <xf numFmtId="14" fontId="13" fillId="49" borderId="1" xfId="54" applyNumberFormat="1" applyFont="1" applyFill="1" applyBorder="1" applyAlignment="1" applyProtection="1">
      <alignment horizontal="center"/>
      <protection locked="0"/>
    </xf>
    <xf numFmtId="0" fontId="77" fillId="40" borderId="93" xfId="54" applyFont="1" applyFill="1" applyBorder="1" applyAlignment="1" applyProtection="1">
      <alignment horizontal="left" vertical="top" wrapText="1"/>
    </xf>
    <xf numFmtId="0" fontId="13" fillId="40" borderId="0" xfId="54" applyFont="1" applyFill="1" applyBorder="1" applyAlignment="1" applyProtection="1"/>
    <xf numFmtId="0" fontId="77" fillId="25" borderId="28" xfId="54" applyFont="1" applyFill="1" applyBorder="1" applyAlignment="1" applyProtection="1">
      <alignment horizontal="left" vertical="top" wrapText="1"/>
    </xf>
    <xf numFmtId="0" fontId="77" fillId="25" borderId="84" xfId="54" applyFont="1" applyFill="1" applyBorder="1" applyAlignment="1" applyProtection="1">
      <alignment horizontal="left" vertical="top" wrapText="1"/>
    </xf>
    <xf numFmtId="0" fontId="81" fillId="40" borderId="0" xfId="54" applyFont="1" applyFill="1" applyBorder="1" applyAlignment="1" applyProtection="1">
      <alignment horizontal="left"/>
    </xf>
    <xf numFmtId="0" fontId="13" fillId="0" borderId="27" xfId="54" applyFont="1" applyBorder="1" applyAlignment="1" applyProtection="1">
      <alignment horizontal="left" vertical="top" wrapText="1"/>
    </xf>
    <xf numFmtId="0" fontId="13" fillId="0" borderId="93" xfId="54" applyFont="1" applyBorder="1" applyAlignment="1" applyProtection="1">
      <alignment horizontal="left" vertical="top" wrapText="1"/>
    </xf>
    <xf numFmtId="0" fontId="13" fillId="60" borderId="102" xfId="54" applyFont="1" applyFill="1" applyBorder="1" applyAlignment="1" applyProtection="1">
      <alignment vertical="top" wrapText="1"/>
      <protection locked="0"/>
    </xf>
    <xf numFmtId="0" fontId="13" fillId="60" borderId="102" xfId="54" applyFill="1" applyBorder="1" applyAlignment="1" applyProtection="1">
      <alignment vertical="top" wrapText="1"/>
      <protection locked="0"/>
    </xf>
    <xf numFmtId="0" fontId="13" fillId="49" borderId="102" xfId="54" applyFill="1" applyBorder="1" applyAlignment="1" applyProtection="1">
      <alignment vertical="top"/>
      <protection locked="0"/>
    </xf>
    <xf numFmtId="0" fontId="13" fillId="60" borderId="105" xfId="54" applyFont="1" applyFill="1" applyBorder="1" applyAlignment="1" applyProtection="1">
      <alignment horizontal="left" vertical="top" wrapText="1"/>
      <protection locked="0"/>
    </xf>
    <xf numFmtId="0" fontId="13" fillId="60" borderId="116" xfId="54" applyFill="1" applyBorder="1" applyAlignment="1" applyProtection="1">
      <alignment horizontal="left" vertical="top" wrapText="1"/>
      <protection locked="0"/>
    </xf>
    <xf numFmtId="0" fontId="13" fillId="60" borderId="104" xfId="54" applyFill="1" applyBorder="1" applyAlignment="1" applyProtection="1">
      <alignment horizontal="left" vertical="top" wrapText="1"/>
      <protection locked="0"/>
    </xf>
    <xf numFmtId="0" fontId="13" fillId="40" borderId="0" xfId="54" applyFill="1" applyAlignment="1" applyProtection="1">
      <alignment horizontal="left" wrapText="1"/>
    </xf>
    <xf numFmtId="0" fontId="13" fillId="0" borderId="1" xfId="54" applyBorder="1" applyAlignment="1" applyProtection="1">
      <alignment horizontal="left" vertical="top" wrapText="1"/>
    </xf>
    <xf numFmtId="0" fontId="13" fillId="43" borderId="111" xfId="54" applyFill="1" applyBorder="1" applyAlignment="1" applyProtection="1">
      <alignment horizontal="left" vertical="top" wrapText="1"/>
    </xf>
    <xf numFmtId="0" fontId="77" fillId="40" borderId="101" xfId="54" applyFont="1" applyFill="1" applyBorder="1" applyAlignment="1" applyProtection="1">
      <alignment horizontal="left"/>
    </xf>
    <xf numFmtId="0" fontId="13" fillId="40" borderId="101" xfId="54" applyFill="1" applyBorder="1" applyAlignment="1" applyProtection="1">
      <alignment horizontal="left"/>
    </xf>
    <xf numFmtId="0" fontId="13" fillId="40" borderId="86" xfId="54" applyFont="1" applyFill="1" applyBorder="1" applyAlignment="1" applyProtection="1">
      <alignment horizontal="left" vertical="center" wrapText="1"/>
    </xf>
    <xf numFmtId="0" fontId="13" fillId="40" borderId="0" xfId="54" quotePrefix="1" applyFont="1" applyFill="1" applyBorder="1" applyAlignment="1" applyProtection="1">
      <alignment horizontal="left" wrapText="1" indent="1"/>
    </xf>
    <xf numFmtId="0" fontId="77" fillId="50" borderId="2" xfId="54" applyFont="1" applyFill="1" applyBorder="1" applyAlignment="1" applyProtection="1">
      <alignment horizontal="center" vertical="center" wrapText="1"/>
    </xf>
    <xf numFmtId="14" fontId="13" fillId="49" borderId="16" xfId="54" applyNumberFormat="1" applyFont="1" applyFill="1" applyBorder="1" applyAlignment="1" applyProtection="1">
      <alignment horizontal="center"/>
      <protection locked="0"/>
    </xf>
    <xf numFmtId="0" fontId="13" fillId="0" borderId="102" xfId="54" applyFont="1" applyBorder="1" applyAlignment="1" applyProtection="1">
      <alignment horizontal="left" vertical="top" wrapText="1"/>
      <protection locked="0"/>
    </xf>
    <xf numFmtId="0" fontId="13" fillId="52" borderId="16" xfId="54" applyFont="1" applyFill="1" applyBorder="1" applyAlignment="1" applyProtection="1">
      <alignment horizontal="left" vertical="top" wrapText="1"/>
    </xf>
    <xf numFmtId="0" fontId="13" fillId="52" borderId="2" xfId="54" applyFont="1" applyFill="1" applyBorder="1" applyAlignment="1" applyProtection="1">
      <alignment horizontal="left" vertical="top" wrapText="1"/>
    </xf>
    <xf numFmtId="0" fontId="13" fillId="52" borderId="42" xfId="54" applyFont="1" applyFill="1" applyBorder="1" applyAlignment="1" applyProtection="1">
      <alignment horizontal="left" vertical="top" wrapText="1"/>
    </xf>
    <xf numFmtId="0" fontId="13" fillId="49" borderId="105" xfId="54" applyFont="1" applyFill="1" applyBorder="1" applyAlignment="1" applyProtection="1">
      <alignment horizontal="left" vertical="top" wrapText="1"/>
      <protection locked="0"/>
    </xf>
    <xf numFmtId="0" fontId="13" fillId="49" borderId="116" xfId="54" applyFont="1" applyFill="1" applyBorder="1" applyAlignment="1" applyProtection="1">
      <alignment horizontal="left" vertical="top" wrapText="1"/>
      <protection locked="0"/>
    </xf>
    <xf numFmtId="0" fontId="13" fillId="49" borderId="104" xfId="54" applyFont="1" applyFill="1" applyBorder="1" applyAlignment="1" applyProtection="1">
      <alignment horizontal="left" vertical="top" wrapText="1"/>
      <protection locked="0"/>
    </xf>
    <xf numFmtId="0" fontId="77" fillId="40" borderId="101" xfId="54" applyFont="1" applyFill="1" applyBorder="1" applyAlignment="1" applyProtection="1">
      <alignment horizontal="left" wrapText="1"/>
    </xf>
    <xf numFmtId="0" fontId="77" fillId="0" borderId="0" xfId="54" applyFont="1" applyBorder="1" applyAlignment="1" applyProtection="1">
      <alignment horizontal="left" wrapText="1"/>
    </xf>
    <xf numFmtId="0" fontId="13" fillId="0" borderId="111" xfId="54" applyFont="1" applyBorder="1" applyAlignment="1" applyProtection="1">
      <alignment horizontal="left" vertical="top" wrapText="1"/>
    </xf>
    <xf numFmtId="0" fontId="13" fillId="60" borderId="102" xfId="54" applyFill="1" applyBorder="1" applyAlignment="1" applyProtection="1">
      <alignment horizontal="left" vertical="top" wrapText="1"/>
      <protection locked="0"/>
    </xf>
    <xf numFmtId="0" fontId="77" fillId="0" borderId="93" xfId="54" applyFont="1" applyBorder="1" applyAlignment="1" applyProtection="1">
      <alignment horizontal="left" wrapText="1"/>
    </xf>
    <xf numFmtId="0" fontId="13" fillId="0" borderId="1" xfId="54" applyFont="1" applyFill="1" applyBorder="1" applyAlignment="1" applyProtection="1">
      <alignment horizontal="left" vertical="top" wrapText="1"/>
      <protection locked="0"/>
    </xf>
    <xf numFmtId="0" fontId="13" fillId="0" borderId="16" xfId="54" applyFont="1" applyFill="1" applyBorder="1" applyAlignment="1" applyProtection="1">
      <alignment horizontal="left" vertical="top" wrapText="1"/>
    </xf>
    <xf numFmtId="0" fontId="13" fillId="0" borderId="2" xfId="54" applyFont="1" applyFill="1" applyBorder="1" applyAlignment="1" applyProtection="1">
      <alignment horizontal="left" vertical="top" wrapText="1"/>
    </xf>
    <xf numFmtId="0" fontId="13" fillId="52" borderId="111" xfId="54" applyFont="1" applyFill="1" applyBorder="1" applyAlignment="1" applyProtection="1">
      <alignment horizontal="left" vertical="top" wrapText="1"/>
    </xf>
    <xf numFmtId="1" fontId="13" fillId="49" borderId="1" xfId="54" quotePrefix="1" applyNumberFormat="1" applyFill="1" applyBorder="1" applyAlignment="1" applyProtection="1">
      <alignment horizontal="center"/>
      <protection locked="0"/>
    </xf>
    <xf numFmtId="9" fontId="13" fillId="52" borderId="16" xfId="52" quotePrefix="1" applyFont="1" applyFill="1" applyBorder="1" applyAlignment="1" applyProtection="1">
      <alignment horizontal="center"/>
    </xf>
    <xf numFmtId="9" fontId="13" fillId="52" borderId="42" xfId="52" quotePrefix="1" applyFont="1" applyFill="1" applyBorder="1" applyAlignment="1" applyProtection="1">
      <alignment horizontal="center"/>
    </xf>
    <xf numFmtId="2" fontId="13" fillId="49" borderId="1" xfId="54" applyNumberFormat="1" applyFont="1" applyFill="1" applyBorder="1" applyAlignment="1" applyProtection="1">
      <alignment horizontal="center"/>
      <protection locked="0"/>
    </xf>
    <xf numFmtId="0" fontId="77" fillId="0" borderId="16" xfId="54" applyFont="1" applyBorder="1" applyAlignment="1" applyProtection="1">
      <alignment horizontal="center" vertical="center" wrapText="1"/>
    </xf>
    <xf numFmtId="0" fontId="77" fillId="0" borderId="42" xfId="54" applyFont="1" applyBorder="1" applyAlignment="1" applyProtection="1">
      <alignment horizontal="center" vertical="center" wrapText="1"/>
    </xf>
    <xf numFmtId="0" fontId="77" fillId="40" borderId="86" xfId="54" applyFont="1" applyFill="1" applyBorder="1" applyAlignment="1" applyProtection="1">
      <alignment horizontal="left" vertical="top" wrapText="1"/>
    </xf>
    <xf numFmtId="0" fontId="91" fillId="50" borderId="28" xfId="54" applyFont="1" applyFill="1" applyBorder="1" applyAlignment="1" applyProtection="1">
      <alignment horizontal="center" vertical="center"/>
    </xf>
    <xf numFmtId="0" fontId="91" fillId="50" borderId="84" xfId="54" applyFont="1" applyFill="1" applyBorder="1" applyAlignment="1" applyProtection="1">
      <alignment horizontal="center" vertical="center"/>
    </xf>
    <xf numFmtId="0" fontId="91" fillId="50" borderId="40" xfId="54" applyFont="1" applyFill="1" applyBorder="1" applyAlignment="1" applyProtection="1">
      <alignment horizontal="center" vertical="center"/>
    </xf>
    <xf numFmtId="0" fontId="77" fillId="0" borderId="111" xfId="54" applyFont="1" applyFill="1" applyBorder="1" applyAlignment="1" applyProtection="1">
      <alignment horizontal="left" vertical="top" wrapText="1"/>
    </xf>
    <xf numFmtId="0" fontId="91" fillId="50" borderId="27" xfId="54" applyFont="1" applyFill="1" applyBorder="1" applyAlignment="1" applyProtection="1">
      <alignment horizontal="center" vertical="center"/>
    </xf>
    <xf numFmtId="0" fontId="91" fillId="50" borderId="93" xfId="54" applyFont="1" applyFill="1" applyBorder="1" applyAlignment="1" applyProtection="1">
      <alignment horizontal="center" vertical="center"/>
    </xf>
    <xf numFmtId="0" fontId="13" fillId="40" borderId="0" xfId="54" applyFill="1" applyBorder="1" applyAlignment="1" applyProtection="1">
      <alignment horizontal="left" wrapText="1"/>
    </xf>
    <xf numFmtId="0" fontId="77" fillId="0" borderId="2" xfId="54" applyFont="1" applyBorder="1" applyAlignment="1" applyProtection="1">
      <alignment horizontal="center" vertical="center" wrapText="1"/>
    </xf>
    <xf numFmtId="0" fontId="13" fillId="40" borderId="1" xfId="54" applyFill="1" applyBorder="1" applyAlignment="1" applyProtection="1">
      <alignment horizontal="left" vertical="top"/>
    </xf>
    <xf numFmtId="0" fontId="13" fillId="40" borderId="16" xfId="54" applyFill="1" applyBorder="1" applyAlignment="1" applyProtection="1">
      <alignment horizontal="left" vertical="top"/>
    </xf>
    <xf numFmtId="0" fontId="13" fillId="40" borderId="1" xfId="54" applyFont="1" applyFill="1" applyBorder="1" applyAlignment="1" applyProtection="1">
      <alignment horizontal="left" vertical="top"/>
    </xf>
    <xf numFmtId="0" fontId="13" fillId="40" borderId="16" xfId="54" applyFont="1" applyFill="1" applyBorder="1" applyAlignment="1" applyProtection="1">
      <alignment horizontal="left" vertical="top"/>
    </xf>
    <xf numFmtId="0" fontId="77" fillId="0" borderId="42" xfId="54" applyFont="1" applyFill="1" applyBorder="1" applyAlignment="1" applyProtection="1">
      <alignment horizontal="left" vertical="top" wrapText="1"/>
    </xf>
    <xf numFmtId="0" fontId="13" fillId="60" borderId="116" xfId="54" applyFont="1" applyFill="1" applyBorder="1" applyAlignment="1" applyProtection="1">
      <alignment horizontal="left" vertical="top" wrapText="1"/>
      <protection locked="0"/>
    </xf>
    <xf numFmtId="0" fontId="13" fillId="60" borderId="104" xfId="54" applyFont="1" applyFill="1" applyBorder="1" applyAlignment="1" applyProtection="1">
      <alignment horizontal="left" vertical="top" wrapText="1"/>
      <protection locked="0"/>
    </xf>
    <xf numFmtId="0" fontId="13" fillId="40" borderId="42" xfId="54" applyFill="1" applyBorder="1" applyAlignment="1" applyProtection="1">
      <alignment horizontal="left" vertical="top"/>
    </xf>
    <xf numFmtId="0" fontId="13" fillId="0" borderId="42" xfId="54" applyBorder="1" applyAlignment="1" applyProtection="1">
      <alignment horizontal="left" vertical="top"/>
    </xf>
    <xf numFmtId="0" fontId="13" fillId="0" borderId="102" xfId="54" applyBorder="1" applyAlignment="1" applyProtection="1">
      <alignment horizontal="left" vertical="top" wrapText="1"/>
      <protection locked="0"/>
    </xf>
    <xf numFmtId="0" fontId="13" fillId="43" borderId="42" xfId="54" applyFill="1" applyBorder="1" applyAlignment="1" applyProtection="1">
      <alignment horizontal="left" vertical="top" wrapText="1"/>
    </xf>
    <xf numFmtId="0" fontId="13" fillId="40" borderId="35" xfId="54" applyFont="1" applyFill="1" applyBorder="1" applyAlignment="1" applyProtection="1">
      <alignment horizontal="left" vertical="top" wrapText="1"/>
    </xf>
    <xf numFmtId="0" fontId="13" fillId="43" borderId="28" xfId="54" applyFont="1" applyFill="1" applyBorder="1" applyAlignment="1" applyProtection="1">
      <alignment horizontal="left" vertical="top" wrapText="1"/>
    </xf>
    <xf numFmtId="0" fontId="13" fillId="43" borderId="84" xfId="54" applyFont="1" applyFill="1" applyBorder="1" applyAlignment="1" applyProtection="1">
      <alignment horizontal="left" vertical="top" wrapText="1"/>
    </xf>
    <xf numFmtId="0" fontId="13" fillId="43" borderId="115" xfId="54" applyFont="1" applyFill="1" applyBorder="1" applyAlignment="1" applyProtection="1">
      <alignment horizontal="left" vertical="top" wrapText="1"/>
    </xf>
    <xf numFmtId="0" fontId="13" fillId="43" borderId="0" xfId="54" applyFont="1" applyFill="1" applyBorder="1" applyAlignment="1" applyProtection="1">
      <alignment horizontal="left" vertical="top" wrapText="1"/>
    </xf>
    <xf numFmtId="0" fontId="13" fillId="43" borderId="93" xfId="54" applyFont="1" applyFill="1" applyBorder="1" applyAlignment="1" applyProtection="1">
      <alignment horizontal="left" vertical="top" wrapText="1"/>
    </xf>
    <xf numFmtId="0" fontId="13" fillId="49" borderId="16" xfId="54" applyFont="1" applyFill="1" applyBorder="1" applyAlignment="1" applyProtection="1">
      <alignment horizontal="left" vertical="top" wrapText="1"/>
      <protection locked="0"/>
    </xf>
    <xf numFmtId="0" fontId="13" fillId="49" borderId="42" xfId="54" applyFont="1" applyFill="1" applyBorder="1" applyAlignment="1" applyProtection="1">
      <alignment horizontal="left" vertical="top" wrapText="1"/>
      <protection locked="0"/>
    </xf>
    <xf numFmtId="0" fontId="13" fillId="0" borderId="16" xfId="54" applyFont="1" applyBorder="1" applyAlignment="1" applyProtection="1">
      <alignment horizontal="left" vertical="top" wrapText="1"/>
      <protection locked="0"/>
    </xf>
    <xf numFmtId="0" fontId="13" fillId="0" borderId="2" xfId="54" applyFont="1" applyBorder="1" applyAlignment="1" applyProtection="1">
      <alignment horizontal="left" vertical="top" wrapText="1"/>
      <protection locked="0"/>
    </xf>
    <xf numFmtId="0" fontId="13" fillId="0" borderId="42" xfId="54" applyFont="1" applyBorder="1" applyAlignment="1" applyProtection="1">
      <alignment horizontal="left" vertical="top" wrapText="1"/>
      <protection locked="0"/>
    </xf>
    <xf numFmtId="0" fontId="13" fillId="0" borderId="0" xfId="54" applyBorder="1" applyAlignment="1" applyProtection="1">
      <alignment horizontal="left" wrapText="1"/>
    </xf>
    <xf numFmtId="0" fontId="77" fillId="25" borderId="42" xfId="54" applyFont="1" applyFill="1" applyBorder="1" applyAlignment="1" applyProtection="1">
      <alignment horizontal="left" vertical="top" wrapText="1"/>
    </xf>
    <xf numFmtId="0" fontId="13" fillId="43" borderId="1" xfId="54" applyFill="1" applyBorder="1" applyAlignment="1" applyProtection="1">
      <alignment horizontal="left" vertical="top" wrapText="1"/>
    </xf>
    <xf numFmtId="0" fontId="13" fillId="43" borderId="27" xfId="54" applyFill="1" applyBorder="1" applyAlignment="1" applyProtection="1">
      <alignment horizontal="left" vertical="top" wrapText="1"/>
    </xf>
    <xf numFmtId="0" fontId="13" fillId="43" borderId="39" xfId="54" applyFill="1" applyBorder="1" applyAlignment="1" applyProtection="1">
      <alignment horizontal="left" vertical="top" wrapText="1"/>
    </xf>
    <xf numFmtId="0" fontId="13" fillId="0" borderId="1" xfId="54" applyFont="1" applyBorder="1" applyAlignment="1" applyProtection="1">
      <alignment horizontal="left" vertical="top" wrapText="1"/>
      <protection locked="0"/>
    </xf>
    <xf numFmtId="0" fontId="13" fillId="0" borderId="1" xfId="54" applyBorder="1" applyAlignment="1" applyProtection="1">
      <alignment horizontal="left" vertical="top" wrapText="1"/>
      <protection locked="0"/>
    </xf>
    <xf numFmtId="0" fontId="13" fillId="49" borderId="1" xfId="54" applyFill="1" applyBorder="1" applyAlignment="1" applyProtection="1">
      <alignment horizontal="left" vertical="top" wrapText="1"/>
      <protection locked="0"/>
    </xf>
    <xf numFmtId="0" fontId="13" fillId="49" borderId="1" xfId="54" applyFont="1" applyFill="1" applyBorder="1" applyAlignment="1" applyProtection="1">
      <alignment horizontal="left" vertical="top" wrapText="1"/>
      <protection locked="0"/>
    </xf>
    <xf numFmtId="0" fontId="13" fillId="0" borderId="0" xfId="54" applyFont="1" applyBorder="1" applyAlignment="1" applyProtection="1">
      <alignment horizontal="left" wrapText="1"/>
    </xf>
    <xf numFmtId="0" fontId="13" fillId="0" borderId="0" xfId="54" applyFont="1" applyBorder="1" applyAlignment="1" applyProtection="1">
      <alignment horizontal="center" wrapText="1"/>
    </xf>
    <xf numFmtId="0" fontId="13" fillId="0" borderId="0" xfId="54" applyFont="1" applyAlignment="1" applyProtection="1">
      <alignment horizontal="left" wrapText="1"/>
    </xf>
    <xf numFmtId="0" fontId="13" fillId="49" borderId="1" xfId="54" applyFont="1" applyFill="1" applyBorder="1" applyAlignment="1" applyProtection="1">
      <alignment horizontal="center"/>
      <protection locked="0"/>
    </xf>
    <xf numFmtId="0" fontId="13" fillId="0" borderId="2" xfId="54" applyBorder="1" applyAlignment="1" applyProtection="1">
      <alignment horizontal="left" vertical="top"/>
    </xf>
    <xf numFmtId="0" fontId="83" fillId="0" borderId="0" xfId="54" applyFont="1" applyBorder="1" applyAlignment="1" applyProtection="1">
      <alignment horizontal="left" vertical="center" wrapText="1"/>
    </xf>
    <xf numFmtId="0" fontId="123" fillId="0" borderId="0" xfId="54" applyFont="1" applyBorder="1" applyAlignment="1" applyProtection="1">
      <alignment horizontal="center"/>
    </xf>
    <xf numFmtId="0" fontId="77" fillId="40" borderId="0" xfId="54" applyFont="1" applyFill="1" applyBorder="1" applyAlignment="1" applyProtection="1">
      <alignment horizontal="left" vertical="top" wrapText="1" indent="1"/>
    </xf>
    <xf numFmtId="2" fontId="13" fillId="49" borderId="16" xfId="54" applyNumberFormat="1" applyFont="1" applyFill="1" applyBorder="1" applyAlignment="1" applyProtection="1">
      <alignment horizontal="left"/>
      <protection locked="0"/>
    </xf>
    <xf numFmtId="2" fontId="13" fillId="49" borderId="42" xfId="54" applyNumberFormat="1" applyFont="1" applyFill="1" applyBorder="1" applyAlignment="1" applyProtection="1">
      <alignment horizontal="left"/>
      <protection locked="0"/>
    </xf>
    <xf numFmtId="0" fontId="13" fillId="40" borderId="102" xfId="54" applyFill="1" applyBorder="1" applyAlignment="1" applyProtection="1">
      <alignment horizontal="left" vertical="top" wrapText="1"/>
      <protection locked="0"/>
    </xf>
    <xf numFmtId="14" fontId="13" fillId="49" borderId="1" xfId="54" applyNumberFormat="1" applyFont="1" applyFill="1" applyBorder="1" applyAlignment="1" applyProtection="1">
      <alignment horizontal="left"/>
      <protection locked="0"/>
    </xf>
    <xf numFmtId="14" fontId="13" fillId="49" borderId="1" xfId="54" applyNumberFormat="1" applyFill="1" applyBorder="1" applyAlignment="1" applyProtection="1">
      <alignment horizontal="left"/>
      <protection locked="0"/>
    </xf>
    <xf numFmtId="0" fontId="13" fillId="49" borderId="16" xfId="54" applyFont="1" applyFill="1" applyBorder="1" applyAlignment="1" applyProtection="1">
      <alignment horizontal="left"/>
      <protection locked="0"/>
    </xf>
    <xf numFmtId="0" fontId="13" fillId="49" borderId="42" xfId="54" applyFill="1" applyBorder="1" applyAlignment="1" applyProtection="1">
      <alignment horizontal="left"/>
      <protection locked="0"/>
    </xf>
    <xf numFmtId="0" fontId="13" fillId="49" borderId="28" xfId="54" applyFill="1" applyBorder="1" applyAlignment="1" applyProtection="1">
      <alignment horizontal="left"/>
      <protection locked="0"/>
    </xf>
    <xf numFmtId="14" fontId="13" fillId="0" borderId="84" xfId="54" applyNumberFormat="1" applyFill="1" applyBorder="1" applyAlignment="1" applyProtection="1">
      <alignment horizontal="left"/>
    </xf>
    <xf numFmtId="0" fontId="13" fillId="0" borderId="84" xfId="54" applyFill="1" applyBorder="1" applyAlignment="1" applyProtection="1">
      <alignment horizontal="left"/>
    </xf>
    <xf numFmtId="0" fontId="13" fillId="49" borderId="16" xfId="54" applyFont="1" applyFill="1" applyBorder="1" applyAlignment="1" applyProtection="1">
      <alignment horizontal="center" vertical="center"/>
      <protection locked="0"/>
    </xf>
    <xf numFmtId="0" fontId="13" fillId="49" borderId="42" xfId="54" applyFont="1" applyFill="1" applyBorder="1" applyAlignment="1" applyProtection="1">
      <alignment horizontal="center" vertical="center"/>
      <protection locked="0"/>
    </xf>
    <xf numFmtId="1" fontId="13" fillId="49" borderId="1" xfId="54" applyNumberFormat="1" applyFont="1" applyFill="1" applyBorder="1" applyAlignment="1" applyProtection="1">
      <alignment horizontal="center" vertical="center" wrapText="1"/>
      <protection locked="0"/>
    </xf>
    <xf numFmtId="1" fontId="13" fillId="49" borderId="16" xfId="54" applyNumberFormat="1" applyFont="1" applyFill="1" applyBorder="1" applyAlignment="1" applyProtection="1">
      <alignment horizontal="center" vertical="center"/>
      <protection locked="0"/>
    </xf>
    <xf numFmtId="1" fontId="13" fillId="49" borderId="42" xfId="54" applyNumberFormat="1" applyFont="1" applyFill="1" applyBorder="1" applyAlignment="1" applyProtection="1">
      <alignment horizontal="center" vertical="center"/>
      <protection locked="0"/>
    </xf>
    <xf numFmtId="1" fontId="13" fillId="44" borderId="1" xfId="54" applyNumberFormat="1" applyFont="1" applyFill="1" applyBorder="1" applyAlignment="1" applyProtection="1">
      <alignment horizontal="center" vertical="center" wrapText="1"/>
      <protection locked="0"/>
    </xf>
    <xf numFmtId="0" fontId="13" fillId="49" borderId="2" xfId="54" applyFont="1" applyFill="1" applyBorder="1" applyAlignment="1" applyProtection="1">
      <alignment horizontal="center" vertical="center"/>
      <protection locked="0"/>
    </xf>
    <xf numFmtId="1" fontId="13" fillId="49" borderId="2" xfId="54" applyNumberFormat="1" applyFont="1" applyFill="1" applyBorder="1" applyAlignment="1" applyProtection="1">
      <alignment horizontal="center" vertical="center"/>
      <protection locked="0"/>
    </xf>
    <xf numFmtId="0" fontId="13" fillId="0" borderId="16" xfId="54" applyFont="1" applyBorder="1" applyAlignment="1" applyProtection="1">
      <alignment horizontal="center" vertical="center" wrapText="1"/>
    </xf>
    <xf numFmtId="0" fontId="13" fillId="0" borderId="42" xfId="54" applyFont="1" applyBorder="1" applyAlignment="1" applyProtection="1">
      <alignment horizontal="center" vertical="center" wrapText="1"/>
    </xf>
    <xf numFmtId="1" fontId="13" fillId="49" borderId="16" xfId="54" applyNumberFormat="1" applyFont="1" applyFill="1" applyBorder="1" applyAlignment="1" applyProtection="1">
      <alignment horizontal="center" vertical="center" wrapText="1"/>
      <protection locked="0"/>
    </xf>
    <xf numFmtId="1" fontId="13" fillId="49" borderId="2" xfId="54" applyNumberFormat="1" applyFont="1" applyFill="1" applyBorder="1" applyAlignment="1" applyProtection="1">
      <alignment horizontal="center" vertical="center" wrapText="1"/>
      <protection locked="0"/>
    </xf>
    <xf numFmtId="1" fontId="13" fillId="49" borderId="42" xfId="54" applyNumberFormat="1" applyFont="1" applyFill="1" applyBorder="1" applyAlignment="1" applyProtection="1">
      <alignment horizontal="center" vertical="center" wrapText="1"/>
      <protection locked="0"/>
    </xf>
    <xf numFmtId="0" fontId="13" fillId="49" borderId="1" xfId="54" applyFont="1" applyFill="1" applyBorder="1" applyAlignment="1" applyProtection="1">
      <alignment horizontal="center" vertical="center" wrapText="1"/>
      <protection locked="0"/>
    </xf>
    <xf numFmtId="0" fontId="13" fillId="49" borderId="16" xfId="54" applyFont="1" applyFill="1" applyBorder="1" applyAlignment="1" applyProtection="1">
      <alignment horizontal="center" vertical="center" wrapText="1"/>
      <protection locked="0"/>
    </xf>
    <xf numFmtId="0" fontId="13" fillId="49" borderId="2" xfId="54" applyFont="1" applyFill="1" applyBorder="1" applyAlignment="1" applyProtection="1">
      <alignment horizontal="center" vertical="center" wrapText="1"/>
      <protection locked="0"/>
    </xf>
    <xf numFmtId="0" fontId="13" fillId="49" borderId="42" xfId="54" applyFont="1" applyFill="1" applyBorder="1" applyAlignment="1" applyProtection="1">
      <alignment horizontal="center" vertical="center" wrapText="1"/>
      <protection locked="0"/>
    </xf>
    <xf numFmtId="0" fontId="13" fillId="49" borderId="102" xfId="54" applyFont="1" applyFill="1" applyBorder="1" applyAlignment="1" applyProtection="1">
      <alignment horizontal="left" vertical="top" wrapText="1"/>
      <protection locked="0"/>
    </xf>
    <xf numFmtId="0" fontId="13" fillId="43" borderId="39" xfId="54" applyFont="1" applyFill="1" applyBorder="1" applyAlignment="1" applyProtection="1">
      <alignment horizontal="left" vertical="top" wrapText="1"/>
    </xf>
    <xf numFmtId="0" fontId="13" fillId="40" borderId="42" xfId="54" applyFont="1" applyFill="1" applyBorder="1" applyAlignment="1" applyProtection="1">
      <alignment horizontal="left" vertical="top" wrapText="1"/>
    </xf>
    <xf numFmtId="0" fontId="13" fillId="40" borderId="1" xfId="54" applyFont="1" applyFill="1" applyBorder="1" applyAlignment="1" applyProtection="1">
      <alignment horizontal="left" vertical="top" wrapText="1"/>
      <protection locked="0"/>
    </xf>
    <xf numFmtId="0" fontId="77" fillId="40" borderId="0" xfId="54" applyFont="1" applyFill="1" applyBorder="1" applyAlignment="1" applyProtection="1">
      <alignment horizontal="left"/>
    </xf>
    <xf numFmtId="0" fontId="13" fillId="40" borderId="0" xfId="54" applyFill="1" applyBorder="1" applyAlignment="1" applyProtection="1"/>
    <xf numFmtId="0" fontId="77" fillId="25" borderId="111" xfId="54" applyFont="1" applyFill="1" applyBorder="1" applyAlignment="1" applyProtection="1">
      <alignment horizontal="left" vertical="top" wrapText="1"/>
    </xf>
    <xf numFmtId="0" fontId="13" fillId="40" borderId="111" xfId="54" applyFont="1" applyFill="1" applyBorder="1" applyAlignment="1" applyProtection="1">
      <alignment horizontal="left" vertical="top" wrapText="1"/>
    </xf>
    <xf numFmtId="0" fontId="13" fillId="40" borderId="0" xfId="54" applyFont="1" applyFill="1" applyBorder="1" applyAlignment="1" applyProtection="1">
      <alignment horizontal="left" wrapText="1" indent="1"/>
    </xf>
    <xf numFmtId="0" fontId="13" fillId="0" borderId="0" xfId="54" applyAlignment="1" applyProtection="1">
      <alignment horizontal="center" vertical="center" wrapText="1"/>
    </xf>
    <xf numFmtId="0" fontId="13" fillId="0" borderId="0" xfId="54" applyFont="1" applyFill="1" applyBorder="1" applyAlignment="1" applyProtection="1">
      <alignment horizontal="left" wrapText="1"/>
    </xf>
    <xf numFmtId="2" fontId="13" fillId="49" borderId="1" xfId="54" applyNumberFormat="1" applyFont="1" applyFill="1" applyBorder="1" applyAlignment="1" applyProtection="1">
      <alignment horizontal="left"/>
      <protection locked="0"/>
    </xf>
    <xf numFmtId="0" fontId="13" fillId="0" borderId="1" xfId="54" applyFont="1" applyBorder="1" applyAlignment="1" applyProtection="1">
      <alignment horizontal="right"/>
    </xf>
    <xf numFmtId="0" fontId="13" fillId="0" borderId="0" xfId="54" applyFont="1" applyFill="1" applyBorder="1" applyAlignment="1" applyProtection="1">
      <alignment horizontal="left"/>
    </xf>
    <xf numFmtId="0" fontId="13" fillId="0" borderId="0" xfId="54" applyFont="1" applyFill="1" applyBorder="1" applyAlignment="1" applyProtection="1">
      <alignment horizontal="center"/>
    </xf>
    <xf numFmtId="0" fontId="13" fillId="0" borderId="1" xfId="54" applyFont="1" applyBorder="1" applyAlignment="1" applyProtection="1">
      <alignment horizontal="center" vertical="center" wrapText="1"/>
    </xf>
    <xf numFmtId="0" fontId="13" fillId="0" borderId="3" xfId="54" applyFont="1" applyBorder="1" applyAlignment="1" applyProtection="1">
      <alignment horizontal="left" vertical="top" wrapText="1"/>
    </xf>
    <xf numFmtId="0" fontId="13" fillId="0" borderId="35" xfId="54" applyFont="1" applyBorder="1" applyAlignment="1" applyProtection="1">
      <alignment horizontal="left" vertical="top" wrapText="1"/>
    </xf>
    <xf numFmtId="0" fontId="13" fillId="43" borderId="27" xfId="54" applyFont="1" applyFill="1" applyBorder="1" applyAlignment="1" applyProtection="1">
      <alignment vertical="top" wrapText="1"/>
    </xf>
    <xf numFmtId="0" fontId="13" fillId="43" borderId="39" xfId="54" applyFont="1" applyFill="1" applyBorder="1" applyAlignment="1" applyProtection="1">
      <alignment vertical="top" wrapText="1"/>
    </xf>
    <xf numFmtId="0" fontId="13" fillId="43" borderId="3" xfId="54" applyFont="1" applyFill="1" applyBorder="1" applyAlignment="1" applyProtection="1">
      <alignment horizontal="left" vertical="top" wrapText="1"/>
    </xf>
    <xf numFmtId="0" fontId="13" fillId="43" borderId="35" xfId="54" applyFont="1" applyFill="1" applyBorder="1" applyAlignment="1" applyProtection="1">
      <alignment horizontal="left" vertical="top" wrapText="1"/>
    </xf>
    <xf numFmtId="0" fontId="13" fillId="43" borderId="86" xfId="54" applyFont="1" applyFill="1" applyBorder="1" applyAlignment="1" applyProtection="1">
      <alignment vertical="top" wrapText="1"/>
    </xf>
    <xf numFmtId="0" fontId="13" fillId="43" borderId="41" xfId="54" applyFont="1" applyFill="1" applyBorder="1" applyAlignment="1" applyProtection="1">
      <alignment vertical="top" wrapText="1"/>
    </xf>
    <xf numFmtId="0" fontId="13" fillId="40" borderId="114" xfId="54" applyFont="1" applyFill="1" applyBorder="1" applyAlignment="1" applyProtection="1">
      <alignment horizontal="left" vertical="top" wrapText="1"/>
    </xf>
    <xf numFmtId="0" fontId="116" fillId="50" borderId="2" xfId="54" applyFont="1" applyFill="1" applyBorder="1" applyAlignment="1" applyProtection="1">
      <alignment horizontal="left" vertical="top"/>
    </xf>
    <xf numFmtId="14" fontId="13" fillId="49" borderId="2" xfId="54" applyNumberFormat="1" applyFill="1" applyBorder="1" applyAlignment="1" applyProtection="1">
      <alignment horizontal="left"/>
      <protection locked="0"/>
    </xf>
    <xf numFmtId="0" fontId="0" fillId="2" borderId="0" xfId="0" applyFill="1" applyBorder="1" applyAlignment="1">
      <alignment horizontal="center"/>
    </xf>
    <xf numFmtId="0" fontId="0" fillId="0" borderId="1" xfId="0" applyFill="1" applyBorder="1" applyAlignment="1">
      <alignment horizontal="center"/>
    </xf>
  </cellXfs>
  <cellStyles count="622">
    <cellStyle name="0.00%" xfId="57"/>
    <cellStyle name="20% - Accent1 10" xfId="58"/>
    <cellStyle name="20% - Accent1 11" xfId="59"/>
    <cellStyle name="20% - Accent1 12" xfId="60"/>
    <cellStyle name="20% - Accent1 13" xfId="61"/>
    <cellStyle name="20% - Accent1 2" xfId="6"/>
    <cellStyle name="20% - Accent1 3" xfId="62"/>
    <cellStyle name="20% - Accent1 4" xfId="63"/>
    <cellStyle name="20% - Accent1 5" xfId="64"/>
    <cellStyle name="20% - Accent1 6" xfId="65"/>
    <cellStyle name="20% - Accent1 7" xfId="66"/>
    <cellStyle name="20% - Accent1 8" xfId="67"/>
    <cellStyle name="20% - Accent1 9" xfId="68"/>
    <cellStyle name="20% - Accent2 10" xfId="69"/>
    <cellStyle name="20% - Accent2 11" xfId="70"/>
    <cellStyle name="20% - Accent2 12" xfId="71"/>
    <cellStyle name="20% - Accent2 13" xfId="72"/>
    <cellStyle name="20% - Accent2 2" xfId="7"/>
    <cellStyle name="20% - Accent2 3" xfId="73"/>
    <cellStyle name="20% - Accent2 4" xfId="74"/>
    <cellStyle name="20% - Accent2 5" xfId="75"/>
    <cellStyle name="20% - Accent2 6" xfId="76"/>
    <cellStyle name="20% - Accent2 7" xfId="77"/>
    <cellStyle name="20% - Accent2 8" xfId="78"/>
    <cellStyle name="20% - Accent2 9" xfId="79"/>
    <cellStyle name="20% - Accent3 10" xfId="80"/>
    <cellStyle name="20% - Accent3 11" xfId="81"/>
    <cellStyle name="20% - Accent3 12" xfId="82"/>
    <cellStyle name="20% - Accent3 13" xfId="83"/>
    <cellStyle name="20% - Accent3 2" xfId="8"/>
    <cellStyle name="20% - Accent3 3" xfId="84"/>
    <cellStyle name="20% - Accent3 4" xfId="85"/>
    <cellStyle name="20% - Accent3 5" xfId="86"/>
    <cellStyle name="20% - Accent3 6" xfId="87"/>
    <cellStyle name="20% - Accent3 7" xfId="88"/>
    <cellStyle name="20% - Accent3 8" xfId="89"/>
    <cellStyle name="20% - Accent3 9" xfId="90"/>
    <cellStyle name="20% - Accent4 10" xfId="91"/>
    <cellStyle name="20% - Accent4 11" xfId="92"/>
    <cellStyle name="20% - Accent4 12" xfId="93"/>
    <cellStyle name="20% - Accent4 13" xfId="94"/>
    <cellStyle name="20% - Accent4 2" xfId="9"/>
    <cellStyle name="20% - Accent4 3" xfId="95"/>
    <cellStyle name="20% - Accent4 4" xfId="96"/>
    <cellStyle name="20% - Accent4 5" xfId="97"/>
    <cellStyle name="20% - Accent4 6" xfId="98"/>
    <cellStyle name="20% - Accent4 7" xfId="99"/>
    <cellStyle name="20% - Accent4 8" xfId="100"/>
    <cellStyle name="20% - Accent4 9" xfId="101"/>
    <cellStyle name="20% - Accent5 10" xfId="102"/>
    <cellStyle name="20% - Accent5 11" xfId="103"/>
    <cellStyle name="20% - Accent5 12" xfId="104"/>
    <cellStyle name="20% - Accent5 13" xfId="105"/>
    <cellStyle name="20% - Accent5 2" xfId="10"/>
    <cellStyle name="20% - Accent5 3" xfId="106"/>
    <cellStyle name="20% - Accent5 4" xfId="107"/>
    <cellStyle name="20% - Accent5 5" xfId="108"/>
    <cellStyle name="20% - Accent5 6" xfId="109"/>
    <cellStyle name="20% - Accent5 7" xfId="110"/>
    <cellStyle name="20% - Accent5 8" xfId="111"/>
    <cellStyle name="20% - Accent5 9" xfId="112"/>
    <cellStyle name="20% - Accent6 10" xfId="113"/>
    <cellStyle name="20% - Accent6 11" xfId="114"/>
    <cellStyle name="20% - Accent6 12" xfId="115"/>
    <cellStyle name="20% - Accent6 13" xfId="116"/>
    <cellStyle name="20% - Accent6 2" xfId="11"/>
    <cellStyle name="20% - Accent6 3" xfId="117"/>
    <cellStyle name="20% - Accent6 4" xfId="118"/>
    <cellStyle name="20% - Accent6 5" xfId="119"/>
    <cellStyle name="20% - Accent6 6" xfId="120"/>
    <cellStyle name="20% - Accent6 7" xfId="121"/>
    <cellStyle name="20% - Accent6 8" xfId="122"/>
    <cellStyle name="20% - Accent6 9" xfId="123"/>
    <cellStyle name="40% - Accent1 10" xfId="124"/>
    <cellStyle name="40% - Accent1 11" xfId="125"/>
    <cellStyle name="40% - Accent1 12" xfId="126"/>
    <cellStyle name="40% - Accent1 13" xfId="127"/>
    <cellStyle name="40% - Accent1 2" xfId="12"/>
    <cellStyle name="40% - Accent1 3" xfId="128"/>
    <cellStyle name="40% - Accent1 4" xfId="129"/>
    <cellStyle name="40% - Accent1 5" xfId="130"/>
    <cellStyle name="40% - Accent1 6" xfId="131"/>
    <cellStyle name="40% - Accent1 7" xfId="132"/>
    <cellStyle name="40% - Accent1 8" xfId="133"/>
    <cellStyle name="40% - Accent1 9" xfId="134"/>
    <cellStyle name="40% - Accent2 10" xfId="135"/>
    <cellStyle name="40% - Accent2 11" xfId="136"/>
    <cellStyle name="40% - Accent2 12" xfId="137"/>
    <cellStyle name="40% - Accent2 13" xfId="138"/>
    <cellStyle name="40% - Accent2 2" xfId="13"/>
    <cellStyle name="40% - Accent2 3" xfId="139"/>
    <cellStyle name="40% - Accent2 4" xfId="140"/>
    <cellStyle name="40% - Accent2 5" xfId="141"/>
    <cellStyle name="40% - Accent2 6" xfId="142"/>
    <cellStyle name="40% - Accent2 7" xfId="143"/>
    <cellStyle name="40% - Accent2 8" xfId="144"/>
    <cellStyle name="40% - Accent2 9" xfId="145"/>
    <cellStyle name="40% - Accent3 10" xfId="146"/>
    <cellStyle name="40% - Accent3 11" xfId="147"/>
    <cellStyle name="40% - Accent3 12" xfId="148"/>
    <cellStyle name="40% - Accent3 13" xfId="149"/>
    <cellStyle name="40% - Accent3 2" xfId="14"/>
    <cellStyle name="40% - Accent3 3" xfId="150"/>
    <cellStyle name="40% - Accent3 4" xfId="151"/>
    <cellStyle name="40% - Accent3 5" xfId="152"/>
    <cellStyle name="40% - Accent3 6" xfId="153"/>
    <cellStyle name="40% - Accent3 7" xfId="154"/>
    <cellStyle name="40% - Accent3 8" xfId="155"/>
    <cellStyle name="40% - Accent3 9" xfId="156"/>
    <cellStyle name="40% - Accent4 10" xfId="157"/>
    <cellStyle name="40% - Accent4 11" xfId="158"/>
    <cellStyle name="40% - Accent4 12" xfId="159"/>
    <cellStyle name="40% - Accent4 13" xfId="160"/>
    <cellStyle name="40% - Accent4 2" xfId="15"/>
    <cellStyle name="40% - Accent4 3" xfId="161"/>
    <cellStyle name="40% - Accent4 4" xfId="162"/>
    <cellStyle name="40% - Accent4 5" xfId="163"/>
    <cellStyle name="40% - Accent4 6" xfId="164"/>
    <cellStyle name="40% - Accent4 7" xfId="165"/>
    <cellStyle name="40% - Accent4 8" xfId="166"/>
    <cellStyle name="40% - Accent4 9" xfId="167"/>
    <cellStyle name="40% - Accent5 10" xfId="168"/>
    <cellStyle name="40% - Accent5 11" xfId="169"/>
    <cellStyle name="40% - Accent5 12" xfId="170"/>
    <cellStyle name="40% - Accent5 13" xfId="171"/>
    <cellStyle name="40% - Accent5 2" xfId="16"/>
    <cellStyle name="40% - Accent5 3" xfId="172"/>
    <cellStyle name="40% - Accent5 4" xfId="173"/>
    <cellStyle name="40% - Accent5 5" xfId="174"/>
    <cellStyle name="40% - Accent5 6" xfId="175"/>
    <cellStyle name="40% - Accent5 7" xfId="176"/>
    <cellStyle name="40% - Accent5 8" xfId="177"/>
    <cellStyle name="40% - Accent5 9" xfId="178"/>
    <cellStyle name="40% - Accent6 10" xfId="179"/>
    <cellStyle name="40% - Accent6 11" xfId="180"/>
    <cellStyle name="40% - Accent6 12" xfId="181"/>
    <cellStyle name="40% - Accent6 13" xfId="182"/>
    <cellStyle name="40% - Accent6 2" xfId="17"/>
    <cellStyle name="40% - Accent6 3" xfId="183"/>
    <cellStyle name="40% - Accent6 4" xfId="184"/>
    <cellStyle name="40% - Accent6 5" xfId="185"/>
    <cellStyle name="40% - Accent6 6" xfId="186"/>
    <cellStyle name="40% - Accent6 7" xfId="187"/>
    <cellStyle name="40% - Accent6 8" xfId="188"/>
    <cellStyle name="40% - Accent6 9" xfId="189"/>
    <cellStyle name="60% - Accent1 10" xfId="190"/>
    <cellStyle name="60% - Accent1 11" xfId="191"/>
    <cellStyle name="60% - Accent1 12" xfId="192"/>
    <cellStyle name="60% - Accent1 13" xfId="193"/>
    <cellStyle name="60% - Accent1 2" xfId="18"/>
    <cellStyle name="60% - Accent1 3" xfId="194"/>
    <cellStyle name="60% - Accent1 4" xfId="195"/>
    <cellStyle name="60% - Accent1 5" xfId="196"/>
    <cellStyle name="60% - Accent1 6" xfId="197"/>
    <cellStyle name="60% - Accent1 7" xfId="198"/>
    <cellStyle name="60% - Accent1 8" xfId="199"/>
    <cellStyle name="60% - Accent1 9" xfId="200"/>
    <cellStyle name="60% - Accent2 10" xfId="201"/>
    <cellStyle name="60% - Accent2 11" xfId="202"/>
    <cellStyle name="60% - Accent2 12" xfId="203"/>
    <cellStyle name="60% - Accent2 13" xfId="204"/>
    <cellStyle name="60% - Accent2 2" xfId="19"/>
    <cellStyle name="60% - Accent2 3" xfId="205"/>
    <cellStyle name="60% - Accent2 4" xfId="206"/>
    <cellStyle name="60% - Accent2 5" xfId="207"/>
    <cellStyle name="60% - Accent2 6" xfId="208"/>
    <cellStyle name="60% - Accent2 7" xfId="209"/>
    <cellStyle name="60% - Accent2 8" xfId="210"/>
    <cellStyle name="60% - Accent2 9" xfId="211"/>
    <cellStyle name="60% - Accent3 10" xfId="212"/>
    <cellStyle name="60% - Accent3 11" xfId="213"/>
    <cellStyle name="60% - Accent3 12" xfId="214"/>
    <cellStyle name="60% - Accent3 13" xfId="215"/>
    <cellStyle name="60% - Accent3 2" xfId="20"/>
    <cellStyle name="60% - Accent3 3" xfId="216"/>
    <cellStyle name="60% - Accent3 4" xfId="217"/>
    <cellStyle name="60% - Accent3 5" xfId="218"/>
    <cellStyle name="60% - Accent3 6" xfId="219"/>
    <cellStyle name="60% - Accent3 7" xfId="220"/>
    <cellStyle name="60% - Accent3 8" xfId="221"/>
    <cellStyle name="60% - Accent3 9" xfId="222"/>
    <cellStyle name="60% - Accent4 10" xfId="223"/>
    <cellStyle name="60% - Accent4 11" xfId="224"/>
    <cellStyle name="60% - Accent4 12" xfId="225"/>
    <cellStyle name="60% - Accent4 13" xfId="226"/>
    <cellStyle name="60% - Accent4 2" xfId="21"/>
    <cellStyle name="60% - Accent4 3" xfId="227"/>
    <cellStyle name="60% - Accent4 4" xfId="228"/>
    <cellStyle name="60% - Accent4 5" xfId="229"/>
    <cellStyle name="60% - Accent4 6" xfId="230"/>
    <cellStyle name="60% - Accent4 7" xfId="231"/>
    <cellStyle name="60% - Accent4 8" xfId="232"/>
    <cellStyle name="60% - Accent4 9" xfId="233"/>
    <cellStyle name="60% - Accent5 10" xfId="234"/>
    <cellStyle name="60% - Accent5 11" xfId="235"/>
    <cellStyle name="60% - Accent5 12" xfId="236"/>
    <cellStyle name="60% - Accent5 13" xfId="237"/>
    <cellStyle name="60% - Accent5 2" xfId="22"/>
    <cellStyle name="60% - Accent5 3" xfId="238"/>
    <cellStyle name="60% - Accent5 4" xfId="239"/>
    <cellStyle name="60% - Accent5 5" xfId="240"/>
    <cellStyle name="60% - Accent5 6" xfId="241"/>
    <cellStyle name="60% - Accent5 7" xfId="242"/>
    <cellStyle name="60% - Accent5 8" xfId="243"/>
    <cellStyle name="60% - Accent5 9" xfId="244"/>
    <cellStyle name="60% - Accent6 10" xfId="245"/>
    <cellStyle name="60% - Accent6 11" xfId="246"/>
    <cellStyle name="60% - Accent6 12" xfId="247"/>
    <cellStyle name="60% - Accent6 13" xfId="248"/>
    <cellStyle name="60% - Accent6 2" xfId="23"/>
    <cellStyle name="60% - Accent6 3" xfId="249"/>
    <cellStyle name="60% - Accent6 4" xfId="250"/>
    <cellStyle name="60% - Accent6 5" xfId="251"/>
    <cellStyle name="60% - Accent6 6" xfId="252"/>
    <cellStyle name="60% - Accent6 7" xfId="253"/>
    <cellStyle name="60% - Accent6 8" xfId="254"/>
    <cellStyle name="60% - Accent6 9" xfId="255"/>
    <cellStyle name="Accent1 10" xfId="256"/>
    <cellStyle name="Accent1 11" xfId="257"/>
    <cellStyle name="Accent1 12" xfId="258"/>
    <cellStyle name="Accent1 13" xfId="259"/>
    <cellStyle name="Accent1 2" xfId="24"/>
    <cellStyle name="Accent1 3" xfId="260"/>
    <cellStyle name="Accent1 4" xfId="261"/>
    <cellStyle name="Accent1 5" xfId="262"/>
    <cellStyle name="Accent1 6" xfId="263"/>
    <cellStyle name="Accent1 7" xfId="264"/>
    <cellStyle name="Accent1 8" xfId="265"/>
    <cellStyle name="Accent1 9" xfId="266"/>
    <cellStyle name="Accent2 10" xfId="267"/>
    <cellStyle name="Accent2 11" xfId="268"/>
    <cellStyle name="Accent2 12" xfId="269"/>
    <cellStyle name="Accent2 13" xfId="270"/>
    <cellStyle name="Accent2 2" xfId="25"/>
    <cellStyle name="Accent2 3" xfId="271"/>
    <cellStyle name="Accent2 4" xfId="272"/>
    <cellStyle name="Accent2 5" xfId="273"/>
    <cellStyle name="Accent2 6" xfId="274"/>
    <cellStyle name="Accent2 7" xfId="275"/>
    <cellStyle name="Accent2 8" xfId="276"/>
    <cellStyle name="Accent2 9" xfId="277"/>
    <cellStyle name="Accent3 10" xfId="278"/>
    <cellStyle name="Accent3 11" xfId="279"/>
    <cellStyle name="Accent3 12" xfId="280"/>
    <cellStyle name="Accent3 13" xfId="281"/>
    <cellStyle name="Accent3 2" xfId="26"/>
    <cellStyle name="Accent3 3" xfId="282"/>
    <cellStyle name="Accent3 4" xfId="283"/>
    <cellStyle name="Accent3 5" xfId="284"/>
    <cellStyle name="Accent3 6" xfId="285"/>
    <cellStyle name="Accent3 7" xfId="286"/>
    <cellStyle name="Accent3 8" xfId="287"/>
    <cellStyle name="Accent3 9" xfId="288"/>
    <cellStyle name="Accent4 10" xfId="289"/>
    <cellStyle name="Accent4 11" xfId="290"/>
    <cellStyle name="Accent4 12" xfId="291"/>
    <cellStyle name="Accent4 13" xfId="292"/>
    <cellStyle name="Accent4 2" xfId="27"/>
    <cellStyle name="Accent4 3" xfId="293"/>
    <cellStyle name="Accent4 4" xfId="294"/>
    <cellStyle name="Accent4 5" xfId="295"/>
    <cellStyle name="Accent4 6" xfId="296"/>
    <cellStyle name="Accent4 7" xfId="297"/>
    <cellStyle name="Accent4 8" xfId="298"/>
    <cellStyle name="Accent4 9" xfId="299"/>
    <cellStyle name="Accent5 10" xfId="300"/>
    <cellStyle name="Accent5 11" xfId="301"/>
    <cellStyle name="Accent5 12" xfId="302"/>
    <cellStyle name="Accent5 13" xfId="303"/>
    <cellStyle name="Accent5 2" xfId="28"/>
    <cellStyle name="Accent5 3" xfId="304"/>
    <cellStyle name="Accent5 4" xfId="305"/>
    <cellStyle name="Accent5 5" xfId="306"/>
    <cellStyle name="Accent5 6" xfId="307"/>
    <cellStyle name="Accent5 7" xfId="308"/>
    <cellStyle name="Accent5 8" xfId="309"/>
    <cellStyle name="Accent5 9" xfId="310"/>
    <cellStyle name="Accent6 10" xfId="311"/>
    <cellStyle name="Accent6 11" xfId="312"/>
    <cellStyle name="Accent6 12" xfId="313"/>
    <cellStyle name="Accent6 13" xfId="314"/>
    <cellStyle name="Accent6 2" xfId="29"/>
    <cellStyle name="Accent6 3" xfId="315"/>
    <cellStyle name="Accent6 4" xfId="316"/>
    <cellStyle name="Accent6 5" xfId="317"/>
    <cellStyle name="Accent6 6" xfId="318"/>
    <cellStyle name="Accent6 7" xfId="319"/>
    <cellStyle name="Accent6 8" xfId="320"/>
    <cellStyle name="Accent6 9" xfId="321"/>
    <cellStyle name="Bad 10" xfId="322"/>
    <cellStyle name="Bad 11" xfId="323"/>
    <cellStyle name="Bad 12" xfId="324"/>
    <cellStyle name="Bad 13" xfId="325"/>
    <cellStyle name="Bad 2" xfId="30"/>
    <cellStyle name="Bad 3" xfId="326"/>
    <cellStyle name="Bad 4" xfId="327"/>
    <cellStyle name="Bad 5" xfId="328"/>
    <cellStyle name="Bad 6" xfId="329"/>
    <cellStyle name="Bad 7" xfId="330"/>
    <cellStyle name="Bad 8" xfId="331"/>
    <cellStyle name="Bad 9" xfId="332"/>
    <cellStyle name="Blue Font" xfId="333"/>
    <cellStyle name="Blue, Bold" xfId="334"/>
    <cellStyle name="Bottom Border, Unlocked" xfId="335"/>
    <cellStyle name="Bottom Border, Unlocked 2" xfId="616"/>
    <cellStyle name="Bottom Border, Unlocked 3" xfId="615"/>
    <cellStyle name="Calculation 10" xfId="336"/>
    <cellStyle name="Calculation 11" xfId="337"/>
    <cellStyle name="Calculation 12" xfId="338"/>
    <cellStyle name="Calculation 13" xfId="339"/>
    <cellStyle name="Calculation 2" xfId="31"/>
    <cellStyle name="Calculation 3" xfId="340"/>
    <cellStyle name="Calculation 4" xfId="341"/>
    <cellStyle name="Calculation 5" xfId="342"/>
    <cellStyle name="Calculation 6" xfId="343"/>
    <cellStyle name="Calculation 7" xfId="344"/>
    <cellStyle name="Calculation 8" xfId="345"/>
    <cellStyle name="Calculation 9" xfId="346"/>
    <cellStyle name="Check Cell 10" xfId="347"/>
    <cellStyle name="Check Cell 11" xfId="348"/>
    <cellStyle name="Check Cell 12" xfId="349"/>
    <cellStyle name="Check Cell 13" xfId="350"/>
    <cellStyle name="Check Cell 2" xfId="32"/>
    <cellStyle name="Check Cell 3" xfId="351"/>
    <cellStyle name="Check Cell 4" xfId="352"/>
    <cellStyle name="Check Cell 5" xfId="353"/>
    <cellStyle name="Check Cell 6" xfId="354"/>
    <cellStyle name="Check Cell 7" xfId="355"/>
    <cellStyle name="Check Cell 8" xfId="356"/>
    <cellStyle name="Check Cell 9" xfId="357"/>
    <cellStyle name="Comma" xfId="610" builtinId="3"/>
    <cellStyle name="Comma 2" xfId="33"/>
    <cellStyle name="Comma 2 10" xfId="358"/>
    <cellStyle name="Comma 2 11" xfId="359"/>
    <cellStyle name="Comma 2 12" xfId="360"/>
    <cellStyle name="Comma 2 13" xfId="361"/>
    <cellStyle name="Comma 2 14" xfId="362"/>
    <cellStyle name="Comma 2 15" xfId="363"/>
    <cellStyle name="Comma 2 16" xfId="364"/>
    <cellStyle name="Comma 2 17" xfId="365"/>
    <cellStyle name="Comma 2 18" xfId="366"/>
    <cellStyle name="Comma 2 19" xfId="367"/>
    <cellStyle name="Comma 2 2" xfId="34"/>
    <cellStyle name="Comma 2 20" xfId="368"/>
    <cellStyle name="Comma 2 3" xfId="369"/>
    <cellStyle name="Comma 2 4" xfId="370"/>
    <cellStyle name="Comma 2 5" xfId="371"/>
    <cellStyle name="Comma 2 6" xfId="372"/>
    <cellStyle name="Comma 2 7" xfId="373"/>
    <cellStyle name="Comma 2 8" xfId="374"/>
    <cellStyle name="Comma 2 9" xfId="375"/>
    <cellStyle name="Comma 3" xfId="56"/>
    <cellStyle name="Comma 4" xfId="376"/>
    <cellStyle name="Comma 5" xfId="377"/>
    <cellStyle name="Currency" xfId="53" builtinId="4"/>
    <cellStyle name="Currency 2" xfId="2"/>
    <cellStyle name="Currency 2 2" xfId="378"/>
    <cellStyle name="Currency 2 2 2" xfId="621"/>
    <cellStyle name="Currency 3" xfId="379"/>
    <cellStyle name="Currency 4" xfId="380"/>
    <cellStyle name="Currency 5" xfId="614"/>
    <cellStyle name="DollarHideZero" xfId="381"/>
    <cellStyle name="DollarHideZero 2" xfId="382"/>
    <cellStyle name="Explanatory Text 10" xfId="383"/>
    <cellStyle name="Explanatory Text 11" xfId="384"/>
    <cellStyle name="Explanatory Text 12" xfId="385"/>
    <cellStyle name="Explanatory Text 13" xfId="386"/>
    <cellStyle name="Explanatory Text 2" xfId="35"/>
    <cellStyle name="Explanatory Text 3" xfId="387"/>
    <cellStyle name="Explanatory Text 4" xfId="388"/>
    <cellStyle name="Explanatory Text 5" xfId="389"/>
    <cellStyle name="Explanatory Text 6" xfId="390"/>
    <cellStyle name="Explanatory Text 7" xfId="391"/>
    <cellStyle name="Explanatory Text 8" xfId="392"/>
    <cellStyle name="Explanatory Text 9" xfId="393"/>
    <cellStyle name="Good 10" xfId="394"/>
    <cellStyle name="Good 11" xfId="395"/>
    <cellStyle name="Good 12" xfId="396"/>
    <cellStyle name="Good 13" xfId="397"/>
    <cellStyle name="Good 2" xfId="36"/>
    <cellStyle name="Good 3" xfId="398"/>
    <cellStyle name="Good 4" xfId="399"/>
    <cellStyle name="Good 5" xfId="400"/>
    <cellStyle name="Good 6" xfId="401"/>
    <cellStyle name="Good 7" xfId="402"/>
    <cellStyle name="Good 8" xfId="403"/>
    <cellStyle name="Good 9" xfId="404"/>
    <cellStyle name="Heading 1 10" xfId="405"/>
    <cellStyle name="Heading 1 11" xfId="406"/>
    <cellStyle name="Heading 1 12" xfId="407"/>
    <cellStyle name="Heading 1 13" xfId="408"/>
    <cellStyle name="Heading 1 2" xfId="37"/>
    <cellStyle name="Heading 1 3" xfId="409"/>
    <cellStyle name="Heading 1 4" xfId="410"/>
    <cellStyle name="Heading 1 5" xfId="411"/>
    <cellStyle name="Heading 1 6" xfId="412"/>
    <cellStyle name="Heading 1 7" xfId="413"/>
    <cellStyle name="Heading 1 8" xfId="414"/>
    <cellStyle name="Heading 1 9" xfId="415"/>
    <cellStyle name="Heading 2 10" xfId="416"/>
    <cellStyle name="Heading 2 11" xfId="417"/>
    <cellStyle name="Heading 2 12" xfId="418"/>
    <cellStyle name="Heading 2 13" xfId="419"/>
    <cellStyle name="Heading 2 2" xfId="38"/>
    <cellStyle name="Heading 2 3" xfId="420"/>
    <cellStyle name="Heading 2 4" xfId="421"/>
    <cellStyle name="Heading 2 5" xfId="422"/>
    <cellStyle name="Heading 2 6" xfId="423"/>
    <cellStyle name="Heading 2 7" xfId="424"/>
    <cellStyle name="Heading 2 8" xfId="425"/>
    <cellStyle name="Heading 2 9" xfId="426"/>
    <cellStyle name="Heading 3 10" xfId="427"/>
    <cellStyle name="Heading 3 11" xfId="428"/>
    <cellStyle name="Heading 3 12" xfId="429"/>
    <cellStyle name="Heading 3 13" xfId="430"/>
    <cellStyle name="Heading 3 2" xfId="39"/>
    <cellStyle name="Heading 3 3" xfId="431"/>
    <cellStyle name="Heading 3 4" xfId="432"/>
    <cellStyle name="Heading 3 5" xfId="433"/>
    <cellStyle name="Heading 3 6" xfId="434"/>
    <cellStyle name="Heading 3 7" xfId="435"/>
    <cellStyle name="Heading 3 8" xfId="436"/>
    <cellStyle name="Heading 3 9" xfId="437"/>
    <cellStyle name="Heading 4 10" xfId="438"/>
    <cellStyle name="Heading 4 11" xfId="439"/>
    <cellStyle name="Heading 4 12" xfId="440"/>
    <cellStyle name="Heading 4 13" xfId="441"/>
    <cellStyle name="Heading 4 2" xfId="40"/>
    <cellStyle name="Heading 4 3" xfId="442"/>
    <cellStyle name="Heading 4 4" xfId="443"/>
    <cellStyle name="Heading 4 5" xfId="444"/>
    <cellStyle name="Heading 4 6" xfId="445"/>
    <cellStyle name="Heading 4 7" xfId="446"/>
    <cellStyle name="Heading 4 8" xfId="447"/>
    <cellStyle name="Heading 4 9" xfId="448"/>
    <cellStyle name="Hyperlink 2" xfId="449"/>
    <cellStyle name="Hyperlink 3" xfId="612"/>
    <cellStyle name="Input 10" xfId="450"/>
    <cellStyle name="Input 11" xfId="451"/>
    <cellStyle name="Input 12" xfId="452"/>
    <cellStyle name="Input 13" xfId="453"/>
    <cellStyle name="Input 2" xfId="41"/>
    <cellStyle name="Input 3" xfId="454"/>
    <cellStyle name="Input 4" xfId="455"/>
    <cellStyle name="Input 5" xfId="456"/>
    <cellStyle name="Input 6" xfId="457"/>
    <cellStyle name="Input 7" xfId="458"/>
    <cellStyle name="Input 8" xfId="459"/>
    <cellStyle name="Input 9" xfId="460"/>
    <cellStyle name="Installed" xfId="461"/>
    <cellStyle name="Linked Cell 10" xfId="462"/>
    <cellStyle name="Linked Cell 11" xfId="463"/>
    <cellStyle name="Linked Cell 12" xfId="464"/>
    <cellStyle name="Linked Cell 13" xfId="465"/>
    <cellStyle name="Linked Cell 2" xfId="42"/>
    <cellStyle name="Linked Cell 3" xfId="466"/>
    <cellStyle name="Linked Cell 4" xfId="467"/>
    <cellStyle name="Linked Cell 5" xfId="468"/>
    <cellStyle name="Linked Cell 6" xfId="469"/>
    <cellStyle name="Linked Cell 7" xfId="470"/>
    <cellStyle name="Linked Cell 8" xfId="471"/>
    <cellStyle name="Linked Cell 9" xfId="472"/>
    <cellStyle name="Neutral 10" xfId="473"/>
    <cellStyle name="Neutral 11" xfId="474"/>
    <cellStyle name="Neutral 12" xfId="475"/>
    <cellStyle name="Neutral 13" xfId="476"/>
    <cellStyle name="Neutral 2" xfId="43"/>
    <cellStyle name="Neutral 3" xfId="477"/>
    <cellStyle name="Neutral 4" xfId="478"/>
    <cellStyle name="Neutral 5" xfId="479"/>
    <cellStyle name="Neutral 6" xfId="480"/>
    <cellStyle name="Neutral 7" xfId="481"/>
    <cellStyle name="Neutral 8" xfId="482"/>
    <cellStyle name="Neutral 9" xfId="483"/>
    <cellStyle name="Normal" xfId="0" builtinId="0"/>
    <cellStyle name="Normal 10" xfId="54"/>
    <cellStyle name="Normal 11" xfId="613"/>
    <cellStyle name="Normal 11 2" xfId="617"/>
    <cellStyle name="Normal 12" xfId="619"/>
    <cellStyle name="Normal 18" xfId="484"/>
    <cellStyle name="Normal 18 2" xfId="485"/>
    <cellStyle name="Normal 2" xfId="51"/>
    <cellStyle name="Normal 2 10" xfId="486"/>
    <cellStyle name="Normal 2 11" xfId="487"/>
    <cellStyle name="Normal 2 12" xfId="488"/>
    <cellStyle name="Normal 2 13" xfId="489"/>
    <cellStyle name="Normal 2 14" xfId="490"/>
    <cellStyle name="Normal 2 15" xfId="491"/>
    <cellStyle name="Normal 2 16" xfId="492"/>
    <cellStyle name="Normal 2 17" xfId="493"/>
    <cellStyle name="Normal 2 18" xfId="494"/>
    <cellStyle name="Normal 2 19" xfId="495"/>
    <cellStyle name="Normal 2 2" xfId="44"/>
    <cellStyle name="Normal 2 2 2" xfId="496"/>
    <cellStyle name="Normal 2 20" xfId="497"/>
    <cellStyle name="Normal 2 3" xfId="498"/>
    <cellStyle name="Normal 2 4" xfId="499"/>
    <cellStyle name="Normal 2 5" xfId="500"/>
    <cellStyle name="Normal 2 6" xfId="501"/>
    <cellStyle name="Normal 2 7" xfId="502"/>
    <cellStyle name="Normal 2 8" xfId="503"/>
    <cellStyle name="Normal 2 9" xfId="504"/>
    <cellStyle name="Normal 2_NC - Project Name - ERP Tables_rev0_SWA" xfId="55"/>
    <cellStyle name="Normal 3" xfId="505"/>
    <cellStyle name="Normal 3 2" xfId="506"/>
    <cellStyle name="Normal 3 3" xfId="507"/>
    <cellStyle name="Normal 3 4" xfId="508"/>
    <cellStyle name="Normal 3 5" xfId="509"/>
    <cellStyle name="Normal 3 6" xfId="510"/>
    <cellStyle name="Normal 3 7" xfId="511"/>
    <cellStyle name="Normal 3 8" xfId="512"/>
    <cellStyle name="Normal 3 9" xfId="611"/>
    <cellStyle name="Normal 4" xfId="3"/>
    <cellStyle name="Normal 4 2" xfId="513"/>
    <cellStyle name="Normal 5" xfId="4"/>
    <cellStyle name="Normal 5 2" xfId="514"/>
    <cellStyle name="Normal 6" xfId="5"/>
    <cellStyle name="Normal 6 2" xfId="515"/>
    <cellStyle name="Normal 7" xfId="516"/>
    <cellStyle name="Normal 8" xfId="517"/>
    <cellStyle name="Normal 9" xfId="518"/>
    <cellStyle name="Normal_Supporting FoxLeg" xfId="618"/>
    <cellStyle name="Normal_WaterCalc 11 07 08" xfId="620"/>
    <cellStyle name="Note 10" xfId="519"/>
    <cellStyle name="Note 11" xfId="520"/>
    <cellStyle name="Note 12" xfId="521"/>
    <cellStyle name="Note 13" xfId="522"/>
    <cellStyle name="Note 14" xfId="523"/>
    <cellStyle name="Note 15" xfId="524"/>
    <cellStyle name="Note 16" xfId="525"/>
    <cellStyle name="Note 17" xfId="526"/>
    <cellStyle name="Note 18" xfId="527"/>
    <cellStyle name="Note 19" xfId="528"/>
    <cellStyle name="Note 2" xfId="45"/>
    <cellStyle name="Note 20" xfId="529"/>
    <cellStyle name="Note 3" xfId="530"/>
    <cellStyle name="Note 4" xfId="531"/>
    <cellStyle name="Note 5" xfId="532"/>
    <cellStyle name="Note 6" xfId="533"/>
    <cellStyle name="Note 7" xfId="534"/>
    <cellStyle name="Note 8" xfId="535"/>
    <cellStyle name="Note 9" xfId="536"/>
    <cellStyle name="NumberHideZero" xfId="537"/>
    <cellStyle name="NumberHideZero 2" xfId="538"/>
    <cellStyle name="Ordered" xfId="539"/>
    <cellStyle name="Output 10" xfId="540"/>
    <cellStyle name="Output 11" xfId="541"/>
    <cellStyle name="Output 12" xfId="542"/>
    <cellStyle name="Output 13" xfId="543"/>
    <cellStyle name="Output 2" xfId="46"/>
    <cellStyle name="Output 3" xfId="544"/>
    <cellStyle name="Output 4" xfId="545"/>
    <cellStyle name="Output 5" xfId="546"/>
    <cellStyle name="Output 6" xfId="547"/>
    <cellStyle name="Output 7" xfId="548"/>
    <cellStyle name="Output 8" xfId="549"/>
    <cellStyle name="Output 9" xfId="550"/>
    <cellStyle name="Percent" xfId="1" builtinId="5"/>
    <cellStyle name="Percent 2" xfId="52"/>
    <cellStyle name="Percent 2 10" xfId="551"/>
    <cellStyle name="Percent 2 11" xfId="552"/>
    <cellStyle name="Percent 2 12" xfId="553"/>
    <cellStyle name="Percent 2 13" xfId="554"/>
    <cellStyle name="Percent 2 14" xfId="555"/>
    <cellStyle name="Percent 2 15" xfId="556"/>
    <cellStyle name="Percent 2 16" xfId="557"/>
    <cellStyle name="Percent 2 17" xfId="558"/>
    <cellStyle name="Percent 2 18" xfId="559"/>
    <cellStyle name="Percent 2 19" xfId="560"/>
    <cellStyle name="Percent 2 2" xfId="47"/>
    <cellStyle name="Percent 2 20" xfId="561"/>
    <cellStyle name="Percent 2 3" xfId="562"/>
    <cellStyle name="Percent 2 4" xfId="563"/>
    <cellStyle name="Percent 2 5" xfId="564"/>
    <cellStyle name="Percent 2 6" xfId="565"/>
    <cellStyle name="Percent 2 7" xfId="566"/>
    <cellStyle name="Percent 2 8" xfId="567"/>
    <cellStyle name="Percent 2 9" xfId="568"/>
    <cellStyle name="Percent 3" xfId="569"/>
    <cellStyle name="Percent 4" xfId="570"/>
    <cellStyle name="Percent 5" xfId="571"/>
    <cellStyle name="Received" xfId="572"/>
    <cellStyle name="Red Font" xfId="573"/>
    <cellStyle name="Subtotal" xfId="574"/>
    <cellStyle name="Title 10" xfId="575"/>
    <cellStyle name="Title 11" xfId="576"/>
    <cellStyle name="Title 12" xfId="577"/>
    <cellStyle name="Title 13" xfId="578"/>
    <cellStyle name="Title 2" xfId="48"/>
    <cellStyle name="Title 3" xfId="579"/>
    <cellStyle name="Title 4" xfId="580"/>
    <cellStyle name="Title 5" xfId="581"/>
    <cellStyle name="Title 6" xfId="582"/>
    <cellStyle name="Title 7" xfId="583"/>
    <cellStyle name="Title 8" xfId="584"/>
    <cellStyle name="Title 9" xfId="585"/>
    <cellStyle name="Top Border. Aqua" xfId="586"/>
    <cellStyle name="Total 10" xfId="587"/>
    <cellStyle name="Total 11" xfId="588"/>
    <cellStyle name="Total 12" xfId="589"/>
    <cellStyle name="Total 13" xfId="590"/>
    <cellStyle name="Total 2" xfId="49"/>
    <cellStyle name="Total 3" xfId="591"/>
    <cellStyle name="Total 4" xfId="592"/>
    <cellStyle name="Total 5" xfId="593"/>
    <cellStyle name="Total 6" xfId="594"/>
    <cellStyle name="Total 7" xfId="595"/>
    <cellStyle name="Total 8" xfId="596"/>
    <cellStyle name="Total 9" xfId="597"/>
    <cellStyle name="Unlocked" xfId="598"/>
    <cellStyle name="Warning Text 10" xfId="599"/>
    <cellStyle name="Warning Text 11" xfId="600"/>
    <cellStyle name="Warning Text 12" xfId="601"/>
    <cellStyle name="Warning Text 13" xfId="602"/>
    <cellStyle name="Warning Text 2" xfId="50"/>
    <cellStyle name="Warning Text 3" xfId="603"/>
    <cellStyle name="Warning Text 4" xfId="604"/>
    <cellStyle name="Warning Text 5" xfId="605"/>
    <cellStyle name="Warning Text 6" xfId="606"/>
    <cellStyle name="Warning Text 7" xfId="607"/>
    <cellStyle name="Warning Text 8" xfId="608"/>
    <cellStyle name="Warning Text 9" xfId="609"/>
  </cellStyles>
  <dxfs count="34">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FFFF"/>
        </patternFill>
      </fill>
      <border>
        <left/>
        <right/>
        <top/>
        <bottom/>
      </border>
    </dxf>
    <dxf>
      <font>
        <color theme="0"/>
      </font>
      <fill>
        <patternFill>
          <bgColor theme="0"/>
        </patternFill>
      </fill>
      <border>
        <left/>
        <right style="thin">
          <color theme="0"/>
        </right>
        <top style="thin">
          <color theme="0"/>
        </top>
        <vertical/>
        <horizontal/>
      </border>
    </dxf>
    <dxf>
      <font>
        <color rgb="FFFF0000"/>
      </font>
    </dxf>
    <dxf>
      <font>
        <color theme="0"/>
      </font>
      <fill>
        <patternFill>
          <bgColor theme="0"/>
        </patternFill>
      </fill>
      <border>
        <left style="thin">
          <color theme="0"/>
        </left>
        <right style="thin">
          <color theme="0"/>
        </right>
        <bottom style="thin">
          <color theme="0"/>
        </bottom>
        <vertical/>
        <horizontal/>
      </border>
    </dxf>
    <dxf>
      <fill>
        <patternFill>
          <bgColor rgb="FFFFFF00"/>
        </patternFill>
      </fill>
    </dxf>
    <dxf>
      <font>
        <color theme="1"/>
      </font>
      <fill>
        <patternFill>
          <bgColor theme="3" tint="0.79998168889431442"/>
        </patternFill>
      </fill>
      <border>
        <left style="thin">
          <color auto="1"/>
        </left>
        <right style="thin">
          <color auto="1"/>
        </right>
        <top style="thin">
          <color auto="1"/>
        </top>
        <bottom style="thin">
          <color auto="1"/>
        </bottom>
      </border>
    </dxf>
    <dxf>
      <font>
        <color theme="1"/>
      </font>
      <fill>
        <patternFill>
          <bgColor theme="3" tint="0.79998168889431442"/>
        </patternFill>
      </fill>
      <border>
        <left style="thin">
          <color auto="1"/>
        </left>
        <right style="thin">
          <color auto="1"/>
        </right>
        <top style="thin">
          <color auto="1"/>
        </top>
        <bottom style="thin">
          <color auto="1"/>
        </bottom>
      </border>
    </dxf>
    <dxf>
      <fill>
        <patternFill patternType="lightUp">
          <fgColor auto="1"/>
          <bgColor theme="0" tint="-4.9989318521683403E-2"/>
        </patternFill>
      </fill>
      <border>
        <left style="thin">
          <color auto="1"/>
        </left>
        <right style="thin">
          <color auto="1"/>
        </right>
        <top style="thin">
          <color auto="1"/>
        </top>
        <bottom style="thin">
          <color auto="1"/>
        </bottom>
        <vertical/>
        <horizontal/>
      </border>
    </dxf>
    <dxf>
      <fill>
        <patternFill>
          <bgColor theme="6" tint="0.39994506668294322"/>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07506053268771"/>
          <c:y val="7.9114046297169061E-2"/>
          <c:w val="0.70460048426150146"/>
          <c:h val="0.72152010223018193"/>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layout>
                <c:manualLayout>
                  <c:x val="-0.244163171193644"/>
                  <c:y val="6.1134974363992858E-2"/>
                </c:manualLayout>
              </c:layout>
              <c:numFmt formatCode="General"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trendlineLbl>
          </c:trendline>
          <c:xVal>
            <c:numRef>
              <c:f>'8.2 - VENT_DUCT TIGHTNESS'!$H$64:$H$68</c:f>
              <c:numCache>
                <c:formatCode>0.000</c:formatCode>
                <c:ptCount val="5"/>
                <c:pt idx="0">
                  <c:v>0</c:v>
                </c:pt>
                <c:pt idx="1">
                  <c:v>0</c:v>
                </c:pt>
                <c:pt idx="2">
                  <c:v>0</c:v>
                </c:pt>
                <c:pt idx="3">
                  <c:v>0</c:v>
                </c:pt>
                <c:pt idx="4">
                  <c:v>0</c:v>
                </c:pt>
              </c:numCache>
            </c:numRef>
          </c:xVal>
          <c:yVal>
            <c:numRef>
              <c:f>'8.2 - VENT_DUCT TIGHTNESS'!$I$64:$I$68</c:f>
              <c:numCache>
                <c:formatCode>0.000</c:formatCode>
                <c:ptCount val="5"/>
                <c:pt idx="0">
                  <c:v>0</c:v>
                </c:pt>
                <c:pt idx="1">
                  <c:v>0</c:v>
                </c:pt>
                <c:pt idx="2">
                  <c:v>0</c:v>
                </c:pt>
                <c:pt idx="3">
                  <c:v>0</c:v>
                </c:pt>
                <c:pt idx="4">
                  <c:v>0</c:v>
                </c:pt>
              </c:numCache>
            </c:numRef>
          </c:yVal>
          <c:smooth val="0"/>
        </c:ser>
        <c:dLbls>
          <c:showLegendKey val="0"/>
          <c:showVal val="0"/>
          <c:showCatName val="0"/>
          <c:showSerName val="0"/>
          <c:showPercent val="0"/>
          <c:showBubbleSize val="0"/>
        </c:dLbls>
        <c:axId val="277928096"/>
        <c:axId val="277928488"/>
      </c:scatterChart>
      <c:valAx>
        <c:axId val="277928096"/>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LOG (Duct Pa)</a:t>
                </a:r>
              </a:p>
            </c:rich>
          </c:tx>
          <c:layout>
            <c:manualLayout>
              <c:xMode val="edge"/>
              <c:yMode val="edge"/>
              <c:x val="0.46004851666268992"/>
              <c:y val="0.88607739581332823"/>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77928488"/>
        <c:crosses val="autoZero"/>
        <c:crossBetween val="midCat"/>
      </c:valAx>
      <c:valAx>
        <c:axId val="277928488"/>
        <c:scaling>
          <c:orientation val="minMax"/>
        </c:scaling>
        <c:delete val="0"/>
        <c:axPos val="l"/>
        <c:title>
          <c:tx>
            <c:rich>
              <a:bodyPr/>
              <a:lstStyle/>
              <a:p>
                <a:pPr>
                  <a:defRPr sz="825" b="1" i="0" u="none" strike="noStrike" baseline="0">
                    <a:solidFill>
                      <a:srgbClr val="000000"/>
                    </a:solidFill>
                    <a:latin typeface="Arial"/>
                    <a:ea typeface="Arial"/>
                    <a:cs typeface="Arial"/>
                  </a:defRPr>
                </a:pPr>
                <a:r>
                  <a:rPr lang="en-US"/>
                  <a:t>LOG(CFM)</a:t>
                </a:r>
              </a:p>
            </c:rich>
          </c:tx>
          <c:layout>
            <c:manualLayout>
              <c:xMode val="edge"/>
              <c:yMode val="edge"/>
              <c:x val="3.8740952835441024E-2"/>
              <c:y val="0.34810191409000707"/>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7792809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fmlaLink="$F$37" lockText="1" noThreeD="1"/>
</file>

<file path=xl/ctrlProps/ctrlProp175.xml><?xml version="1.0" encoding="utf-8"?>
<formControlPr xmlns="http://schemas.microsoft.com/office/spreadsheetml/2009/9/main" objectType="CheckBox" fmlaLink="$G$37"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F$31" lockText="1" noThreeD="1"/>
</file>

<file path=xl/ctrlProps/ctrlProp44.xml><?xml version="1.0" encoding="utf-8"?>
<formControlPr xmlns="http://schemas.microsoft.com/office/spreadsheetml/2009/9/main" objectType="CheckBox" fmlaLink="$F$32" lockText="1" noThreeD="1"/>
</file>

<file path=xl/ctrlProps/ctrlProp45.xml><?xml version="1.0" encoding="utf-8"?>
<formControlPr xmlns="http://schemas.microsoft.com/office/spreadsheetml/2009/9/main" objectType="CheckBox" fmlaLink="$F$33" lockText="1" noThreeD="1"/>
</file>

<file path=xl/ctrlProps/ctrlProp46.xml><?xml version="1.0" encoding="utf-8"?>
<formControlPr xmlns="http://schemas.microsoft.com/office/spreadsheetml/2009/9/main" objectType="CheckBox" fmlaLink="$F$34" lockText="1" noThreeD="1"/>
</file>

<file path=xl/ctrlProps/ctrlProp47.xml><?xml version="1.0" encoding="utf-8"?>
<formControlPr xmlns="http://schemas.microsoft.com/office/spreadsheetml/2009/9/main" objectType="CheckBox" fmlaLink="$F$35"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F$38"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F$41"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fmlaLink="$F$45"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257175</xdr:colOff>
          <xdr:row>10</xdr:row>
          <xdr:rowOff>0</xdr:rowOff>
        </xdr:from>
        <xdr:to>
          <xdr:col>5</xdr:col>
          <xdr:colOff>561975</xdr:colOff>
          <xdr:row>11</xdr:row>
          <xdr:rowOff>0</xdr:rowOff>
        </xdr:to>
        <xdr:sp macro="" textlink="">
          <xdr:nvSpPr>
            <xdr:cNvPr id="1182" name="Check Box 158" hidden="1">
              <a:extLst>
                <a:ext uri="{63B3BB69-23CF-44E3-9099-C40C66FF867C}">
                  <a14:compatExt spid="_x0000_s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11</xdr:row>
          <xdr:rowOff>0</xdr:rowOff>
        </xdr:from>
        <xdr:to>
          <xdr:col>5</xdr:col>
          <xdr:colOff>561975</xdr:colOff>
          <xdr:row>12</xdr:row>
          <xdr:rowOff>0</xdr:rowOff>
        </xdr:to>
        <xdr:sp macro="" textlink="">
          <xdr:nvSpPr>
            <xdr:cNvPr id="1184" name="Check Box 160" hidden="1">
              <a:extLst>
                <a:ext uri="{63B3BB69-23CF-44E3-9099-C40C66FF867C}">
                  <a14:compatExt spid="_x0000_s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12</xdr:row>
          <xdr:rowOff>0</xdr:rowOff>
        </xdr:from>
        <xdr:to>
          <xdr:col>5</xdr:col>
          <xdr:colOff>561975</xdr:colOff>
          <xdr:row>13</xdr:row>
          <xdr:rowOff>0</xdr:rowOff>
        </xdr:to>
        <xdr:sp macro="" textlink="">
          <xdr:nvSpPr>
            <xdr:cNvPr id="1186" name="Check Box 162" hidden="1">
              <a:extLst>
                <a:ext uri="{63B3BB69-23CF-44E3-9099-C40C66FF867C}">
                  <a14:compatExt spid="_x0000_s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13</xdr:row>
          <xdr:rowOff>0</xdr:rowOff>
        </xdr:from>
        <xdr:to>
          <xdr:col>5</xdr:col>
          <xdr:colOff>561975</xdr:colOff>
          <xdr:row>14</xdr:row>
          <xdr:rowOff>0</xdr:rowOff>
        </xdr:to>
        <xdr:sp macro="" textlink="">
          <xdr:nvSpPr>
            <xdr:cNvPr id="1189" name="Check Box 165" hidden="1">
              <a:extLst>
                <a:ext uri="{63B3BB69-23CF-44E3-9099-C40C66FF867C}">
                  <a14:compatExt spid="_x0000_s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14</xdr:row>
          <xdr:rowOff>0</xdr:rowOff>
        </xdr:from>
        <xdr:to>
          <xdr:col>5</xdr:col>
          <xdr:colOff>561975</xdr:colOff>
          <xdr:row>15</xdr:row>
          <xdr:rowOff>0</xdr:rowOff>
        </xdr:to>
        <xdr:sp macro="" textlink="">
          <xdr:nvSpPr>
            <xdr:cNvPr id="1192" name="Check Box 168" hidden="1">
              <a:extLst>
                <a:ext uri="{63B3BB69-23CF-44E3-9099-C40C66FF867C}">
                  <a14:compatExt spid="_x0000_s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15</xdr:row>
          <xdr:rowOff>0</xdr:rowOff>
        </xdr:from>
        <xdr:to>
          <xdr:col>5</xdr:col>
          <xdr:colOff>561975</xdr:colOff>
          <xdr:row>15</xdr:row>
          <xdr:rowOff>219075</xdr:rowOff>
        </xdr:to>
        <xdr:sp macro="" textlink="">
          <xdr:nvSpPr>
            <xdr:cNvPr id="1195" name="Check Box 171" hidden="1">
              <a:extLst>
                <a:ext uri="{63B3BB69-23CF-44E3-9099-C40C66FF867C}">
                  <a14:compatExt spid="_x0000_s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16</xdr:row>
          <xdr:rowOff>0</xdr:rowOff>
        </xdr:from>
        <xdr:to>
          <xdr:col>5</xdr:col>
          <xdr:colOff>561975</xdr:colOff>
          <xdr:row>16</xdr:row>
          <xdr:rowOff>219075</xdr:rowOff>
        </xdr:to>
        <xdr:sp macro="" textlink="">
          <xdr:nvSpPr>
            <xdr:cNvPr id="1198" name="Check Box 174" hidden="1">
              <a:extLst>
                <a:ext uri="{63B3BB69-23CF-44E3-9099-C40C66FF867C}">
                  <a14:compatExt spid="_x0000_s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17</xdr:row>
          <xdr:rowOff>19050</xdr:rowOff>
        </xdr:from>
        <xdr:to>
          <xdr:col>5</xdr:col>
          <xdr:colOff>561975</xdr:colOff>
          <xdr:row>18</xdr:row>
          <xdr:rowOff>19050</xdr:rowOff>
        </xdr:to>
        <xdr:sp macro="" textlink="">
          <xdr:nvSpPr>
            <xdr:cNvPr id="1201" name="Check Box 177" hidden="1">
              <a:extLst>
                <a:ext uri="{63B3BB69-23CF-44E3-9099-C40C66FF867C}">
                  <a14:compatExt spid="_x0000_s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18</xdr:row>
          <xdr:rowOff>0</xdr:rowOff>
        </xdr:from>
        <xdr:to>
          <xdr:col>5</xdr:col>
          <xdr:colOff>561975</xdr:colOff>
          <xdr:row>19</xdr:row>
          <xdr:rowOff>0</xdr:rowOff>
        </xdr:to>
        <xdr:sp macro="" textlink="">
          <xdr:nvSpPr>
            <xdr:cNvPr id="1204" name="Check Box 180" hidden="1">
              <a:extLst>
                <a:ext uri="{63B3BB69-23CF-44E3-9099-C40C66FF867C}">
                  <a14:compatExt spid="_x0000_s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19</xdr:row>
          <xdr:rowOff>0</xdr:rowOff>
        </xdr:from>
        <xdr:to>
          <xdr:col>5</xdr:col>
          <xdr:colOff>561975</xdr:colOff>
          <xdr:row>20</xdr:row>
          <xdr:rowOff>0</xdr:rowOff>
        </xdr:to>
        <xdr:sp macro="" textlink="">
          <xdr:nvSpPr>
            <xdr:cNvPr id="1207" name="Check Box 183" hidden="1">
              <a:extLst>
                <a:ext uri="{63B3BB69-23CF-44E3-9099-C40C66FF867C}">
                  <a14:compatExt spid="_x0000_s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20</xdr:row>
          <xdr:rowOff>209550</xdr:rowOff>
        </xdr:from>
        <xdr:to>
          <xdr:col>5</xdr:col>
          <xdr:colOff>561975</xdr:colOff>
          <xdr:row>21</xdr:row>
          <xdr:rowOff>209550</xdr:rowOff>
        </xdr:to>
        <xdr:sp macro="" textlink="">
          <xdr:nvSpPr>
            <xdr:cNvPr id="1210" name="Check Box 186" hidden="1">
              <a:extLst>
                <a:ext uri="{63B3BB69-23CF-44E3-9099-C40C66FF867C}">
                  <a14:compatExt spid="_x0000_s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20</xdr:row>
          <xdr:rowOff>0</xdr:rowOff>
        </xdr:from>
        <xdr:to>
          <xdr:col>5</xdr:col>
          <xdr:colOff>561975</xdr:colOff>
          <xdr:row>21</xdr:row>
          <xdr:rowOff>0</xdr:rowOff>
        </xdr:to>
        <xdr:sp macro="" textlink="">
          <xdr:nvSpPr>
            <xdr:cNvPr id="1213" name="Check Box 189" hidden="1">
              <a:extLst>
                <a:ext uri="{63B3BB69-23CF-44E3-9099-C40C66FF867C}">
                  <a14:compatExt spid="_x0000_s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22</xdr:row>
          <xdr:rowOff>47625</xdr:rowOff>
        </xdr:from>
        <xdr:to>
          <xdr:col>5</xdr:col>
          <xdr:colOff>561975</xdr:colOff>
          <xdr:row>22</xdr:row>
          <xdr:rowOff>266700</xdr:rowOff>
        </xdr:to>
        <xdr:sp macro="" textlink="">
          <xdr:nvSpPr>
            <xdr:cNvPr id="1216" name="Check Box 192" hidden="1">
              <a:extLst>
                <a:ext uri="{63B3BB69-23CF-44E3-9099-C40C66FF867C}">
                  <a14:compatExt spid="_x0000_s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23</xdr:row>
          <xdr:rowOff>0</xdr:rowOff>
        </xdr:from>
        <xdr:to>
          <xdr:col>5</xdr:col>
          <xdr:colOff>561975</xdr:colOff>
          <xdr:row>24</xdr:row>
          <xdr:rowOff>28575</xdr:rowOff>
        </xdr:to>
        <xdr:sp macro="" textlink="">
          <xdr:nvSpPr>
            <xdr:cNvPr id="1219" name="Check Box 195" hidden="1">
              <a:extLst>
                <a:ext uri="{63B3BB69-23CF-44E3-9099-C40C66FF867C}">
                  <a14:compatExt spid="_x0000_s1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24</xdr:row>
          <xdr:rowOff>0</xdr:rowOff>
        </xdr:from>
        <xdr:to>
          <xdr:col>5</xdr:col>
          <xdr:colOff>561975</xdr:colOff>
          <xdr:row>25</xdr:row>
          <xdr:rowOff>28575</xdr:rowOff>
        </xdr:to>
        <xdr:sp macro="" textlink="">
          <xdr:nvSpPr>
            <xdr:cNvPr id="1222" name="Check Box 198" hidden="1">
              <a:extLst>
                <a:ext uri="{63B3BB69-23CF-44E3-9099-C40C66FF867C}">
                  <a14:compatExt spid="_x0000_s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25</xdr:row>
          <xdr:rowOff>0</xdr:rowOff>
        </xdr:from>
        <xdr:to>
          <xdr:col>5</xdr:col>
          <xdr:colOff>561975</xdr:colOff>
          <xdr:row>26</xdr:row>
          <xdr:rowOff>28575</xdr:rowOff>
        </xdr:to>
        <xdr:sp macro="" textlink="">
          <xdr:nvSpPr>
            <xdr:cNvPr id="1225" name="Check Box 201" hidden="1">
              <a:extLst>
                <a:ext uri="{63B3BB69-23CF-44E3-9099-C40C66FF867C}">
                  <a14:compatExt spid="_x0000_s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26</xdr:row>
          <xdr:rowOff>0</xdr:rowOff>
        </xdr:from>
        <xdr:to>
          <xdr:col>5</xdr:col>
          <xdr:colOff>561975</xdr:colOff>
          <xdr:row>27</xdr:row>
          <xdr:rowOff>28575</xdr:rowOff>
        </xdr:to>
        <xdr:sp macro="" textlink="">
          <xdr:nvSpPr>
            <xdr:cNvPr id="1228" name="Check Box 204" hidden="1">
              <a:extLst>
                <a:ext uri="{63B3BB69-23CF-44E3-9099-C40C66FF867C}">
                  <a14:compatExt spid="_x0000_s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27</xdr:row>
          <xdr:rowOff>0</xdr:rowOff>
        </xdr:from>
        <xdr:to>
          <xdr:col>5</xdr:col>
          <xdr:colOff>561975</xdr:colOff>
          <xdr:row>28</xdr:row>
          <xdr:rowOff>28575</xdr:rowOff>
        </xdr:to>
        <xdr:sp macro="" textlink="">
          <xdr:nvSpPr>
            <xdr:cNvPr id="1231" name="Check Box 207" hidden="1">
              <a:extLst>
                <a:ext uri="{63B3BB69-23CF-44E3-9099-C40C66FF867C}">
                  <a14:compatExt spid="_x0000_s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28</xdr:row>
          <xdr:rowOff>0</xdr:rowOff>
        </xdr:from>
        <xdr:to>
          <xdr:col>5</xdr:col>
          <xdr:colOff>561975</xdr:colOff>
          <xdr:row>29</xdr:row>
          <xdr:rowOff>19050</xdr:rowOff>
        </xdr:to>
        <xdr:sp macro="" textlink="">
          <xdr:nvSpPr>
            <xdr:cNvPr id="1239" name="Check Box 215" hidden="1">
              <a:extLst>
                <a:ext uri="{63B3BB69-23CF-44E3-9099-C40C66FF867C}">
                  <a14:compatExt spid="_x0000_s1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xdr:row>
          <xdr:rowOff>0</xdr:rowOff>
        </xdr:from>
        <xdr:to>
          <xdr:col>6</xdr:col>
          <xdr:colOff>561975</xdr:colOff>
          <xdr:row>9</xdr:row>
          <xdr:rowOff>0</xdr:rowOff>
        </xdr:to>
        <xdr:sp macro="" textlink="">
          <xdr:nvSpPr>
            <xdr:cNvPr id="1245" name="Check Box 221" hidden="1">
              <a:extLst>
                <a:ext uri="{63B3BB69-23CF-44E3-9099-C40C66FF867C}">
                  <a14:compatExt spid="_x0000_s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xdr:row>
          <xdr:rowOff>0</xdr:rowOff>
        </xdr:from>
        <xdr:to>
          <xdr:col>6</xdr:col>
          <xdr:colOff>561975</xdr:colOff>
          <xdr:row>10</xdr:row>
          <xdr:rowOff>0</xdr:rowOff>
        </xdr:to>
        <xdr:sp macro="" textlink="">
          <xdr:nvSpPr>
            <xdr:cNvPr id="1251" name="Check Box 227" hidden="1">
              <a:extLst>
                <a:ext uri="{63B3BB69-23CF-44E3-9099-C40C66FF867C}">
                  <a14:compatExt spid="_x0000_s1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10</xdr:row>
          <xdr:rowOff>0</xdr:rowOff>
        </xdr:from>
        <xdr:to>
          <xdr:col>6</xdr:col>
          <xdr:colOff>561975</xdr:colOff>
          <xdr:row>11</xdr:row>
          <xdr:rowOff>0</xdr:rowOff>
        </xdr:to>
        <xdr:sp macro="" textlink="">
          <xdr:nvSpPr>
            <xdr:cNvPr id="1258" name="Check Box 234" hidden="1">
              <a:extLst>
                <a:ext uri="{63B3BB69-23CF-44E3-9099-C40C66FF867C}">
                  <a14:compatExt spid="_x0000_s1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11</xdr:row>
          <xdr:rowOff>0</xdr:rowOff>
        </xdr:from>
        <xdr:to>
          <xdr:col>6</xdr:col>
          <xdr:colOff>561975</xdr:colOff>
          <xdr:row>12</xdr:row>
          <xdr:rowOff>0</xdr:rowOff>
        </xdr:to>
        <xdr:sp macro="" textlink="">
          <xdr:nvSpPr>
            <xdr:cNvPr id="1264" name="Check Box 240" hidden="1">
              <a:extLst>
                <a:ext uri="{63B3BB69-23CF-44E3-9099-C40C66FF867C}">
                  <a14:compatExt spid="_x0000_s1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12</xdr:row>
          <xdr:rowOff>0</xdr:rowOff>
        </xdr:from>
        <xdr:to>
          <xdr:col>6</xdr:col>
          <xdr:colOff>561975</xdr:colOff>
          <xdr:row>13</xdr:row>
          <xdr:rowOff>0</xdr:rowOff>
        </xdr:to>
        <xdr:sp macro="" textlink="">
          <xdr:nvSpPr>
            <xdr:cNvPr id="1270" name="Check Box 246" hidden="1">
              <a:extLst>
                <a:ext uri="{63B3BB69-23CF-44E3-9099-C40C66FF867C}">
                  <a14:compatExt spid="_x0000_s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13</xdr:row>
          <xdr:rowOff>0</xdr:rowOff>
        </xdr:from>
        <xdr:to>
          <xdr:col>6</xdr:col>
          <xdr:colOff>561975</xdr:colOff>
          <xdr:row>14</xdr:row>
          <xdr:rowOff>0</xdr:rowOff>
        </xdr:to>
        <xdr:sp macro="" textlink="">
          <xdr:nvSpPr>
            <xdr:cNvPr id="1276" name="Check Box 252" hidden="1">
              <a:extLst>
                <a:ext uri="{63B3BB69-23CF-44E3-9099-C40C66FF867C}">
                  <a14:compatExt spid="_x0000_s1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14</xdr:row>
          <xdr:rowOff>0</xdr:rowOff>
        </xdr:from>
        <xdr:to>
          <xdr:col>6</xdr:col>
          <xdr:colOff>561975</xdr:colOff>
          <xdr:row>15</xdr:row>
          <xdr:rowOff>0</xdr:rowOff>
        </xdr:to>
        <xdr:sp macro="" textlink="">
          <xdr:nvSpPr>
            <xdr:cNvPr id="1282" name="Check Box 258" hidden="1">
              <a:extLst>
                <a:ext uri="{63B3BB69-23CF-44E3-9099-C40C66FF867C}">
                  <a14:compatExt spid="_x0000_s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15</xdr:row>
          <xdr:rowOff>0</xdr:rowOff>
        </xdr:from>
        <xdr:to>
          <xdr:col>6</xdr:col>
          <xdr:colOff>561975</xdr:colOff>
          <xdr:row>15</xdr:row>
          <xdr:rowOff>219075</xdr:rowOff>
        </xdr:to>
        <xdr:sp macro="" textlink="">
          <xdr:nvSpPr>
            <xdr:cNvPr id="1288" name="Check Box 264" hidden="1">
              <a:extLst>
                <a:ext uri="{63B3BB69-23CF-44E3-9099-C40C66FF867C}">
                  <a14:compatExt spid="_x0000_s1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16</xdr:row>
          <xdr:rowOff>0</xdr:rowOff>
        </xdr:from>
        <xdr:to>
          <xdr:col>6</xdr:col>
          <xdr:colOff>561975</xdr:colOff>
          <xdr:row>16</xdr:row>
          <xdr:rowOff>219075</xdr:rowOff>
        </xdr:to>
        <xdr:sp macro="" textlink="">
          <xdr:nvSpPr>
            <xdr:cNvPr id="1294" name="Check Box 270" hidden="1">
              <a:extLst>
                <a:ext uri="{63B3BB69-23CF-44E3-9099-C40C66FF867C}">
                  <a14:compatExt spid="_x0000_s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17</xdr:row>
          <xdr:rowOff>19050</xdr:rowOff>
        </xdr:from>
        <xdr:to>
          <xdr:col>6</xdr:col>
          <xdr:colOff>561975</xdr:colOff>
          <xdr:row>18</xdr:row>
          <xdr:rowOff>19050</xdr:rowOff>
        </xdr:to>
        <xdr:sp macro="" textlink="">
          <xdr:nvSpPr>
            <xdr:cNvPr id="1300" name="Check Box 276" hidden="1">
              <a:extLst>
                <a:ext uri="{63B3BB69-23CF-44E3-9099-C40C66FF867C}">
                  <a14:compatExt spid="_x0000_s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18</xdr:row>
          <xdr:rowOff>0</xdr:rowOff>
        </xdr:from>
        <xdr:to>
          <xdr:col>6</xdr:col>
          <xdr:colOff>561975</xdr:colOff>
          <xdr:row>19</xdr:row>
          <xdr:rowOff>0</xdr:rowOff>
        </xdr:to>
        <xdr:sp macro="" textlink="">
          <xdr:nvSpPr>
            <xdr:cNvPr id="1306" name="Check Box 282" hidden="1">
              <a:extLst>
                <a:ext uri="{63B3BB69-23CF-44E3-9099-C40C66FF867C}">
                  <a14:compatExt spid="_x0000_s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19</xdr:row>
          <xdr:rowOff>0</xdr:rowOff>
        </xdr:from>
        <xdr:to>
          <xdr:col>6</xdr:col>
          <xdr:colOff>561975</xdr:colOff>
          <xdr:row>20</xdr:row>
          <xdr:rowOff>0</xdr:rowOff>
        </xdr:to>
        <xdr:sp macro="" textlink="">
          <xdr:nvSpPr>
            <xdr:cNvPr id="1312" name="Check Box 288" hidden="1">
              <a:extLst>
                <a:ext uri="{63B3BB69-23CF-44E3-9099-C40C66FF867C}">
                  <a14:compatExt spid="_x0000_s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20</xdr:row>
          <xdr:rowOff>209550</xdr:rowOff>
        </xdr:from>
        <xdr:to>
          <xdr:col>6</xdr:col>
          <xdr:colOff>561975</xdr:colOff>
          <xdr:row>21</xdr:row>
          <xdr:rowOff>209550</xdr:rowOff>
        </xdr:to>
        <xdr:sp macro="" textlink="">
          <xdr:nvSpPr>
            <xdr:cNvPr id="1318" name="Check Box 294" hidden="1">
              <a:extLst>
                <a:ext uri="{63B3BB69-23CF-44E3-9099-C40C66FF867C}">
                  <a14:compatExt spid="_x0000_s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20</xdr:row>
          <xdr:rowOff>0</xdr:rowOff>
        </xdr:from>
        <xdr:to>
          <xdr:col>6</xdr:col>
          <xdr:colOff>561975</xdr:colOff>
          <xdr:row>21</xdr:row>
          <xdr:rowOff>0</xdr:rowOff>
        </xdr:to>
        <xdr:sp macro="" textlink="">
          <xdr:nvSpPr>
            <xdr:cNvPr id="1324" name="Check Box 300" hidden="1">
              <a:extLst>
                <a:ext uri="{63B3BB69-23CF-44E3-9099-C40C66FF867C}">
                  <a14:compatExt spid="_x0000_s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22</xdr:row>
          <xdr:rowOff>47625</xdr:rowOff>
        </xdr:from>
        <xdr:to>
          <xdr:col>6</xdr:col>
          <xdr:colOff>561975</xdr:colOff>
          <xdr:row>22</xdr:row>
          <xdr:rowOff>266700</xdr:rowOff>
        </xdr:to>
        <xdr:sp macro="" textlink="">
          <xdr:nvSpPr>
            <xdr:cNvPr id="1330" name="Check Box 306" hidden="1">
              <a:extLst>
                <a:ext uri="{63B3BB69-23CF-44E3-9099-C40C66FF867C}">
                  <a14:compatExt spid="_x0000_s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23</xdr:row>
          <xdr:rowOff>0</xdr:rowOff>
        </xdr:from>
        <xdr:to>
          <xdr:col>6</xdr:col>
          <xdr:colOff>561975</xdr:colOff>
          <xdr:row>24</xdr:row>
          <xdr:rowOff>28575</xdr:rowOff>
        </xdr:to>
        <xdr:sp macro="" textlink="">
          <xdr:nvSpPr>
            <xdr:cNvPr id="1336" name="Check Box 312" hidden="1">
              <a:extLst>
                <a:ext uri="{63B3BB69-23CF-44E3-9099-C40C66FF867C}">
                  <a14:compatExt spid="_x0000_s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24</xdr:row>
          <xdr:rowOff>0</xdr:rowOff>
        </xdr:from>
        <xdr:to>
          <xdr:col>6</xdr:col>
          <xdr:colOff>561975</xdr:colOff>
          <xdr:row>25</xdr:row>
          <xdr:rowOff>28575</xdr:rowOff>
        </xdr:to>
        <xdr:sp macro="" textlink="">
          <xdr:nvSpPr>
            <xdr:cNvPr id="1342" name="Check Box 318" hidden="1">
              <a:extLst>
                <a:ext uri="{63B3BB69-23CF-44E3-9099-C40C66FF867C}">
                  <a14:compatExt spid="_x0000_s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25</xdr:row>
          <xdr:rowOff>0</xdr:rowOff>
        </xdr:from>
        <xdr:to>
          <xdr:col>6</xdr:col>
          <xdr:colOff>561975</xdr:colOff>
          <xdr:row>26</xdr:row>
          <xdr:rowOff>28575</xdr:rowOff>
        </xdr:to>
        <xdr:sp macro="" textlink="">
          <xdr:nvSpPr>
            <xdr:cNvPr id="1348" name="Check Box 324" hidden="1">
              <a:extLst>
                <a:ext uri="{63B3BB69-23CF-44E3-9099-C40C66FF867C}">
                  <a14:compatExt spid="_x0000_s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26</xdr:row>
          <xdr:rowOff>0</xdr:rowOff>
        </xdr:from>
        <xdr:to>
          <xdr:col>6</xdr:col>
          <xdr:colOff>561975</xdr:colOff>
          <xdr:row>27</xdr:row>
          <xdr:rowOff>28575</xdr:rowOff>
        </xdr:to>
        <xdr:sp macro="" textlink="">
          <xdr:nvSpPr>
            <xdr:cNvPr id="1354" name="Check Box 330" hidden="1">
              <a:extLst>
                <a:ext uri="{63B3BB69-23CF-44E3-9099-C40C66FF867C}">
                  <a14:compatExt spid="_x0000_s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27</xdr:row>
          <xdr:rowOff>0</xdr:rowOff>
        </xdr:from>
        <xdr:to>
          <xdr:col>6</xdr:col>
          <xdr:colOff>561975</xdr:colOff>
          <xdr:row>28</xdr:row>
          <xdr:rowOff>28575</xdr:rowOff>
        </xdr:to>
        <xdr:sp macro="" textlink="">
          <xdr:nvSpPr>
            <xdr:cNvPr id="1360" name="Check Box 336" hidden="1">
              <a:extLst>
                <a:ext uri="{63B3BB69-23CF-44E3-9099-C40C66FF867C}">
                  <a14:compatExt spid="_x0000_s1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28</xdr:row>
          <xdr:rowOff>0</xdr:rowOff>
        </xdr:from>
        <xdr:to>
          <xdr:col>6</xdr:col>
          <xdr:colOff>561975</xdr:colOff>
          <xdr:row>29</xdr:row>
          <xdr:rowOff>19050</xdr:rowOff>
        </xdr:to>
        <xdr:sp macro="" textlink="">
          <xdr:nvSpPr>
            <xdr:cNvPr id="1372" name="Check Box 348" hidden="1">
              <a:extLst>
                <a:ext uri="{63B3BB69-23CF-44E3-9099-C40C66FF867C}">
                  <a14:compatExt spid="_x0000_s1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xdr:row>
          <xdr:rowOff>0</xdr:rowOff>
        </xdr:from>
        <xdr:to>
          <xdr:col>5</xdr:col>
          <xdr:colOff>561975</xdr:colOff>
          <xdr:row>9</xdr:row>
          <xdr:rowOff>0</xdr:rowOff>
        </xdr:to>
        <xdr:sp macro="" textlink="">
          <xdr:nvSpPr>
            <xdr:cNvPr id="1378" name="Check Box 354" hidden="1">
              <a:extLst>
                <a:ext uri="{63B3BB69-23CF-44E3-9099-C40C66FF867C}">
                  <a14:compatExt spid="_x0000_s1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xdr:row>
          <xdr:rowOff>0</xdr:rowOff>
        </xdr:from>
        <xdr:to>
          <xdr:col>5</xdr:col>
          <xdr:colOff>561975</xdr:colOff>
          <xdr:row>10</xdr:row>
          <xdr:rowOff>0</xdr:rowOff>
        </xdr:to>
        <xdr:sp macro="" textlink="">
          <xdr:nvSpPr>
            <xdr:cNvPr id="1380" name="Check Box 356" hidden="1">
              <a:extLst>
                <a:ext uri="{63B3BB69-23CF-44E3-9099-C40C66FF867C}">
                  <a14:compatExt spid="_x0000_s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30</xdr:row>
          <xdr:rowOff>0</xdr:rowOff>
        </xdr:from>
        <xdr:to>
          <xdr:col>5</xdr:col>
          <xdr:colOff>561975</xdr:colOff>
          <xdr:row>31</xdr:row>
          <xdr:rowOff>28575</xdr:rowOff>
        </xdr:to>
        <xdr:sp macro="" textlink="">
          <xdr:nvSpPr>
            <xdr:cNvPr id="1385" name="Check Box 361" hidden="1">
              <a:extLst>
                <a:ext uri="{63B3BB69-23CF-44E3-9099-C40C66FF867C}">
                  <a14:compatExt spid="_x0000_s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31</xdr:row>
          <xdr:rowOff>0</xdr:rowOff>
        </xdr:from>
        <xdr:to>
          <xdr:col>5</xdr:col>
          <xdr:colOff>561975</xdr:colOff>
          <xdr:row>32</xdr:row>
          <xdr:rowOff>28575</xdr:rowOff>
        </xdr:to>
        <xdr:sp macro="" textlink="">
          <xdr:nvSpPr>
            <xdr:cNvPr id="1390" name="Check Box 366" hidden="1">
              <a:extLst>
                <a:ext uri="{63B3BB69-23CF-44E3-9099-C40C66FF867C}">
                  <a14:compatExt spid="_x0000_s1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32</xdr:row>
          <xdr:rowOff>0</xdr:rowOff>
        </xdr:from>
        <xdr:to>
          <xdr:col>5</xdr:col>
          <xdr:colOff>561975</xdr:colOff>
          <xdr:row>33</xdr:row>
          <xdr:rowOff>28575</xdr:rowOff>
        </xdr:to>
        <xdr:sp macro="" textlink="">
          <xdr:nvSpPr>
            <xdr:cNvPr id="1393" name="Check Box 369" hidden="1">
              <a:extLst>
                <a:ext uri="{63B3BB69-23CF-44E3-9099-C40C66FF867C}">
                  <a14:compatExt spid="_x0000_s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33</xdr:row>
          <xdr:rowOff>0</xdr:rowOff>
        </xdr:from>
        <xdr:to>
          <xdr:col>5</xdr:col>
          <xdr:colOff>561975</xdr:colOff>
          <xdr:row>34</xdr:row>
          <xdr:rowOff>19050</xdr:rowOff>
        </xdr:to>
        <xdr:sp macro="" textlink="">
          <xdr:nvSpPr>
            <xdr:cNvPr id="1396" name="Check Box 372" hidden="1">
              <a:extLst>
                <a:ext uri="{63B3BB69-23CF-44E3-9099-C40C66FF867C}">
                  <a14:compatExt spid="_x0000_s1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34</xdr:row>
          <xdr:rowOff>0</xdr:rowOff>
        </xdr:from>
        <xdr:to>
          <xdr:col>5</xdr:col>
          <xdr:colOff>561975</xdr:colOff>
          <xdr:row>35</xdr:row>
          <xdr:rowOff>19050</xdr:rowOff>
        </xdr:to>
        <xdr:sp macro="" textlink="">
          <xdr:nvSpPr>
            <xdr:cNvPr id="1399" name="Check Box 375" hidden="1">
              <a:extLst>
                <a:ext uri="{63B3BB69-23CF-44E3-9099-C40C66FF867C}">
                  <a14:compatExt spid="_x0000_s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30</xdr:row>
          <xdr:rowOff>0</xdr:rowOff>
        </xdr:from>
        <xdr:to>
          <xdr:col>6</xdr:col>
          <xdr:colOff>561975</xdr:colOff>
          <xdr:row>31</xdr:row>
          <xdr:rowOff>28575</xdr:rowOff>
        </xdr:to>
        <xdr:sp macro="" textlink="">
          <xdr:nvSpPr>
            <xdr:cNvPr id="1402" name="Check Box 378" hidden="1">
              <a:extLst>
                <a:ext uri="{63B3BB69-23CF-44E3-9099-C40C66FF867C}">
                  <a14:compatExt spid="_x0000_s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31</xdr:row>
          <xdr:rowOff>0</xdr:rowOff>
        </xdr:from>
        <xdr:to>
          <xdr:col>6</xdr:col>
          <xdr:colOff>561975</xdr:colOff>
          <xdr:row>32</xdr:row>
          <xdr:rowOff>28575</xdr:rowOff>
        </xdr:to>
        <xdr:sp macro="" textlink="">
          <xdr:nvSpPr>
            <xdr:cNvPr id="1405" name="Check Box 381" hidden="1">
              <a:extLst>
                <a:ext uri="{63B3BB69-23CF-44E3-9099-C40C66FF867C}">
                  <a14:compatExt spid="_x0000_s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32</xdr:row>
          <xdr:rowOff>0</xdr:rowOff>
        </xdr:from>
        <xdr:to>
          <xdr:col>6</xdr:col>
          <xdr:colOff>561975</xdr:colOff>
          <xdr:row>33</xdr:row>
          <xdr:rowOff>28575</xdr:rowOff>
        </xdr:to>
        <xdr:sp macro="" textlink="">
          <xdr:nvSpPr>
            <xdr:cNvPr id="1408" name="Check Box 384" hidden="1">
              <a:extLst>
                <a:ext uri="{63B3BB69-23CF-44E3-9099-C40C66FF867C}">
                  <a14:compatExt spid="_x0000_s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33</xdr:row>
          <xdr:rowOff>0</xdr:rowOff>
        </xdr:from>
        <xdr:to>
          <xdr:col>6</xdr:col>
          <xdr:colOff>561975</xdr:colOff>
          <xdr:row>34</xdr:row>
          <xdr:rowOff>19050</xdr:rowOff>
        </xdr:to>
        <xdr:sp macro="" textlink="">
          <xdr:nvSpPr>
            <xdr:cNvPr id="1411" name="Check Box 387" hidden="1">
              <a:extLst>
                <a:ext uri="{63B3BB69-23CF-44E3-9099-C40C66FF867C}">
                  <a14:compatExt spid="_x0000_s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34</xdr:row>
          <xdr:rowOff>0</xdr:rowOff>
        </xdr:from>
        <xdr:to>
          <xdr:col>6</xdr:col>
          <xdr:colOff>561975</xdr:colOff>
          <xdr:row>35</xdr:row>
          <xdr:rowOff>19050</xdr:rowOff>
        </xdr:to>
        <xdr:sp macro="" textlink="">
          <xdr:nvSpPr>
            <xdr:cNvPr id="1414" name="Check Box 390" hidden="1">
              <a:extLst>
                <a:ext uri="{63B3BB69-23CF-44E3-9099-C40C66FF867C}">
                  <a14:compatExt spid="_x0000_s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38</xdr:row>
          <xdr:rowOff>0</xdr:rowOff>
        </xdr:from>
        <xdr:to>
          <xdr:col>6</xdr:col>
          <xdr:colOff>561975</xdr:colOff>
          <xdr:row>39</xdr:row>
          <xdr:rowOff>28575</xdr:rowOff>
        </xdr:to>
        <xdr:sp macro="" textlink="">
          <xdr:nvSpPr>
            <xdr:cNvPr id="1420" name="Check Box 396" hidden="1">
              <a:extLst>
                <a:ext uri="{63B3BB69-23CF-44E3-9099-C40C66FF867C}">
                  <a14:compatExt spid="_x0000_s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38</xdr:row>
          <xdr:rowOff>0</xdr:rowOff>
        </xdr:from>
        <xdr:to>
          <xdr:col>5</xdr:col>
          <xdr:colOff>561975</xdr:colOff>
          <xdr:row>39</xdr:row>
          <xdr:rowOff>28575</xdr:rowOff>
        </xdr:to>
        <xdr:sp macro="" textlink="">
          <xdr:nvSpPr>
            <xdr:cNvPr id="1426" name="Check Box 402" hidden="1">
              <a:extLst>
                <a:ext uri="{63B3BB69-23CF-44E3-9099-C40C66FF867C}">
                  <a14:compatExt spid="_x0000_s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41</xdr:row>
          <xdr:rowOff>0</xdr:rowOff>
        </xdr:from>
        <xdr:to>
          <xdr:col>6</xdr:col>
          <xdr:colOff>561975</xdr:colOff>
          <xdr:row>42</xdr:row>
          <xdr:rowOff>28575</xdr:rowOff>
        </xdr:to>
        <xdr:sp macro="" textlink="">
          <xdr:nvSpPr>
            <xdr:cNvPr id="1432" name="Check Box 408" hidden="1">
              <a:extLst>
                <a:ext uri="{63B3BB69-23CF-44E3-9099-C40C66FF867C}">
                  <a14:compatExt spid="_x0000_s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41</xdr:row>
          <xdr:rowOff>0</xdr:rowOff>
        </xdr:from>
        <xdr:to>
          <xdr:col>5</xdr:col>
          <xdr:colOff>561975</xdr:colOff>
          <xdr:row>42</xdr:row>
          <xdr:rowOff>28575</xdr:rowOff>
        </xdr:to>
        <xdr:sp macro="" textlink="">
          <xdr:nvSpPr>
            <xdr:cNvPr id="1439" name="Check Box 415" hidden="1">
              <a:extLst>
                <a:ext uri="{63B3BB69-23CF-44E3-9099-C40C66FF867C}">
                  <a14:compatExt spid="_x0000_s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43</xdr:row>
          <xdr:rowOff>47625</xdr:rowOff>
        </xdr:from>
        <xdr:to>
          <xdr:col>5</xdr:col>
          <xdr:colOff>561975</xdr:colOff>
          <xdr:row>43</xdr:row>
          <xdr:rowOff>266700</xdr:rowOff>
        </xdr:to>
        <xdr:sp macro="" textlink="">
          <xdr:nvSpPr>
            <xdr:cNvPr id="1454" name="Check Box 430" hidden="1">
              <a:extLst>
                <a:ext uri="{63B3BB69-23CF-44E3-9099-C40C66FF867C}">
                  <a14:compatExt spid="_x0000_s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43</xdr:row>
          <xdr:rowOff>38100</xdr:rowOff>
        </xdr:from>
        <xdr:to>
          <xdr:col>6</xdr:col>
          <xdr:colOff>561975</xdr:colOff>
          <xdr:row>43</xdr:row>
          <xdr:rowOff>257175</xdr:rowOff>
        </xdr:to>
        <xdr:sp macro="" textlink="">
          <xdr:nvSpPr>
            <xdr:cNvPr id="1460" name="Check Box 436" hidden="1">
              <a:extLst>
                <a:ext uri="{63B3BB69-23CF-44E3-9099-C40C66FF867C}">
                  <a14:compatExt spid="_x0000_s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44</xdr:row>
          <xdr:rowOff>142875</xdr:rowOff>
        </xdr:from>
        <xdr:to>
          <xdr:col>5</xdr:col>
          <xdr:colOff>561975</xdr:colOff>
          <xdr:row>45</xdr:row>
          <xdr:rowOff>104775</xdr:rowOff>
        </xdr:to>
        <xdr:sp macro="" textlink="">
          <xdr:nvSpPr>
            <xdr:cNvPr id="1466" name="Check Box 442" hidden="1">
              <a:extLst>
                <a:ext uri="{63B3BB69-23CF-44E3-9099-C40C66FF867C}">
                  <a14:compatExt spid="_x0000_s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44</xdr:row>
          <xdr:rowOff>142875</xdr:rowOff>
        </xdr:from>
        <xdr:to>
          <xdr:col>6</xdr:col>
          <xdr:colOff>561975</xdr:colOff>
          <xdr:row>45</xdr:row>
          <xdr:rowOff>104775</xdr:rowOff>
        </xdr:to>
        <xdr:sp macro="" textlink="">
          <xdr:nvSpPr>
            <xdr:cNvPr id="1472" name="Check Box 448" hidden="1">
              <a:extLst>
                <a:ext uri="{63B3BB69-23CF-44E3-9099-C40C66FF867C}">
                  <a14:compatExt spid="_x0000_s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46</xdr:row>
          <xdr:rowOff>123825</xdr:rowOff>
        </xdr:from>
        <xdr:to>
          <xdr:col>5</xdr:col>
          <xdr:colOff>561975</xdr:colOff>
          <xdr:row>47</xdr:row>
          <xdr:rowOff>95250</xdr:rowOff>
        </xdr:to>
        <xdr:sp macro="" textlink="">
          <xdr:nvSpPr>
            <xdr:cNvPr id="1475" name="Check Box 451"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46</xdr:row>
          <xdr:rowOff>123825</xdr:rowOff>
        </xdr:from>
        <xdr:to>
          <xdr:col>6</xdr:col>
          <xdr:colOff>561975</xdr:colOff>
          <xdr:row>47</xdr:row>
          <xdr:rowOff>95250</xdr:rowOff>
        </xdr:to>
        <xdr:sp macro="" textlink="">
          <xdr:nvSpPr>
            <xdr:cNvPr id="1478" name="Check Box 454"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48</xdr:row>
          <xdr:rowOff>38100</xdr:rowOff>
        </xdr:from>
        <xdr:to>
          <xdr:col>5</xdr:col>
          <xdr:colOff>561975</xdr:colOff>
          <xdr:row>48</xdr:row>
          <xdr:rowOff>257175</xdr:rowOff>
        </xdr:to>
        <xdr:sp macro="" textlink="">
          <xdr:nvSpPr>
            <xdr:cNvPr id="1481" name="Check Box 457"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48</xdr:row>
          <xdr:rowOff>38100</xdr:rowOff>
        </xdr:from>
        <xdr:to>
          <xdr:col>6</xdr:col>
          <xdr:colOff>561975</xdr:colOff>
          <xdr:row>48</xdr:row>
          <xdr:rowOff>257175</xdr:rowOff>
        </xdr:to>
        <xdr:sp macro="" textlink="">
          <xdr:nvSpPr>
            <xdr:cNvPr id="1484" name="Check Box 460"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49</xdr:row>
          <xdr:rowOff>0</xdr:rowOff>
        </xdr:from>
        <xdr:to>
          <xdr:col>5</xdr:col>
          <xdr:colOff>561975</xdr:colOff>
          <xdr:row>50</xdr:row>
          <xdr:rowOff>28575</xdr:rowOff>
        </xdr:to>
        <xdr:sp macro="" textlink="">
          <xdr:nvSpPr>
            <xdr:cNvPr id="1487" name="Check Box 463"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49</xdr:row>
          <xdr:rowOff>0</xdr:rowOff>
        </xdr:from>
        <xdr:to>
          <xdr:col>6</xdr:col>
          <xdr:colOff>561975</xdr:colOff>
          <xdr:row>50</xdr:row>
          <xdr:rowOff>28575</xdr:rowOff>
        </xdr:to>
        <xdr:sp macro="" textlink="">
          <xdr:nvSpPr>
            <xdr:cNvPr id="1490" name="Check Box 466"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50</xdr:row>
          <xdr:rowOff>0</xdr:rowOff>
        </xdr:from>
        <xdr:to>
          <xdr:col>5</xdr:col>
          <xdr:colOff>561975</xdr:colOff>
          <xdr:row>50</xdr:row>
          <xdr:rowOff>219075</xdr:rowOff>
        </xdr:to>
        <xdr:sp macro="" textlink="">
          <xdr:nvSpPr>
            <xdr:cNvPr id="1493" name="Check Box 469"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50</xdr:row>
          <xdr:rowOff>0</xdr:rowOff>
        </xdr:from>
        <xdr:to>
          <xdr:col>6</xdr:col>
          <xdr:colOff>561975</xdr:colOff>
          <xdr:row>50</xdr:row>
          <xdr:rowOff>219075</xdr:rowOff>
        </xdr:to>
        <xdr:sp macro="" textlink="">
          <xdr:nvSpPr>
            <xdr:cNvPr id="1496" name="Check Box 472"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51</xdr:row>
          <xdr:rowOff>0</xdr:rowOff>
        </xdr:from>
        <xdr:to>
          <xdr:col>5</xdr:col>
          <xdr:colOff>561975</xdr:colOff>
          <xdr:row>51</xdr:row>
          <xdr:rowOff>219075</xdr:rowOff>
        </xdr:to>
        <xdr:sp macro="" textlink="">
          <xdr:nvSpPr>
            <xdr:cNvPr id="1499" name="Check Box 475"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51</xdr:row>
          <xdr:rowOff>0</xdr:rowOff>
        </xdr:from>
        <xdr:to>
          <xdr:col>6</xdr:col>
          <xdr:colOff>561975</xdr:colOff>
          <xdr:row>51</xdr:row>
          <xdr:rowOff>219075</xdr:rowOff>
        </xdr:to>
        <xdr:sp macro="" textlink="">
          <xdr:nvSpPr>
            <xdr:cNvPr id="1502" name="Check Box 478"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52</xdr:row>
          <xdr:rowOff>0</xdr:rowOff>
        </xdr:from>
        <xdr:to>
          <xdr:col>5</xdr:col>
          <xdr:colOff>561975</xdr:colOff>
          <xdr:row>52</xdr:row>
          <xdr:rowOff>219075</xdr:rowOff>
        </xdr:to>
        <xdr:sp macro="" textlink="">
          <xdr:nvSpPr>
            <xdr:cNvPr id="1505" name="Check Box 481" hidden="1">
              <a:extLst>
                <a:ext uri="{63B3BB69-23CF-44E3-9099-C40C66FF867C}">
                  <a14:compatExt spid="_x0000_s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52</xdr:row>
          <xdr:rowOff>0</xdr:rowOff>
        </xdr:from>
        <xdr:to>
          <xdr:col>6</xdr:col>
          <xdr:colOff>561975</xdr:colOff>
          <xdr:row>52</xdr:row>
          <xdr:rowOff>219075</xdr:rowOff>
        </xdr:to>
        <xdr:sp macro="" textlink="">
          <xdr:nvSpPr>
            <xdr:cNvPr id="1508" name="Check Box 484"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53</xdr:row>
          <xdr:rowOff>0</xdr:rowOff>
        </xdr:from>
        <xdr:to>
          <xdr:col>5</xdr:col>
          <xdr:colOff>561975</xdr:colOff>
          <xdr:row>53</xdr:row>
          <xdr:rowOff>219075</xdr:rowOff>
        </xdr:to>
        <xdr:sp macro="" textlink="">
          <xdr:nvSpPr>
            <xdr:cNvPr id="1511" name="Check Box 487" hidden="1">
              <a:extLst>
                <a:ext uri="{63B3BB69-23CF-44E3-9099-C40C66FF867C}">
                  <a14:compatExt spid="_x0000_s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53</xdr:row>
          <xdr:rowOff>0</xdr:rowOff>
        </xdr:from>
        <xdr:to>
          <xdr:col>6</xdr:col>
          <xdr:colOff>561975</xdr:colOff>
          <xdr:row>53</xdr:row>
          <xdr:rowOff>219075</xdr:rowOff>
        </xdr:to>
        <xdr:sp macro="" textlink="">
          <xdr:nvSpPr>
            <xdr:cNvPr id="1514" name="Check Box 490"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53</xdr:row>
          <xdr:rowOff>304800</xdr:rowOff>
        </xdr:from>
        <xdr:to>
          <xdr:col>5</xdr:col>
          <xdr:colOff>561975</xdr:colOff>
          <xdr:row>55</xdr:row>
          <xdr:rowOff>9525</xdr:rowOff>
        </xdr:to>
        <xdr:sp macro="" textlink="">
          <xdr:nvSpPr>
            <xdr:cNvPr id="1517" name="Check Box 493" hidden="1">
              <a:extLst>
                <a:ext uri="{63B3BB69-23CF-44E3-9099-C40C66FF867C}">
                  <a14:compatExt spid="_x0000_s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53</xdr:row>
          <xdr:rowOff>304800</xdr:rowOff>
        </xdr:from>
        <xdr:to>
          <xdr:col>6</xdr:col>
          <xdr:colOff>561975</xdr:colOff>
          <xdr:row>55</xdr:row>
          <xdr:rowOff>9525</xdr:rowOff>
        </xdr:to>
        <xdr:sp macro="" textlink="">
          <xdr:nvSpPr>
            <xdr:cNvPr id="1520" name="Check Box 496" hidden="1">
              <a:extLst>
                <a:ext uri="{63B3BB69-23CF-44E3-9099-C40C66FF867C}">
                  <a14:compatExt spid="_x0000_s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55</xdr:row>
          <xdr:rowOff>57150</xdr:rowOff>
        </xdr:from>
        <xdr:to>
          <xdr:col>5</xdr:col>
          <xdr:colOff>561975</xdr:colOff>
          <xdr:row>55</xdr:row>
          <xdr:rowOff>276225</xdr:rowOff>
        </xdr:to>
        <xdr:sp macro="" textlink="">
          <xdr:nvSpPr>
            <xdr:cNvPr id="1523" name="Check Box 499"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55</xdr:row>
          <xdr:rowOff>47625</xdr:rowOff>
        </xdr:from>
        <xdr:to>
          <xdr:col>6</xdr:col>
          <xdr:colOff>561975</xdr:colOff>
          <xdr:row>55</xdr:row>
          <xdr:rowOff>266700</xdr:rowOff>
        </xdr:to>
        <xdr:sp macro="" textlink="">
          <xdr:nvSpPr>
            <xdr:cNvPr id="1526" name="Check Box 502" hidden="1">
              <a:extLst>
                <a:ext uri="{63B3BB69-23CF-44E3-9099-C40C66FF867C}">
                  <a14:compatExt spid="_x0000_s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56</xdr:row>
          <xdr:rowOff>38100</xdr:rowOff>
        </xdr:from>
        <xdr:to>
          <xdr:col>5</xdr:col>
          <xdr:colOff>571500</xdr:colOff>
          <xdr:row>56</xdr:row>
          <xdr:rowOff>257175</xdr:rowOff>
        </xdr:to>
        <xdr:sp macro="" textlink="">
          <xdr:nvSpPr>
            <xdr:cNvPr id="1529" name="Check Box 505" hidden="1">
              <a:extLst>
                <a:ext uri="{63B3BB69-23CF-44E3-9099-C40C66FF867C}">
                  <a14:compatExt spid="_x0000_s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56</xdr:row>
          <xdr:rowOff>38100</xdr:rowOff>
        </xdr:from>
        <xdr:to>
          <xdr:col>6</xdr:col>
          <xdr:colOff>561975</xdr:colOff>
          <xdr:row>56</xdr:row>
          <xdr:rowOff>257175</xdr:rowOff>
        </xdr:to>
        <xdr:sp macro="" textlink="">
          <xdr:nvSpPr>
            <xdr:cNvPr id="1532" name="Check Box 508" hidden="1">
              <a:extLst>
                <a:ext uri="{63B3BB69-23CF-44E3-9099-C40C66FF867C}">
                  <a14:compatExt spid="_x0000_s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56</xdr:row>
          <xdr:rowOff>314325</xdr:rowOff>
        </xdr:from>
        <xdr:to>
          <xdr:col>5</xdr:col>
          <xdr:colOff>561975</xdr:colOff>
          <xdr:row>58</xdr:row>
          <xdr:rowOff>19050</xdr:rowOff>
        </xdr:to>
        <xdr:sp macro="" textlink="">
          <xdr:nvSpPr>
            <xdr:cNvPr id="1535" name="Check Box 511" hidden="1">
              <a:extLst>
                <a:ext uri="{63B3BB69-23CF-44E3-9099-C40C66FF867C}">
                  <a14:compatExt spid="_x0000_s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56</xdr:row>
          <xdr:rowOff>314325</xdr:rowOff>
        </xdr:from>
        <xdr:to>
          <xdr:col>6</xdr:col>
          <xdr:colOff>561975</xdr:colOff>
          <xdr:row>58</xdr:row>
          <xdr:rowOff>19050</xdr:rowOff>
        </xdr:to>
        <xdr:sp macro="" textlink="">
          <xdr:nvSpPr>
            <xdr:cNvPr id="1538" name="Check Box 514" hidden="1">
              <a:extLst>
                <a:ext uri="{63B3BB69-23CF-44E3-9099-C40C66FF867C}">
                  <a14:compatExt spid="_x0000_s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58</xdr:row>
          <xdr:rowOff>104775</xdr:rowOff>
        </xdr:from>
        <xdr:to>
          <xdr:col>5</xdr:col>
          <xdr:colOff>561975</xdr:colOff>
          <xdr:row>59</xdr:row>
          <xdr:rowOff>133350</xdr:rowOff>
        </xdr:to>
        <xdr:sp macro="" textlink="">
          <xdr:nvSpPr>
            <xdr:cNvPr id="1541" name="Check Box 517" hidden="1">
              <a:extLst>
                <a:ext uri="{63B3BB69-23CF-44E3-9099-C40C66FF867C}">
                  <a14:compatExt spid="_x0000_s1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58</xdr:row>
          <xdr:rowOff>104775</xdr:rowOff>
        </xdr:from>
        <xdr:to>
          <xdr:col>6</xdr:col>
          <xdr:colOff>542925</xdr:colOff>
          <xdr:row>59</xdr:row>
          <xdr:rowOff>133350</xdr:rowOff>
        </xdr:to>
        <xdr:sp macro="" textlink="">
          <xdr:nvSpPr>
            <xdr:cNvPr id="1544" name="Check Box 520" hidden="1">
              <a:extLst>
                <a:ext uri="{63B3BB69-23CF-44E3-9099-C40C66FF867C}">
                  <a14:compatExt spid="_x0000_s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60</xdr:row>
          <xdr:rowOff>133350</xdr:rowOff>
        </xdr:from>
        <xdr:to>
          <xdr:col>5</xdr:col>
          <xdr:colOff>552450</xdr:colOff>
          <xdr:row>61</xdr:row>
          <xdr:rowOff>161925</xdr:rowOff>
        </xdr:to>
        <xdr:sp macro="" textlink="">
          <xdr:nvSpPr>
            <xdr:cNvPr id="1547" name="Check Box 523" hidden="1">
              <a:extLst>
                <a:ext uri="{63B3BB69-23CF-44E3-9099-C40C66FF867C}">
                  <a14:compatExt spid="_x0000_s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60</xdr:row>
          <xdr:rowOff>180975</xdr:rowOff>
        </xdr:from>
        <xdr:to>
          <xdr:col>6</xdr:col>
          <xdr:colOff>552450</xdr:colOff>
          <xdr:row>61</xdr:row>
          <xdr:rowOff>209550</xdr:rowOff>
        </xdr:to>
        <xdr:sp macro="" textlink="">
          <xdr:nvSpPr>
            <xdr:cNvPr id="1550" name="Check Box 526" hidden="1">
              <a:extLst>
                <a:ext uri="{63B3BB69-23CF-44E3-9099-C40C66FF867C}">
                  <a14:compatExt spid="_x0000_s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62</xdr:row>
          <xdr:rowOff>0</xdr:rowOff>
        </xdr:from>
        <xdr:to>
          <xdr:col>5</xdr:col>
          <xdr:colOff>561975</xdr:colOff>
          <xdr:row>62</xdr:row>
          <xdr:rowOff>219075</xdr:rowOff>
        </xdr:to>
        <xdr:sp macro="" textlink="">
          <xdr:nvSpPr>
            <xdr:cNvPr id="1553" name="Check Box 529" hidden="1">
              <a:extLst>
                <a:ext uri="{63B3BB69-23CF-44E3-9099-C40C66FF867C}">
                  <a14:compatExt spid="_x0000_s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62</xdr:row>
          <xdr:rowOff>0</xdr:rowOff>
        </xdr:from>
        <xdr:to>
          <xdr:col>6</xdr:col>
          <xdr:colOff>561975</xdr:colOff>
          <xdr:row>62</xdr:row>
          <xdr:rowOff>219075</xdr:rowOff>
        </xdr:to>
        <xdr:sp macro="" textlink="">
          <xdr:nvSpPr>
            <xdr:cNvPr id="1556" name="Check Box 532" hidden="1">
              <a:extLst>
                <a:ext uri="{63B3BB69-23CF-44E3-9099-C40C66FF867C}">
                  <a14:compatExt spid="_x0000_s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63</xdr:row>
          <xdr:rowOff>57150</xdr:rowOff>
        </xdr:from>
        <xdr:to>
          <xdr:col>5</xdr:col>
          <xdr:colOff>561975</xdr:colOff>
          <xdr:row>63</xdr:row>
          <xdr:rowOff>276225</xdr:rowOff>
        </xdr:to>
        <xdr:sp macro="" textlink="">
          <xdr:nvSpPr>
            <xdr:cNvPr id="1559" name="Check Box 535" hidden="1">
              <a:extLst>
                <a:ext uri="{63B3BB69-23CF-44E3-9099-C40C66FF867C}">
                  <a14:compatExt spid="_x0000_s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63</xdr:row>
          <xdr:rowOff>47625</xdr:rowOff>
        </xdr:from>
        <xdr:to>
          <xdr:col>6</xdr:col>
          <xdr:colOff>561975</xdr:colOff>
          <xdr:row>63</xdr:row>
          <xdr:rowOff>266700</xdr:rowOff>
        </xdr:to>
        <xdr:sp macro=""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64</xdr:row>
          <xdr:rowOff>38100</xdr:rowOff>
        </xdr:from>
        <xdr:to>
          <xdr:col>5</xdr:col>
          <xdr:colOff>571500</xdr:colOff>
          <xdr:row>64</xdr:row>
          <xdr:rowOff>257175</xdr:rowOff>
        </xdr:to>
        <xdr:sp macro="" textlink="">
          <xdr:nvSpPr>
            <xdr:cNvPr id="1565" name="Check Box 541" hidden="1">
              <a:extLst>
                <a:ext uri="{63B3BB69-23CF-44E3-9099-C40C66FF867C}">
                  <a14:compatExt spid="_x0000_s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64</xdr:row>
          <xdr:rowOff>38100</xdr:rowOff>
        </xdr:from>
        <xdr:to>
          <xdr:col>6</xdr:col>
          <xdr:colOff>561975</xdr:colOff>
          <xdr:row>64</xdr:row>
          <xdr:rowOff>257175</xdr:rowOff>
        </xdr:to>
        <xdr:sp macro=""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65</xdr:row>
          <xdr:rowOff>38100</xdr:rowOff>
        </xdr:from>
        <xdr:to>
          <xdr:col>5</xdr:col>
          <xdr:colOff>561975</xdr:colOff>
          <xdr:row>65</xdr:row>
          <xdr:rowOff>257175</xdr:rowOff>
        </xdr:to>
        <xdr:sp macro="" textlink="">
          <xdr:nvSpPr>
            <xdr:cNvPr id="1571" name="Check Box 547" hidden="1">
              <a:extLst>
                <a:ext uri="{63B3BB69-23CF-44E3-9099-C40C66FF867C}">
                  <a14:compatExt spid="_x0000_s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65</xdr:row>
          <xdr:rowOff>38100</xdr:rowOff>
        </xdr:from>
        <xdr:to>
          <xdr:col>6</xdr:col>
          <xdr:colOff>561975</xdr:colOff>
          <xdr:row>65</xdr:row>
          <xdr:rowOff>257175</xdr:rowOff>
        </xdr:to>
        <xdr:sp macro="" textlink="">
          <xdr:nvSpPr>
            <xdr:cNvPr id="1574" name="Check Box 550" hidden="1">
              <a:extLst>
                <a:ext uri="{63B3BB69-23CF-44E3-9099-C40C66FF867C}">
                  <a14:compatExt spid="_x0000_s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66</xdr:row>
          <xdr:rowOff>19050</xdr:rowOff>
        </xdr:from>
        <xdr:to>
          <xdr:col>5</xdr:col>
          <xdr:colOff>561975</xdr:colOff>
          <xdr:row>66</xdr:row>
          <xdr:rowOff>238125</xdr:rowOff>
        </xdr:to>
        <xdr:sp macro=""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66</xdr:row>
          <xdr:rowOff>28575</xdr:rowOff>
        </xdr:from>
        <xdr:to>
          <xdr:col>6</xdr:col>
          <xdr:colOff>561975</xdr:colOff>
          <xdr:row>66</xdr:row>
          <xdr:rowOff>247650</xdr:rowOff>
        </xdr:to>
        <xdr:sp macro=""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67</xdr:row>
          <xdr:rowOff>0</xdr:rowOff>
        </xdr:from>
        <xdr:to>
          <xdr:col>5</xdr:col>
          <xdr:colOff>561975</xdr:colOff>
          <xdr:row>68</xdr:row>
          <xdr:rowOff>28575</xdr:rowOff>
        </xdr:to>
        <xdr:sp macro="" textlink="">
          <xdr:nvSpPr>
            <xdr:cNvPr id="1583" name="Check Box 559"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67</xdr:row>
          <xdr:rowOff>0</xdr:rowOff>
        </xdr:from>
        <xdr:to>
          <xdr:col>6</xdr:col>
          <xdr:colOff>561975</xdr:colOff>
          <xdr:row>68</xdr:row>
          <xdr:rowOff>28575</xdr:rowOff>
        </xdr:to>
        <xdr:sp macro="" textlink="">
          <xdr:nvSpPr>
            <xdr:cNvPr id="1586" name="Check Box 562" hidden="1">
              <a:extLst>
                <a:ext uri="{63B3BB69-23CF-44E3-9099-C40C66FF867C}">
                  <a14:compatExt spid="_x0000_s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68</xdr:row>
          <xdr:rowOff>0</xdr:rowOff>
        </xdr:from>
        <xdr:to>
          <xdr:col>5</xdr:col>
          <xdr:colOff>561975</xdr:colOff>
          <xdr:row>69</xdr:row>
          <xdr:rowOff>28575</xdr:rowOff>
        </xdr:to>
        <xdr:sp macro="" textlink="">
          <xdr:nvSpPr>
            <xdr:cNvPr id="1589" name="Check Box 565"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68</xdr:row>
          <xdr:rowOff>0</xdr:rowOff>
        </xdr:from>
        <xdr:to>
          <xdr:col>6</xdr:col>
          <xdr:colOff>561975</xdr:colOff>
          <xdr:row>69</xdr:row>
          <xdr:rowOff>28575</xdr:rowOff>
        </xdr:to>
        <xdr:sp macro="" textlink="">
          <xdr:nvSpPr>
            <xdr:cNvPr id="1592" name="Check Box 568"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69</xdr:row>
          <xdr:rowOff>66675</xdr:rowOff>
        </xdr:from>
        <xdr:to>
          <xdr:col>5</xdr:col>
          <xdr:colOff>561975</xdr:colOff>
          <xdr:row>70</xdr:row>
          <xdr:rowOff>95250</xdr:rowOff>
        </xdr:to>
        <xdr:sp macro="" textlink="">
          <xdr:nvSpPr>
            <xdr:cNvPr id="1595" name="Check Box 571"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69</xdr:row>
          <xdr:rowOff>57150</xdr:rowOff>
        </xdr:from>
        <xdr:to>
          <xdr:col>6</xdr:col>
          <xdr:colOff>561975</xdr:colOff>
          <xdr:row>70</xdr:row>
          <xdr:rowOff>85725</xdr:rowOff>
        </xdr:to>
        <xdr:sp macro="" textlink="">
          <xdr:nvSpPr>
            <xdr:cNvPr id="1598" name="Check Box 574"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71</xdr:row>
          <xdr:rowOff>0</xdr:rowOff>
        </xdr:from>
        <xdr:to>
          <xdr:col>5</xdr:col>
          <xdr:colOff>561975</xdr:colOff>
          <xdr:row>72</xdr:row>
          <xdr:rowOff>28575</xdr:rowOff>
        </xdr:to>
        <xdr:sp macro="" textlink="">
          <xdr:nvSpPr>
            <xdr:cNvPr id="1601" name="Check Box 577"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71</xdr:row>
          <xdr:rowOff>0</xdr:rowOff>
        </xdr:from>
        <xdr:to>
          <xdr:col>6</xdr:col>
          <xdr:colOff>561975</xdr:colOff>
          <xdr:row>72</xdr:row>
          <xdr:rowOff>28575</xdr:rowOff>
        </xdr:to>
        <xdr:sp macro="" textlink="">
          <xdr:nvSpPr>
            <xdr:cNvPr id="1604" name="Check Box 580"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72</xdr:row>
          <xdr:rowOff>0</xdr:rowOff>
        </xdr:from>
        <xdr:to>
          <xdr:col>5</xdr:col>
          <xdr:colOff>561975</xdr:colOff>
          <xdr:row>73</xdr:row>
          <xdr:rowOff>28575</xdr:rowOff>
        </xdr:to>
        <xdr:sp macro="" textlink="">
          <xdr:nvSpPr>
            <xdr:cNvPr id="1613" name="Check Box 589"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72</xdr:row>
          <xdr:rowOff>0</xdr:rowOff>
        </xdr:from>
        <xdr:to>
          <xdr:col>6</xdr:col>
          <xdr:colOff>561975</xdr:colOff>
          <xdr:row>73</xdr:row>
          <xdr:rowOff>28575</xdr:rowOff>
        </xdr:to>
        <xdr:sp macro="" textlink="">
          <xdr:nvSpPr>
            <xdr:cNvPr id="1616" name="Check Box 592"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73</xdr:row>
          <xdr:rowOff>0</xdr:rowOff>
        </xdr:from>
        <xdr:to>
          <xdr:col>5</xdr:col>
          <xdr:colOff>561975</xdr:colOff>
          <xdr:row>73</xdr:row>
          <xdr:rowOff>219075</xdr:rowOff>
        </xdr:to>
        <xdr:sp macro="" textlink="">
          <xdr:nvSpPr>
            <xdr:cNvPr id="1625" name="Check Box 601" hidden="1">
              <a:extLst>
                <a:ext uri="{63B3BB69-23CF-44E3-9099-C40C66FF867C}">
                  <a14:compatExt spid="_x0000_s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73</xdr:row>
          <xdr:rowOff>0</xdr:rowOff>
        </xdr:from>
        <xdr:to>
          <xdr:col>6</xdr:col>
          <xdr:colOff>561975</xdr:colOff>
          <xdr:row>73</xdr:row>
          <xdr:rowOff>219075</xdr:rowOff>
        </xdr:to>
        <xdr:sp macro="" textlink="">
          <xdr:nvSpPr>
            <xdr:cNvPr id="1628" name="Check Box 604" hidden="1">
              <a:extLst>
                <a:ext uri="{63B3BB69-23CF-44E3-9099-C40C66FF867C}">
                  <a14:compatExt spid="_x0000_s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74</xdr:row>
          <xdr:rowOff>0</xdr:rowOff>
        </xdr:from>
        <xdr:to>
          <xdr:col>5</xdr:col>
          <xdr:colOff>561975</xdr:colOff>
          <xdr:row>74</xdr:row>
          <xdr:rowOff>219075</xdr:rowOff>
        </xdr:to>
        <xdr:sp macro="" textlink="">
          <xdr:nvSpPr>
            <xdr:cNvPr id="1643" name="Check Box 619" hidden="1">
              <a:extLst>
                <a:ext uri="{63B3BB69-23CF-44E3-9099-C40C66FF867C}">
                  <a14:compatExt spid="_x0000_s1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74</xdr:row>
          <xdr:rowOff>0</xdr:rowOff>
        </xdr:from>
        <xdr:to>
          <xdr:col>6</xdr:col>
          <xdr:colOff>561975</xdr:colOff>
          <xdr:row>74</xdr:row>
          <xdr:rowOff>219075</xdr:rowOff>
        </xdr:to>
        <xdr:sp macro="" textlink="">
          <xdr:nvSpPr>
            <xdr:cNvPr id="1646" name="Check Box 622" hidden="1">
              <a:extLst>
                <a:ext uri="{63B3BB69-23CF-44E3-9099-C40C66FF867C}">
                  <a14:compatExt spid="_x0000_s1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75</xdr:row>
          <xdr:rowOff>0</xdr:rowOff>
        </xdr:from>
        <xdr:to>
          <xdr:col>5</xdr:col>
          <xdr:colOff>561975</xdr:colOff>
          <xdr:row>75</xdr:row>
          <xdr:rowOff>219075</xdr:rowOff>
        </xdr:to>
        <xdr:sp macro="" textlink="">
          <xdr:nvSpPr>
            <xdr:cNvPr id="1661" name="Check Box 637" hidden="1">
              <a:extLst>
                <a:ext uri="{63B3BB69-23CF-44E3-9099-C40C66FF867C}">
                  <a14:compatExt spid="_x0000_s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75</xdr:row>
          <xdr:rowOff>0</xdr:rowOff>
        </xdr:from>
        <xdr:to>
          <xdr:col>6</xdr:col>
          <xdr:colOff>561975</xdr:colOff>
          <xdr:row>75</xdr:row>
          <xdr:rowOff>219075</xdr:rowOff>
        </xdr:to>
        <xdr:sp macro="" textlink="">
          <xdr:nvSpPr>
            <xdr:cNvPr id="1664" name="Check Box 640" hidden="1">
              <a:extLst>
                <a:ext uri="{63B3BB69-23CF-44E3-9099-C40C66FF867C}">
                  <a14:compatExt spid="_x0000_s1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76</xdr:row>
          <xdr:rowOff>0</xdr:rowOff>
        </xdr:from>
        <xdr:to>
          <xdr:col>5</xdr:col>
          <xdr:colOff>561975</xdr:colOff>
          <xdr:row>76</xdr:row>
          <xdr:rowOff>219075</xdr:rowOff>
        </xdr:to>
        <xdr:sp macro="" textlink="">
          <xdr:nvSpPr>
            <xdr:cNvPr id="1679" name="Check Box 655" hidden="1">
              <a:extLst>
                <a:ext uri="{63B3BB69-23CF-44E3-9099-C40C66FF867C}">
                  <a14:compatExt spid="_x0000_s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76</xdr:row>
          <xdr:rowOff>0</xdr:rowOff>
        </xdr:from>
        <xdr:to>
          <xdr:col>6</xdr:col>
          <xdr:colOff>561975</xdr:colOff>
          <xdr:row>76</xdr:row>
          <xdr:rowOff>219075</xdr:rowOff>
        </xdr:to>
        <xdr:sp macro="" textlink="">
          <xdr:nvSpPr>
            <xdr:cNvPr id="1682" name="Check Box 658" hidden="1">
              <a:extLst>
                <a:ext uri="{63B3BB69-23CF-44E3-9099-C40C66FF867C}">
                  <a14:compatExt spid="_x0000_s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77</xdr:row>
          <xdr:rowOff>0</xdr:rowOff>
        </xdr:from>
        <xdr:to>
          <xdr:col>5</xdr:col>
          <xdr:colOff>561975</xdr:colOff>
          <xdr:row>77</xdr:row>
          <xdr:rowOff>219075</xdr:rowOff>
        </xdr:to>
        <xdr:sp macro="" textlink="">
          <xdr:nvSpPr>
            <xdr:cNvPr id="1697" name="Check Box 673" hidden="1">
              <a:extLst>
                <a:ext uri="{63B3BB69-23CF-44E3-9099-C40C66FF867C}">
                  <a14:compatExt spid="_x0000_s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77</xdr:row>
          <xdr:rowOff>0</xdr:rowOff>
        </xdr:from>
        <xdr:to>
          <xdr:col>6</xdr:col>
          <xdr:colOff>561975</xdr:colOff>
          <xdr:row>77</xdr:row>
          <xdr:rowOff>219075</xdr:rowOff>
        </xdr:to>
        <xdr:sp macro="" textlink="">
          <xdr:nvSpPr>
            <xdr:cNvPr id="1700" name="Check Box 676" hidden="1">
              <a:extLst>
                <a:ext uri="{63B3BB69-23CF-44E3-9099-C40C66FF867C}">
                  <a14:compatExt spid="_x0000_s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78</xdr:row>
          <xdr:rowOff>0</xdr:rowOff>
        </xdr:from>
        <xdr:to>
          <xdr:col>5</xdr:col>
          <xdr:colOff>561975</xdr:colOff>
          <xdr:row>78</xdr:row>
          <xdr:rowOff>219075</xdr:rowOff>
        </xdr:to>
        <xdr:sp macro="" textlink="">
          <xdr:nvSpPr>
            <xdr:cNvPr id="1715" name="Check Box 691" hidden="1">
              <a:extLst>
                <a:ext uri="{63B3BB69-23CF-44E3-9099-C40C66FF867C}">
                  <a14:compatExt spid="_x0000_s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78</xdr:row>
          <xdr:rowOff>0</xdr:rowOff>
        </xdr:from>
        <xdr:to>
          <xdr:col>6</xdr:col>
          <xdr:colOff>561975</xdr:colOff>
          <xdr:row>78</xdr:row>
          <xdr:rowOff>219075</xdr:rowOff>
        </xdr:to>
        <xdr:sp macro="" textlink="">
          <xdr:nvSpPr>
            <xdr:cNvPr id="1718" name="Check Box 694" hidden="1">
              <a:extLst>
                <a:ext uri="{63B3BB69-23CF-44E3-9099-C40C66FF867C}">
                  <a14:compatExt spid="_x0000_s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79</xdr:row>
          <xdr:rowOff>0</xdr:rowOff>
        </xdr:from>
        <xdr:to>
          <xdr:col>5</xdr:col>
          <xdr:colOff>561975</xdr:colOff>
          <xdr:row>79</xdr:row>
          <xdr:rowOff>219075</xdr:rowOff>
        </xdr:to>
        <xdr:sp macro="" textlink="">
          <xdr:nvSpPr>
            <xdr:cNvPr id="1733" name="Check Box 709" hidden="1">
              <a:extLst>
                <a:ext uri="{63B3BB69-23CF-44E3-9099-C40C66FF867C}">
                  <a14:compatExt spid="_x0000_s1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79</xdr:row>
          <xdr:rowOff>0</xdr:rowOff>
        </xdr:from>
        <xdr:to>
          <xdr:col>6</xdr:col>
          <xdr:colOff>561975</xdr:colOff>
          <xdr:row>79</xdr:row>
          <xdr:rowOff>219075</xdr:rowOff>
        </xdr:to>
        <xdr:sp macro="" textlink="">
          <xdr:nvSpPr>
            <xdr:cNvPr id="1736" name="Check Box 712" hidden="1">
              <a:extLst>
                <a:ext uri="{63B3BB69-23CF-44E3-9099-C40C66FF867C}">
                  <a14:compatExt spid="_x0000_s1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80</xdr:row>
          <xdr:rowOff>0</xdr:rowOff>
        </xdr:from>
        <xdr:to>
          <xdr:col>5</xdr:col>
          <xdr:colOff>561975</xdr:colOff>
          <xdr:row>80</xdr:row>
          <xdr:rowOff>219075</xdr:rowOff>
        </xdr:to>
        <xdr:sp macro="" textlink="">
          <xdr:nvSpPr>
            <xdr:cNvPr id="1751" name="Check Box 727" hidden="1">
              <a:extLst>
                <a:ext uri="{63B3BB69-23CF-44E3-9099-C40C66FF867C}">
                  <a14:compatExt spid="_x0000_s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80</xdr:row>
          <xdr:rowOff>0</xdr:rowOff>
        </xdr:from>
        <xdr:to>
          <xdr:col>6</xdr:col>
          <xdr:colOff>561975</xdr:colOff>
          <xdr:row>80</xdr:row>
          <xdr:rowOff>219075</xdr:rowOff>
        </xdr:to>
        <xdr:sp macro="" textlink="">
          <xdr:nvSpPr>
            <xdr:cNvPr id="1754" name="Check Box 730" hidden="1">
              <a:extLst>
                <a:ext uri="{63B3BB69-23CF-44E3-9099-C40C66FF867C}">
                  <a14:compatExt spid="_x0000_s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81</xdr:row>
          <xdr:rowOff>0</xdr:rowOff>
        </xdr:from>
        <xdr:to>
          <xdr:col>5</xdr:col>
          <xdr:colOff>561975</xdr:colOff>
          <xdr:row>82</xdr:row>
          <xdr:rowOff>28575</xdr:rowOff>
        </xdr:to>
        <xdr:sp macro="" textlink="">
          <xdr:nvSpPr>
            <xdr:cNvPr id="1769" name="Check Box 745" hidden="1">
              <a:extLst>
                <a:ext uri="{63B3BB69-23CF-44E3-9099-C40C66FF867C}">
                  <a14:compatExt spid="_x0000_s1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81</xdr:row>
          <xdr:rowOff>0</xdr:rowOff>
        </xdr:from>
        <xdr:to>
          <xdr:col>6</xdr:col>
          <xdr:colOff>561975</xdr:colOff>
          <xdr:row>82</xdr:row>
          <xdr:rowOff>28575</xdr:rowOff>
        </xdr:to>
        <xdr:sp macro="" textlink="">
          <xdr:nvSpPr>
            <xdr:cNvPr id="1772" name="Check Box 748" hidden="1">
              <a:extLst>
                <a:ext uri="{63B3BB69-23CF-44E3-9099-C40C66FF867C}">
                  <a14:compatExt spid="_x0000_s1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82</xdr:row>
          <xdr:rowOff>0</xdr:rowOff>
        </xdr:from>
        <xdr:to>
          <xdr:col>5</xdr:col>
          <xdr:colOff>561975</xdr:colOff>
          <xdr:row>82</xdr:row>
          <xdr:rowOff>219075</xdr:rowOff>
        </xdr:to>
        <xdr:sp macro="" textlink="">
          <xdr:nvSpPr>
            <xdr:cNvPr id="1787" name="Check Box 763" hidden="1">
              <a:extLst>
                <a:ext uri="{63B3BB69-23CF-44E3-9099-C40C66FF867C}">
                  <a14:compatExt spid="_x0000_s1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82</xdr:row>
          <xdr:rowOff>0</xdr:rowOff>
        </xdr:from>
        <xdr:to>
          <xdr:col>6</xdr:col>
          <xdr:colOff>561975</xdr:colOff>
          <xdr:row>82</xdr:row>
          <xdr:rowOff>219075</xdr:rowOff>
        </xdr:to>
        <xdr:sp macro="" textlink="">
          <xdr:nvSpPr>
            <xdr:cNvPr id="1790" name="Check Box 766" hidden="1">
              <a:extLst>
                <a:ext uri="{63B3BB69-23CF-44E3-9099-C40C66FF867C}">
                  <a14:compatExt spid="_x0000_s1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83</xdr:row>
          <xdr:rowOff>0</xdr:rowOff>
        </xdr:from>
        <xdr:to>
          <xdr:col>5</xdr:col>
          <xdr:colOff>561975</xdr:colOff>
          <xdr:row>83</xdr:row>
          <xdr:rowOff>219075</xdr:rowOff>
        </xdr:to>
        <xdr:sp macro="" textlink="">
          <xdr:nvSpPr>
            <xdr:cNvPr id="1805" name="Check Box 781" hidden="1">
              <a:extLst>
                <a:ext uri="{63B3BB69-23CF-44E3-9099-C40C66FF867C}">
                  <a14:compatExt spid="_x0000_s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83</xdr:row>
          <xdr:rowOff>0</xdr:rowOff>
        </xdr:from>
        <xdr:to>
          <xdr:col>6</xdr:col>
          <xdr:colOff>561975</xdr:colOff>
          <xdr:row>83</xdr:row>
          <xdr:rowOff>219075</xdr:rowOff>
        </xdr:to>
        <xdr:sp macro="" textlink="">
          <xdr:nvSpPr>
            <xdr:cNvPr id="1808" name="Check Box 784" hidden="1">
              <a:extLst>
                <a:ext uri="{63B3BB69-23CF-44E3-9099-C40C66FF867C}">
                  <a14:compatExt spid="_x0000_s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84</xdr:row>
          <xdr:rowOff>0</xdr:rowOff>
        </xdr:from>
        <xdr:to>
          <xdr:col>5</xdr:col>
          <xdr:colOff>561975</xdr:colOff>
          <xdr:row>84</xdr:row>
          <xdr:rowOff>219075</xdr:rowOff>
        </xdr:to>
        <xdr:sp macro="" textlink="">
          <xdr:nvSpPr>
            <xdr:cNvPr id="1823" name="Check Box 799" hidden="1">
              <a:extLst>
                <a:ext uri="{63B3BB69-23CF-44E3-9099-C40C66FF867C}">
                  <a14:compatExt spid="_x0000_s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84</xdr:row>
          <xdr:rowOff>0</xdr:rowOff>
        </xdr:from>
        <xdr:to>
          <xdr:col>6</xdr:col>
          <xdr:colOff>561975</xdr:colOff>
          <xdr:row>84</xdr:row>
          <xdr:rowOff>219075</xdr:rowOff>
        </xdr:to>
        <xdr:sp macro="" textlink="">
          <xdr:nvSpPr>
            <xdr:cNvPr id="1826" name="Check Box 802" hidden="1">
              <a:extLst>
                <a:ext uri="{63B3BB69-23CF-44E3-9099-C40C66FF867C}">
                  <a14:compatExt spid="_x0000_s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85</xdr:row>
          <xdr:rowOff>0</xdr:rowOff>
        </xdr:from>
        <xdr:to>
          <xdr:col>5</xdr:col>
          <xdr:colOff>561975</xdr:colOff>
          <xdr:row>85</xdr:row>
          <xdr:rowOff>219075</xdr:rowOff>
        </xdr:to>
        <xdr:sp macro="" textlink="">
          <xdr:nvSpPr>
            <xdr:cNvPr id="1841" name="Check Box 817" hidden="1">
              <a:extLst>
                <a:ext uri="{63B3BB69-23CF-44E3-9099-C40C66FF867C}">
                  <a14:compatExt spid="_x0000_s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85</xdr:row>
          <xdr:rowOff>0</xdr:rowOff>
        </xdr:from>
        <xdr:to>
          <xdr:col>6</xdr:col>
          <xdr:colOff>561975</xdr:colOff>
          <xdr:row>85</xdr:row>
          <xdr:rowOff>219075</xdr:rowOff>
        </xdr:to>
        <xdr:sp macro="" textlink="">
          <xdr:nvSpPr>
            <xdr:cNvPr id="1844" name="Check Box 820" hidden="1">
              <a:extLst>
                <a:ext uri="{63B3BB69-23CF-44E3-9099-C40C66FF867C}">
                  <a14:compatExt spid="_x0000_s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86</xdr:row>
          <xdr:rowOff>0</xdr:rowOff>
        </xdr:from>
        <xdr:to>
          <xdr:col>5</xdr:col>
          <xdr:colOff>561975</xdr:colOff>
          <xdr:row>86</xdr:row>
          <xdr:rowOff>219075</xdr:rowOff>
        </xdr:to>
        <xdr:sp macro="" textlink="">
          <xdr:nvSpPr>
            <xdr:cNvPr id="1859" name="Check Box 835" hidden="1">
              <a:extLst>
                <a:ext uri="{63B3BB69-23CF-44E3-9099-C40C66FF867C}">
                  <a14:compatExt spid="_x0000_s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86</xdr:row>
          <xdr:rowOff>0</xdr:rowOff>
        </xdr:from>
        <xdr:to>
          <xdr:col>6</xdr:col>
          <xdr:colOff>561975</xdr:colOff>
          <xdr:row>86</xdr:row>
          <xdr:rowOff>219075</xdr:rowOff>
        </xdr:to>
        <xdr:sp macro="" textlink="">
          <xdr:nvSpPr>
            <xdr:cNvPr id="1862" name="Check Box 838" hidden="1">
              <a:extLst>
                <a:ext uri="{63B3BB69-23CF-44E3-9099-C40C66FF867C}">
                  <a14:compatExt spid="_x0000_s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87</xdr:row>
          <xdr:rowOff>0</xdr:rowOff>
        </xdr:from>
        <xdr:to>
          <xdr:col>5</xdr:col>
          <xdr:colOff>561975</xdr:colOff>
          <xdr:row>87</xdr:row>
          <xdr:rowOff>219075</xdr:rowOff>
        </xdr:to>
        <xdr:sp macro="" textlink="">
          <xdr:nvSpPr>
            <xdr:cNvPr id="1877" name="Check Box 853" hidden="1">
              <a:extLst>
                <a:ext uri="{63B3BB69-23CF-44E3-9099-C40C66FF867C}">
                  <a14:compatExt spid="_x0000_s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87</xdr:row>
          <xdr:rowOff>0</xdr:rowOff>
        </xdr:from>
        <xdr:to>
          <xdr:col>6</xdr:col>
          <xdr:colOff>561975</xdr:colOff>
          <xdr:row>87</xdr:row>
          <xdr:rowOff>219075</xdr:rowOff>
        </xdr:to>
        <xdr:sp macro="" textlink="">
          <xdr:nvSpPr>
            <xdr:cNvPr id="1880" name="Check Box 856" hidden="1">
              <a:extLst>
                <a:ext uri="{63B3BB69-23CF-44E3-9099-C40C66FF867C}">
                  <a14:compatExt spid="_x0000_s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88</xdr:row>
          <xdr:rowOff>0</xdr:rowOff>
        </xdr:from>
        <xdr:to>
          <xdr:col>5</xdr:col>
          <xdr:colOff>561975</xdr:colOff>
          <xdr:row>88</xdr:row>
          <xdr:rowOff>219075</xdr:rowOff>
        </xdr:to>
        <xdr:sp macro="" textlink="">
          <xdr:nvSpPr>
            <xdr:cNvPr id="1895" name="Check Box 871" hidden="1">
              <a:extLst>
                <a:ext uri="{63B3BB69-23CF-44E3-9099-C40C66FF867C}">
                  <a14:compatExt spid="_x0000_s1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88</xdr:row>
          <xdr:rowOff>0</xdr:rowOff>
        </xdr:from>
        <xdr:to>
          <xdr:col>6</xdr:col>
          <xdr:colOff>561975</xdr:colOff>
          <xdr:row>88</xdr:row>
          <xdr:rowOff>219075</xdr:rowOff>
        </xdr:to>
        <xdr:sp macro="" textlink="">
          <xdr:nvSpPr>
            <xdr:cNvPr id="1898" name="Check Box 874" hidden="1">
              <a:extLst>
                <a:ext uri="{63B3BB69-23CF-44E3-9099-C40C66FF867C}">
                  <a14:compatExt spid="_x0000_s1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89</xdr:row>
          <xdr:rowOff>114300</xdr:rowOff>
        </xdr:from>
        <xdr:to>
          <xdr:col>5</xdr:col>
          <xdr:colOff>561975</xdr:colOff>
          <xdr:row>89</xdr:row>
          <xdr:rowOff>333375</xdr:rowOff>
        </xdr:to>
        <xdr:sp macro="" textlink="">
          <xdr:nvSpPr>
            <xdr:cNvPr id="1913" name="Check Box 889" hidden="1">
              <a:extLst>
                <a:ext uri="{63B3BB69-23CF-44E3-9099-C40C66FF867C}">
                  <a14:compatExt spid="_x0000_s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89</xdr:row>
          <xdr:rowOff>104775</xdr:rowOff>
        </xdr:from>
        <xdr:to>
          <xdr:col>6</xdr:col>
          <xdr:colOff>561975</xdr:colOff>
          <xdr:row>89</xdr:row>
          <xdr:rowOff>323850</xdr:rowOff>
        </xdr:to>
        <xdr:sp macro="" textlink="">
          <xdr:nvSpPr>
            <xdr:cNvPr id="1916" name="Check Box 892" hidden="1">
              <a:extLst>
                <a:ext uri="{63B3BB69-23CF-44E3-9099-C40C66FF867C}">
                  <a14:compatExt spid="_x0000_s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90</xdr:row>
          <xdr:rowOff>361950</xdr:rowOff>
        </xdr:from>
        <xdr:to>
          <xdr:col>5</xdr:col>
          <xdr:colOff>561975</xdr:colOff>
          <xdr:row>90</xdr:row>
          <xdr:rowOff>581025</xdr:rowOff>
        </xdr:to>
        <xdr:sp macro="" textlink="">
          <xdr:nvSpPr>
            <xdr:cNvPr id="1931" name="Check Box 907" hidden="1">
              <a:extLst>
                <a:ext uri="{63B3BB69-23CF-44E3-9099-C40C66FF867C}">
                  <a14:compatExt spid="_x0000_s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90</xdr:row>
          <xdr:rowOff>352425</xdr:rowOff>
        </xdr:from>
        <xdr:to>
          <xdr:col>6</xdr:col>
          <xdr:colOff>561975</xdr:colOff>
          <xdr:row>90</xdr:row>
          <xdr:rowOff>571500</xdr:rowOff>
        </xdr:to>
        <xdr:sp macro="" textlink="">
          <xdr:nvSpPr>
            <xdr:cNvPr id="1934" name="Check Box 910" hidden="1">
              <a:extLst>
                <a:ext uri="{63B3BB69-23CF-44E3-9099-C40C66FF867C}">
                  <a14:compatExt spid="_x0000_s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91</xdr:row>
          <xdr:rowOff>0</xdr:rowOff>
        </xdr:from>
        <xdr:to>
          <xdr:col>5</xdr:col>
          <xdr:colOff>561975</xdr:colOff>
          <xdr:row>92</xdr:row>
          <xdr:rowOff>28575</xdr:rowOff>
        </xdr:to>
        <xdr:sp macro="" textlink="">
          <xdr:nvSpPr>
            <xdr:cNvPr id="1949" name="Check Box 925" hidden="1">
              <a:extLst>
                <a:ext uri="{63B3BB69-23CF-44E3-9099-C40C66FF867C}">
                  <a14:compatExt spid="_x0000_s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91</xdr:row>
          <xdr:rowOff>0</xdr:rowOff>
        </xdr:from>
        <xdr:to>
          <xdr:col>6</xdr:col>
          <xdr:colOff>561975</xdr:colOff>
          <xdr:row>92</xdr:row>
          <xdr:rowOff>28575</xdr:rowOff>
        </xdr:to>
        <xdr:sp macro="" textlink="">
          <xdr:nvSpPr>
            <xdr:cNvPr id="1952" name="Check Box 928" hidden="1">
              <a:extLst>
                <a:ext uri="{63B3BB69-23CF-44E3-9099-C40C66FF867C}">
                  <a14:compatExt spid="_x0000_s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92</xdr:row>
          <xdr:rowOff>0</xdr:rowOff>
        </xdr:from>
        <xdr:to>
          <xdr:col>5</xdr:col>
          <xdr:colOff>561975</xdr:colOff>
          <xdr:row>93</xdr:row>
          <xdr:rowOff>28575</xdr:rowOff>
        </xdr:to>
        <xdr:sp macro="" textlink="">
          <xdr:nvSpPr>
            <xdr:cNvPr id="1967" name="Check Box 943" hidden="1">
              <a:extLst>
                <a:ext uri="{63B3BB69-23CF-44E3-9099-C40C66FF867C}">
                  <a14:compatExt spid="_x0000_s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92</xdr:row>
          <xdr:rowOff>0</xdr:rowOff>
        </xdr:from>
        <xdr:to>
          <xdr:col>6</xdr:col>
          <xdr:colOff>561975</xdr:colOff>
          <xdr:row>93</xdr:row>
          <xdr:rowOff>28575</xdr:rowOff>
        </xdr:to>
        <xdr:sp macro="" textlink="">
          <xdr:nvSpPr>
            <xdr:cNvPr id="1970" name="Check Box 946" hidden="1">
              <a:extLst>
                <a:ext uri="{63B3BB69-23CF-44E3-9099-C40C66FF867C}">
                  <a14:compatExt spid="_x0000_s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93</xdr:row>
          <xdr:rowOff>0</xdr:rowOff>
        </xdr:from>
        <xdr:to>
          <xdr:col>5</xdr:col>
          <xdr:colOff>561975</xdr:colOff>
          <xdr:row>94</xdr:row>
          <xdr:rowOff>28575</xdr:rowOff>
        </xdr:to>
        <xdr:sp macro="" textlink="">
          <xdr:nvSpPr>
            <xdr:cNvPr id="1985" name="Check Box 961" hidden="1">
              <a:extLst>
                <a:ext uri="{63B3BB69-23CF-44E3-9099-C40C66FF867C}">
                  <a14:compatExt spid="_x0000_s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93</xdr:row>
          <xdr:rowOff>0</xdr:rowOff>
        </xdr:from>
        <xdr:to>
          <xdr:col>6</xdr:col>
          <xdr:colOff>561975</xdr:colOff>
          <xdr:row>94</xdr:row>
          <xdr:rowOff>28575</xdr:rowOff>
        </xdr:to>
        <xdr:sp macro="" textlink="">
          <xdr:nvSpPr>
            <xdr:cNvPr id="1988" name="Check Box 964" hidden="1">
              <a:extLst>
                <a:ext uri="{63B3BB69-23CF-44E3-9099-C40C66FF867C}">
                  <a14:compatExt spid="_x0000_s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94</xdr:row>
          <xdr:rowOff>257175</xdr:rowOff>
        </xdr:from>
        <xdr:to>
          <xdr:col>5</xdr:col>
          <xdr:colOff>561975</xdr:colOff>
          <xdr:row>94</xdr:row>
          <xdr:rowOff>476250</xdr:rowOff>
        </xdr:to>
        <xdr:sp macro="" textlink="">
          <xdr:nvSpPr>
            <xdr:cNvPr id="2003" name="Check Box 979" hidden="1">
              <a:extLst>
                <a:ext uri="{63B3BB69-23CF-44E3-9099-C40C66FF867C}">
                  <a14:compatExt spid="_x0000_s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94</xdr:row>
          <xdr:rowOff>257175</xdr:rowOff>
        </xdr:from>
        <xdr:to>
          <xdr:col>6</xdr:col>
          <xdr:colOff>561975</xdr:colOff>
          <xdr:row>94</xdr:row>
          <xdr:rowOff>476250</xdr:rowOff>
        </xdr:to>
        <xdr:sp macro="" textlink="">
          <xdr:nvSpPr>
            <xdr:cNvPr id="2006" name="Check Box 982" hidden="1">
              <a:extLst>
                <a:ext uri="{63B3BB69-23CF-44E3-9099-C40C66FF867C}">
                  <a14:compatExt spid="_x0000_s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95</xdr:row>
          <xdr:rowOff>342900</xdr:rowOff>
        </xdr:from>
        <xdr:to>
          <xdr:col>6</xdr:col>
          <xdr:colOff>561975</xdr:colOff>
          <xdr:row>95</xdr:row>
          <xdr:rowOff>561975</xdr:rowOff>
        </xdr:to>
        <xdr:sp macro="" textlink="">
          <xdr:nvSpPr>
            <xdr:cNvPr id="2024" name="Check Box 1000" hidden="1">
              <a:extLst>
                <a:ext uri="{63B3BB69-23CF-44E3-9099-C40C66FF867C}">
                  <a14:compatExt spid="_x0000_s2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97</xdr:row>
          <xdr:rowOff>85725</xdr:rowOff>
        </xdr:from>
        <xdr:to>
          <xdr:col>5</xdr:col>
          <xdr:colOff>552450</xdr:colOff>
          <xdr:row>97</xdr:row>
          <xdr:rowOff>304800</xdr:rowOff>
        </xdr:to>
        <xdr:sp macro="" textlink="">
          <xdr:nvSpPr>
            <xdr:cNvPr id="2039" name="Check Box 1015" hidden="1">
              <a:extLst>
                <a:ext uri="{63B3BB69-23CF-44E3-9099-C40C66FF867C}">
                  <a14:compatExt spid="_x0000_s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97</xdr:row>
          <xdr:rowOff>95250</xdr:rowOff>
        </xdr:from>
        <xdr:to>
          <xdr:col>6</xdr:col>
          <xdr:colOff>561975</xdr:colOff>
          <xdr:row>97</xdr:row>
          <xdr:rowOff>314325</xdr:rowOff>
        </xdr:to>
        <xdr:sp macro="" textlink="">
          <xdr:nvSpPr>
            <xdr:cNvPr id="2042" name="Check Box 1018" hidden="1">
              <a:extLst>
                <a:ext uri="{63B3BB69-23CF-44E3-9099-C40C66FF867C}">
                  <a14:compatExt spid="_x0000_s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98</xdr:row>
          <xdr:rowOff>38100</xdr:rowOff>
        </xdr:from>
        <xdr:to>
          <xdr:col>5</xdr:col>
          <xdr:colOff>561975</xdr:colOff>
          <xdr:row>98</xdr:row>
          <xdr:rowOff>257175</xdr:rowOff>
        </xdr:to>
        <xdr:sp macro="" textlink="">
          <xdr:nvSpPr>
            <xdr:cNvPr id="2057" name="Check Box 1033"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98</xdr:row>
          <xdr:rowOff>38100</xdr:rowOff>
        </xdr:from>
        <xdr:to>
          <xdr:col>6</xdr:col>
          <xdr:colOff>561975</xdr:colOff>
          <xdr:row>98</xdr:row>
          <xdr:rowOff>257175</xdr:rowOff>
        </xdr:to>
        <xdr:sp macro="" textlink="">
          <xdr:nvSpPr>
            <xdr:cNvPr id="2060" name="Check Box 1036"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99</xdr:row>
          <xdr:rowOff>314325</xdr:rowOff>
        </xdr:from>
        <xdr:to>
          <xdr:col>5</xdr:col>
          <xdr:colOff>561975</xdr:colOff>
          <xdr:row>100</xdr:row>
          <xdr:rowOff>209550</xdr:rowOff>
        </xdr:to>
        <xdr:sp macro="" textlink="">
          <xdr:nvSpPr>
            <xdr:cNvPr id="2111" name="Check Box 1087"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99</xdr:row>
          <xdr:rowOff>304800</xdr:rowOff>
        </xdr:from>
        <xdr:to>
          <xdr:col>6</xdr:col>
          <xdr:colOff>561975</xdr:colOff>
          <xdr:row>100</xdr:row>
          <xdr:rowOff>200025</xdr:rowOff>
        </xdr:to>
        <xdr:sp macro="" textlink="">
          <xdr:nvSpPr>
            <xdr:cNvPr id="2114" name="Check Box 1090" hidden="1">
              <a:extLst>
                <a:ext uri="{63B3BB69-23CF-44E3-9099-C40C66FF867C}">
                  <a14:compatExt spid="_x0000_s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102</xdr:row>
          <xdr:rowOff>600075</xdr:rowOff>
        </xdr:from>
        <xdr:to>
          <xdr:col>5</xdr:col>
          <xdr:colOff>561975</xdr:colOff>
          <xdr:row>104</xdr:row>
          <xdr:rowOff>0</xdr:rowOff>
        </xdr:to>
        <xdr:sp macro="" textlink="">
          <xdr:nvSpPr>
            <xdr:cNvPr id="2147" name="Check Box 1123" hidden="1">
              <a:extLst>
                <a:ext uri="{63B3BB69-23CF-44E3-9099-C40C66FF867C}">
                  <a14:compatExt spid="_x0000_s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102</xdr:row>
          <xdr:rowOff>609600</xdr:rowOff>
        </xdr:from>
        <xdr:to>
          <xdr:col>6</xdr:col>
          <xdr:colOff>561975</xdr:colOff>
          <xdr:row>104</xdr:row>
          <xdr:rowOff>9525</xdr:rowOff>
        </xdr:to>
        <xdr:sp macro="" textlink="">
          <xdr:nvSpPr>
            <xdr:cNvPr id="2150" name="Check Box 1126" hidden="1">
              <a:extLst>
                <a:ext uri="{63B3BB69-23CF-44E3-9099-C40C66FF867C}">
                  <a14:compatExt spid="_x0000_s2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104</xdr:row>
          <xdr:rowOff>0</xdr:rowOff>
        </xdr:from>
        <xdr:to>
          <xdr:col>5</xdr:col>
          <xdr:colOff>561975</xdr:colOff>
          <xdr:row>104</xdr:row>
          <xdr:rowOff>219075</xdr:rowOff>
        </xdr:to>
        <xdr:sp macro="" textlink="">
          <xdr:nvSpPr>
            <xdr:cNvPr id="2165" name="Check Box 1141" hidden="1">
              <a:extLst>
                <a:ext uri="{63B3BB69-23CF-44E3-9099-C40C66FF867C}">
                  <a14:compatExt spid="_x0000_s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104</xdr:row>
          <xdr:rowOff>0</xdr:rowOff>
        </xdr:from>
        <xdr:to>
          <xdr:col>6</xdr:col>
          <xdr:colOff>561975</xdr:colOff>
          <xdr:row>104</xdr:row>
          <xdr:rowOff>219075</xdr:rowOff>
        </xdr:to>
        <xdr:sp macro="" textlink="">
          <xdr:nvSpPr>
            <xdr:cNvPr id="2168" name="Check Box 1144" hidden="1">
              <a:extLst>
                <a:ext uri="{63B3BB69-23CF-44E3-9099-C40C66FF867C}">
                  <a14:compatExt spid="_x0000_s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105</xdr:row>
          <xdr:rowOff>114300</xdr:rowOff>
        </xdr:from>
        <xdr:to>
          <xdr:col>5</xdr:col>
          <xdr:colOff>561975</xdr:colOff>
          <xdr:row>105</xdr:row>
          <xdr:rowOff>333375</xdr:rowOff>
        </xdr:to>
        <xdr:sp macro="" textlink="">
          <xdr:nvSpPr>
            <xdr:cNvPr id="2183" name="Check Box 1159" hidden="1">
              <a:extLst>
                <a:ext uri="{63B3BB69-23CF-44E3-9099-C40C66FF867C}">
                  <a14:compatExt spid="_x0000_s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105</xdr:row>
          <xdr:rowOff>114300</xdr:rowOff>
        </xdr:from>
        <xdr:to>
          <xdr:col>6</xdr:col>
          <xdr:colOff>561975</xdr:colOff>
          <xdr:row>105</xdr:row>
          <xdr:rowOff>333375</xdr:rowOff>
        </xdr:to>
        <xdr:sp macro="" textlink="">
          <xdr:nvSpPr>
            <xdr:cNvPr id="2186" name="Check Box 1162" hidden="1">
              <a:extLst>
                <a:ext uri="{63B3BB69-23CF-44E3-9099-C40C66FF867C}">
                  <a14:compatExt spid="_x0000_s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108</xdr:row>
          <xdr:rowOff>0</xdr:rowOff>
        </xdr:from>
        <xdr:to>
          <xdr:col>5</xdr:col>
          <xdr:colOff>561975</xdr:colOff>
          <xdr:row>109</xdr:row>
          <xdr:rowOff>0</xdr:rowOff>
        </xdr:to>
        <xdr:sp macro="" textlink="">
          <xdr:nvSpPr>
            <xdr:cNvPr id="2201" name="Check Box 1177" hidden="1">
              <a:extLst>
                <a:ext uri="{63B3BB69-23CF-44E3-9099-C40C66FF867C}">
                  <a14:compatExt spid="_x0000_s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108</xdr:row>
          <xdr:rowOff>0</xdr:rowOff>
        </xdr:from>
        <xdr:to>
          <xdr:col>6</xdr:col>
          <xdr:colOff>561975</xdr:colOff>
          <xdr:row>109</xdr:row>
          <xdr:rowOff>0</xdr:rowOff>
        </xdr:to>
        <xdr:sp macro="" textlink="">
          <xdr:nvSpPr>
            <xdr:cNvPr id="2204" name="Check Box 1180" hidden="1">
              <a:extLst>
                <a:ext uri="{63B3BB69-23CF-44E3-9099-C40C66FF867C}">
                  <a14:compatExt spid="_x0000_s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109</xdr:row>
          <xdr:rowOff>114300</xdr:rowOff>
        </xdr:from>
        <xdr:to>
          <xdr:col>5</xdr:col>
          <xdr:colOff>561975</xdr:colOff>
          <xdr:row>109</xdr:row>
          <xdr:rowOff>333375</xdr:rowOff>
        </xdr:to>
        <xdr:sp macro="" textlink="">
          <xdr:nvSpPr>
            <xdr:cNvPr id="2219" name="Check Box 1195" hidden="1">
              <a:extLst>
                <a:ext uri="{63B3BB69-23CF-44E3-9099-C40C66FF867C}">
                  <a14:compatExt spid="_x0000_s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109</xdr:row>
          <xdr:rowOff>114300</xdr:rowOff>
        </xdr:from>
        <xdr:to>
          <xdr:col>6</xdr:col>
          <xdr:colOff>561975</xdr:colOff>
          <xdr:row>109</xdr:row>
          <xdr:rowOff>333375</xdr:rowOff>
        </xdr:to>
        <xdr:sp macro="" textlink="">
          <xdr:nvSpPr>
            <xdr:cNvPr id="2222" name="Check Box 1198" hidden="1">
              <a:extLst>
                <a:ext uri="{63B3BB69-23CF-44E3-9099-C40C66FF867C}">
                  <a14:compatExt spid="_x0000_s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110</xdr:row>
          <xdr:rowOff>114300</xdr:rowOff>
        </xdr:from>
        <xdr:to>
          <xdr:col>5</xdr:col>
          <xdr:colOff>561975</xdr:colOff>
          <xdr:row>110</xdr:row>
          <xdr:rowOff>333375</xdr:rowOff>
        </xdr:to>
        <xdr:sp macro="" textlink="">
          <xdr:nvSpPr>
            <xdr:cNvPr id="2237" name="Check Box 1213" hidden="1">
              <a:extLst>
                <a:ext uri="{63B3BB69-23CF-44E3-9099-C40C66FF867C}">
                  <a14:compatExt spid="_x0000_s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110</xdr:row>
          <xdr:rowOff>123825</xdr:rowOff>
        </xdr:from>
        <xdr:to>
          <xdr:col>6</xdr:col>
          <xdr:colOff>561975</xdr:colOff>
          <xdr:row>110</xdr:row>
          <xdr:rowOff>342900</xdr:rowOff>
        </xdr:to>
        <xdr:sp macro="" textlink="">
          <xdr:nvSpPr>
            <xdr:cNvPr id="2240" name="Check Box 1216" hidden="1">
              <a:extLst>
                <a:ext uri="{63B3BB69-23CF-44E3-9099-C40C66FF867C}">
                  <a14:compatExt spid="_x0000_s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105</xdr:row>
          <xdr:rowOff>466725</xdr:rowOff>
        </xdr:from>
        <xdr:to>
          <xdr:col>5</xdr:col>
          <xdr:colOff>561975</xdr:colOff>
          <xdr:row>107</xdr:row>
          <xdr:rowOff>9525</xdr:rowOff>
        </xdr:to>
        <xdr:sp macro="" textlink="">
          <xdr:nvSpPr>
            <xdr:cNvPr id="2265" name="Check Box 1241" hidden="1">
              <a:extLst>
                <a:ext uri="{63B3BB69-23CF-44E3-9099-C40C66FF867C}">
                  <a14:compatExt spid="_x0000_s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105</xdr:row>
          <xdr:rowOff>466725</xdr:rowOff>
        </xdr:from>
        <xdr:to>
          <xdr:col>6</xdr:col>
          <xdr:colOff>561975</xdr:colOff>
          <xdr:row>107</xdr:row>
          <xdr:rowOff>9525</xdr:rowOff>
        </xdr:to>
        <xdr:sp macro="" textlink="">
          <xdr:nvSpPr>
            <xdr:cNvPr id="2266" name="Check Box 1242" hidden="1">
              <a:extLst>
                <a:ext uri="{63B3BB69-23CF-44E3-9099-C40C66FF867C}">
                  <a14:compatExt spid="_x0000_s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107</xdr:row>
          <xdr:rowOff>57150</xdr:rowOff>
        </xdr:from>
        <xdr:to>
          <xdr:col>5</xdr:col>
          <xdr:colOff>561975</xdr:colOff>
          <xdr:row>107</xdr:row>
          <xdr:rowOff>276225</xdr:rowOff>
        </xdr:to>
        <xdr:sp macro="" textlink="">
          <xdr:nvSpPr>
            <xdr:cNvPr id="2267" name="Check Box 1243" hidden="1">
              <a:extLst>
                <a:ext uri="{63B3BB69-23CF-44E3-9099-C40C66FF867C}">
                  <a14:compatExt spid="_x0000_s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107</xdr:row>
          <xdr:rowOff>66675</xdr:rowOff>
        </xdr:from>
        <xdr:to>
          <xdr:col>6</xdr:col>
          <xdr:colOff>561975</xdr:colOff>
          <xdr:row>107</xdr:row>
          <xdr:rowOff>285750</xdr:rowOff>
        </xdr:to>
        <xdr:sp macro="" textlink="">
          <xdr:nvSpPr>
            <xdr:cNvPr id="2268" name="Check Box 1244" hidden="1">
              <a:extLst>
                <a:ext uri="{63B3BB69-23CF-44E3-9099-C40C66FF867C}">
                  <a14:compatExt spid="_x0000_s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35</xdr:row>
          <xdr:rowOff>180975</xdr:rowOff>
        </xdr:from>
        <xdr:to>
          <xdr:col>5</xdr:col>
          <xdr:colOff>561975</xdr:colOff>
          <xdr:row>37</xdr:row>
          <xdr:rowOff>0</xdr:rowOff>
        </xdr:to>
        <xdr:sp macro="" textlink="">
          <xdr:nvSpPr>
            <xdr:cNvPr id="2271" name="Check Box 1247" hidden="1">
              <a:extLst>
                <a:ext uri="{63B3BB69-23CF-44E3-9099-C40C66FF867C}">
                  <a14:compatExt spid="_x0000_s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35</xdr:row>
          <xdr:rowOff>180975</xdr:rowOff>
        </xdr:from>
        <xdr:to>
          <xdr:col>6</xdr:col>
          <xdr:colOff>561975</xdr:colOff>
          <xdr:row>37</xdr:row>
          <xdr:rowOff>0</xdr:rowOff>
        </xdr:to>
        <xdr:sp macro="" textlink="">
          <xdr:nvSpPr>
            <xdr:cNvPr id="2273" name="Check Box 1249" hidden="1">
              <a:extLst>
                <a:ext uri="{63B3BB69-23CF-44E3-9099-C40C66FF867C}">
                  <a14:compatExt spid="_x0000_s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101</xdr:row>
          <xdr:rowOff>371475</xdr:rowOff>
        </xdr:from>
        <xdr:to>
          <xdr:col>5</xdr:col>
          <xdr:colOff>523875</xdr:colOff>
          <xdr:row>102</xdr:row>
          <xdr:rowOff>200025</xdr:rowOff>
        </xdr:to>
        <xdr:sp macro="" textlink="">
          <xdr:nvSpPr>
            <xdr:cNvPr id="2275" name="Check Box 1251" hidden="1">
              <a:extLst>
                <a:ext uri="{63B3BB69-23CF-44E3-9099-C40C66FF867C}">
                  <a14:compatExt spid="_x0000_s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101</xdr:row>
          <xdr:rowOff>361950</xdr:rowOff>
        </xdr:from>
        <xdr:to>
          <xdr:col>6</xdr:col>
          <xdr:colOff>552450</xdr:colOff>
          <xdr:row>102</xdr:row>
          <xdr:rowOff>190500</xdr:rowOff>
        </xdr:to>
        <xdr:sp macro="" textlink="">
          <xdr:nvSpPr>
            <xdr:cNvPr id="2276" name="Check Box 1252" hidden="1">
              <a:extLst>
                <a:ext uri="{63B3BB69-23CF-44E3-9099-C40C66FF867C}">
                  <a14:compatExt spid="_x0000_s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95</xdr:row>
          <xdr:rowOff>342900</xdr:rowOff>
        </xdr:from>
        <xdr:to>
          <xdr:col>5</xdr:col>
          <xdr:colOff>561975</xdr:colOff>
          <xdr:row>95</xdr:row>
          <xdr:rowOff>561975</xdr:rowOff>
        </xdr:to>
        <xdr:sp macro="" textlink="">
          <xdr:nvSpPr>
            <xdr:cNvPr id="2287" name="Check Box 1263" hidden="1">
              <a:extLst>
                <a:ext uri="{63B3BB69-23CF-44E3-9099-C40C66FF867C}">
                  <a14:compatExt spid="_x0000_s2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13</xdr:col>
      <xdr:colOff>542925</xdr:colOff>
      <xdr:row>0</xdr:row>
      <xdr:rowOff>66675</xdr:rowOff>
    </xdr:from>
    <xdr:to>
      <xdr:col>14</xdr:col>
      <xdr:colOff>533400</xdr:colOff>
      <xdr:row>3</xdr:row>
      <xdr:rowOff>104775</xdr:rowOff>
    </xdr:to>
    <xdr:pic>
      <xdr:nvPicPr>
        <xdr:cNvPr id="2" name="Picture 638" descr="ENERGY STAR Logo for Power Poi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24875" y="66675"/>
          <a:ext cx="6000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5</xdr:row>
      <xdr:rowOff>47625</xdr:rowOff>
    </xdr:from>
    <xdr:to>
      <xdr:col>0</xdr:col>
      <xdr:colOff>1066800</xdr:colOff>
      <xdr:row>7</xdr:row>
      <xdr:rowOff>247650</xdr:rowOff>
    </xdr:to>
    <xdr:pic>
      <xdr:nvPicPr>
        <xdr:cNvPr id="2" name="Picture 638" descr="ENERGY STAR Logo for Power Poi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257300"/>
          <a:ext cx="8382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466725</xdr:colOff>
      <xdr:row>71</xdr:row>
      <xdr:rowOff>114300</xdr:rowOff>
    </xdr:from>
    <xdr:to>
      <xdr:col>9</xdr:col>
      <xdr:colOff>542925</xdr:colOff>
      <xdr:row>93</xdr:row>
      <xdr:rowOff>152400</xdr:rowOff>
    </xdr:to>
    <xdr:grpSp>
      <xdr:nvGrpSpPr>
        <xdr:cNvPr id="2" name="Group 3"/>
        <xdr:cNvGrpSpPr>
          <a:grpSpLocks noChangeAspect="1"/>
        </xdr:cNvGrpSpPr>
      </xdr:nvGrpSpPr>
      <xdr:grpSpPr bwMode="auto">
        <a:xfrm>
          <a:off x="2409825" y="47244000"/>
          <a:ext cx="6991350" cy="4086225"/>
          <a:chOff x="269" y="1404"/>
          <a:chExt cx="312" cy="192"/>
        </a:xfrm>
      </xdr:grpSpPr>
      <xdr:sp macro="" textlink="">
        <xdr:nvSpPr>
          <xdr:cNvPr id="3" name="AutoShape 4"/>
          <xdr:cNvSpPr>
            <a:spLocks noChangeAspect="1" noChangeArrowheads="1"/>
          </xdr:cNvSpPr>
        </xdr:nvSpPr>
        <xdr:spPr bwMode="auto">
          <a:xfrm>
            <a:off x="269" y="1404"/>
            <a:ext cx="312" cy="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619125</xdr:colOff>
      <xdr:row>69</xdr:row>
      <xdr:rowOff>47625</xdr:rowOff>
    </xdr:from>
    <xdr:to>
      <xdr:col>8</xdr:col>
      <xdr:colOff>466725</xdr:colOff>
      <xdr:row>87</xdr:row>
      <xdr:rowOff>104775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hyperlink" Target="mailto:pgleeson@trcsolutions.com?subject=Modified%20Prescriptive%20Path%20T&amp;V%20Worksheet%20Question" TargetMode="External"/><Relationship Id="rId2" Type="http://schemas.openxmlformats.org/officeDocument/2006/relationships/hyperlink" Target="http://www.youtube.com/watch?v=gco7heVBBZY" TargetMode="External"/><Relationship Id="rId1" Type="http://schemas.openxmlformats.org/officeDocument/2006/relationships/hyperlink" Target="mailto:pgleeson@trcsolutions.com" TargetMode="External"/><Relationship Id="rId5" Type="http://schemas.openxmlformats.org/officeDocument/2006/relationships/drawing" Target="../drawings/drawing2.xml"/><Relationship Id="rId4"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ema.org/stds/complimentary-docs/upload/MG1premium.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27.bin"/><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59" Type="http://schemas.openxmlformats.org/officeDocument/2006/relationships/ctrlProp" Target="../ctrlProps/ctrlProp156.xml"/><Relationship Id="rId175" Type="http://schemas.openxmlformats.org/officeDocument/2006/relationships/ctrlProp" Target="../ctrlProps/ctrlProp172.xml"/><Relationship Id="rId170" Type="http://schemas.openxmlformats.org/officeDocument/2006/relationships/ctrlProp" Target="../ctrlProps/ctrlProp167.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181" Type="http://schemas.openxmlformats.org/officeDocument/2006/relationships/ctrlProp" Target="../ctrlProps/ctrlProp178.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71" Type="http://schemas.openxmlformats.org/officeDocument/2006/relationships/ctrlProp" Target="../ctrlProps/ctrlProp168.xml"/><Relationship Id="rId176" Type="http://schemas.openxmlformats.org/officeDocument/2006/relationships/ctrlProp" Target="../ctrlProps/ctrlProp173.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82"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4" Type="http://schemas.openxmlformats.org/officeDocument/2006/relationships/ctrlProp" Target="../ctrlProps/ctrlProp1.xml"/><Relationship Id="rId9" Type="http://schemas.openxmlformats.org/officeDocument/2006/relationships/ctrlProp" Target="../ctrlProps/ctrlProp6.xml"/><Relationship Id="rId172" Type="http://schemas.openxmlformats.org/officeDocument/2006/relationships/ctrlProp" Target="../ctrlProps/ctrlProp169.xml"/><Relationship Id="rId180" Type="http://schemas.openxmlformats.org/officeDocument/2006/relationships/ctrlProp" Target="../ctrlProps/ctrlProp177.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B1:C18"/>
  <sheetViews>
    <sheetView showGridLines="0" topLeftCell="B1" workbookViewId="0">
      <selection activeCell="B2" sqref="B2"/>
    </sheetView>
  </sheetViews>
  <sheetFormatPr defaultRowHeight="12"/>
  <cols>
    <col min="1" max="1" width="2.42578125" style="1730" customWidth="1"/>
    <col min="2" max="2" width="9.140625" style="1730"/>
    <col min="3" max="3" width="112.85546875" style="1730" customWidth="1"/>
    <col min="4" max="256" width="9.140625" style="1730"/>
    <col min="257" max="257" width="2.42578125" style="1730" customWidth="1"/>
    <col min="258" max="258" width="9.140625" style="1730"/>
    <col min="259" max="259" width="112.85546875" style="1730" customWidth="1"/>
    <col min="260" max="512" width="9.140625" style="1730"/>
    <col min="513" max="513" width="2.42578125" style="1730" customWidth="1"/>
    <col min="514" max="514" width="9.140625" style="1730"/>
    <col min="515" max="515" width="112.85546875" style="1730" customWidth="1"/>
    <col min="516" max="768" width="9.140625" style="1730"/>
    <col min="769" max="769" width="2.42578125" style="1730" customWidth="1"/>
    <col min="770" max="770" width="9.140625" style="1730"/>
    <col min="771" max="771" width="112.85546875" style="1730" customWidth="1"/>
    <col min="772" max="1024" width="9.140625" style="1730"/>
    <col min="1025" max="1025" width="2.42578125" style="1730" customWidth="1"/>
    <col min="1026" max="1026" width="9.140625" style="1730"/>
    <col min="1027" max="1027" width="112.85546875" style="1730" customWidth="1"/>
    <col min="1028" max="1280" width="9.140625" style="1730"/>
    <col min="1281" max="1281" width="2.42578125" style="1730" customWidth="1"/>
    <col min="1282" max="1282" width="9.140625" style="1730"/>
    <col min="1283" max="1283" width="112.85546875" style="1730" customWidth="1"/>
    <col min="1284" max="1536" width="9.140625" style="1730"/>
    <col min="1537" max="1537" width="2.42578125" style="1730" customWidth="1"/>
    <col min="1538" max="1538" width="9.140625" style="1730"/>
    <col min="1539" max="1539" width="112.85546875" style="1730" customWidth="1"/>
    <col min="1540" max="1792" width="9.140625" style="1730"/>
    <col min="1793" max="1793" width="2.42578125" style="1730" customWidth="1"/>
    <col min="1794" max="1794" width="9.140625" style="1730"/>
    <col min="1795" max="1795" width="112.85546875" style="1730" customWidth="1"/>
    <col min="1796" max="2048" width="9.140625" style="1730"/>
    <col min="2049" max="2049" width="2.42578125" style="1730" customWidth="1"/>
    <col min="2050" max="2050" width="9.140625" style="1730"/>
    <col min="2051" max="2051" width="112.85546875" style="1730" customWidth="1"/>
    <col min="2052" max="2304" width="9.140625" style="1730"/>
    <col min="2305" max="2305" width="2.42578125" style="1730" customWidth="1"/>
    <col min="2306" max="2306" width="9.140625" style="1730"/>
    <col min="2307" max="2307" width="112.85546875" style="1730" customWidth="1"/>
    <col min="2308" max="2560" width="9.140625" style="1730"/>
    <col min="2561" max="2561" width="2.42578125" style="1730" customWidth="1"/>
    <col min="2562" max="2562" width="9.140625" style="1730"/>
    <col min="2563" max="2563" width="112.85546875" style="1730" customWidth="1"/>
    <col min="2564" max="2816" width="9.140625" style="1730"/>
    <col min="2817" max="2817" width="2.42578125" style="1730" customWidth="1"/>
    <col min="2818" max="2818" width="9.140625" style="1730"/>
    <col min="2819" max="2819" width="112.85546875" style="1730" customWidth="1"/>
    <col min="2820" max="3072" width="9.140625" style="1730"/>
    <col min="3073" max="3073" width="2.42578125" style="1730" customWidth="1"/>
    <col min="3074" max="3074" width="9.140625" style="1730"/>
    <col min="3075" max="3075" width="112.85546875" style="1730" customWidth="1"/>
    <col min="3076" max="3328" width="9.140625" style="1730"/>
    <col min="3329" max="3329" width="2.42578125" style="1730" customWidth="1"/>
    <col min="3330" max="3330" width="9.140625" style="1730"/>
    <col min="3331" max="3331" width="112.85546875" style="1730" customWidth="1"/>
    <col min="3332" max="3584" width="9.140625" style="1730"/>
    <col min="3585" max="3585" width="2.42578125" style="1730" customWidth="1"/>
    <col min="3586" max="3586" width="9.140625" style="1730"/>
    <col min="3587" max="3587" width="112.85546875" style="1730" customWidth="1"/>
    <col min="3588" max="3840" width="9.140625" style="1730"/>
    <col min="3841" max="3841" width="2.42578125" style="1730" customWidth="1"/>
    <col min="3842" max="3842" width="9.140625" style="1730"/>
    <col min="3843" max="3843" width="112.85546875" style="1730" customWidth="1"/>
    <col min="3844" max="4096" width="9.140625" style="1730"/>
    <col min="4097" max="4097" width="2.42578125" style="1730" customWidth="1"/>
    <col min="4098" max="4098" width="9.140625" style="1730"/>
    <col min="4099" max="4099" width="112.85546875" style="1730" customWidth="1"/>
    <col min="4100" max="4352" width="9.140625" style="1730"/>
    <col min="4353" max="4353" width="2.42578125" style="1730" customWidth="1"/>
    <col min="4354" max="4354" width="9.140625" style="1730"/>
    <col min="4355" max="4355" width="112.85546875" style="1730" customWidth="1"/>
    <col min="4356" max="4608" width="9.140625" style="1730"/>
    <col min="4609" max="4609" width="2.42578125" style="1730" customWidth="1"/>
    <col min="4610" max="4610" width="9.140625" style="1730"/>
    <col min="4611" max="4611" width="112.85546875" style="1730" customWidth="1"/>
    <col min="4612" max="4864" width="9.140625" style="1730"/>
    <col min="4865" max="4865" width="2.42578125" style="1730" customWidth="1"/>
    <col min="4866" max="4866" width="9.140625" style="1730"/>
    <col min="4867" max="4867" width="112.85546875" style="1730" customWidth="1"/>
    <col min="4868" max="5120" width="9.140625" style="1730"/>
    <col min="5121" max="5121" width="2.42578125" style="1730" customWidth="1"/>
    <col min="5122" max="5122" width="9.140625" style="1730"/>
    <col min="5123" max="5123" width="112.85546875" style="1730" customWidth="1"/>
    <col min="5124" max="5376" width="9.140625" style="1730"/>
    <col min="5377" max="5377" width="2.42578125" style="1730" customWidth="1"/>
    <col min="5378" max="5378" width="9.140625" style="1730"/>
    <col min="5379" max="5379" width="112.85546875" style="1730" customWidth="1"/>
    <col min="5380" max="5632" width="9.140625" style="1730"/>
    <col min="5633" max="5633" width="2.42578125" style="1730" customWidth="1"/>
    <col min="5634" max="5634" width="9.140625" style="1730"/>
    <col min="5635" max="5635" width="112.85546875" style="1730" customWidth="1"/>
    <col min="5636" max="5888" width="9.140625" style="1730"/>
    <col min="5889" max="5889" width="2.42578125" style="1730" customWidth="1"/>
    <col min="5890" max="5890" width="9.140625" style="1730"/>
    <col min="5891" max="5891" width="112.85546875" style="1730" customWidth="1"/>
    <col min="5892" max="6144" width="9.140625" style="1730"/>
    <col min="6145" max="6145" width="2.42578125" style="1730" customWidth="1"/>
    <col min="6146" max="6146" width="9.140625" style="1730"/>
    <col min="6147" max="6147" width="112.85546875" style="1730" customWidth="1"/>
    <col min="6148" max="6400" width="9.140625" style="1730"/>
    <col min="6401" max="6401" width="2.42578125" style="1730" customWidth="1"/>
    <col min="6402" max="6402" width="9.140625" style="1730"/>
    <col min="6403" max="6403" width="112.85546875" style="1730" customWidth="1"/>
    <col min="6404" max="6656" width="9.140625" style="1730"/>
    <col min="6657" max="6657" width="2.42578125" style="1730" customWidth="1"/>
    <col min="6658" max="6658" width="9.140625" style="1730"/>
    <col min="6659" max="6659" width="112.85546875" style="1730" customWidth="1"/>
    <col min="6660" max="6912" width="9.140625" style="1730"/>
    <col min="6913" max="6913" width="2.42578125" style="1730" customWidth="1"/>
    <col min="6914" max="6914" width="9.140625" style="1730"/>
    <col min="6915" max="6915" width="112.85546875" style="1730" customWidth="1"/>
    <col min="6916" max="7168" width="9.140625" style="1730"/>
    <col min="7169" max="7169" width="2.42578125" style="1730" customWidth="1"/>
    <col min="7170" max="7170" width="9.140625" style="1730"/>
    <col min="7171" max="7171" width="112.85546875" style="1730" customWidth="1"/>
    <col min="7172" max="7424" width="9.140625" style="1730"/>
    <col min="7425" max="7425" width="2.42578125" style="1730" customWidth="1"/>
    <col min="7426" max="7426" width="9.140625" style="1730"/>
    <col min="7427" max="7427" width="112.85546875" style="1730" customWidth="1"/>
    <col min="7428" max="7680" width="9.140625" style="1730"/>
    <col min="7681" max="7681" width="2.42578125" style="1730" customWidth="1"/>
    <col min="7682" max="7682" width="9.140625" style="1730"/>
    <col min="7683" max="7683" width="112.85546875" style="1730" customWidth="1"/>
    <col min="7684" max="7936" width="9.140625" style="1730"/>
    <col min="7937" max="7937" width="2.42578125" style="1730" customWidth="1"/>
    <col min="7938" max="7938" width="9.140625" style="1730"/>
    <col min="7939" max="7939" width="112.85546875" style="1730" customWidth="1"/>
    <col min="7940" max="8192" width="9.140625" style="1730"/>
    <col min="8193" max="8193" width="2.42578125" style="1730" customWidth="1"/>
    <col min="8194" max="8194" width="9.140625" style="1730"/>
    <col min="8195" max="8195" width="112.85546875" style="1730" customWidth="1"/>
    <col min="8196" max="8448" width="9.140625" style="1730"/>
    <col min="8449" max="8449" width="2.42578125" style="1730" customWidth="1"/>
    <col min="8450" max="8450" width="9.140625" style="1730"/>
    <col min="8451" max="8451" width="112.85546875" style="1730" customWidth="1"/>
    <col min="8452" max="8704" width="9.140625" style="1730"/>
    <col min="8705" max="8705" width="2.42578125" style="1730" customWidth="1"/>
    <col min="8706" max="8706" width="9.140625" style="1730"/>
    <col min="8707" max="8707" width="112.85546875" style="1730" customWidth="1"/>
    <col min="8708" max="8960" width="9.140625" style="1730"/>
    <col min="8961" max="8961" width="2.42578125" style="1730" customWidth="1"/>
    <col min="8962" max="8962" width="9.140625" style="1730"/>
    <col min="8963" max="8963" width="112.85546875" style="1730" customWidth="1"/>
    <col min="8964" max="9216" width="9.140625" style="1730"/>
    <col min="9217" max="9217" width="2.42578125" style="1730" customWidth="1"/>
    <col min="9218" max="9218" width="9.140625" style="1730"/>
    <col min="9219" max="9219" width="112.85546875" style="1730" customWidth="1"/>
    <col min="9220" max="9472" width="9.140625" style="1730"/>
    <col min="9473" max="9473" width="2.42578125" style="1730" customWidth="1"/>
    <col min="9474" max="9474" width="9.140625" style="1730"/>
    <col min="9475" max="9475" width="112.85546875" style="1730" customWidth="1"/>
    <col min="9476" max="9728" width="9.140625" style="1730"/>
    <col min="9729" max="9729" width="2.42578125" style="1730" customWidth="1"/>
    <col min="9730" max="9730" width="9.140625" style="1730"/>
    <col min="9731" max="9731" width="112.85546875" style="1730" customWidth="1"/>
    <col min="9732" max="9984" width="9.140625" style="1730"/>
    <col min="9985" max="9985" width="2.42578125" style="1730" customWidth="1"/>
    <col min="9986" max="9986" width="9.140625" style="1730"/>
    <col min="9987" max="9987" width="112.85546875" style="1730" customWidth="1"/>
    <col min="9988" max="10240" width="9.140625" style="1730"/>
    <col min="10241" max="10241" width="2.42578125" style="1730" customWidth="1"/>
    <col min="10242" max="10242" width="9.140625" style="1730"/>
    <col min="10243" max="10243" width="112.85546875" style="1730" customWidth="1"/>
    <col min="10244" max="10496" width="9.140625" style="1730"/>
    <col min="10497" max="10497" width="2.42578125" style="1730" customWidth="1"/>
    <col min="10498" max="10498" width="9.140625" style="1730"/>
    <col min="10499" max="10499" width="112.85546875" style="1730" customWidth="1"/>
    <col min="10500" max="10752" width="9.140625" style="1730"/>
    <col min="10753" max="10753" width="2.42578125" style="1730" customWidth="1"/>
    <col min="10754" max="10754" width="9.140625" style="1730"/>
    <col min="10755" max="10755" width="112.85546875" style="1730" customWidth="1"/>
    <col min="10756" max="11008" width="9.140625" style="1730"/>
    <col min="11009" max="11009" width="2.42578125" style="1730" customWidth="1"/>
    <col min="11010" max="11010" width="9.140625" style="1730"/>
    <col min="11011" max="11011" width="112.85546875" style="1730" customWidth="1"/>
    <col min="11012" max="11264" width="9.140625" style="1730"/>
    <col min="11265" max="11265" width="2.42578125" style="1730" customWidth="1"/>
    <col min="11266" max="11266" width="9.140625" style="1730"/>
    <col min="11267" max="11267" width="112.85546875" style="1730" customWidth="1"/>
    <col min="11268" max="11520" width="9.140625" style="1730"/>
    <col min="11521" max="11521" width="2.42578125" style="1730" customWidth="1"/>
    <col min="11522" max="11522" width="9.140625" style="1730"/>
    <col min="11523" max="11523" width="112.85546875" style="1730" customWidth="1"/>
    <col min="11524" max="11776" width="9.140625" style="1730"/>
    <col min="11777" max="11777" width="2.42578125" style="1730" customWidth="1"/>
    <col min="11778" max="11778" width="9.140625" style="1730"/>
    <col min="11779" max="11779" width="112.85546875" style="1730" customWidth="1"/>
    <col min="11780" max="12032" width="9.140625" style="1730"/>
    <col min="12033" max="12033" width="2.42578125" style="1730" customWidth="1"/>
    <col min="12034" max="12034" width="9.140625" style="1730"/>
    <col min="12035" max="12035" width="112.85546875" style="1730" customWidth="1"/>
    <col min="12036" max="12288" width="9.140625" style="1730"/>
    <col min="12289" max="12289" width="2.42578125" style="1730" customWidth="1"/>
    <col min="12290" max="12290" width="9.140625" style="1730"/>
    <col min="12291" max="12291" width="112.85546875" style="1730" customWidth="1"/>
    <col min="12292" max="12544" width="9.140625" style="1730"/>
    <col min="12545" max="12545" width="2.42578125" style="1730" customWidth="1"/>
    <col min="12546" max="12546" width="9.140625" style="1730"/>
    <col min="12547" max="12547" width="112.85546875" style="1730" customWidth="1"/>
    <col min="12548" max="12800" width="9.140625" style="1730"/>
    <col min="12801" max="12801" width="2.42578125" style="1730" customWidth="1"/>
    <col min="12802" max="12802" width="9.140625" style="1730"/>
    <col min="12803" max="12803" width="112.85546875" style="1730" customWidth="1"/>
    <col min="12804" max="13056" width="9.140625" style="1730"/>
    <col min="13057" max="13057" width="2.42578125" style="1730" customWidth="1"/>
    <col min="13058" max="13058" width="9.140625" style="1730"/>
    <col min="13059" max="13059" width="112.85546875" style="1730" customWidth="1"/>
    <col min="13060" max="13312" width="9.140625" style="1730"/>
    <col min="13313" max="13313" width="2.42578125" style="1730" customWidth="1"/>
    <col min="13314" max="13314" width="9.140625" style="1730"/>
    <col min="13315" max="13315" width="112.85546875" style="1730" customWidth="1"/>
    <col min="13316" max="13568" width="9.140625" style="1730"/>
    <col min="13569" max="13569" width="2.42578125" style="1730" customWidth="1"/>
    <col min="13570" max="13570" width="9.140625" style="1730"/>
    <col min="13571" max="13571" width="112.85546875" style="1730" customWidth="1"/>
    <col min="13572" max="13824" width="9.140625" style="1730"/>
    <col min="13825" max="13825" width="2.42578125" style="1730" customWidth="1"/>
    <col min="13826" max="13826" width="9.140625" style="1730"/>
    <col min="13827" max="13827" width="112.85546875" style="1730" customWidth="1"/>
    <col min="13828" max="14080" width="9.140625" style="1730"/>
    <col min="14081" max="14081" width="2.42578125" style="1730" customWidth="1"/>
    <col min="14082" max="14082" width="9.140625" style="1730"/>
    <col min="14083" max="14083" width="112.85546875" style="1730" customWidth="1"/>
    <col min="14084" max="14336" width="9.140625" style="1730"/>
    <col min="14337" max="14337" width="2.42578125" style="1730" customWidth="1"/>
    <col min="14338" max="14338" width="9.140625" style="1730"/>
    <col min="14339" max="14339" width="112.85546875" style="1730" customWidth="1"/>
    <col min="14340" max="14592" width="9.140625" style="1730"/>
    <col min="14593" max="14593" width="2.42578125" style="1730" customWidth="1"/>
    <col min="14594" max="14594" width="9.140625" style="1730"/>
    <col min="14595" max="14595" width="112.85546875" style="1730" customWidth="1"/>
    <col min="14596" max="14848" width="9.140625" style="1730"/>
    <col min="14849" max="14849" width="2.42578125" style="1730" customWidth="1"/>
    <col min="14850" max="14850" width="9.140625" style="1730"/>
    <col min="14851" max="14851" width="112.85546875" style="1730" customWidth="1"/>
    <col min="14852" max="15104" width="9.140625" style="1730"/>
    <col min="15105" max="15105" width="2.42578125" style="1730" customWidth="1"/>
    <col min="15106" max="15106" width="9.140625" style="1730"/>
    <col min="15107" max="15107" width="112.85546875" style="1730" customWidth="1"/>
    <col min="15108" max="15360" width="9.140625" style="1730"/>
    <col min="15361" max="15361" width="2.42578125" style="1730" customWidth="1"/>
    <col min="15362" max="15362" width="9.140625" style="1730"/>
    <col min="15363" max="15363" width="112.85546875" style="1730" customWidth="1"/>
    <col min="15364" max="15616" width="9.140625" style="1730"/>
    <col min="15617" max="15617" width="2.42578125" style="1730" customWidth="1"/>
    <col min="15618" max="15618" width="9.140625" style="1730"/>
    <col min="15619" max="15619" width="112.85546875" style="1730" customWidth="1"/>
    <col min="15620" max="15872" width="9.140625" style="1730"/>
    <col min="15873" max="15873" width="2.42578125" style="1730" customWidth="1"/>
    <col min="15874" max="15874" width="9.140625" style="1730"/>
    <col min="15875" max="15875" width="112.85546875" style="1730" customWidth="1"/>
    <col min="15876" max="16128" width="9.140625" style="1730"/>
    <col min="16129" max="16129" width="2.42578125" style="1730" customWidth="1"/>
    <col min="16130" max="16130" width="9.140625" style="1730"/>
    <col min="16131" max="16131" width="112.85546875" style="1730" customWidth="1"/>
    <col min="16132" max="16384" width="9.140625" style="1730"/>
  </cols>
  <sheetData>
    <row r="1" spans="2:3" ht="18.75">
      <c r="B1" s="1728" t="s">
        <v>2332</v>
      </c>
      <c r="C1" s="1729"/>
    </row>
    <row r="2" spans="2:3" ht="18.75">
      <c r="B2" s="1728" t="s">
        <v>2455</v>
      </c>
      <c r="C2" s="1729"/>
    </row>
    <row r="3" spans="2:3" ht="12.75" thickBot="1">
      <c r="B3" s="1731"/>
      <c r="C3" s="1732"/>
    </row>
    <row r="4" spans="2:3" ht="34.5" customHeight="1">
      <c r="B4" s="2113" t="s">
        <v>2335</v>
      </c>
      <c r="C4" s="2114"/>
    </row>
    <row r="5" spans="2:3" ht="15">
      <c r="B5" s="1733"/>
      <c r="C5" s="1734"/>
    </row>
    <row r="6" spans="2:3" ht="47.25" customHeight="1">
      <c r="B6" s="2115" t="s">
        <v>2327</v>
      </c>
      <c r="C6" s="2116"/>
    </row>
    <row r="7" spans="2:3" ht="15">
      <c r="B7" s="1733"/>
      <c r="C7" s="1734"/>
    </row>
    <row r="8" spans="2:3" ht="15">
      <c r="B8" s="1735" t="s">
        <v>2328</v>
      </c>
      <c r="C8" s="1736"/>
    </row>
    <row r="9" spans="2:3" ht="138" customHeight="1">
      <c r="B9" s="1737"/>
      <c r="C9" s="1738" t="s">
        <v>2336</v>
      </c>
    </row>
    <row r="10" spans="2:3" ht="15">
      <c r="B10" s="1737"/>
      <c r="C10" s="1736"/>
    </row>
    <row r="11" spans="2:3" ht="15">
      <c r="B11" s="1735" t="s">
        <v>2329</v>
      </c>
      <c r="C11" s="1736"/>
    </row>
    <row r="12" spans="2:3" ht="45">
      <c r="B12" s="1737"/>
      <c r="C12" s="1738" t="s">
        <v>2334</v>
      </c>
    </row>
    <row r="13" spans="2:3" ht="15">
      <c r="B13" s="1737"/>
      <c r="C13" s="1736"/>
    </row>
    <row r="14" spans="2:3" ht="15">
      <c r="B14" s="1735" t="s">
        <v>2330</v>
      </c>
      <c r="C14" s="1736"/>
    </row>
    <row r="15" spans="2:3" ht="30">
      <c r="B15" s="1737"/>
      <c r="C15" s="1738" t="s">
        <v>2331</v>
      </c>
    </row>
    <row r="16" spans="2:3" ht="15.75" thickBot="1">
      <c r="B16" s="1739"/>
      <c r="C16" s="1740"/>
    </row>
    <row r="18" spans="2:2">
      <c r="B18" s="1730" t="s">
        <v>2333</v>
      </c>
    </row>
  </sheetData>
  <sheetProtection sheet="1" objects="1" scenarios="1"/>
  <mergeCells count="2">
    <mergeCell ref="B4:C4"/>
    <mergeCell ref="B6:C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4"/>
  <sheetViews>
    <sheetView topLeftCell="A45" workbookViewId="0">
      <selection activeCell="C70" sqref="C70"/>
    </sheetView>
  </sheetViews>
  <sheetFormatPr defaultRowHeight="12"/>
  <cols>
    <col min="1" max="1" width="9.140625" style="1790"/>
    <col min="2" max="2" width="28.5703125" style="1790" customWidth="1"/>
    <col min="3" max="8" width="17.42578125" style="1790" customWidth="1"/>
    <col min="9" max="10" width="9.140625" style="1790"/>
    <col min="11" max="13" width="14.7109375" style="1790" customWidth="1"/>
    <col min="14" max="14" width="9.140625" style="1790"/>
    <col min="15" max="15" width="0" style="1790" hidden="1" customWidth="1"/>
    <col min="16" max="16" width="9.140625" style="1790" hidden="1" customWidth="1"/>
    <col min="17" max="16384" width="9.140625" style="1790"/>
  </cols>
  <sheetData>
    <row r="1" spans="2:16" ht="12.75" thickBot="1"/>
    <row r="2" spans="2:16">
      <c r="B2" s="2459" t="s">
        <v>2341</v>
      </c>
      <c r="C2" s="2460"/>
      <c r="D2" s="2460"/>
      <c r="E2" s="2460"/>
      <c r="F2" s="2460"/>
      <c r="G2" s="2460"/>
      <c r="H2" s="2461"/>
    </row>
    <row r="3" spans="2:16">
      <c r="B3" s="2462"/>
      <c r="C3" s="2463"/>
      <c r="D3" s="2463"/>
      <c r="E3" s="2463"/>
      <c r="F3" s="2463"/>
      <c r="G3" s="2463"/>
      <c r="H3" s="2464"/>
    </row>
    <row r="4" spans="2:16" ht="12.75" thickBot="1">
      <c r="B4" s="2465"/>
      <c r="C4" s="2466"/>
      <c r="D4" s="2466"/>
      <c r="E4" s="2466"/>
      <c r="F4" s="2466"/>
      <c r="G4" s="2466"/>
      <c r="H4" s="2467"/>
    </row>
    <row r="5" spans="2:16" ht="12.75" thickBot="1">
      <c r="B5" s="1791" t="s">
        <v>2342</v>
      </c>
      <c r="C5" s="1792"/>
      <c r="D5" s="1792"/>
      <c r="E5" s="1792"/>
      <c r="F5" s="1792"/>
      <c r="G5" s="1792"/>
      <c r="H5" s="1793"/>
    </row>
    <row r="6" spans="2:16" ht="12.75" hidden="1">
      <c r="B6" s="1794"/>
      <c r="C6" s="1795"/>
      <c r="D6" s="1795"/>
      <c r="E6" s="1795"/>
      <c r="F6" s="1795"/>
      <c r="G6" s="1795"/>
      <c r="H6" s="1796"/>
      <c r="P6" s="1797" t="s">
        <v>2343</v>
      </c>
    </row>
    <row r="7" spans="2:16" ht="13.5" thickBot="1">
      <c r="B7" s="1798" t="s">
        <v>2344</v>
      </c>
      <c r="C7" s="1799"/>
      <c r="D7" s="1799"/>
      <c r="E7" s="1799"/>
      <c r="F7" s="1799"/>
      <c r="G7" s="1799"/>
      <c r="H7" s="1800"/>
      <c r="P7" s="1797" t="s">
        <v>2345</v>
      </c>
    </row>
    <row r="8" spans="2:16" ht="13.5" thickBot="1">
      <c r="B8" s="1802" t="s">
        <v>2346</v>
      </c>
      <c r="C8" s="1799"/>
      <c r="D8" s="1799"/>
      <c r="E8" s="1799"/>
      <c r="F8" s="1799"/>
      <c r="G8" s="1799"/>
      <c r="H8" s="1800"/>
      <c r="K8" s="1803" t="s">
        <v>2347</v>
      </c>
      <c r="L8" s="1804" t="s">
        <v>2348</v>
      </c>
      <c r="M8" s="1805" t="s">
        <v>2349</v>
      </c>
      <c r="P8" s="1797" t="s">
        <v>2350</v>
      </c>
    </row>
    <row r="9" spans="2:16" ht="23.25" customHeight="1" thickBot="1">
      <c r="B9" s="2468" t="s">
        <v>2351</v>
      </c>
      <c r="C9" s="2469"/>
      <c r="D9" s="2469"/>
      <c r="E9" s="2469"/>
      <c r="F9" s="2469"/>
      <c r="G9" s="2469"/>
      <c r="H9" s="2470"/>
      <c r="K9" s="1806" t="s">
        <v>2352</v>
      </c>
      <c r="L9" s="1807">
        <v>0</v>
      </c>
      <c r="M9" s="1808">
        <v>0</v>
      </c>
      <c r="P9" s="1797" t="s">
        <v>2353</v>
      </c>
    </row>
    <row r="10" spans="2:16" ht="12.75" thickBot="1">
      <c r="B10" s="1798" t="s">
        <v>2354</v>
      </c>
      <c r="C10" s="1799"/>
      <c r="D10" s="1799"/>
      <c r="E10" s="1799"/>
      <c r="F10" s="1799"/>
      <c r="G10" s="1799"/>
      <c r="H10" s="1800"/>
      <c r="K10" s="1806" t="s">
        <v>2355</v>
      </c>
      <c r="L10" s="1807">
        <v>450</v>
      </c>
      <c r="M10" s="1807">
        <v>300</v>
      </c>
    </row>
    <row r="11" spans="2:16" ht="12.75" thickBot="1">
      <c r="B11" s="1798" t="s">
        <v>2463</v>
      </c>
      <c r="C11" s="1799"/>
      <c r="D11" s="1799"/>
      <c r="E11" s="1799"/>
      <c r="F11" s="1799"/>
      <c r="G11" s="1799"/>
      <c r="H11" s="1800"/>
      <c r="K11" s="1806" t="s">
        <v>2356</v>
      </c>
      <c r="L11" s="1807">
        <v>450</v>
      </c>
      <c r="M11" s="1807">
        <v>375</v>
      </c>
    </row>
    <row r="12" spans="2:16" ht="12.75" thickBot="1">
      <c r="B12" s="1802" t="s">
        <v>2357</v>
      </c>
      <c r="C12" s="1799"/>
      <c r="D12" s="1799"/>
      <c r="E12" s="1799"/>
      <c r="F12" s="1799"/>
      <c r="G12" s="1799"/>
      <c r="H12" s="1800"/>
      <c r="K12" s="1806" t="s">
        <v>2358</v>
      </c>
      <c r="L12" s="1807">
        <f>SUM(L9:L11)</f>
        <v>900</v>
      </c>
      <c r="M12" s="1807">
        <f>SUM(M9:M11)</f>
        <v>675</v>
      </c>
    </row>
    <row r="13" spans="2:16" ht="15.75" thickBot="1">
      <c r="B13" s="1802" t="s">
        <v>2359</v>
      </c>
      <c r="C13" s="1809"/>
      <c r="D13" s="1799"/>
      <c r="E13" s="1799"/>
      <c r="F13" s="1799"/>
      <c r="G13" s="1799"/>
      <c r="H13" s="1800"/>
      <c r="K13" s="1801"/>
      <c r="L13" s="1801"/>
      <c r="M13" s="1801"/>
    </row>
    <row r="14" spans="2:16" ht="12.75" thickBot="1">
      <c r="B14" s="1802" t="s">
        <v>2360</v>
      </c>
      <c r="C14" s="1809"/>
      <c r="D14" s="1799"/>
      <c r="E14" s="1799"/>
      <c r="F14" s="1799"/>
      <c r="G14" s="1799"/>
      <c r="H14" s="1800"/>
      <c r="K14" s="1803" t="s">
        <v>2361</v>
      </c>
      <c r="L14" s="1804" t="s">
        <v>2348</v>
      </c>
      <c r="M14" s="1805" t="s">
        <v>2349</v>
      </c>
    </row>
    <row r="15" spans="2:16" ht="12.75" thickBot="1">
      <c r="B15" s="1798"/>
      <c r="C15" s="1799"/>
      <c r="D15" s="1799"/>
      <c r="E15" s="1799"/>
      <c r="F15" s="1799"/>
      <c r="G15" s="1810"/>
      <c r="H15" s="1811"/>
      <c r="K15" s="1806" t="s">
        <v>2352</v>
      </c>
      <c r="L15" s="1807">
        <v>0</v>
      </c>
      <c r="M15" s="1808">
        <v>0</v>
      </c>
    </row>
    <row r="16" spans="2:16" ht="12.75" thickBot="1">
      <c r="B16" s="2471" t="s">
        <v>2362</v>
      </c>
      <c r="C16" s="2472"/>
      <c r="D16" s="1799"/>
      <c r="E16" s="1812" t="s">
        <v>2363</v>
      </c>
      <c r="F16" s="1809"/>
      <c r="G16" s="2473" t="s">
        <v>2364</v>
      </c>
      <c r="H16" s="2474"/>
      <c r="K16" s="1806" t="s">
        <v>2355</v>
      </c>
      <c r="L16" s="1807">
        <v>450</v>
      </c>
      <c r="M16" s="1807">
        <v>300</v>
      </c>
    </row>
    <row r="17" spans="2:13" ht="12.75" thickBot="1">
      <c r="B17" s="1813" t="s">
        <v>2365</v>
      </c>
      <c r="C17" s="1814">
        <f>MIN(SUM(Savings!AJ2:AJ87),H20)</f>
        <v>0</v>
      </c>
      <c r="D17" s="1799"/>
      <c r="E17" s="1815" t="e">
        <f>C102/C103</f>
        <v>#DIV/0!</v>
      </c>
      <c r="F17" s="1809"/>
      <c r="G17" s="1816" t="s">
        <v>2352</v>
      </c>
      <c r="H17" s="1817" t="str">
        <f>IF('Prescriptive Path'!$D$6="","",IF('Prescriptive Path'!$I$5&lt;50,IF('Prescriptive Path'!$D$6="Affordable",L9*'Prescriptive Path'!$I$5,M9*'Prescriptive Path'!$I$5),IF('Prescriptive Path'!$D$6="Affordable",L15*'Prescriptive Path'!$I$5,M15*'Prescriptive Path'!$I$5)))</f>
        <v/>
      </c>
      <c r="K17" s="1806" t="s">
        <v>2356</v>
      </c>
      <c r="L17" s="1807">
        <v>450</v>
      </c>
      <c r="M17" s="1807">
        <v>375</v>
      </c>
    </row>
    <row r="18" spans="2:13" ht="12.75" thickBot="1">
      <c r="B18" s="1818" t="s">
        <v>2366</v>
      </c>
      <c r="C18" s="1819">
        <f>C17</f>
        <v>0</v>
      </c>
      <c r="D18" s="1799"/>
      <c r="E18" s="1799"/>
      <c r="F18" s="1809"/>
      <c r="G18" s="1816" t="s">
        <v>2355</v>
      </c>
      <c r="H18" s="1817" t="str">
        <f>IF('Prescriptive Path'!$D$6="","",IF('Prescriptive Path'!$I$5&lt;50,IF('Prescriptive Path'!$D$6="Affordable",L10*'Prescriptive Path'!$I$5,M10*'Prescriptive Path'!$I$5),IF('Prescriptive Path'!$D$6="Affordable",L16*'Prescriptive Path'!$I$5,M16*'Prescriptive Path'!$I$5)))</f>
        <v/>
      </c>
      <c r="K18" s="1806" t="s">
        <v>2358</v>
      </c>
      <c r="L18" s="1807">
        <f>SUM(L15:L17)</f>
        <v>900</v>
      </c>
      <c r="M18" s="1807">
        <f>SUM(M15:M17)</f>
        <v>675</v>
      </c>
    </row>
    <row r="19" spans="2:13">
      <c r="B19" s="1820" t="s">
        <v>2367</v>
      </c>
      <c r="C19" s="1814">
        <f>IF(SUM(C40:C42)&gt;0,H20-C24,0)</f>
        <v>0</v>
      </c>
      <c r="D19" s="1799"/>
      <c r="E19" s="1810"/>
      <c r="F19" s="1821"/>
      <c r="G19" s="1816" t="s">
        <v>2356</v>
      </c>
      <c r="H19" s="1817" t="str">
        <f>IF('Prescriptive Path'!$D$6="","",IF('Prescriptive Path'!$I$5&lt;50,IF('Prescriptive Path'!$D$6="Affordable",L11*'Prescriptive Path'!$I$5,M11*'Prescriptive Path'!$I$5),IF('Prescriptive Path'!$D$6="Affordable",L17*'Prescriptive Path'!$I$5,M17*'Prescriptive Path'!$I$5)))</f>
        <v/>
      </c>
    </row>
    <row r="20" spans="2:13">
      <c r="B20" s="1820" t="s">
        <v>2368</v>
      </c>
      <c r="C20" s="1814">
        <f>Savings!J90</f>
        <v>0</v>
      </c>
      <c r="D20" s="1799"/>
      <c r="E20" s="1810"/>
      <c r="F20" s="1822"/>
      <c r="G20" s="2475" t="s">
        <v>2369</v>
      </c>
      <c r="H20" s="2477">
        <f>SUM(H17:H19)</f>
        <v>0</v>
      </c>
    </row>
    <row r="21" spans="2:13" ht="12.75" thickBot="1">
      <c r="B21" s="1823" t="s">
        <v>2370</v>
      </c>
      <c r="C21" s="1824" t="str">
        <f>IF(C18=H20,"",IFERROR(C18/C20,0%))</f>
        <v/>
      </c>
      <c r="D21" s="1825"/>
      <c r="E21" s="1810"/>
      <c r="G21" s="2476"/>
      <c r="H21" s="2478"/>
    </row>
    <row r="22" spans="2:13" ht="24">
      <c r="B22" s="1826" t="s">
        <v>2371</v>
      </c>
      <c r="C22" s="1814" t="str">
        <f>IF(C21&gt;50%,"",MIN(C20*0.5-C18,H20-C18))</f>
        <v/>
      </c>
      <c r="D22" s="1827"/>
      <c r="E22" s="1828" t="s">
        <v>2372</v>
      </c>
      <c r="F22" s="1821"/>
      <c r="H22" s="1829"/>
    </row>
    <row r="23" spans="2:13">
      <c r="B23" s="1830" t="s">
        <v>2373</v>
      </c>
      <c r="C23" s="1819">
        <v>0</v>
      </c>
      <c r="E23" s="1831" t="str">
        <f>IF(C17=0,"",IF(C21&lt;50%,"Yes","No"))</f>
        <v/>
      </c>
      <c r="F23" s="1832"/>
      <c r="H23" s="1829"/>
    </row>
    <row r="24" spans="2:13">
      <c r="B24" s="1833" t="s">
        <v>2374</v>
      </c>
      <c r="C24" s="1814">
        <f>C18+C23</f>
        <v>0</v>
      </c>
      <c r="E24" s="1810"/>
      <c r="F24" s="1810"/>
      <c r="H24" s="1829"/>
    </row>
    <row r="25" spans="2:13" ht="24">
      <c r="B25" s="1833" t="s">
        <v>2375</v>
      </c>
      <c r="C25" s="1834" t="str">
        <f>IF(C18=H20,"",IFERROR(C24/C20,0))</f>
        <v/>
      </c>
      <c r="E25" s="1810"/>
      <c r="F25" s="1810"/>
      <c r="H25" s="1829"/>
    </row>
    <row r="26" spans="2:13" ht="12.75" thickBot="1">
      <c r="B26" s="1835"/>
      <c r="C26" s="1836"/>
      <c r="D26" s="1837"/>
      <c r="E26" s="1836"/>
      <c r="F26" s="1836"/>
      <c r="G26" s="1836"/>
      <c r="H26" s="1838"/>
    </row>
    <row r="27" spans="2:13" ht="12.75" thickBot="1">
      <c r="B27" s="1839" t="s">
        <v>2376</v>
      </c>
      <c r="C27" s="1840"/>
      <c r="D27" s="1840"/>
      <c r="E27" s="1840"/>
      <c r="F27" s="1840"/>
      <c r="G27" s="1840"/>
      <c r="H27" s="1841"/>
    </row>
    <row r="28" spans="2:13">
      <c r="B28" s="1794" t="s">
        <v>2377</v>
      </c>
      <c r="C28" s="1795"/>
      <c r="D28" s="1795"/>
      <c r="E28" s="1795"/>
      <c r="F28" s="1795"/>
      <c r="G28" s="1795"/>
      <c r="H28" s="1796"/>
    </row>
    <row r="29" spans="2:13">
      <c r="B29" s="1798" t="s">
        <v>2378</v>
      </c>
      <c r="C29" s="1799"/>
      <c r="D29" s="1799"/>
      <c r="E29" s="1799"/>
      <c r="F29" s="1799"/>
      <c r="G29" s="1842" t="s">
        <v>2379</v>
      </c>
      <c r="H29" s="1843"/>
    </row>
    <row r="30" spans="2:13">
      <c r="B30" s="1798"/>
      <c r="C30" s="1799"/>
      <c r="D30" s="1799"/>
      <c r="E30" s="1799"/>
      <c r="F30" s="1799"/>
      <c r="G30" s="1799"/>
      <c r="H30" s="1800"/>
    </row>
    <row r="31" spans="2:13">
      <c r="B31" s="2483" t="s">
        <v>2380</v>
      </c>
      <c r="C31" s="1844" t="s">
        <v>2381</v>
      </c>
      <c r="D31" s="1845" t="s">
        <v>2382</v>
      </c>
      <c r="E31" s="2485" t="s">
        <v>2383</v>
      </c>
      <c r="F31" s="2486"/>
      <c r="G31" s="2485" t="s">
        <v>2384</v>
      </c>
      <c r="H31" s="2487"/>
    </row>
    <row r="32" spans="2:13">
      <c r="B32" s="2484"/>
      <c r="C32" s="1846" t="s">
        <v>2385</v>
      </c>
      <c r="D32" s="1847" t="s">
        <v>2386</v>
      </c>
      <c r="E32" s="2488" t="s">
        <v>2385</v>
      </c>
      <c r="F32" s="2489"/>
      <c r="G32" s="2490" t="s">
        <v>2387</v>
      </c>
      <c r="H32" s="2491"/>
    </row>
    <row r="33" spans="2:8">
      <c r="B33" s="1820" t="s">
        <v>2388</v>
      </c>
      <c r="C33" s="1848">
        <f>SUMIF(Savings!$AL$2:$AL$87,B33,Savings!$AJ$2:$AJ$87)</f>
        <v>0</v>
      </c>
      <c r="D33" s="1849">
        <f>SUMIF(Savings!$AL$2:$AL$87,B33,Savings!$AB$2:$AB$87)</f>
        <v>0</v>
      </c>
      <c r="E33" s="1850">
        <f>IF(C33&gt;0,C33/SUM($C$33:$C$36),0)*$C$24</f>
        <v>0</v>
      </c>
      <c r="F33" s="1851">
        <f>IF(C33&gt;0,C33/SUM($C$33:$C$36),0)</f>
        <v>0</v>
      </c>
      <c r="G33" s="1852">
        <f>IF(D33&gt;0,D33/SUM($D$33:$D$36),0)*$C$24</f>
        <v>0</v>
      </c>
      <c r="H33" s="1853">
        <f>IF(D33&gt;0,D33/SUM($D$33:$D$36),0)</f>
        <v>0</v>
      </c>
    </row>
    <row r="34" spans="2:8">
      <c r="B34" s="1820" t="s">
        <v>2389</v>
      </c>
      <c r="C34" s="1848">
        <f>SUMIF(Savings!$AL$2:$AL$87,B34,Savings!$AJ$2:$AJ$87)</f>
        <v>0</v>
      </c>
      <c r="D34" s="1849">
        <f>SUMIF(Savings!$AL$2:$AL$87,B34,Savings!$AB$2:$AB$87)</f>
        <v>0</v>
      </c>
      <c r="E34" s="1850">
        <f>IF(C34&gt;0,C34/SUM($C$33:$C$36),0)*$C$24</f>
        <v>0</v>
      </c>
      <c r="F34" s="1851">
        <f>IF(C34&gt;0,C34/SUM($C$33:$C$36),0)</f>
        <v>0</v>
      </c>
      <c r="G34" s="1852">
        <f>IF(D34&gt;0,D34/SUM($D$33:$D$36),0)*$C$24</f>
        <v>0</v>
      </c>
      <c r="H34" s="1853">
        <f>IF(D34&gt;0,D34/SUM($D$33:$D$36),0)</f>
        <v>0</v>
      </c>
    </row>
    <row r="35" spans="2:8">
      <c r="B35" s="1820" t="s">
        <v>2390</v>
      </c>
      <c r="C35" s="1848">
        <f>SUMIF(Savings!$AL$2:$AL$87,B35,Savings!$AJ$2:$AJ$87)</f>
        <v>0</v>
      </c>
      <c r="D35" s="1849">
        <f>SUMIF(Savings!$AL$2:$AL$87,B35,Savings!$AB$2:$AB$87)</f>
        <v>0</v>
      </c>
      <c r="E35" s="1850">
        <f>IF(C35&gt;0,C35/SUM($C$33:$C$36),0)*$C$24</f>
        <v>0</v>
      </c>
      <c r="F35" s="1851">
        <f>IF(C35&gt;0,C35/SUM($C$33:$C$36),0)</f>
        <v>0</v>
      </c>
      <c r="G35" s="1852">
        <f>IF(D35&gt;0,D35/SUM($D$33:$D$36),0)*$C$24</f>
        <v>0</v>
      </c>
      <c r="H35" s="1853">
        <f>IF(D35&gt;0,D35/SUM($D$33:$D$36),0)</f>
        <v>0</v>
      </c>
    </row>
    <row r="36" spans="2:8">
      <c r="B36" s="1820" t="s">
        <v>2391</v>
      </c>
      <c r="C36" s="1848">
        <f>SUMIF(Savings!$AL$2:$AL$87,B36,Savings!$AJ$2:$AJ$87)</f>
        <v>0</v>
      </c>
      <c r="D36" s="1849">
        <f>SUMIF(Savings!$AL$2:$AL$87,B36,Savings!$AB$2:$AB$87)</f>
        <v>0</v>
      </c>
      <c r="E36" s="1850">
        <f>IF(C36&gt;0,C36/SUM($C$33:$C$36),0)*$C$24</f>
        <v>0</v>
      </c>
      <c r="F36" s="1851">
        <f>IF(C36&gt;0,C36/SUM($C$33:$C$36),0)</f>
        <v>0</v>
      </c>
      <c r="G36" s="1852">
        <f>IF(D36&gt;0,D36/SUM($D$33:$D$36),0)*$C$24</f>
        <v>0</v>
      </c>
      <c r="H36" s="1853">
        <f>IF(D36&gt;0,D36/SUM($D$33:$D$36),0)</f>
        <v>0</v>
      </c>
    </row>
    <row r="37" spans="2:8">
      <c r="B37" s="1854"/>
      <c r="C37" s="1855"/>
      <c r="D37" s="1855"/>
      <c r="E37" s="1856"/>
      <c r="F37" s="1856"/>
      <c r="G37" s="1856"/>
      <c r="H37" s="1857"/>
    </row>
    <row r="38" spans="2:8">
      <c r="B38" s="2483" t="s">
        <v>2392</v>
      </c>
      <c r="C38" s="1844" t="s">
        <v>2381</v>
      </c>
      <c r="D38" s="1845" t="s">
        <v>2382</v>
      </c>
      <c r="E38" s="2485" t="s">
        <v>2393</v>
      </c>
      <c r="F38" s="2486"/>
      <c r="G38" s="2492" t="s">
        <v>2394</v>
      </c>
      <c r="H38" s="1858"/>
    </row>
    <row r="39" spans="2:8">
      <c r="B39" s="2484"/>
      <c r="C39" s="1846" t="s">
        <v>2385</v>
      </c>
      <c r="D39" s="1847" t="s">
        <v>2386</v>
      </c>
      <c r="E39" s="1859" t="s">
        <v>2395</v>
      </c>
      <c r="F39" s="1859" t="s">
        <v>2329</v>
      </c>
      <c r="G39" s="2493"/>
      <c r="H39" s="1858"/>
    </row>
    <row r="40" spans="2:8">
      <c r="B40" s="1820" t="s">
        <v>2396</v>
      </c>
      <c r="C40" s="1848">
        <v>0</v>
      </c>
      <c r="D40" s="1860">
        <v>0</v>
      </c>
      <c r="E40" s="1851">
        <v>0</v>
      </c>
      <c r="F40" s="1851">
        <v>0</v>
      </c>
      <c r="G40" s="1861">
        <v>0</v>
      </c>
      <c r="H40" s="1858"/>
    </row>
    <row r="41" spans="2:8">
      <c r="B41" s="1820" t="s">
        <v>2397</v>
      </c>
      <c r="C41" s="1848">
        <v>0</v>
      </c>
      <c r="D41" s="1860">
        <v>0</v>
      </c>
      <c r="E41" s="1851">
        <v>0</v>
      </c>
      <c r="F41" s="1851">
        <v>0</v>
      </c>
      <c r="G41" s="1861">
        <v>0</v>
      </c>
      <c r="H41" s="1811"/>
    </row>
    <row r="42" spans="2:8">
      <c r="B42" s="1820" t="s">
        <v>2398</v>
      </c>
      <c r="C42" s="1848">
        <v>0</v>
      </c>
      <c r="D42" s="1860">
        <v>0</v>
      </c>
      <c r="E42" s="1851">
        <v>0</v>
      </c>
      <c r="F42" s="1851">
        <v>0</v>
      </c>
      <c r="G42" s="1861">
        <v>0</v>
      </c>
      <c r="H42" s="1811"/>
    </row>
    <row r="43" spans="2:8">
      <c r="B43" s="1820" t="s">
        <v>2399</v>
      </c>
      <c r="C43" s="1848">
        <v>0</v>
      </c>
      <c r="D43" s="1860">
        <v>0</v>
      </c>
      <c r="E43" s="1851">
        <v>0</v>
      </c>
      <c r="F43" s="1851">
        <v>0</v>
      </c>
      <c r="G43" s="1810"/>
      <c r="H43" s="1811"/>
    </row>
    <row r="44" spans="2:8">
      <c r="B44" s="1820" t="s">
        <v>2400</v>
      </c>
      <c r="C44" s="1848">
        <v>0</v>
      </c>
      <c r="D44" s="1860">
        <v>0</v>
      </c>
      <c r="E44" s="1851">
        <v>0</v>
      </c>
      <c r="F44" s="1851">
        <v>0</v>
      </c>
      <c r="G44" s="1810"/>
      <c r="H44" s="1811"/>
    </row>
    <row r="45" spans="2:8">
      <c r="B45" s="1820" t="s">
        <v>2401</v>
      </c>
      <c r="C45" s="1848">
        <v>0</v>
      </c>
      <c r="D45" s="1860">
        <v>0</v>
      </c>
      <c r="E45" s="1851">
        <v>0</v>
      </c>
      <c r="F45" s="1851">
        <v>0</v>
      </c>
      <c r="G45" s="1810"/>
      <c r="H45" s="1811"/>
    </row>
    <row r="46" spans="2:8" ht="12.75" thickBot="1">
      <c r="B46" s="1835"/>
      <c r="C46" s="1836"/>
      <c r="D46" s="1836"/>
      <c r="E46" s="1836"/>
      <c r="F46" s="1836"/>
      <c r="G46" s="1836"/>
      <c r="H46" s="1838"/>
    </row>
    <row r="47" spans="2:8" ht="12.75" thickBot="1">
      <c r="B47" s="1862" t="s">
        <v>2402</v>
      </c>
      <c r="C47" s="1863"/>
      <c r="D47" s="1863"/>
      <c r="E47" s="1863"/>
      <c r="F47" s="1863"/>
      <c r="G47" s="1863"/>
      <c r="H47" s="1864"/>
    </row>
    <row r="48" spans="2:8">
      <c r="B48" s="1865" t="s">
        <v>2403</v>
      </c>
      <c r="C48" s="1866"/>
      <c r="D48" s="1866"/>
      <c r="E48" s="1867"/>
      <c r="F48" s="1867"/>
      <c r="G48" s="1866"/>
      <c r="H48" s="1868"/>
    </row>
    <row r="49" spans="2:8">
      <c r="B49" s="1869"/>
      <c r="C49" s="1810"/>
      <c r="D49" s="1870"/>
      <c r="E49" s="1870"/>
      <c r="F49" s="1870"/>
      <c r="G49" s="1810"/>
      <c r="H49" s="1811"/>
    </row>
    <row r="50" spans="2:8">
      <c r="B50" s="1869"/>
      <c r="C50" s="1871" t="s">
        <v>2404</v>
      </c>
      <c r="D50" s="1871" t="s">
        <v>2405</v>
      </c>
      <c r="E50" s="1872"/>
      <c r="F50" s="1872"/>
      <c r="G50" s="1870"/>
      <c r="H50" s="1873"/>
    </row>
    <row r="51" spans="2:8">
      <c r="B51" s="1874" t="s">
        <v>2406</v>
      </c>
      <c r="C51" s="1875">
        <f>IFERROR(C112*1.3/D112,0)</f>
        <v>0</v>
      </c>
      <c r="D51" s="1875">
        <f>IF('Prescriptive Path'!$D$6="Affordable",C107,IF('Prescriptive Path'!$D$6="Market-Rate",C106,0))</f>
        <v>0</v>
      </c>
      <c r="E51" s="1876"/>
      <c r="F51" s="1872"/>
      <c r="G51" s="1870"/>
      <c r="H51" s="1873"/>
    </row>
    <row r="52" spans="2:8">
      <c r="B52" s="1877" t="s">
        <v>2407</v>
      </c>
      <c r="C52" s="1875">
        <f>IFERROR(C113*1.3/D113,0)</f>
        <v>0</v>
      </c>
      <c r="D52" s="1875">
        <f>IF('Prescriptive Path'!$D$6="Affordable",C109,IF('Prescriptive Path'!$D$6="Market-Rate",C108,0))</f>
        <v>0</v>
      </c>
      <c r="E52" s="1872"/>
      <c r="F52" s="1872"/>
      <c r="G52" s="1872"/>
      <c r="H52" s="1878"/>
    </row>
    <row r="53" spans="2:8" ht="12.75" thickBot="1">
      <c r="B53" s="1879"/>
      <c r="C53" s="1880"/>
      <c r="D53" s="1880"/>
      <c r="E53" s="1880"/>
      <c r="F53" s="1880"/>
      <c r="G53" s="1880"/>
      <c r="H53" s="1881"/>
    </row>
    <row r="54" spans="2:8" ht="12.75" thickBot="1">
      <c r="B54" s="1882" t="s">
        <v>2408</v>
      </c>
      <c r="C54" s="1883"/>
      <c r="D54" s="1883"/>
      <c r="E54" s="1883"/>
      <c r="F54" s="1883"/>
      <c r="G54" s="1883"/>
      <c r="H54" s="1884"/>
    </row>
    <row r="55" spans="2:8">
      <c r="B55" s="1885" t="s">
        <v>2409</v>
      </c>
      <c r="C55" s="1886"/>
      <c r="D55" s="1886"/>
      <c r="E55" s="1886"/>
      <c r="F55" s="1886"/>
      <c r="G55" s="1886"/>
      <c r="H55" s="1887"/>
    </row>
    <row r="56" spans="2:8">
      <c r="B56" s="1888" t="s">
        <v>2410</v>
      </c>
      <c r="H56" s="1829"/>
    </row>
    <row r="57" spans="2:8">
      <c r="B57" s="1888" t="s">
        <v>2411</v>
      </c>
      <c r="H57" s="1829"/>
    </row>
    <row r="58" spans="2:8">
      <c r="B58" s="1889"/>
      <c r="H58" s="1829"/>
    </row>
    <row r="59" spans="2:8">
      <c r="B59" s="2479" t="s">
        <v>2412</v>
      </c>
      <c r="C59" s="2481" t="s">
        <v>2413</v>
      </c>
      <c r="D59" s="2481" t="s">
        <v>2414</v>
      </c>
      <c r="H59" s="1829"/>
    </row>
    <row r="60" spans="2:8">
      <c r="B60" s="2480"/>
      <c r="C60" s="2482"/>
      <c r="D60" s="2482" t="s">
        <v>2415</v>
      </c>
      <c r="H60" s="1829"/>
    </row>
    <row r="61" spans="2:8">
      <c r="B61" s="1890" t="s">
        <v>2416</v>
      </c>
      <c r="C61" s="1891">
        <f>C35+C36+C68</f>
        <v>0</v>
      </c>
      <c r="D61" s="1892">
        <f>IF(H29="Measure Cost",E35+E36,G35+G36)</f>
        <v>0</v>
      </c>
      <c r="E61" s="1893" t="str">
        <f>IF(D61&gt;C61,"Gas incentive cap is exceeded by incentives using the split chosen.","")</f>
        <v/>
      </c>
      <c r="H61" s="1829"/>
    </row>
    <row r="62" spans="2:8">
      <c r="B62" s="1890" t="s">
        <v>2417</v>
      </c>
      <c r="C62" s="1891">
        <f>C33+C34+C69</f>
        <v>0</v>
      </c>
      <c r="D62" s="1891">
        <f>IF(H29="Measure Cost",E33+E34,G33+G34)</f>
        <v>0</v>
      </c>
      <c r="E62" s="1893" t="str">
        <f>IF(D62&gt;C62,"Electric incentive cap is exceeded by incentives using the split chosen.","")</f>
        <v/>
      </c>
      <c r="H62" s="1829"/>
    </row>
    <row r="63" spans="2:8">
      <c r="B63" s="1890" t="s">
        <v>2418</v>
      </c>
      <c r="C63" s="1891">
        <v>0</v>
      </c>
      <c r="D63" s="1891">
        <f>IF(H29="Measure Cost",E90,F90)</f>
        <v>0</v>
      </c>
      <c r="H63" s="1829"/>
    </row>
    <row r="64" spans="2:8">
      <c r="B64" s="1889"/>
      <c r="C64" s="1894"/>
      <c r="D64" s="1894"/>
      <c r="H64" s="1829"/>
    </row>
    <row r="65" spans="1:8">
      <c r="A65" s="1829"/>
      <c r="B65" s="1895" t="s">
        <v>2419</v>
      </c>
      <c r="C65" s="2494"/>
      <c r="D65" s="2494"/>
      <c r="H65" s="1829"/>
    </row>
    <row r="66" spans="1:8">
      <c r="B66" s="1895" t="s">
        <v>2419</v>
      </c>
      <c r="C66" s="2495" t="s">
        <v>2420</v>
      </c>
      <c r="D66" s="2495"/>
      <c r="H66" s="1829"/>
    </row>
    <row r="67" spans="1:8">
      <c r="B67" s="1869"/>
      <c r="C67" s="1894"/>
      <c r="D67" s="1894"/>
      <c r="H67" s="1829"/>
    </row>
    <row r="68" spans="1:8">
      <c r="B68" s="1895" t="s">
        <v>2421</v>
      </c>
      <c r="C68" s="1891">
        <f>IF(C23=0,0,IF(H29="Measure cost", C23-C69,IF(C65="Split",C23-C69,IF(C65="Gas/Fuel Incentive Cap",C23,0))))</f>
        <v>0</v>
      </c>
      <c r="D68" s="1894"/>
      <c r="H68" s="1829"/>
    </row>
    <row r="69" spans="1:8">
      <c r="B69" s="1895" t="s">
        <v>2422</v>
      </c>
      <c r="C69" s="1891">
        <f>IF(C23=0,0,IF(H29="Measure cost", D62-C33-C34,IF(C65="Split",D62-C33-C34,IF(C65="Electric Incentive Cap",C23,0))))</f>
        <v>0</v>
      </c>
      <c r="D69" s="1894"/>
      <c r="H69" s="1829"/>
    </row>
    <row r="70" spans="1:8">
      <c r="B70" s="1889"/>
      <c r="C70" s="1894"/>
      <c r="D70" s="1894"/>
      <c r="H70" s="1829"/>
    </row>
    <row r="71" spans="1:8" ht="12.75" thickBot="1">
      <c r="B71" s="1896"/>
      <c r="C71" s="1837"/>
      <c r="D71" s="1837"/>
      <c r="E71" s="1837"/>
      <c r="F71" s="1837"/>
      <c r="G71" s="1837"/>
      <c r="H71" s="1897"/>
    </row>
    <row r="72" spans="1:8" ht="12.75" thickBot="1">
      <c r="B72" s="1882" t="s">
        <v>2423</v>
      </c>
      <c r="C72" s="1883"/>
      <c r="D72" s="1883"/>
      <c r="E72" s="1883"/>
      <c r="F72" s="1883"/>
      <c r="G72" s="1883"/>
      <c r="H72" s="1884"/>
    </row>
    <row r="73" spans="1:8">
      <c r="B73" s="1885" t="s">
        <v>2424</v>
      </c>
      <c r="C73" s="1898"/>
      <c r="D73" s="1886"/>
      <c r="E73" s="1886"/>
      <c r="F73" s="1886"/>
      <c r="G73" s="1886"/>
      <c r="H73" s="1887"/>
    </row>
    <row r="74" spans="1:8">
      <c r="B74" s="1899" t="s">
        <v>2425</v>
      </c>
      <c r="C74" s="1900"/>
      <c r="D74" s="1900"/>
      <c r="E74" s="1900"/>
      <c r="F74" s="1900"/>
      <c r="G74" s="1900"/>
      <c r="H74" s="1901"/>
    </row>
    <row r="75" spans="1:8">
      <c r="B75" s="1902" t="s">
        <v>2454</v>
      </c>
      <c r="C75" s="1900"/>
      <c r="D75" s="1900"/>
      <c r="E75" s="1900"/>
      <c r="F75" s="1900"/>
      <c r="G75" s="1900"/>
      <c r="H75" s="1901"/>
    </row>
    <row r="76" spans="1:8">
      <c r="B76" s="1889"/>
      <c r="C76" s="1903"/>
      <c r="H76" s="1829"/>
    </row>
    <row r="77" spans="1:8">
      <c r="B77" s="1890" t="s">
        <v>2426</v>
      </c>
      <c r="C77" s="1904" t="str">
        <f>IF('Prescriptive Path'!D3="","",'Prescriptive Path'!D3)</f>
        <v/>
      </c>
      <c r="H77" s="1829"/>
    </row>
    <row r="78" spans="1:8">
      <c r="B78" s="1895" t="s">
        <v>2427</v>
      </c>
      <c r="C78" s="1905">
        <f>C24+C19</f>
        <v>0</v>
      </c>
      <c r="H78" s="1829"/>
    </row>
    <row r="79" spans="1:8">
      <c r="B79" s="1889"/>
      <c r="H79" s="1829"/>
    </row>
    <row r="80" spans="1:8">
      <c r="B80" s="2479" t="s">
        <v>2412</v>
      </c>
      <c r="C80" s="2481" t="s">
        <v>2428</v>
      </c>
      <c r="H80" s="1829"/>
    </row>
    <row r="81" spans="2:8">
      <c r="B81" s="2480"/>
      <c r="C81" s="2482"/>
      <c r="H81" s="1829"/>
    </row>
    <row r="82" spans="2:8">
      <c r="B82" s="1890" t="s">
        <v>2416</v>
      </c>
      <c r="C82" s="1906">
        <f>C61</f>
        <v>0</v>
      </c>
      <c r="E82" s="1907" t="s">
        <v>2429</v>
      </c>
      <c r="F82" s="1908">
        <f>H35+H36</f>
        <v>0</v>
      </c>
      <c r="H82" s="1829"/>
    </row>
    <row r="83" spans="2:8">
      <c r="B83" s="1890" t="s">
        <v>2417</v>
      </c>
      <c r="C83" s="1909">
        <f>C62</f>
        <v>0</v>
      </c>
      <c r="E83" s="1907" t="s">
        <v>2430</v>
      </c>
      <c r="F83" s="1908">
        <f>H33+H34</f>
        <v>0</v>
      </c>
      <c r="H83" s="1829"/>
    </row>
    <row r="84" spans="2:8">
      <c r="B84" s="1890" t="s">
        <v>2418</v>
      </c>
      <c r="C84" s="1909">
        <f>C63</f>
        <v>0</v>
      </c>
      <c r="H84" s="1829"/>
    </row>
    <row r="85" spans="2:8">
      <c r="B85" s="1890" t="s">
        <v>2431</v>
      </c>
      <c r="C85" s="1910">
        <f>Savings!P90</f>
        <v>0</v>
      </c>
      <c r="E85" s="2502">
        <f>IF(H29="&lt;Select one&gt;","Complete cell H29",H29)</f>
        <v>0</v>
      </c>
      <c r="F85" s="2503"/>
      <c r="H85" s="1829"/>
    </row>
    <row r="86" spans="2:8">
      <c r="B86" s="1889"/>
      <c r="C86" s="1810"/>
      <c r="D86" s="2504" t="s">
        <v>2432</v>
      </c>
      <c r="E86" s="2504" t="s">
        <v>2433</v>
      </c>
      <c r="F86" s="2504" t="s">
        <v>2434</v>
      </c>
      <c r="H86" s="1829"/>
    </row>
    <row r="87" spans="2:8">
      <c r="B87" s="1869"/>
      <c r="C87" s="1810"/>
      <c r="D87" s="2504"/>
      <c r="E87" s="2504" t="s">
        <v>2433</v>
      </c>
      <c r="F87" s="2504" t="s">
        <v>2434</v>
      </c>
      <c r="G87" s="1911"/>
      <c r="H87" s="1829"/>
    </row>
    <row r="88" spans="2:8">
      <c r="B88" s="1912" t="s">
        <v>2435</v>
      </c>
      <c r="C88" s="1913" t="s">
        <v>2436</v>
      </c>
      <c r="D88" s="2505">
        <f>IF(C78=0,0,IF(C78&lt;H17,C78,H17))</f>
        <v>0</v>
      </c>
      <c r="E88" s="1891" t="e">
        <f>($D$88-$C$84)*C82/($C$82+$C$83)</f>
        <v>#DIV/0!</v>
      </c>
      <c r="F88" s="1891">
        <f>($D$88-$C$84)*F82</f>
        <v>0</v>
      </c>
      <c r="H88" s="1829"/>
    </row>
    <row r="89" spans="2:8">
      <c r="B89" s="1869"/>
      <c r="C89" s="1913" t="s">
        <v>2250</v>
      </c>
      <c r="D89" s="2505"/>
      <c r="E89" s="1891" t="e">
        <f>($D$88-$C$84)*C83/($C$82+$C$83)</f>
        <v>#DIV/0!</v>
      </c>
      <c r="F89" s="1891">
        <f>($D$88-$C$84)*F83</f>
        <v>0</v>
      </c>
      <c r="H89" s="1829"/>
    </row>
    <row r="90" spans="2:8">
      <c r="B90" s="1869"/>
      <c r="C90" s="1913" t="s">
        <v>2418</v>
      </c>
      <c r="D90" s="2505"/>
      <c r="E90" s="1891">
        <f>C84</f>
        <v>0</v>
      </c>
      <c r="F90" s="1891">
        <f>C84</f>
        <v>0</v>
      </c>
      <c r="H90" s="1829"/>
    </row>
    <row r="91" spans="2:8">
      <c r="B91" s="1912" t="s">
        <v>2437</v>
      </c>
      <c r="C91" s="1913" t="s">
        <v>2436</v>
      </c>
      <c r="D91" s="2496">
        <f>IF(C78=0,0,IF(C78&lt;H17,0,IF(C78&lt;(H17+H18),C78-H17,H18)))</f>
        <v>0</v>
      </c>
      <c r="E91" s="1914" t="e">
        <f>D91*C82/(C82+C83)</f>
        <v>#DIV/0!</v>
      </c>
      <c r="F91" s="1891">
        <f>$D$91*F82</f>
        <v>0</v>
      </c>
      <c r="H91" s="1829"/>
    </row>
    <row r="92" spans="2:8">
      <c r="B92" s="1869"/>
      <c r="C92" s="1913" t="s">
        <v>2250</v>
      </c>
      <c r="D92" s="2497"/>
      <c r="E92" s="1914" t="e">
        <f>D91*C83/(C82+C83)</f>
        <v>#DIV/0!</v>
      </c>
      <c r="F92" s="1891">
        <f>$D$91*F83</f>
        <v>0</v>
      </c>
      <c r="H92" s="1829"/>
    </row>
    <row r="93" spans="2:8">
      <c r="B93" s="1912" t="s">
        <v>2438</v>
      </c>
      <c r="C93" s="1913" t="s">
        <v>2436</v>
      </c>
      <c r="D93" s="2496">
        <f>IF(C78=0,0,IF(C78&lt;(H17+H18),0,IF(C78&lt;(H17+H18+H19),C78-H17-H18,H19)))</f>
        <v>0</v>
      </c>
      <c r="E93" s="1914" t="e">
        <f>D93*C82/(C82+C83)</f>
        <v>#DIV/0!</v>
      </c>
      <c r="F93" s="1891">
        <f>D93*F82</f>
        <v>0</v>
      </c>
      <c r="H93" s="1829"/>
    </row>
    <row r="94" spans="2:8">
      <c r="B94" s="1869"/>
      <c r="C94" s="1913" t="s">
        <v>2250</v>
      </c>
      <c r="D94" s="2497"/>
      <c r="E94" s="1914" t="e">
        <f>D93*C83/(C82+C83)</f>
        <v>#DIV/0!</v>
      </c>
      <c r="F94" s="1891">
        <f>D93*F83</f>
        <v>0</v>
      </c>
      <c r="H94" s="1829"/>
    </row>
    <row r="95" spans="2:8">
      <c r="B95" s="1912" t="s">
        <v>2439</v>
      </c>
      <c r="C95" s="1913" t="s">
        <v>2436</v>
      </c>
      <c r="D95" s="2498">
        <v>0</v>
      </c>
      <c r="E95" s="1915" t="e">
        <f>D95*C82/(C82+C83)</f>
        <v>#DIV/0!</v>
      </c>
      <c r="F95" s="1891">
        <f>D95*F82</f>
        <v>0</v>
      </c>
      <c r="H95" s="1829"/>
    </row>
    <row r="96" spans="2:8">
      <c r="B96" s="1889"/>
      <c r="C96" s="1907" t="s">
        <v>2250</v>
      </c>
      <c r="D96" s="2498"/>
      <c r="E96" s="1915" t="e">
        <f>D95*C83/(C82+C83)</f>
        <v>#DIV/0!</v>
      </c>
      <c r="F96" s="1891">
        <f>D95*F83</f>
        <v>0</v>
      </c>
      <c r="H96" s="1829"/>
    </row>
    <row r="97" spans="2:8" ht="12.75" thickBot="1">
      <c r="B97" s="1896"/>
      <c r="C97" s="1837"/>
      <c r="D97" s="1837"/>
      <c r="E97" s="1837"/>
      <c r="F97" s="1837"/>
      <c r="G97" s="1837"/>
      <c r="H97" s="1897"/>
    </row>
    <row r="98" spans="2:8" ht="12.75" thickBot="1">
      <c r="B98" s="1916"/>
      <c r="C98" s="1917"/>
      <c r="D98" s="1917"/>
      <c r="E98" s="1917"/>
      <c r="F98" s="1917"/>
      <c r="G98" s="1917"/>
      <c r="H98" s="1918"/>
    </row>
    <row r="99" spans="2:8" ht="12.75" thickBot="1">
      <c r="B99" s="2499" t="s">
        <v>2440</v>
      </c>
      <c r="C99" s="2500"/>
      <c r="D99" s="2500"/>
      <c r="E99" s="2500"/>
      <c r="F99" s="2500"/>
      <c r="G99" s="2500"/>
      <c r="H99" s="2501"/>
    </row>
    <row r="100" spans="2:8" ht="12.75" thickBot="1">
      <c r="B100" s="1919"/>
      <c r="C100" s="1920"/>
      <c r="D100" s="1920"/>
      <c r="E100" s="1920"/>
      <c r="F100" s="1920"/>
      <c r="G100" s="1920"/>
      <c r="H100" s="1921"/>
    </row>
    <row r="101" spans="2:8" ht="12.75" thickBot="1">
      <c r="B101" s="1984"/>
      <c r="C101" s="1985"/>
      <c r="D101" s="1961"/>
      <c r="E101" s="1977"/>
      <c r="F101" s="1960"/>
      <c r="G101" s="1961"/>
      <c r="H101" s="1962"/>
    </row>
    <row r="102" spans="2:8">
      <c r="B102" s="1988" t="s">
        <v>2441</v>
      </c>
      <c r="C102" s="1989">
        <f>SUM(Savings!$AI$2:$AI$87)</f>
        <v>0</v>
      </c>
      <c r="D102" s="1983"/>
      <c r="E102" s="1979"/>
      <c r="F102" s="1963"/>
      <c r="G102" s="1964"/>
      <c r="H102" s="1965"/>
    </row>
    <row r="103" spans="2:8" ht="12.75" thickBot="1">
      <c r="B103" s="1990" t="s">
        <v>2442</v>
      </c>
      <c r="C103" s="1991">
        <f>SUM(Savings!$AJ$2:$AJ$87)+0.3*MIN(C24,H20)-SUM(Savings!$W$2:$W$87)</f>
        <v>0</v>
      </c>
      <c r="D103" s="1983"/>
      <c r="E103" s="1980"/>
      <c r="F103" s="1966"/>
      <c r="G103" s="1964"/>
      <c r="H103" s="1965"/>
    </row>
    <row r="104" spans="2:8">
      <c r="B104" s="1986"/>
      <c r="C104" s="1987"/>
      <c r="D104" s="1978"/>
      <c r="E104" s="1980"/>
      <c r="F104" s="1966"/>
      <c r="G104" s="1967"/>
      <c r="H104" s="1968"/>
    </row>
    <row r="105" spans="2:8" ht="12.75" thickBot="1">
      <c r="B105" s="1994" t="s">
        <v>2443</v>
      </c>
      <c r="C105" s="1995"/>
      <c r="D105" s="1995"/>
      <c r="E105" s="1980"/>
      <c r="F105" s="1966"/>
      <c r="G105" s="1969"/>
      <c r="H105" s="1970"/>
    </row>
    <row r="106" spans="2:8">
      <c r="B106" s="2000" t="s">
        <v>2444</v>
      </c>
      <c r="C106" s="2001">
        <v>182</v>
      </c>
      <c r="D106" s="2002" t="s">
        <v>2445</v>
      </c>
      <c r="E106" s="1992"/>
      <c r="F106" s="1966"/>
      <c r="G106" s="1969"/>
      <c r="H106" s="1970"/>
    </row>
    <row r="107" spans="2:8">
      <c r="B107" s="1922" t="s">
        <v>2446</v>
      </c>
      <c r="C107" s="1923">
        <v>276</v>
      </c>
      <c r="D107" s="2003" t="s">
        <v>2445</v>
      </c>
      <c r="E107" s="1992"/>
      <c r="F107" s="1966"/>
      <c r="G107" s="1969"/>
      <c r="H107" s="1970"/>
    </row>
    <row r="108" spans="2:8">
      <c r="B108" s="1922" t="s">
        <v>2447</v>
      </c>
      <c r="C108" s="1923">
        <v>56</v>
      </c>
      <c r="D108" s="2004" t="s">
        <v>2448</v>
      </c>
      <c r="E108" s="1992"/>
      <c r="F108" s="1966"/>
      <c r="G108" s="1969"/>
      <c r="H108" s="1970"/>
    </row>
    <row r="109" spans="2:8" ht="12.75" thickBot="1">
      <c r="B109" s="2005" t="s">
        <v>2449</v>
      </c>
      <c r="C109" s="2006">
        <v>89</v>
      </c>
      <c r="D109" s="2007" t="s">
        <v>2448</v>
      </c>
      <c r="E109" s="1993"/>
      <c r="F109" s="1971"/>
      <c r="G109" s="1969"/>
      <c r="H109" s="1970"/>
    </row>
    <row r="110" spans="2:8" ht="12.75" thickBot="1">
      <c r="B110" s="1996"/>
      <c r="C110" s="1997"/>
      <c r="D110" s="1997"/>
      <c r="E110" s="1981"/>
      <c r="F110" s="1971"/>
      <c r="G110" s="1969"/>
      <c r="H110" s="1970"/>
    </row>
    <row r="111" spans="2:8">
      <c r="B111" s="2000"/>
      <c r="C111" s="2008" t="s">
        <v>2450</v>
      </c>
      <c r="D111" s="2009" t="s">
        <v>2451</v>
      </c>
      <c r="E111" s="1993"/>
      <c r="F111" s="1971"/>
      <c r="G111" s="1972"/>
      <c r="H111" s="1973"/>
    </row>
    <row r="112" spans="2:8">
      <c r="B112" s="1922" t="s">
        <v>2452</v>
      </c>
      <c r="C112" s="1924">
        <f>IF(H29="Measure Cost",E33+E34,IF(H29="Measure Savings",G33+G34,0))</f>
        <v>0</v>
      </c>
      <c r="D112" s="2010">
        <f>(Savings!$C$90+Savings!$D$90)/1000</f>
        <v>0</v>
      </c>
      <c r="E112" s="1993"/>
      <c r="F112" s="1971"/>
      <c r="G112" s="1972"/>
      <c r="H112" s="1973"/>
    </row>
    <row r="113" spans="2:8" ht="12.75" thickBot="1">
      <c r="B113" s="2011" t="s">
        <v>2453</v>
      </c>
      <c r="C113" s="2012">
        <f>IF(H29="Measure Cost",E35+E36,IF(H29="Measure Savings",G35+G36,0))</f>
        <v>0</v>
      </c>
      <c r="D113" s="2013">
        <f>(Savings!$E$90+Savings!$F$90)/10</f>
        <v>0</v>
      </c>
      <c r="E113" s="1993"/>
      <c r="F113" s="1971"/>
      <c r="G113" s="1972"/>
      <c r="H113" s="1973"/>
    </row>
    <row r="114" spans="2:8" ht="12.75" thickBot="1">
      <c r="B114" s="1998"/>
      <c r="C114" s="1999"/>
      <c r="D114" s="1999"/>
      <c r="E114" s="1982"/>
      <c r="F114" s="1974"/>
      <c r="G114" s="1975"/>
      <c r="H114" s="1976"/>
    </row>
  </sheetData>
  <mergeCells count="30">
    <mergeCell ref="D93:D94"/>
    <mergeCell ref="D95:D96"/>
    <mergeCell ref="B99:H99"/>
    <mergeCell ref="E85:F85"/>
    <mergeCell ref="D86:D87"/>
    <mergeCell ref="E86:E87"/>
    <mergeCell ref="F86:F87"/>
    <mergeCell ref="D88:D90"/>
    <mergeCell ref="D91:D92"/>
    <mergeCell ref="B80:B81"/>
    <mergeCell ref="C80:C81"/>
    <mergeCell ref="B31:B32"/>
    <mergeCell ref="E31:F31"/>
    <mergeCell ref="G31:H31"/>
    <mergeCell ref="E32:F32"/>
    <mergeCell ref="G32:H32"/>
    <mergeCell ref="B38:B39"/>
    <mergeCell ref="E38:F38"/>
    <mergeCell ref="G38:G39"/>
    <mergeCell ref="B59:B60"/>
    <mergeCell ref="C59:C60"/>
    <mergeCell ref="D59:D60"/>
    <mergeCell ref="C65:D65"/>
    <mergeCell ref="C66:D66"/>
    <mergeCell ref="B2:H4"/>
    <mergeCell ref="B9:H9"/>
    <mergeCell ref="B16:C16"/>
    <mergeCell ref="G16:H16"/>
    <mergeCell ref="G20:G21"/>
    <mergeCell ref="H20:H21"/>
  </mergeCells>
  <conditionalFormatting sqref="B66:D66">
    <cfRule type="expression" dxfId="28" priority="1">
      <formula>$H$29="Measure savings"</formula>
    </cfRule>
  </conditionalFormatting>
  <conditionalFormatting sqref="E85:F85">
    <cfRule type="expression" dxfId="27" priority="3">
      <formula>$E$85="Complete cell H29"</formula>
    </cfRule>
  </conditionalFormatting>
  <conditionalFormatting sqref="B65:D65">
    <cfRule type="expression" dxfId="26" priority="2">
      <formula>$H$29="Measure cost"</formula>
    </cfRule>
  </conditionalFormatting>
  <dataValidations count="1">
    <dataValidation type="list" allowBlank="1" showInputMessage="1" showErrorMessage="1" sqref="H29">
      <formula1>SplitType</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O84"/>
  <sheetViews>
    <sheetView showGridLines="0" zoomScaleNormal="100" zoomScaleSheetLayoutView="100" workbookViewId="0">
      <selection activeCell="N18" sqref="N18"/>
    </sheetView>
  </sheetViews>
  <sheetFormatPr defaultRowHeight="15"/>
  <cols>
    <col min="1" max="1" width="9.140625" style="948"/>
    <col min="2" max="3" width="9.140625" style="918"/>
    <col min="4" max="4" width="10" style="918" customWidth="1"/>
    <col min="5" max="5" width="9.140625" style="918" customWidth="1"/>
    <col min="6" max="259" width="9.140625" style="918"/>
    <col min="260" max="260" width="10" style="918" customWidth="1"/>
    <col min="261" max="261" width="9.140625" style="918" customWidth="1"/>
    <col min="262" max="515" width="9.140625" style="918"/>
    <col min="516" max="516" width="10" style="918" customWidth="1"/>
    <col min="517" max="517" width="9.140625" style="918" customWidth="1"/>
    <col min="518" max="771" width="9.140625" style="918"/>
    <col min="772" max="772" width="10" style="918" customWidth="1"/>
    <col min="773" max="773" width="9.140625" style="918" customWidth="1"/>
    <col min="774" max="1027" width="9.140625" style="918"/>
    <col min="1028" max="1028" width="10" style="918" customWidth="1"/>
    <col min="1029" max="1029" width="9.140625" style="918" customWidth="1"/>
    <col min="1030" max="1283" width="9.140625" style="918"/>
    <col min="1284" max="1284" width="10" style="918" customWidth="1"/>
    <col min="1285" max="1285" width="9.140625" style="918" customWidth="1"/>
    <col min="1286" max="1539" width="9.140625" style="918"/>
    <col min="1540" max="1540" width="10" style="918" customWidth="1"/>
    <col min="1541" max="1541" width="9.140625" style="918" customWidth="1"/>
    <col min="1542" max="1795" width="9.140625" style="918"/>
    <col min="1796" max="1796" width="10" style="918" customWidth="1"/>
    <col min="1797" max="1797" width="9.140625" style="918" customWidth="1"/>
    <col min="1798" max="2051" width="9.140625" style="918"/>
    <col min="2052" max="2052" width="10" style="918" customWidth="1"/>
    <col min="2053" max="2053" width="9.140625" style="918" customWidth="1"/>
    <col min="2054" max="2307" width="9.140625" style="918"/>
    <col min="2308" max="2308" width="10" style="918" customWidth="1"/>
    <col min="2309" max="2309" width="9.140625" style="918" customWidth="1"/>
    <col min="2310" max="2563" width="9.140625" style="918"/>
    <col min="2564" max="2564" width="10" style="918" customWidth="1"/>
    <col min="2565" max="2565" width="9.140625" style="918" customWidth="1"/>
    <col min="2566" max="2819" width="9.140625" style="918"/>
    <col min="2820" max="2820" width="10" style="918" customWidth="1"/>
    <col min="2821" max="2821" width="9.140625" style="918" customWidth="1"/>
    <col min="2822" max="3075" width="9.140625" style="918"/>
    <col min="3076" max="3076" width="10" style="918" customWidth="1"/>
    <col min="3077" max="3077" width="9.140625" style="918" customWidth="1"/>
    <col min="3078" max="3331" width="9.140625" style="918"/>
    <col min="3332" max="3332" width="10" style="918" customWidth="1"/>
    <col min="3333" max="3333" width="9.140625" style="918" customWidth="1"/>
    <col min="3334" max="3587" width="9.140625" style="918"/>
    <col min="3588" max="3588" width="10" style="918" customWidth="1"/>
    <col min="3589" max="3589" width="9.140625" style="918" customWidth="1"/>
    <col min="3590" max="3843" width="9.140625" style="918"/>
    <col min="3844" max="3844" width="10" style="918" customWidth="1"/>
    <col min="3845" max="3845" width="9.140625" style="918" customWidth="1"/>
    <col min="3846" max="4099" width="9.140625" style="918"/>
    <col min="4100" max="4100" width="10" style="918" customWidth="1"/>
    <col min="4101" max="4101" width="9.140625" style="918" customWidth="1"/>
    <col min="4102" max="4355" width="9.140625" style="918"/>
    <col min="4356" max="4356" width="10" style="918" customWidth="1"/>
    <col min="4357" max="4357" width="9.140625" style="918" customWidth="1"/>
    <col min="4358" max="4611" width="9.140625" style="918"/>
    <col min="4612" max="4612" width="10" style="918" customWidth="1"/>
    <col min="4613" max="4613" width="9.140625" style="918" customWidth="1"/>
    <col min="4614" max="4867" width="9.140625" style="918"/>
    <col min="4868" max="4868" width="10" style="918" customWidth="1"/>
    <col min="4869" max="4869" width="9.140625" style="918" customWidth="1"/>
    <col min="4870" max="5123" width="9.140625" style="918"/>
    <col min="5124" max="5124" width="10" style="918" customWidth="1"/>
    <col min="5125" max="5125" width="9.140625" style="918" customWidth="1"/>
    <col min="5126" max="5379" width="9.140625" style="918"/>
    <col min="5380" max="5380" width="10" style="918" customWidth="1"/>
    <col min="5381" max="5381" width="9.140625" style="918" customWidth="1"/>
    <col min="5382" max="5635" width="9.140625" style="918"/>
    <col min="5636" max="5636" width="10" style="918" customWidth="1"/>
    <col min="5637" max="5637" width="9.140625" style="918" customWidth="1"/>
    <col min="5638" max="5891" width="9.140625" style="918"/>
    <col min="5892" max="5892" width="10" style="918" customWidth="1"/>
    <col min="5893" max="5893" width="9.140625" style="918" customWidth="1"/>
    <col min="5894" max="6147" width="9.140625" style="918"/>
    <col min="6148" max="6148" width="10" style="918" customWidth="1"/>
    <col min="6149" max="6149" width="9.140625" style="918" customWidth="1"/>
    <col min="6150" max="6403" width="9.140625" style="918"/>
    <col min="6404" max="6404" width="10" style="918" customWidth="1"/>
    <col min="6405" max="6405" width="9.140625" style="918" customWidth="1"/>
    <col min="6406" max="6659" width="9.140625" style="918"/>
    <col min="6660" max="6660" width="10" style="918" customWidth="1"/>
    <col min="6661" max="6661" width="9.140625" style="918" customWidth="1"/>
    <col min="6662" max="6915" width="9.140625" style="918"/>
    <col min="6916" max="6916" width="10" style="918" customWidth="1"/>
    <col min="6917" max="6917" width="9.140625" style="918" customWidth="1"/>
    <col min="6918" max="7171" width="9.140625" style="918"/>
    <col min="7172" max="7172" width="10" style="918" customWidth="1"/>
    <col min="7173" max="7173" width="9.140625" style="918" customWidth="1"/>
    <col min="7174" max="7427" width="9.140625" style="918"/>
    <col min="7428" max="7428" width="10" style="918" customWidth="1"/>
    <col min="7429" max="7429" width="9.140625" style="918" customWidth="1"/>
    <col min="7430" max="7683" width="9.140625" style="918"/>
    <col min="7684" max="7684" width="10" style="918" customWidth="1"/>
    <col min="7685" max="7685" width="9.140625" style="918" customWidth="1"/>
    <col min="7686" max="7939" width="9.140625" style="918"/>
    <col min="7940" max="7940" width="10" style="918" customWidth="1"/>
    <col min="7941" max="7941" width="9.140625" style="918" customWidth="1"/>
    <col min="7942" max="8195" width="9.140625" style="918"/>
    <col min="8196" max="8196" width="10" style="918" customWidth="1"/>
    <col min="8197" max="8197" width="9.140625" style="918" customWidth="1"/>
    <col min="8198" max="8451" width="9.140625" style="918"/>
    <col min="8452" max="8452" width="10" style="918" customWidth="1"/>
    <col min="8453" max="8453" width="9.140625" style="918" customWidth="1"/>
    <col min="8454" max="8707" width="9.140625" style="918"/>
    <col min="8708" max="8708" width="10" style="918" customWidth="1"/>
    <col min="8709" max="8709" width="9.140625" style="918" customWidth="1"/>
    <col min="8710" max="8963" width="9.140625" style="918"/>
    <col min="8964" max="8964" width="10" style="918" customWidth="1"/>
    <col min="8965" max="8965" width="9.140625" style="918" customWidth="1"/>
    <col min="8966" max="9219" width="9.140625" style="918"/>
    <col min="9220" max="9220" width="10" style="918" customWidth="1"/>
    <col min="9221" max="9221" width="9.140625" style="918" customWidth="1"/>
    <col min="9222" max="9475" width="9.140625" style="918"/>
    <col min="9476" max="9476" width="10" style="918" customWidth="1"/>
    <col min="9477" max="9477" width="9.140625" style="918" customWidth="1"/>
    <col min="9478" max="9731" width="9.140625" style="918"/>
    <col min="9732" max="9732" width="10" style="918" customWidth="1"/>
    <col min="9733" max="9733" width="9.140625" style="918" customWidth="1"/>
    <col min="9734" max="9987" width="9.140625" style="918"/>
    <col min="9988" max="9988" width="10" style="918" customWidth="1"/>
    <col min="9989" max="9989" width="9.140625" style="918" customWidth="1"/>
    <col min="9990" max="10243" width="9.140625" style="918"/>
    <col min="10244" max="10244" width="10" style="918" customWidth="1"/>
    <col min="10245" max="10245" width="9.140625" style="918" customWidth="1"/>
    <col min="10246" max="10499" width="9.140625" style="918"/>
    <col min="10500" max="10500" width="10" style="918" customWidth="1"/>
    <col min="10501" max="10501" width="9.140625" style="918" customWidth="1"/>
    <col min="10502" max="10755" width="9.140625" style="918"/>
    <col min="10756" max="10756" width="10" style="918" customWidth="1"/>
    <col min="10757" max="10757" width="9.140625" style="918" customWidth="1"/>
    <col min="10758" max="11011" width="9.140625" style="918"/>
    <col min="11012" max="11012" width="10" style="918" customWidth="1"/>
    <col min="11013" max="11013" width="9.140625" style="918" customWidth="1"/>
    <col min="11014" max="11267" width="9.140625" style="918"/>
    <col min="11268" max="11268" width="10" style="918" customWidth="1"/>
    <col min="11269" max="11269" width="9.140625" style="918" customWidth="1"/>
    <col min="11270" max="11523" width="9.140625" style="918"/>
    <col min="11524" max="11524" width="10" style="918" customWidth="1"/>
    <col min="11525" max="11525" width="9.140625" style="918" customWidth="1"/>
    <col min="11526" max="11779" width="9.140625" style="918"/>
    <col min="11780" max="11780" width="10" style="918" customWidth="1"/>
    <col min="11781" max="11781" width="9.140625" style="918" customWidth="1"/>
    <col min="11782" max="12035" width="9.140625" style="918"/>
    <col min="12036" max="12036" width="10" style="918" customWidth="1"/>
    <col min="12037" max="12037" width="9.140625" style="918" customWidth="1"/>
    <col min="12038" max="12291" width="9.140625" style="918"/>
    <col min="12292" max="12292" width="10" style="918" customWidth="1"/>
    <col min="12293" max="12293" width="9.140625" style="918" customWidth="1"/>
    <col min="12294" max="12547" width="9.140625" style="918"/>
    <col min="12548" max="12548" width="10" style="918" customWidth="1"/>
    <col min="12549" max="12549" width="9.140625" style="918" customWidth="1"/>
    <col min="12550" max="12803" width="9.140625" style="918"/>
    <col min="12804" max="12804" width="10" style="918" customWidth="1"/>
    <col min="12805" max="12805" width="9.140625" style="918" customWidth="1"/>
    <col min="12806" max="13059" width="9.140625" style="918"/>
    <col min="13060" max="13060" width="10" style="918" customWidth="1"/>
    <col min="13061" max="13061" width="9.140625" style="918" customWidth="1"/>
    <col min="13062" max="13315" width="9.140625" style="918"/>
    <col min="13316" max="13316" width="10" style="918" customWidth="1"/>
    <col min="13317" max="13317" width="9.140625" style="918" customWidth="1"/>
    <col min="13318" max="13571" width="9.140625" style="918"/>
    <col min="13572" max="13572" width="10" style="918" customWidth="1"/>
    <col min="13573" max="13573" width="9.140625" style="918" customWidth="1"/>
    <col min="13574" max="13827" width="9.140625" style="918"/>
    <col min="13828" max="13828" width="10" style="918" customWidth="1"/>
    <col min="13829" max="13829" width="9.140625" style="918" customWidth="1"/>
    <col min="13830" max="14083" width="9.140625" style="918"/>
    <col min="14084" max="14084" width="10" style="918" customWidth="1"/>
    <col min="14085" max="14085" width="9.140625" style="918" customWidth="1"/>
    <col min="14086" max="14339" width="9.140625" style="918"/>
    <col min="14340" max="14340" width="10" style="918" customWidth="1"/>
    <col min="14341" max="14341" width="9.140625" style="918" customWidth="1"/>
    <col min="14342" max="14595" width="9.140625" style="918"/>
    <col min="14596" max="14596" width="10" style="918" customWidth="1"/>
    <col min="14597" max="14597" width="9.140625" style="918" customWidth="1"/>
    <col min="14598" max="14851" width="9.140625" style="918"/>
    <col min="14852" max="14852" width="10" style="918" customWidth="1"/>
    <col min="14853" max="14853" width="9.140625" style="918" customWidth="1"/>
    <col min="14854" max="15107" width="9.140625" style="918"/>
    <col min="15108" max="15108" width="10" style="918" customWidth="1"/>
    <col min="15109" max="15109" width="9.140625" style="918" customWidth="1"/>
    <col min="15110" max="15363" width="9.140625" style="918"/>
    <col min="15364" max="15364" width="10" style="918" customWidth="1"/>
    <col min="15365" max="15365" width="9.140625" style="918" customWidth="1"/>
    <col min="15366" max="15619" width="9.140625" style="918"/>
    <col min="15620" max="15620" width="10" style="918" customWidth="1"/>
    <col min="15621" max="15621" width="9.140625" style="918" customWidth="1"/>
    <col min="15622" max="15875" width="9.140625" style="918"/>
    <col min="15876" max="15876" width="10" style="918" customWidth="1"/>
    <col min="15877" max="15877" width="9.140625" style="918" customWidth="1"/>
    <col min="15878" max="16131" width="9.140625" style="918"/>
    <col min="16132" max="16132" width="10" style="918" customWidth="1"/>
    <col min="16133" max="16133" width="9.140625" style="918" customWidth="1"/>
    <col min="16134" max="16384" width="9.140625" style="918"/>
  </cols>
  <sheetData>
    <row r="1" spans="1:15">
      <c r="A1" s="916"/>
      <c r="B1" s="917" t="s">
        <v>607</v>
      </c>
    </row>
    <row r="2" spans="1:15">
      <c r="A2" s="916"/>
    </row>
    <row r="3" spans="1:15">
      <c r="A3" s="916"/>
    </row>
    <row r="4" spans="1:15" ht="20.25">
      <c r="A4" s="916"/>
      <c r="B4" s="919" t="s">
        <v>608</v>
      </c>
    </row>
    <row r="5" spans="1:15">
      <c r="A5" s="916"/>
    </row>
    <row r="6" spans="1:15">
      <c r="A6" s="916"/>
      <c r="B6" s="920" t="s">
        <v>609</v>
      </c>
      <c r="E6" s="921"/>
    </row>
    <row r="7" spans="1:15">
      <c r="A7" s="916"/>
      <c r="B7" s="921" t="s">
        <v>610</v>
      </c>
      <c r="E7" s="921"/>
    </row>
    <row r="8" spans="1:15">
      <c r="A8" s="916"/>
      <c r="E8" s="921"/>
    </row>
    <row r="9" spans="1:15">
      <c r="A9" s="916">
        <v>1</v>
      </c>
      <c r="B9" s="922" t="s">
        <v>611</v>
      </c>
      <c r="C9" s="923"/>
    </row>
    <row r="10" spans="1:15">
      <c r="A10" s="916"/>
    </row>
    <row r="11" spans="1:15">
      <c r="A11" s="916">
        <v>1.1000000000000001</v>
      </c>
      <c r="B11" s="922" t="s">
        <v>612</v>
      </c>
      <c r="C11" s="923"/>
    </row>
    <row r="12" spans="1:15">
      <c r="A12" s="916"/>
    </row>
    <row r="13" spans="1:15">
      <c r="A13" s="916"/>
      <c r="B13" s="924"/>
      <c r="C13" s="2508" t="s">
        <v>613</v>
      </c>
      <c r="D13" s="2509"/>
      <c r="E13" s="2509"/>
      <c r="F13" s="2509"/>
      <c r="G13" s="2509"/>
      <c r="H13" s="2509"/>
      <c r="I13" s="2509"/>
      <c r="J13" s="2509"/>
      <c r="K13" s="2509"/>
      <c r="L13" s="2509"/>
      <c r="M13" s="2509"/>
      <c r="N13" s="2509"/>
      <c r="O13" s="2509"/>
    </row>
    <row r="14" spans="1:15">
      <c r="A14" s="916"/>
      <c r="B14" s="925"/>
      <c r="C14" s="926"/>
    </row>
    <row r="15" spans="1:15">
      <c r="A15" s="916"/>
      <c r="B15" s="927"/>
      <c r="C15" s="928" t="s">
        <v>614</v>
      </c>
    </row>
    <row r="16" spans="1:15">
      <c r="A16" s="916"/>
      <c r="B16" s="925"/>
      <c r="C16" s="926"/>
    </row>
    <row r="17" spans="1:3" ht="15" customHeight="1">
      <c r="A17" s="916"/>
      <c r="B17" s="929"/>
      <c r="C17" s="926" t="s">
        <v>615</v>
      </c>
    </row>
    <row r="18" spans="1:3">
      <c r="A18" s="916"/>
      <c r="B18" s="930"/>
      <c r="C18" s="926"/>
    </row>
    <row r="19" spans="1:3">
      <c r="A19" s="916"/>
      <c r="B19" s="931"/>
      <c r="C19" s="926" t="s">
        <v>616</v>
      </c>
    </row>
    <row r="20" spans="1:3">
      <c r="A20" s="916"/>
    </row>
    <row r="21" spans="1:3">
      <c r="A21" s="916"/>
    </row>
    <row r="22" spans="1:3">
      <c r="A22" s="916">
        <v>1.2</v>
      </c>
      <c r="B22" s="922" t="s">
        <v>617</v>
      </c>
    </row>
    <row r="23" spans="1:3">
      <c r="A23" s="916"/>
      <c r="B23" s="922"/>
    </row>
    <row r="24" spans="1:3">
      <c r="A24" s="916"/>
      <c r="B24" s="932"/>
      <c r="C24" s="928" t="s">
        <v>618</v>
      </c>
    </row>
    <row r="25" spans="1:3">
      <c r="A25" s="916"/>
      <c r="B25" s="922"/>
      <c r="C25" s="926"/>
    </row>
    <row r="26" spans="1:3">
      <c r="A26" s="916"/>
      <c r="B26" s="933"/>
      <c r="C26" s="928" t="s">
        <v>619</v>
      </c>
    </row>
    <row r="27" spans="1:3">
      <c r="A27" s="916"/>
      <c r="B27" s="922"/>
    </row>
    <row r="28" spans="1:3">
      <c r="A28" s="916"/>
      <c r="B28" s="934"/>
      <c r="C28" s="928" t="s">
        <v>620</v>
      </c>
    </row>
    <row r="29" spans="1:3">
      <c r="A29" s="916"/>
      <c r="B29" s="922"/>
      <c r="C29" s="926"/>
    </row>
    <row r="30" spans="1:3">
      <c r="A30" s="916"/>
      <c r="B30" s="935"/>
      <c r="C30" s="928" t="s">
        <v>621</v>
      </c>
    </row>
    <row r="31" spans="1:3">
      <c r="A31" s="916"/>
      <c r="B31" s="922"/>
      <c r="C31" s="926"/>
    </row>
    <row r="32" spans="1:3">
      <c r="A32" s="916"/>
      <c r="B32" s="936"/>
      <c r="C32" s="928" t="s">
        <v>622</v>
      </c>
    </row>
    <row r="33" spans="1:14">
      <c r="A33" s="916"/>
      <c r="B33" s="922"/>
    </row>
    <row r="34" spans="1:14">
      <c r="A34" s="916"/>
      <c r="B34" s="922"/>
    </row>
    <row r="35" spans="1:14">
      <c r="A35" s="916">
        <v>2</v>
      </c>
      <c r="B35" s="922" t="s">
        <v>623</v>
      </c>
    </row>
    <row r="36" spans="1:14">
      <c r="A36" s="916"/>
      <c r="B36" s="922"/>
    </row>
    <row r="37" spans="1:14" ht="30" customHeight="1">
      <c r="A37" s="937">
        <f>A35+0.1</f>
        <v>2.1</v>
      </c>
      <c r="B37" s="2506" t="s">
        <v>624</v>
      </c>
      <c r="C37" s="2506"/>
      <c r="D37" s="2506"/>
      <c r="E37" s="2506"/>
      <c r="F37" s="2506"/>
      <c r="G37" s="2506"/>
      <c r="H37" s="2506"/>
      <c r="I37" s="2506"/>
      <c r="J37" s="2506"/>
      <c r="K37" s="2506"/>
      <c r="L37" s="2506"/>
      <c r="M37" s="2506"/>
      <c r="N37" s="2506"/>
    </row>
    <row r="38" spans="1:14" ht="42" customHeight="1">
      <c r="A38" s="937">
        <f t="shared" ref="A38:A43" si="0">A37+0.1</f>
        <v>2.2000000000000002</v>
      </c>
      <c r="B38" s="2506" t="s">
        <v>625</v>
      </c>
      <c r="C38" s="2506"/>
      <c r="D38" s="2506"/>
      <c r="E38" s="2506"/>
      <c r="F38" s="2506"/>
      <c r="G38" s="2506"/>
      <c r="H38" s="2506"/>
      <c r="I38" s="2506"/>
      <c r="J38" s="2506"/>
      <c r="K38" s="2506"/>
      <c r="L38" s="2506"/>
      <c r="M38" s="2506"/>
      <c r="N38" s="2506"/>
    </row>
    <row r="39" spans="1:14" ht="79.5" customHeight="1">
      <c r="A39" s="937">
        <f t="shared" si="0"/>
        <v>2.3000000000000003</v>
      </c>
      <c r="B39" s="2506" t="s">
        <v>626</v>
      </c>
      <c r="C39" s="2506"/>
      <c r="D39" s="2506"/>
      <c r="E39" s="2506"/>
      <c r="F39" s="2506"/>
      <c r="G39" s="2506"/>
      <c r="H39" s="2506"/>
      <c r="I39" s="2506"/>
      <c r="J39" s="2506"/>
      <c r="K39" s="2506"/>
      <c r="L39" s="2506"/>
      <c r="M39" s="2506"/>
      <c r="N39" s="2506"/>
    </row>
    <row r="40" spans="1:14" ht="33.75" customHeight="1">
      <c r="A40" s="937">
        <f t="shared" si="0"/>
        <v>2.4000000000000004</v>
      </c>
      <c r="B40" s="2506" t="s">
        <v>2326</v>
      </c>
      <c r="C40" s="2506"/>
      <c r="D40" s="2506"/>
      <c r="E40" s="2506"/>
      <c r="F40" s="2506"/>
      <c r="G40" s="2506"/>
      <c r="H40" s="2506"/>
      <c r="I40" s="2506"/>
      <c r="J40" s="2506"/>
      <c r="K40" s="2506"/>
      <c r="L40" s="2506"/>
      <c r="M40" s="2506"/>
      <c r="N40" s="2506"/>
    </row>
    <row r="41" spans="1:14" ht="42" customHeight="1">
      <c r="A41" s="937">
        <f t="shared" si="0"/>
        <v>2.5000000000000004</v>
      </c>
      <c r="B41" s="2506" t="s">
        <v>627</v>
      </c>
      <c r="C41" s="2506"/>
      <c r="D41" s="2506"/>
      <c r="E41" s="2506"/>
      <c r="F41" s="2506"/>
      <c r="G41" s="2506"/>
      <c r="H41" s="2506"/>
      <c r="I41" s="2506"/>
      <c r="J41" s="2506"/>
      <c r="K41" s="2506"/>
      <c r="L41" s="2506"/>
      <c r="M41" s="2506"/>
      <c r="N41" s="2506"/>
    </row>
    <row r="42" spans="1:14" ht="42" customHeight="1">
      <c r="A42" s="937">
        <f t="shared" si="0"/>
        <v>2.6000000000000005</v>
      </c>
      <c r="B42" s="2506" t="s">
        <v>628</v>
      </c>
      <c r="C42" s="2506"/>
      <c r="D42" s="2506"/>
      <c r="E42" s="2506"/>
      <c r="F42" s="2506"/>
      <c r="G42" s="2506"/>
      <c r="H42" s="2506"/>
      <c r="I42" s="2506"/>
      <c r="J42" s="2506"/>
      <c r="K42" s="2506"/>
      <c r="L42" s="2506"/>
      <c r="M42" s="2506"/>
      <c r="N42" s="2506"/>
    </row>
    <row r="43" spans="1:14" ht="57" customHeight="1">
      <c r="A43" s="937">
        <f t="shared" si="0"/>
        <v>2.7000000000000006</v>
      </c>
      <c r="B43" s="2506" t="s">
        <v>629</v>
      </c>
      <c r="C43" s="2506"/>
      <c r="D43" s="2506"/>
      <c r="E43" s="2506"/>
      <c r="F43" s="2506"/>
      <c r="G43" s="2506"/>
      <c r="H43" s="2506"/>
      <c r="I43" s="2506"/>
      <c r="J43" s="2506"/>
      <c r="K43" s="2506"/>
      <c r="L43" s="2506"/>
      <c r="M43" s="2506"/>
      <c r="N43" s="2506"/>
    </row>
    <row r="44" spans="1:14">
      <c r="A44" s="937"/>
      <c r="B44" s="938"/>
      <c r="C44" s="938"/>
      <c r="D44" s="938"/>
      <c r="E44" s="938"/>
      <c r="F44" s="938"/>
      <c r="G44" s="938"/>
      <c r="H44" s="938"/>
      <c r="I44" s="938"/>
    </row>
    <row r="45" spans="1:14">
      <c r="A45" s="937"/>
      <c r="B45" s="938"/>
      <c r="C45" s="938"/>
      <c r="D45" s="938"/>
      <c r="E45" s="938"/>
      <c r="F45" s="938"/>
      <c r="G45" s="938"/>
      <c r="H45" s="938"/>
      <c r="I45" s="938"/>
    </row>
    <row r="46" spans="1:14">
      <c r="A46" s="916">
        <v>3</v>
      </c>
      <c r="B46" s="922" t="s">
        <v>630</v>
      </c>
    </row>
    <row r="47" spans="1:14">
      <c r="A47" s="916"/>
      <c r="B47" s="922"/>
    </row>
    <row r="48" spans="1:14" ht="30" customHeight="1">
      <c r="A48" s="937">
        <v>3.1</v>
      </c>
      <c r="B48" s="2506" t="s">
        <v>631</v>
      </c>
      <c r="C48" s="2506"/>
      <c r="D48" s="2506"/>
      <c r="E48" s="2506"/>
      <c r="F48" s="2506"/>
      <c r="G48" s="2506"/>
      <c r="H48" s="2506"/>
      <c r="I48" s="2506"/>
      <c r="J48" s="2506"/>
      <c r="K48" s="2506"/>
      <c r="L48" s="2506"/>
      <c r="M48" s="2506"/>
      <c r="N48" s="2506"/>
    </row>
    <row r="49" spans="1:14">
      <c r="A49" s="916"/>
      <c r="B49" s="939"/>
    </row>
    <row r="50" spans="1:14">
      <c r="A50" s="916"/>
      <c r="B50" s="939"/>
    </row>
    <row r="51" spans="1:14">
      <c r="A51" s="937">
        <v>4</v>
      </c>
      <c r="B51" s="940" t="s">
        <v>632</v>
      </c>
      <c r="C51" s="938"/>
      <c r="D51" s="938"/>
      <c r="E51" s="938"/>
      <c r="F51" s="938"/>
      <c r="G51" s="938"/>
      <c r="H51" s="938"/>
      <c r="I51" s="938"/>
    </row>
    <row r="52" spans="1:14">
      <c r="A52" s="937"/>
      <c r="B52" s="940"/>
      <c r="C52" s="938"/>
      <c r="D52" s="938"/>
      <c r="E52" s="938"/>
      <c r="F52" s="938"/>
      <c r="G52" s="938"/>
      <c r="H52" s="938"/>
      <c r="I52" s="938"/>
    </row>
    <row r="53" spans="1:14" ht="30" customHeight="1">
      <c r="A53" s="937">
        <f>A51+0.1</f>
        <v>4.0999999999999996</v>
      </c>
      <c r="B53" s="2506" t="s">
        <v>633</v>
      </c>
      <c r="C53" s="2506"/>
      <c r="D53" s="2506"/>
      <c r="E53" s="2506"/>
      <c r="F53" s="2506"/>
      <c r="G53" s="2506"/>
      <c r="H53" s="2506"/>
      <c r="I53" s="2506"/>
      <c r="J53" s="2506"/>
      <c r="K53" s="2506"/>
      <c r="L53" s="2506"/>
      <c r="M53" s="2506"/>
      <c r="N53" s="2506"/>
    </row>
    <row r="54" spans="1:14" ht="54.75" customHeight="1">
      <c r="A54" s="937">
        <f>A53+0.1</f>
        <v>4.1999999999999993</v>
      </c>
      <c r="B54" s="2506" t="s">
        <v>634</v>
      </c>
      <c r="C54" s="2506"/>
      <c r="D54" s="2506"/>
      <c r="E54" s="2506"/>
      <c r="F54" s="2506"/>
      <c r="G54" s="2506"/>
      <c r="H54" s="2506"/>
      <c r="I54" s="2506"/>
      <c r="J54" s="2506"/>
      <c r="K54" s="2506"/>
      <c r="L54" s="2506"/>
      <c r="M54" s="2506"/>
      <c r="N54" s="2506"/>
    </row>
    <row r="55" spans="1:14" ht="66.75" customHeight="1">
      <c r="A55" s="937">
        <f>A54+0.1</f>
        <v>4.2999999999999989</v>
      </c>
      <c r="B55" s="2506" t="s">
        <v>635</v>
      </c>
      <c r="C55" s="2506"/>
      <c r="D55" s="2506"/>
      <c r="E55" s="2506"/>
      <c r="F55" s="2506"/>
      <c r="G55" s="2506"/>
      <c r="H55" s="2506"/>
      <c r="I55" s="2506"/>
      <c r="J55" s="2506"/>
      <c r="K55" s="2506"/>
      <c r="L55" s="2506"/>
      <c r="M55" s="2506"/>
      <c r="N55" s="2506"/>
    </row>
    <row r="56" spans="1:14" ht="41.25" customHeight="1">
      <c r="A56" s="937">
        <f>A55+0.1</f>
        <v>4.3999999999999986</v>
      </c>
      <c r="B56" s="2506" t="s">
        <v>636</v>
      </c>
      <c r="C56" s="2506"/>
      <c r="D56" s="2506"/>
      <c r="E56" s="2506"/>
      <c r="F56" s="2506"/>
      <c r="G56" s="2506"/>
      <c r="H56" s="2506"/>
      <c r="I56" s="2506"/>
      <c r="J56" s="2506"/>
      <c r="K56" s="2506"/>
      <c r="L56" s="2506"/>
      <c r="M56" s="2506"/>
      <c r="N56" s="2506"/>
    </row>
    <row r="57" spans="1:14" ht="66" customHeight="1">
      <c r="A57" s="937">
        <f>A56+0.1</f>
        <v>4.4999999999999982</v>
      </c>
      <c r="B57" s="2506" t="s">
        <v>637</v>
      </c>
      <c r="C57" s="2506"/>
      <c r="D57" s="2506"/>
      <c r="E57" s="2506"/>
      <c r="F57" s="2506"/>
      <c r="G57" s="2506"/>
      <c r="H57" s="2506"/>
      <c r="I57" s="2506"/>
      <c r="J57" s="2506"/>
      <c r="K57" s="2506"/>
      <c r="L57" s="2506"/>
      <c r="M57" s="2506"/>
      <c r="N57" s="2506"/>
    </row>
    <row r="58" spans="1:14" ht="15.75" customHeight="1">
      <c r="A58" s="937"/>
      <c r="B58" s="941" t="s">
        <v>638</v>
      </c>
      <c r="C58" s="942"/>
      <c r="D58" s="942"/>
      <c r="E58" s="942"/>
      <c r="F58" s="942"/>
      <c r="G58" s="942"/>
      <c r="H58" s="942"/>
      <c r="I58" s="942"/>
      <c r="J58" s="942"/>
      <c r="K58" s="942"/>
      <c r="L58" s="942"/>
      <c r="M58" s="942"/>
      <c r="N58" s="942"/>
    </row>
    <row r="59" spans="1:14" ht="15.75" customHeight="1">
      <c r="A59" s="937"/>
      <c r="B59" s="941" t="s">
        <v>639</v>
      </c>
      <c r="C59" s="942"/>
      <c r="D59" s="942"/>
      <c r="E59" s="942"/>
      <c r="F59" s="942"/>
      <c r="G59" s="942"/>
      <c r="H59" s="942"/>
      <c r="I59" s="942"/>
      <c r="J59" s="942"/>
      <c r="K59" s="942"/>
      <c r="L59" s="942"/>
      <c r="M59" s="942"/>
      <c r="N59" s="942"/>
    </row>
    <row r="60" spans="1:14" ht="15.75" customHeight="1">
      <c r="A60" s="937"/>
      <c r="B60" s="941" t="s">
        <v>640</v>
      </c>
      <c r="C60" s="942"/>
      <c r="D60" s="942"/>
      <c r="E60" s="942"/>
      <c r="F60" s="942"/>
      <c r="G60" s="942"/>
      <c r="H60" s="942"/>
      <c r="I60" s="942"/>
      <c r="J60" s="942"/>
      <c r="K60" s="942"/>
      <c r="L60" s="942"/>
      <c r="M60" s="942"/>
      <c r="N60" s="942"/>
    </row>
    <row r="61" spans="1:14" ht="40.5" customHeight="1">
      <c r="A61" s="937">
        <v>4.5999999999999996</v>
      </c>
      <c r="B61" s="2506" t="s">
        <v>641</v>
      </c>
      <c r="C61" s="2506"/>
      <c r="D61" s="2506"/>
      <c r="E61" s="2506"/>
      <c r="F61" s="2506"/>
      <c r="G61" s="2506"/>
      <c r="H61" s="2506"/>
      <c r="I61" s="2506"/>
      <c r="J61" s="2506"/>
      <c r="K61" s="2506"/>
      <c r="L61" s="2506"/>
      <c r="M61" s="2506"/>
      <c r="N61" s="2506"/>
    </row>
    <row r="62" spans="1:14" ht="13.5" customHeight="1">
      <c r="A62" s="937"/>
      <c r="B62" s="942"/>
      <c r="C62" s="942"/>
      <c r="D62" s="942"/>
      <c r="E62" s="942"/>
      <c r="F62" s="942"/>
      <c r="G62" s="942"/>
      <c r="H62" s="942"/>
      <c r="I62" s="942"/>
      <c r="J62" s="942"/>
      <c r="K62" s="942"/>
      <c r="L62" s="942"/>
      <c r="M62" s="942"/>
      <c r="N62" s="942"/>
    </row>
    <row r="63" spans="1:14">
      <c r="A63" s="937">
        <v>5</v>
      </c>
      <c r="B63" s="940" t="s">
        <v>642</v>
      </c>
      <c r="C63" s="938"/>
      <c r="D63" s="938"/>
      <c r="E63" s="938"/>
      <c r="F63" s="938"/>
      <c r="G63" s="938"/>
      <c r="H63" s="938"/>
      <c r="I63" s="938"/>
    </row>
    <row r="64" spans="1:14" ht="23.25" customHeight="1">
      <c r="A64" s="943">
        <v>5.0999999999999996</v>
      </c>
      <c r="B64" s="944" t="s">
        <v>643</v>
      </c>
      <c r="C64" s="942"/>
      <c r="D64" s="942"/>
      <c r="E64" s="2507" t="s">
        <v>644</v>
      </c>
      <c r="F64" s="2507"/>
      <c r="G64" s="2507"/>
      <c r="H64" s="942"/>
      <c r="I64" s="942"/>
      <c r="J64" s="942"/>
      <c r="K64" s="942"/>
      <c r="L64" s="942"/>
      <c r="M64" s="942"/>
      <c r="N64" s="942"/>
    </row>
    <row r="65" spans="1:14" ht="13.5" customHeight="1">
      <c r="A65" s="937"/>
      <c r="B65" s="942"/>
      <c r="C65" s="942"/>
      <c r="D65" s="942"/>
      <c r="E65" s="942"/>
      <c r="F65" s="942"/>
      <c r="G65" s="942"/>
      <c r="H65" s="942"/>
      <c r="I65" s="942"/>
      <c r="J65" s="942"/>
      <c r="K65" s="942"/>
      <c r="L65" s="942"/>
      <c r="M65" s="942"/>
      <c r="N65" s="942"/>
    </row>
    <row r="66" spans="1:14" ht="13.5" customHeight="1">
      <c r="A66" s="937"/>
      <c r="B66" s="942"/>
      <c r="C66" s="942"/>
      <c r="D66" s="942"/>
      <c r="E66" s="942"/>
      <c r="F66" s="942"/>
      <c r="G66" s="942"/>
      <c r="H66" s="942"/>
      <c r="I66" s="942"/>
      <c r="J66" s="942"/>
      <c r="K66" s="942"/>
      <c r="L66" s="942"/>
      <c r="M66" s="942"/>
      <c r="N66" s="942"/>
    </row>
    <row r="67" spans="1:14" ht="13.5" customHeight="1">
      <c r="A67" s="937"/>
      <c r="B67" s="942"/>
      <c r="C67" s="942"/>
      <c r="D67" s="942"/>
      <c r="E67" s="942"/>
      <c r="F67" s="942"/>
      <c r="G67" s="942"/>
      <c r="H67" s="942"/>
      <c r="I67" s="942"/>
      <c r="J67" s="942"/>
      <c r="K67" s="942"/>
      <c r="L67" s="942"/>
      <c r="M67" s="942"/>
      <c r="N67" s="942"/>
    </row>
    <row r="68" spans="1:14" ht="13.5" customHeight="1">
      <c r="A68" s="937"/>
      <c r="B68" s="942"/>
      <c r="C68" s="942"/>
      <c r="D68" s="942"/>
      <c r="E68" s="942"/>
      <c r="F68" s="942"/>
      <c r="G68" s="942"/>
      <c r="H68" s="942"/>
      <c r="I68" s="942"/>
      <c r="J68" s="942"/>
      <c r="K68" s="942"/>
      <c r="L68" s="942"/>
      <c r="M68" s="942"/>
      <c r="N68" s="942"/>
    </row>
    <row r="69" spans="1:14" ht="13.5" customHeight="1">
      <c r="A69" s="937"/>
      <c r="B69" s="942"/>
      <c r="C69" s="942"/>
      <c r="D69" s="942"/>
      <c r="E69" s="942"/>
      <c r="F69" s="942"/>
      <c r="G69" s="942"/>
      <c r="H69" s="942"/>
      <c r="I69" s="942"/>
      <c r="J69" s="942"/>
      <c r="K69" s="942"/>
      <c r="L69" s="942"/>
      <c r="M69" s="942"/>
      <c r="N69" s="942"/>
    </row>
    <row r="70" spans="1:14" ht="13.5" customHeight="1">
      <c r="A70" s="937"/>
      <c r="B70" s="942"/>
      <c r="C70" s="942"/>
      <c r="D70" s="942"/>
      <c r="E70" s="942"/>
      <c r="F70" s="942"/>
      <c r="G70" s="942"/>
      <c r="H70" s="942"/>
      <c r="I70" s="942"/>
      <c r="J70" s="942"/>
      <c r="K70" s="942"/>
      <c r="L70" s="942"/>
      <c r="M70" s="942"/>
      <c r="N70" s="942"/>
    </row>
    <row r="71" spans="1:14" ht="13.5" customHeight="1">
      <c r="A71" s="937"/>
      <c r="B71" s="942"/>
      <c r="C71" s="942"/>
      <c r="D71" s="942"/>
      <c r="E71" s="942"/>
      <c r="F71" s="942"/>
      <c r="G71" s="942"/>
      <c r="H71" s="942"/>
      <c r="I71" s="942"/>
      <c r="J71" s="942"/>
      <c r="K71" s="942"/>
      <c r="L71" s="942"/>
      <c r="M71" s="942"/>
      <c r="N71" s="942"/>
    </row>
    <row r="72" spans="1:14" ht="13.5" customHeight="1">
      <c r="A72" s="937"/>
      <c r="B72" s="945"/>
      <c r="C72" s="942"/>
      <c r="D72" s="942"/>
      <c r="E72" s="942"/>
      <c r="F72" s="942"/>
      <c r="G72" s="942"/>
      <c r="H72" s="942"/>
      <c r="I72" s="942"/>
    </row>
    <row r="73" spans="1:14" ht="13.5" customHeight="1">
      <c r="A73" s="937"/>
      <c r="B73" s="946"/>
      <c r="C73" s="942"/>
      <c r="D73" s="942"/>
      <c r="E73" s="942"/>
      <c r="F73" s="942"/>
      <c r="G73" s="942"/>
      <c r="H73" s="942"/>
      <c r="I73" s="942"/>
    </row>
    <row r="74" spans="1:14" ht="13.5" customHeight="1">
      <c r="A74" s="937"/>
      <c r="B74" s="946"/>
      <c r="C74" s="942"/>
      <c r="D74" s="942"/>
      <c r="E74" s="942"/>
      <c r="F74" s="942"/>
      <c r="G74" s="942"/>
      <c r="H74" s="942"/>
      <c r="I74" s="942"/>
    </row>
    <row r="75" spans="1:14" ht="13.5" customHeight="1">
      <c r="A75" s="947"/>
      <c r="C75" s="942"/>
      <c r="D75" s="942"/>
      <c r="E75" s="942"/>
      <c r="F75" s="942"/>
      <c r="G75" s="942"/>
      <c r="H75" s="942"/>
      <c r="I75" s="942"/>
    </row>
    <row r="76" spans="1:14" ht="13.5" customHeight="1">
      <c r="A76" s="937"/>
      <c r="B76" s="946"/>
      <c r="C76" s="942"/>
      <c r="D76" s="942"/>
      <c r="E76" s="942"/>
      <c r="F76" s="942"/>
      <c r="G76" s="942"/>
      <c r="H76" s="942"/>
      <c r="I76" s="942"/>
    </row>
    <row r="77" spans="1:14" ht="13.5" customHeight="1">
      <c r="A77" s="947"/>
      <c r="C77" s="942"/>
      <c r="D77" s="942"/>
      <c r="E77" s="942"/>
      <c r="F77" s="942"/>
      <c r="G77" s="942"/>
      <c r="H77" s="942"/>
      <c r="I77" s="942"/>
    </row>
    <row r="78" spans="1:14" ht="13.5" customHeight="1">
      <c r="A78" s="937"/>
      <c r="B78" s="946"/>
      <c r="C78" s="942"/>
      <c r="D78" s="942"/>
      <c r="E78" s="942"/>
      <c r="F78" s="942"/>
      <c r="G78" s="942"/>
      <c r="H78" s="942"/>
      <c r="I78" s="942"/>
    </row>
    <row r="79" spans="1:14" ht="13.5" customHeight="1">
      <c r="A79" s="937"/>
      <c r="C79" s="942"/>
      <c r="D79" s="942"/>
      <c r="E79" s="942"/>
      <c r="F79" s="942"/>
      <c r="G79" s="942"/>
      <c r="H79" s="942"/>
      <c r="I79" s="942"/>
    </row>
    <row r="80" spans="1:14" ht="13.5" customHeight="1">
      <c r="A80" s="937"/>
      <c r="C80" s="942"/>
      <c r="D80" s="942"/>
      <c r="E80" s="942"/>
      <c r="F80" s="942"/>
      <c r="G80" s="942"/>
      <c r="H80" s="942"/>
      <c r="I80" s="942"/>
    </row>
    <row r="81" spans="1:9" ht="13.5" customHeight="1">
      <c r="A81" s="937"/>
      <c r="C81" s="942"/>
      <c r="D81" s="942"/>
      <c r="E81" s="942"/>
      <c r="F81" s="942"/>
      <c r="G81" s="942"/>
      <c r="H81" s="942"/>
      <c r="I81" s="942"/>
    </row>
    <row r="82" spans="1:9" ht="13.5" customHeight="1">
      <c r="A82" s="937"/>
      <c r="C82" s="942"/>
      <c r="D82" s="942"/>
      <c r="E82" s="942"/>
      <c r="F82" s="942"/>
      <c r="G82" s="942"/>
      <c r="H82" s="942"/>
      <c r="I82" s="942"/>
    </row>
    <row r="83" spans="1:9" ht="13.5" customHeight="1">
      <c r="A83" s="937"/>
      <c r="B83" s="942"/>
      <c r="C83" s="942"/>
      <c r="D83" s="942"/>
      <c r="E83" s="942"/>
      <c r="F83" s="942"/>
      <c r="G83" s="942"/>
      <c r="H83" s="942"/>
      <c r="I83" s="942"/>
    </row>
    <row r="84" spans="1:9" ht="13.5" customHeight="1"/>
  </sheetData>
  <sheetProtection sheet="1" objects="1" scenarios="1"/>
  <mergeCells count="16">
    <mergeCell ref="B41:N41"/>
    <mergeCell ref="C13:O13"/>
    <mergeCell ref="B37:N37"/>
    <mergeCell ref="B38:N38"/>
    <mergeCell ref="B39:N39"/>
    <mergeCell ref="B40:N40"/>
    <mergeCell ref="B56:N56"/>
    <mergeCell ref="B57:N57"/>
    <mergeCell ref="B61:N61"/>
    <mergeCell ref="E64:G64"/>
    <mergeCell ref="B42:N42"/>
    <mergeCell ref="B43:N43"/>
    <mergeCell ref="B48:N48"/>
    <mergeCell ref="B53:N53"/>
    <mergeCell ref="B54:N54"/>
    <mergeCell ref="B55:N55"/>
  </mergeCells>
  <hyperlinks>
    <hyperlink ref="E64" r:id="rId1"/>
    <hyperlink ref="B7" r:id="rId2"/>
    <hyperlink ref="E64:G64" r:id="rId3" display="pgleeson@trcsolutions.com"/>
  </hyperlinks>
  <pageMargins left="0.7" right="0.7" top="0.75" bottom="0.75" header="0.3" footer="0.3"/>
  <pageSetup scale="66"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P170"/>
  <sheetViews>
    <sheetView showGridLines="0" zoomScaleNormal="100" workbookViewId="0"/>
  </sheetViews>
  <sheetFormatPr defaultColWidth="8.85546875" defaultRowHeight="12.75"/>
  <cols>
    <col min="1" max="1" width="9.140625" style="953" customWidth="1"/>
    <col min="2" max="2" width="34.7109375" style="953" customWidth="1"/>
    <col min="3" max="7" width="27.85546875" style="953" customWidth="1"/>
    <col min="8" max="15" width="8.85546875" style="953"/>
    <col min="16" max="16" width="8.85546875" style="953" customWidth="1"/>
    <col min="17" max="256" width="8.85546875" style="953"/>
    <col min="257" max="257" width="9.140625" style="953" customWidth="1"/>
    <col min="258" max="258" width="34.7109375" style="953" customWidth="1"/>
    <col min="259" max="263" width="27.85546875" style="953" customWidth="1"/>
    <col min="264" max="271" width="8.85546875" style="953"/>
    <col min="272" max="272" width="8.85546875" style="953" customWidth="1"/>
    <col min="273" max="512" width="8.85546875" style="953"/>
    <col min="513" max="513" width="9.140625" style="953" customWidth="1"/>
    <col min="514" max="514" width="34.7109375" style="953" customWidth="1"/>
    <col min="515" max="519" width="27.85546875" style="953" customWidth="1"/>
    <col min="520" max="527" width="8.85546875" style="953"/>
    <col min="528" max="528" width="8.85546875" style="953" customWidth="1"/>
    <col min="529" max="768" width="8.85546875" style="953"/>
    <col min="769" max="769" width="9.140625" style="953" customWidth="1"/>
    <col min="770" max="770" width="34.7109375" style="953" customWidth="1"/>
    <col min="771" max="775" width="27.85546875" style="953" customWidth="1"/>
    <col min="776" max="783" width="8.85546875" style="953"/>
    <col min="784" max="784" width="8.85546875" style="953" customWidth="1"/>
    <col min="785" max="1024" width="8.85546875" style="953"/>
    <col min="1025" max="1025" width="9.140625" style="953" customWidth="1"/>
    <col min="1026" max="1026" width="34.7109375" style="953" customWidth="1"/>
    <col min="1027" max="1031" width="27.85546875" style="953" customWidth="1"/>
    <col min="1032" max="1039" width="8.85546875" style="953"/>
    <col min="1040" max="1040" width="8.85546875" style="953" customWidth="1"/>
    <col min="1041" max="1280" width="8.85546875" style="953"/>
    <col min="1281" max="1281" width="9.140625" style="953" customWidth="1"/>
    <col min="1282" max="1282" width="34.7109375" style="953" customWidth="1"/>
    <col min="1283" max="1287" width="27.85546875" style="953" customWidth="1"/>
    <col min="1288" max="1295" width="8.85546875" style="953"/>
    <col min="1296" max="1296" width="8.85546875" style="953" customWidth="1"/>
    <col min="1297" max="1536" width="8.85546875" style="953"/>
    <col min="1537" max="1537" width="9.140625" style="953" customWidth="1"/>
    <col min="1538" max="1538" width="34.7109375" style="953" customWidth="1"/>
    <col min="1539" max="1543" width="27.85546875" style="953" customWidth="1"/>
    <col min="1544" max="1551" width="8.85546875" style="953"/>
    <col min="1552" max="1552" width="8.85546875" style="953" customWidth="1"/>
    <col min="1553" max="1792" width="8.85546875" style="953"/>
    <col min="1793" max="1793" width="9.140625" style="953" customWidth="1"/>
    <col min="1794" max="1794" width="34.7109375" style="953" customWidth="1"/>
    <col min="1795" max="1799" width="27.85546875" style="953" customWidth="1"/>
    <col min="1800" max="1807" width="8.85546875" style="953"/>
    <col min="1808" max="1808" width="8.85546875" style="953" customWidth="1"/>
    <col min="1809" max="2048" width="8.85546875" style="953"/>
    <col min="2049" max="2049" width="9.140625" style="953" customWidth="1"/>
    <col min="2050" max="2050" width="34.7109375" style="953" customWidth="1"/>
    <col min="2051" max="2055" width="27.85546875" style="953" customWidth="1"/>
    <col min="2056" max="2063" width="8.85546875" style="953"/>
    <col min="2064" max="2064" width="8.85546875" style="953" customWidth="1"/>
    <col min="2065" max="2304" width="8.85546875" style="953"/>
    <col min="2305" max="2305" width="9.140625" style="953" customWidth="1"/>
    <col min="2306" max="2306" width="34.7109375" style="953" customWidth="1"/>
    <col min="2307" max="2311" width="27.85546875" style="953" customWidth="1"/>
    <col min="2312" max="2319" width="8.85546875" style="953"/>
    <col min="2320" max="2320" width="8.85546875" style="953" customWidth="1"/>
    <col min="2321" max="2560" width="8.85546875" style="953"/>
    <col min="2561" max="2561" width="9.140625" style="953" customWidth="1"/>
    <col min="2562" max="2562" width="34.7109375" style="953" customWidth="1"/>
    <col min="2563" max="2567" width="27.85546875" style="953" customWidth="1"/>
    <col min="2568" max="2575" width="8.85546875" style="953"/>
    <col min="2576" max="2576" width="8.85546875" style="953" customWidth="1"/>
    <col min="2577" max="2816" width="8.85546875" style="953"/>
    <col min="2817" max="2817" width="9.140625" style="953" customWidth="1"/>
    <col min="2818" max="2818" width="34.7109375" style="953" customWidth="1"/>
    <col min="2819" max="2823" width="27.85546875" style="953" customWidth="1"/>
    <col min="2824" max="2831" width="8.85546875" style="953"/>
    <col min="2832" max="2832" width="8.85546875" style="953" customWidth="1"/>
    <col min="2833" max="3072" width="8.85546875" style="953"/>
    <col min="3073" max="3073" width="9.140625" style="953" customWidth="1"/>
    <col min="3074" max="3074" width="34.7109375" style="953" customWidth="1"/>
    <col min="3075" max="3079" width="27.85546875" style="953" customWidth="1"/>
    <col min="3080" max="3087" width="8.85546875" style="953"/>
    <col min="3088" max="3088" width="8.85546875" style="953" customWidth="1"/>
    <col min="3089" max="3328" width="8.85546875" style="953"/>
    <col min="3329" max="3329" width="9.140625" style="953" customWidth="1"/>
    <col min="3330" max="3330" width="34.7109375" style="953" customWidth="1"/>
    <col min="3331" max="3335" width="27.85546875" style="953" customWidth="1"/>
    <col min="3336" max="3343" width="8.85546875" style="953"/>
    <col min="3344" max="3344" width="8.85546875" style="953" customWidth="1"/>
    <col min="3345" max="3584" width="8.85546875" style="953"/>
    <col min="3585" max="3585" width="9.140625" style="953" customWidth="1"/>
    <col min="3586" max="3586" width="34.7109375" style="953" customWidth="1"/>
    <col min="3587" max="3591" width="27.85546875" style="953" customWidth="1"/>
    <col min="3592" max="3599" width="8.85546875" style="953"/>
    <col min="3600" max="3600" width="8.85546875" style="953" customWidth="1"/>
    <col min="3601" max="3840" width="8.85546875" style="953"/>
    <col min="3841" max="3841" width="9.140625" style="953" customWidth="1"/>
    <col min="3842" max="3842" width="34.7109375" style="953" customWidth="1"/>
    <col min="3843" max="3847" width="27.85546875" style="953" customWidth="1"/>
    <col min="3848" max="3855" width="8.85546875" style="953"/>
    <col min="3856" max="3856" width="8.85546875" style="953" customWidth="1"/>
    <col min="3857" max="4096" width="8.85546875" style="953"/>
    <col min="4097" max="4097" width="9.140625" style="953" customWidth="1"/>
    <col min="4098" max="4098" width="34.7109375" style="953" customWidth="1"/>
    <col min="4099" max="4103" width="27.85546875" style="953" customWidth="1"/>
    <col min="4104" max="4111" width="8.85546875" style="953"/>
    <col min="4112" max="4112" width="8.85546875" style="953" customWidth="1"/>
    <col min="4113" max="4352" width="8.85546875" style="953"/>
    <col min="4353" max="4353" width="9.140625" style="953" customWidth="1"/>
    <col min="4354" max="4354" width="34.7109375" style="953" customWidth="1"/>
    <col min="4355" max="4359" width="27.85546875" style="953" customWidth="1"/>
    <col min="4360" max="4367" width="8.85546875" style="953"/>
    <col min="4368" max="4368" width="8.85546875" style="953" customWidth="1"/>
    <col min="4369" max="4608" width="8.85546875" style="953"/>
    <col min="4609" max="4609" width="9.140625" style="953" customWidth="1"/>
    <col min="4610" max="4610" width="34.7109375" style="953" customWidth="1"/>
    <col min="4611" max="4615" width="27.85546875" style="953" customWidth="1"/>
    <col min="4616" max="4623" width="8.85546875" style="953"/>
    <col min="4624" max="4624" width="8.85546875" style="953" customWidth="1"/>
    <col min="4625" max="4864" width="8.85546875" style="953"/>
    <col min="4865" max="4865" width="9.140625" style="953" customWidth="1"/>
    <col min="4866" max="4866" width="34.7109375" style="953" customWidth="1"/>
    <col min="4867" max="4871" width="27.85546875" style="953" customWidth="1"/>
    <col min="4872" max="4879" width="8.85546875" style="953"/>
    <col min="4880" max="4880" width="8.85546875" style="953" customWidth="1"/>
    <col min="4881" max="5120" width="8.85546875" style="953"/>
    <col min="5121" max="5121" width="9.140625" style="953" customWidth="1"/>
    <col min="5122" max="5122" width="34.7109375" style="953" customWidth="1"/>
    <col min="5123" max="5127" width="27.85546875" style="953" customWidth="1"/>
    <col min="5128" max="5135" width="8.85546875" style="953"/>
    <col min="5136" max="5136" width="8.85546875" style="953" customWidth="1"/>
    <col min="5137" max="5376" width="8.85546875" style="953"/>
    <col min="5377" max="5377" width="9.140625" style="953" customWidth="1"/>
    <col min="5378" max="5378" width="34.7109375" style="953" customWidth="1"/>
    <col min="5379" max="5383" width="27.85546875" style="953" customWidth="1"/>
    <col min="5384" max="5391" width="8.85546875" style="953"/>
    <col min="5392" max="5392" width="8.85546875" style="953" customWidth="1"/>
    <col min="5393" max="5632" width="8.85546875" style="953"/>
    <col min="5633" max="5633" width="9.140625" style="953" customWidth="1"/>
    <col min="5634" max="5634" width="34.7109375" style="953" customWidth="1"/>
    <col min="5635" max="5639" width="27.85546875" style="953" customWidth="1"/>
    <col min="5640" max="5647" width="8.85546875" style="953"/>
    <col min="5648" max="5648" width="8.85546875" style="953" customWidth="1"/>
    <col min="5649" max="5888" width="8.85546875" style="953"/>
    <col min="5889" max="5889" width="9.140625" style="953" customWidth="1"/>
    <col min="5890" max="5890" width="34.7109375" style="953" customWidth="1"/>
    <col min="5891" max="5895" width="27.85546875" style="953" customWidth="1"/>
    <col min="5896" max="5903" width="8.85546875" style="953"/>
    <col min="5904" max="5904" width="8.85546875" style="953" customWidth="1"/>
    <col min="5905" max="6144" width="8.85546875" style="953"/>
    <col min="6145" max="6145" width="9.140625" style="953" customWidth="1"/>
    <col min="6146" max="6146" width="34.7109375" style="953" customWidth="1"/>
    <col min="6147" max="6151" width="27.85546875" style="953" customWidth="1"/>
    <col min="6152" max="6159" width="8.85546875" style="953"/>
    <col min="6160" max="6160" width="8.85546875" style="953" customWidth="1"/>
    <col min="6161" max="6400" width="8.85546875" style="953"/>
    <col min="6401" max="6401" width="9.140625" style="953" customWidth="1"/>
    <col min="6402" max="6402" width="34.7109375" style="953" customWidth="1"/>
    <col min="6403" max="6407" width="27.85546875" style="953" customWidth="1"/>
    <col min="6408" max="6415" width="8.85546875" style="953"/>
    <col min="6416" max="6416" width="8.85546875" style="953" customWidth="1"/>
    <col min="6417" max="6656" width="8.85546875" style="953"/>
    <col min="6657" max="6657" width="9.140625" style="953" customWidth="1"/>
    <col min="6658" max="6658" width="34.7109375" style="953" customWidth="1"/>
    <col min="6659" max="6663" width="27.85546875" style="953" customWidth="1"/>
    <col min="6664" max="6671" width="8.85546875" style="953"/>
    <col min="6672" max="6672" width="8.85546875" style="953" customWidth="1"/>
    <col min="6673" max="6912" width="8.85546875" style="953"/>
    <col min="6913" max="6913" width="9.140625" style="953" customWidth="1"/>
    <col min="6914" max="6914" width="34.7109375" style="953" customWidth="1"/>
    <col min="6915" max="6919" width="27.85546875" style="953" customWidth="1"/>
    <col min="6920" max="6927" width="8.85546875" style="953"/>
    <col min="6928" max="6928" width="8.85546875" style="953" customWidth="1"/>
    <col min="6929" max="7168" width="8.85546875" style="953"/>
    <col min="7169" max="7169" width="9.140625" style="953" customWidth="1"/>
    <col min="7170" max="7170" width="34.7109375" style="953" customWidth="1"/>
    <col min="7171" max="7175" width="27.85546875" style="953" customWidth="1"/>
    <col min="7176" max="7183" width="8.85546875" style="953"/>
    <col min="7184" max="7184" width="8.85546875" style="953" customWidth="1"/>
    <col min="7185" max="7424" width="8.85546875" style="953"/>
    <col min="7425" max="7425" width="9.140625" style="953" customWidth="1"/>
    <col min="7426" max="7426" width="34.7109375" style="953" customWidth="1"/>
    <col min="7427" max="7431" width="27.85546875" style="953" customWidth="1"/>
    <col min="7432" max="7439" width="8.85546875" style="953"/>
    <col min="7440" max="7440" width="8.85546875" style="953" customWidth="1"/>
    <col min="7441" max="7680" width="8.85546875" style="953"/>
    <col min="7681" max="7681" width="9.140625" style="953" customWidth="1"/>
    <col min="7682" max="7682" width="34.7109375" style="953" customWidth="1"/>
    <col min="7683" max="7687" width="27.85546875" style="953" customWidth="1"/>
    <col min="7688" max="7695" width="8.85546875" style="953"/>
    <col min="7696" max="7696" width="8.85546875" style="953" customWidth="1"/>
    <col min="7697" max="7936" width="8.85546875" style="953"/>
    <col min="7937" max="7937" width="9.140625" style="953" customWidth="1"/>
    <col min="7938" max="7938" width="34.7109375" style="953" customWidth="1"/>
    <col min="7939" max="7943" width="27.85546875" style="953" customWidth="1"/>
    <col min="7944" max="7951" width="8.85546875" style="953"/>
    <col min="7952" max="7952" width="8.85546875" style="953" customWidth="1"/>
    <col min="7953" max="8192" width="8.85546875" style="953"/>
    <col min="8193" max="8193" width="9.140625" style="953" customWidth="1"/>
    <col min="8194" max="8194" width="34.7109375" style="953" customWidth="1"/>
    <col min="8195" max="8199" width="27.85546875" style="953" customWidth="1"/>
    <col min="8200" max="8207" width="8.85546875" style="953"/>
    <col min="8208" max="8208" width="8.85546875" style="953" customWidth="1"/>
    <col min="8209" max="8448" width="8.85546875" style="953"/>
    <col min="8449" max="8449" width="9.140625" style="953" customWidth="1"/>
    <col min="8450" max="8450" width="34.7109375" style="953" customWidth="1"/>
    <col min="8451" max="8455" width="27.85546875" style="953" customWidth="1"/>
    <col min="8456" max="8463" width="8.85546875" style="953"/>
    <col min="8464" max="8464" width="8.85546875" style="953" customWidth="1"/>
    <col min="8465" max="8704" width="8.85546875" style="953"/>
    <col min="8705" max="8705" width="9.140625" style="953" customWidth="1"/>
    <col min="8706" max="8706" width="34.7109375" style="953" customWidth="1"/>
    <col min="8707" max="8711" width="27.85546875" style="953" customWidth="1"/>
    <col min="8712" max="8719" width="8.85546875" style="953"/>
    <col min="8720" max="8720" width="8.85546875" style="953" customWidth="1"/>
    <col min="8721" max="8960" width="8.85546875" style="953"/>
    <col min="8961" max="8961" width="9.140625" style="953" customWidth="1"/>
    <col min="8962" max="8962" width="34.7109375" style="953" customWidth="1"/>
    <col min="8963" max="8967" width="27.85546875" style="953" customWidth="1"/>
    <col min="8968" max="8975" width="8.85546875" style="953"/>
    <col min="8976" max="8976" width="8.85546875" style="953" customWidth="1"/>
    <col min="8977" max="9216" width="8.85546875" style="953"/>
    <col min="9217" max="9217" width="9.140625" style="953" customWidth="1"/>
    <col min="9218" max="9218" width="34.7109375" style="953" customWidth="1"/>
    <col min="9219" max="9223" width="27.85546875" style="953" customWidth="1"/>
    <col min="9224" max="9231" width="8.85546875" style="953"/>
    <col min="9232" max="9232" width="8.85546875" style="953" customWidth="1"/>
    <col min="9233" max="9472" width="8.85546875" style="953"/>
    <col min="9473" max="9473" width="9.140625" style="953" customWidth="1"/>
    <col min="9474" max="9474" width="34.7109375" style="953" customWidth="1"/>
    <col min="9475" max="9479" width="27.85546875" style="953" customWidth="1"/>
    <col min="9480" max="9487" width="8.85546875" style="953"/>
    <col min="9488" max="9488" width="8.85546875" style="953" customWidth="1"/>
    <col min="9489" max="9728" width="8.85546875" style="953"/>
    <col min="9729" max="9729" width="9.140625" style="953" customWidth="1"/>
    <col min="9730" max="9730" width="34.7109375" style="953" customWidth="1"/>
    <col min="9731" max="9735" width="27.85546875" style="953" customWidth="1"/>
    <col min="9736" max="9743" width="8.85546875" style="953"/>
    <col min="9744" max="9744" width="8.85546875" style="953" customWidth="1"/>
    <col min="9745" max="9984" width="8.85546875" style="953"/>
    <col min="9985" max="9985" width="9.140625" style="953" customWidth="1"/>
    <col min="9986" max="9986" width="34.7109375" style="953" customWidth="1"/>
    <col min="9987" max="9991" width="27.85546875" style="953" customWidth="1"/>
    <col min="9992" max="9999" width="8.85546875" style="953"/>
    <col min="10000" max="10000" width="8.85546875" style="953" customWidth="1"/>
    <col min="10001" max="10240" width="8.85546875" style="953"/>
    <col min="10241" max="10241" width="9.140625" style="953" customWidth="1"/>
    <col min="10242" max="10242" width="34.7109375" style="953" customWidth="1"/>
    <col min="10243" max="10247" width="27.85546875" style="953" customWidth="1"/>
    <col min="10248" max="10255" width="8.85546875" style="953"/>
    <col min="10256" max="10256" width="8.85546875" style="953" customWidth="1"/>
    <col min="10257" max="10496" width="8.85546875" style="953"/>
    <col min="10497" max="10497" width="9.140625" style="953" customWidth="1"/>
    <col min="10498" max="10498" width="34.7109375" style="953" customWidth="1"/>
    <col min="10499" max="10503" width="27.85546875" style="953" customWidth="1"/>
    <col min="10504" max="10511" width="8.85546875" style="953"/>
    <col min="10512" max="10512" width="8.85546875" style="953" customWidth="1"/>
    <col min="10513" max="10752" width="8.85546875" style="953"/>
    <col min="10753" max="10753" width="9.140625" style="953" customWidth="1"/>
    <col min="10754" max="10754" width="34.7109375" style="953" customWidth="1"/>
    <col min="10755" max="10759" width="27.85546875" style="953" customWidth="1"/>
    <col min="10760" max="10767" width="8.85546875" style="953"/>
    <col min="10768" max="10768" width="8.85546875" style="953" customWidth="1"/>
    <col min="10769" max="11008" width="8.85546875" style="953"/>
    <col min="11009" max="11009" width="9.140625" style="953" customWidth="1"/>
    <col min="11010" max="11010" width="34.7109375" style="953" customWidth="1"/>
    <col min="11011" max="11015" width="27.85546875" style="953" customWidth="1"/>
    <col min="11016" max="11023" width="8.85546875" style="953"/>
    <col min="11024" max="11024" width="8.85546875" style="953" customWidth="1"/>
    <col min="11025" max="11264" width="8.85546875" style="953"/>
    <col min="11265" max="11265" width="9.140625" style="953" customWidth="1"/>
    <col min="11266" max="11266" width="34.7109375" style="953" customWidth="1"/>
    <col min="11267" max="11271" width="27.85546875" style="953" customWidth="1"/>
    <col min="11272" max="11279" width="8.85546875" style="953"/>
    <col min="11280" max="11280" width="8.85546875" style="953" customWidth="1"/>
    <col min="11281" max="11520" width="8.85546875" style="953"/>
    <col min="11521" max="11521" width="9.140625" style="953" customWidth="1"/>
    <col min="11522" max="11522" width="34.7109375" style="953" customWidth="1"/>
    <col min="11523" max="11527" width="27.85546875" style="953" customWidth="1"/>
    <col min="11528" max="11535" width="8.85546875" style="953"/>
    <col min="11536" max="11536" width="8.85546875" style="953" customWidth="1"/>
    <col min="11537" max="11776" width="8.85546875" style="953"/>
    <col min="11777" max="11777" width="9.140625" style="953" customWidth="1"/>
    <col min="11778" max="11778" width="34.7109375" style="953" customWidth="1"/>
    <col min="11779" max="11783" width="27.85546875" style="953" customWidth="1"/>
    <col min="11784" max="11791" width="8.85546875" style="953"/>
    <col min="11792" max="11792" width="8.85546875" style="953" customWidth="1"/>
    <col min="11793" max="12032" width="8.85546875" style="953"/>
    <col min="12033" max="12033" width="9.140625" style="953" customWidth="1"/>
    <col min="12034" max="12034" width="34.7109375" style="953" customWidth="1"/>
    <col min="12035" max="12039" width="27.85546875" style="953" customWidth="1"/>
    <col min="12040" max="12047" width="8.85546875" style="953"/>
    <col min="12048" max="12048" width="8.85546875" style="953" customWidth="1"/>
    <col min="12049" max="12288" width="8.85546875" style="953"/>
    <col min="12289" max="12289" width="9.140625" style="953" customWidth="1"/>
    <col min="12290" max="12290" width="34.7109375" style="953" customWidth="1"/>
    <col min="12291" max="12295" width="27.85546875" style="953" customWidth="1"/>
    <col min="12296" max="12303" width="8.85546875" style="953"/>
    <col min="12304" max="12304" width="8.85546875" style="953" customWidth="1"/>
    <col min="12305" max="12544" width="8.85546875" style="953"/>
    <col min="12545" max="12545" width="9.140625" style="953" customWidth="1"/>
    <col min="12546" max="12546" width="34.7109375" style="953" customWidth="1"/>
    <col min="12547" max="12551" width="27.85546875" style="953" customWidth="1"/>
    <col min="12552" max="12559" width="8.85546875" style="953"/>
    <col min="12560" max="12560" width="8.85546875" style="953" customWidth="1"/>
    <col min="12561" max="12800" width="8.85546875" style="953"/>
    <col min="12801" max="12801" width="9.140625" style="953" customWidth="1"/>
    <col min="12802" max="12802" width="34.7109375" style="953" customWidth="1"/>
    <col min="12803" max="12807" width="27.85546875" style="953" customWidth="1"/>
    <col min="12808" max="12815" width="8.85546875" style="953"/>
    <col min="12816" max="12816" width="8.85546875" style="953" customWidth="1"/>
    <col min="12817" max="13056" width="8.85546875" style="953"/>
    <col min="13057" max="13057" width="9.140625" style="953" customWidth="1"/>
    <col min="13058" max="13058" width="34.7109375" style="953" customWidth="1"/>
    <col min="13059" max="13063" width="27.85546875" style="953" customWidth="1"/>
    <col min="13064" max="13071" width="8.85546875" style="953"/>
    <col min="13072" max="13072" width="8.85546875" style="953" customWidth="1"/>
    <col min="13073" max="13312" width="8.85546875" style="953"/>
    <col min="13313" max="13313" width="9.140625" style="953" customWidth="1"/>
    <col min="13314" max="13314" width="34.7109375" style="953" customWidth="1"/>
    <col min="13315" max="13319" width="27.85546875" style="953" customWidth="1"/>
    <col min="13320" max="13327" width="8.85546875" style="953"/>
    <col min="13328" max="13328" width="8.85546875" style="953" customWidth="1"/>
    <col min="13329" max="13568" width="8.85546875" style="953"/>
    <col min="13569" max="13569" width="9.140625" style="953" customWidth="1"/>
    <col min="13570" max="13570" width="34.7109375" style="953" customWidth="1"/>
    <col min="13571" max="13575" width="27.85546875" style="953" customWidth="1"/>
    <col min="13576" max="13583" width="8.85546875" style="953"/>
    <col min="13584" max="13584" width="8.85546875" style="953" customWidth="1"/>
    <col min="13585" max="13824" width="8.85546875" style="953"/>
    <col min="13825" max="13825" width="9.140625" style="953" customWidth="1"/>
    <col min="13826" max="13826" width="34.7109375" style="953" customWidth="1"/>
    <col min="13827" max="13831" width="27.85546875" style="953" customWidth="1"/>
    <col min="13832" max="13839" width="8.85546875" style="953"/>
    <col min="13840" max="13840" width="8.85546875" style="953" customWidth="1"/>
    <col min="13841" max="14080" width="8.85546875" style="953"/>
    <col min="14081" max="14081" width="9.140625" style="953" customWidth="1"/>
    <col min="14082" max="14082" width="34.7109375" style="953" customWidth="1"/>
    <col min="14083" max="14087" width="27.85546875" style="953" customWidth="1"/>
    <col min="14088" max="14095" width="8.85546875" style="953"/>
    <col min="14096" max="14096" width="8.85546875" style="953" customWidth="1"/>
    <col min="14097" max="14336" width="8.85546875" style="953"/>
    <col min="14337" max="14337" width="9.140625" style="953" customWidth="1"/>
    <col min="14338" max="14338" width="34.7109375" style="953" customWidth="1"/>
    <col min="14339" max="14343" width="27.85546875" style="953" customWidth="1"/>
    <col min="14344" max="14351" width="8.85546875" style="953"/>
    <col min="14352" max="14352" width="8.85546875" style="953" customWidth="1"/>
    <col min="14353" max="14592" width="8.85546875" style="953"/>
    <col min="14593" max="14593" width="9.140625" style="953" customWidth="1"/>
    <col min="14594" max="14594" width="34.7109375" style="953" customWidth="1"/>
    <col min="14595" max="14599" width="27.85546875" style="953" customWidth="1"/>
    <col min="14600" max="14607" width="8.85546875" style="953"/>
    <col min="14608" max="14608" width="8.85546875" style="953" customWidth="1"/>
    <col min="14609" max="14848" width="8.85546875" style="953"/>
    <col min="14849" max="14849" width="9.140625" style="953" customWidth="1"/>
    <col min="14850" max="14850" width="34.7109375" style="953" customWidth="1"/>
    <col min="14851" max="14855" width="27.85546875" style="953" customWidth="1"/>
    <col min="14856" max="14863" width="8.85546875" style="953"/>
    <col min="14864" max="14864" width="8.85546875" style="953" customWidth="1"/>
    <col min="14865" max="15104" width="8.85546875" style="953"/>
    <col min="15105" max="15105" width="9.140625" style="953" customWidth="1"/>
    <col min="15106" max="15106" width="34.7109375" style="953" customWidth="1"/>
    <col min="15107" max="15111" width="27.85546875" style="953" customWidth="1"/>
    <col min="15112" max="15119" width="8.85546875" style="953"/>
    <col min="15120" max="15120" width="8.85546875" style="953" customWidth="1"/>
    <col min="15121" max="15360" width="8.85546875" style="953"/>
    <col min="15361" max="15361" width="9.140625" style="953" customWidth="1"/>
    <col min="15362" max="15362" width="34.7109375" style="953" customWidth="1"/>
    <col min="15363" max="15367" width="27.85546875" style="953" customWidth="1"/>
    <col min="15368" max="15375" width="8.85546875" style="953"/>
    <col min="15376" max="15376" width="8.85546875" style="953" customWidth="1"/>
    <col min="15377" max="15616" width="8.85546875" style="953"/>
    <col min="15617" max="15617" width="9.140625" style="953" customWidth="1"/>
    <col min="15618" max="15618" width="34.7109375" style="953" customWidth="1"/>
    <col min="15619" max="15623" width="27.85546875" style="953" customWidth="1"/>
    <col min="15624" max="15631" width="8.85546875" style="953"/>
    <col min="15632" max="15632" width="8.85546875" style="953" customWidth="1"/>
    <col min="15633" max="15872" width="8.85546875" style="953"/>
    <col min="15873" max="15873" width="9.140625" style="953" customWidth="1"/>
    <col min="15874" max="15874" width="34.7109375" style="953" customWidth="1"/>
    <col min="15875" max="15879" width="27.85546875" style="953" customWidth="1"/>
    <col min="15880" max="15887" width="8.85546875" style="953"/>
    <col min="15888" max="15888" width="8.85546875" style="953" customWidth="1"/>
    <col min="15889" max="16128" width="8.85546875" style="953"/>
    <col min="16129" max="16129" width="9.140625" style="953" customWidth="1"/>
    <col min="16130" max="16130" width="34.7109375" style="953" customWidth="1"/>
    <col min="16131" max="16135" width="27.85546875" style="953" customWidth="1"/>
    <col min="16136" max="16143" width="8.85546875" style="953"/>
    <col min="16144" max="16144" width="8.85546875" style="953" customWidth="1"/>
    <col min="16145" max="16384" width="8.85546875" style="953"/>
  </cols>
  <sheetData>
    <row r="1" spans="1:7">
      <c r="A1" s="1313"/>
      <c r="B1" s="1314"/>
      <c r="C1" s="1314"/>
    </row>
    <row r="2" spans="1:7">
      <c r="A2" s="1313"/>
      <c r="B2" s="1314"/>
      <c r="C2" s="1314"/>
    </row>
    <row r="3" spans="1:7">
      <c r="A3" s="1313"/>
      <c r="B3" s="1315" t="s">
        <v>409</v>
      </c>
      <c r="C3" s="1324">
        <f>'Prescriptive Path'!D3</f>
        <v>0</v>
      </c>
    </row>
    <row r="4" spans="1:7">
      <c r="A4" s="1313"/>
      <c r="B4" s="1315" t="s">
        <v>645</v>
      </c>
      <c r="C4" s="1324" t="s">
        <v>646</v>
      </c>
    </row>
    <row r="5" spans="1:7">
      <c r="A5" s="1313"/>
      <c r="B5" s="1315" t="s">
        <v>647</v>
      </c>
      <c r="C5" s="1311"/>
    </row>
    <row r="6" spans="1:7">
      <c r="A6" s="1313"/>
      <c r="B6" s="1315" t="s">
        <v>648</v>
      </c>
      <c r="C6" s="1312"/>
    </row>
    <row r="7" spans="1:7">
      <c r="A7" s="1313"/>
      <c r="B7" s="1315" t="s">
        <v>649</v>
      </c>
      <c r="C7" s="1325">
        <f>'Prescriptive Path'!K1</f>
        <v>4</v>
      </c>
    </row>
    <row r="9" spans="1:7" ht="37.5" hidden="1" customHeight="1">
      <c r="B9" s="1316" t="s">
        <v>650</v>
      </c>
      <c r="C9" s="950" t="s">
        <v>403</v>
      </c>
    </row>
    <row r="10" spans="1:7" hidden="1"/>
    <row r="11" spans="1:7" s="1317" customFormat="1">
      <c r="B11" s="1318" t="s">
        <v>651</v>
      </c>
      <c r="C11" s="1318" t="s">
        <v>652</v>
      </c>
      <c r="D11" s="1318" t="s">
        <v>653</v>
      </c>
      <c r="E11" s="1318" t="s">
        <v>654</v>
      </c>
      <c r="F11" s="1318" t="s">
        <v>655</v>
      </c>
      <c r="G11" s="1318" t="s">
        <v>656</v>
      </c>
    </row>
    <row r="12" spans="1:7" s="1317" customFormat="1">
      <c r="B12" s="2510" t="s">
        <v>657</v>
      </c>
      <c r="C12" s="951"/>
      <c r="D12" s="951"/>
      <c r="E12" s="952"/>
      <c r="F12" s="951"/>
      <c r="G12" s="951"/>
    </row>
    <row r="13" spans="1:7" s="1317" customFormat="1">
      <c r="B13" s="2510"/>
      <c r="C13" s="951"/>
      <c r="D13" s="951"/>
      <c r="E13" s="951"/>
      <c r="F13" s="951"/>
      <c r="G13" s="951"/>
    </row>
    <row r="14" spans="1:7" s="1317" customFormat="1">
      <c r="B14" s="2510"/>
      <c r="C14" s="951"/>
      <c r="D14" s="951"/>
      <c r="E14" s="951"/>
      <c r="F14" s="951"/>
      <c r="G14" s="951"/>
    </row>
    <row r="15" spans="1:7" s="1317" customFormat="1">
      <c r="B15" s="2510" t="s">
        <v>658</v>
      </c>
      <c r="C15" s="951"/>
      <c r="D15" s="951"/>
      <c r="E15" s="951"/>
      <c r="F15" s="951"/>
      <c r="G15" s="951"/>
    </row>
    <row r="16" spans="1:7" s="1317" customFormat="1">
      <c r="B16" s="2510"/>
      <c r="C16" s="951"/>
      <c r="D16" s="951"/>
      <c r="E16" s="951"/>
      <c r="F16" s="951"/>
      <c r="G16" s="951"/>
    </row>
    <row r="17" spans="2:16" s="1317" customFormat="1">
      <c r="B17" s="2510"/>
      <c r="C17" s="951"/>
      <c r="D17" s="951"/>
      <c r="E17" s="951"/>
      <c r="F17" s="951"/>
      <c r="G17" s="951"/>
    </row>
    <row r="18" spans="2:16" s="1317" customFormat="1">
      <c r="B18" s="2510" t="s">
        <v>659</v>
      </c>
      <c r="C18" s="951"/>
      <c r="D18" s="951"/>
      <c r="E18" s="951"/>
      <c r="F18" s="951"/>
      <c r="G18" s="951"/>
    </row>
    <row r="19" spans="2:16" s="1317" customFormat="1">
      <c r="B19" s="2510"/>
      <c r="C19" s="951"/>
      <c r="D19" s="951"/>
      <c r="E19" s="951"/>
      <c r="F19" s="951"/>
      <c r="G19" s="951"/>
    </row>
    <row r="20" spans="2:16" s="1317" customFormat="1">
      <c r="B20" s="2510"/>
      <c r="C20" s="951"/>
      <c r="D20" s="951"/>
      <c r="E20" s="951"/>
      <c r="F20" s="951"/>
      <c r="G20" s="951"/>
    </row>
    <row r="21" spans="2:16" s="1317" customFormat="1">
      <c r="B21" s="2510" t="s">
        <v>660</v>
      </c>
      <c r="C21" s="951"/>
      <c r="D21" s="951"/>
      <c r="E21" s="951"/>
      <c r="F21" s="951"/>
      <c r="G21" s="951"/>
    </row>
    <row r="22" spans="2:16" s="1317" customFormat="1">
      <c r="B22" s="2510"/>
      <c r="C22" s="951"/>
      <c r="D22" s="951"/>
      <c r="E22" s="951"/>
      <c r="F22" s="951"/>
      <c r="G22" s="951"/>
    </row>
    <row r="23" spans="2:16" s="1317" customFormat="1">
      <c r="B23" s="2510"/>
      <c r="C23" s="951"/>
      <c r="D23" s="951"/>
      <c r="E23" s="951"/>
      <c r="F23" s="951"/>
      <c r="G23" s="951"/>
    </row>
    <row r="24" spans="2:16" s="1317" customFormat="1">
      <c r="B24" s="2510" t="s">
        <v>661</v>
      </c>
      <c r="C24" s="951"/>
      <c r="D24" s="951"/>
      <c r="E24" s="951"/>
      <c r="F24" s="951"/>
      <c r="G24" s="951"/>
    </row>
    <row r="25" spans="2:16" s="1317" customFormat="1">
      <c r="B25" s="2510"/>
      <c r="C25" s="951"/>
      <c r="D25" s="951"/>
      <c r="E25" s="951"/>
      <c r="F25" s="951"/>
      <c r="G25" s="951"/>
    </row>
    <row r="26" spans="2:16" s="1317" customFormat="1">
      <c r="B26" s="2510"/>
      <c r="C26" s="951"/>
      <c r="D26" s="951"/>
      <c r="E26" s="951"/>
      <c r="F26" s="951"/>
      <c r="G26" s="951"/>
    </row>
    <row r="28" spans="2:16" ht="13.5" hidden="1" customHeight="1"/>
    <row r="29" spans="2:16" hidden="1"/>
    <row r="30" spans="2:16" hidden="1">
      <c r="B30" s="1319" t="s">
        <v>662</v>
      </c>
    </row>
    <row r="31" spans="2:16" hidden="1">
      <c r="P31" s="1320"/>
    </row>
    <row r="32" spans="2:16" hidden="1">
      <c r="P32" s="1321" t="s">
        <v>646</v>
      </c>
    </row>
    <row r="33" spans="2:16">
      <c r="P33" s="1321"/>
    </row>
    <row r="34" spans="2:16">
      <c r="B34" s="1315" t="s">
        <v>663</v>
      </c>
      <c r="C34" s="951"/>
    </row>
    <row r="35" spans="2:16">
      <c r="P35" s="953" t="s">
        <v>664</v>
      </c>
    </row>
    <row r="36" spans="2:16">
      <c r="C36" s="953" t="s">
        <v>665</v>
      </c>
      <c r="D36" s="953" t="s">
        <v>666</v>
      </c>
      <c r="P36" s="953">
        <v>1</v>
      </c>
    </row>
    <row r="37" spans="2:16">
      <c r="B37" s="1315" t="s">
        <v>667</v>
      </c>
      <c r="C37" s="951"/>
      <c r="D37" s="951"/>
      <c r="P37" s="953">
        <v>2</v>
      </c>
    </row>
    <row r="38" spans="2:16">
      <c r="B38" s="1315" t="s">
        <v>668</v>
      </c>
      <c r="C38" s="951"/>
      <c r="D38" s="951"/>
      <c r="P38" s="953">
        <v>3</v>
      </c>
    </row>
    <row r="39" spans="2:16">
      <c r="B39" s="1315" t="s">
        <v>669</v>
      </c>
      <c r="C39" s="951"/>
      <c r="D39" s="951"/>
      <c r="E39" s="1321" t="s">
        <v>0</v>
      </c>
      <c r="P39" s="953">
        <v>4</v>
      </c>
    </row>
    <row r="40" spans="2:16">
      <c r="B40" s="1315" t="s">
        <v>670</v>
      </c>
      <c r="C40" s="951"/>
      <c r="D40" s="951"/>
      <c r="P40" s="953">
        <v>5</v>
      </c>
    </row>
    <row r="41" spans="2:16">
      <c r="B41" s="1315" t="s">
        <v>671</v>
      </c>
      <c r="C41" s="951"/>
      <c r="D41" s="951"/>
      <c r="P41" s="953">
        <v>6</v>
      </c>
    </row>
    <row r="42" spans="2:16">
      <c r="P42" s="953">
        <v>7</v>
      </c>
    </row>
    <row r="43" spans="2:16">
      <c r="C43" s="953" t="s">
        <v>672</v>
      </c>
      <c r="P43" s="953">
        <v>8</v>
      </c>
    </row>
    <row r="44" spans="2:16">
      <c r="B44" s="954" t="s">
        <v>673</v>
      </c>
      <c r="C44" s="954" t="s">
        <v>674</v>
      </c>
    </row>
    <row r="45" spans="2:16">
      <c r="B45" s="955" t="s">
        <v>675</v>
      </c>
      <c r="C45" s="1285">
        <f>'Prescriptive Path'!H97</f>
        <v>0</v>
      </c>
    </row>
    <row r="46" spans="2:16">
      <c r="B46" s="955" t="s">
        <v>676</v>
      </c>
      <c r="C46" s="951"/>
    </row>
    <row r="47" spans="2:16">
      <c r="B47" s="955" t="s">
        <v>677</v>
      </c>
      <c r="C47" s="951"/>
    </row>
    <row r="48" spans="2:16">
      <c r="B48" s="955" t="s">
        <v>113</v>
      </c>
      <c r="C48" s="1285">
        <f>'Prescriptive Path'!H94</f>
        <v>0</v>
      </c>
    </row>
    <row r="49" spans="2:4">
      <c r="B49" s="955" t="s">
        <v>678</v>
      </c>
      <c r="C49" s="1285">
        <f>'Prescriptive Path'!H93</f>
        <v>0</v>
      </c>
    </row>
    <row r="50" spans="2:4">
      <c r="B50" s="955" t="s">
        <v>679</v>
      </c>
      <c r="C50" s="1285">
        <f>'Prescriptive Path'!H92</f>
        <v>0</v>
      </c>
    </row>
    <row r="51" spans="2:4">
      <c r="B51" s="955" t="s">
        <v>680</v>
      </c>
      <c r="C51" s="951"/>
    </row>
    <row r="52" spans="2:4">
      <c r="B52" s="955" t="s">
        <v>118</v>
      </c>
      <c r="C52" s="951"/>
    </row>
    <row r="53" spans="2:4">
      <c r="B53" s="955" t="s">
        <v>681</v>
      </c>
      <c r="C53" s="951"/>
    </row>
    <row r="54" spans="2:4">
      <c r="B54" s="955" t="s">
        <v>682</v>
      </c>
      <c r="C54" s="951"/>
    </row>
    <row r="55" spans="2:4">
      <c r="B55" s="955" t="s">
        <v>683</v>
      </c>
      <c r="C55" s="951"/>
    </row>
    <row r="56" spans="2:4">
      <c r="B56" s="955" t="s">
        <v>684</v>
      </c>
      <c r="C56" s="951"/>
    </row>
    <row r="57" spans="2:4">
      <c r="B57" s="955" t="s">
        <v>685</v>
      </c>
      <c r="C57" s="951"/>
    </row>
    <row r="58" spans="2:4">
      <c r="B58" s="1322"/>
      <c r="C58" s="1321"/>
      <c r="D58" s="1321"/>
    </row>
    <row r="59" spans="2:4">
      <c r="B59" s="956" t="s">
        <v>686</v>
      </c>
      <c r="C59" s="951"/>
    </row>
    <row r="170" spans="2:2" ht="18">
      <c r="B170" s="1323"/>
    </row>
  </sheetData>
  <sheetProtection sheet="1" objects="1" scenarios="1"/>
  <mergeCells count="5">
    <mergeCell ref="B12:B14"/>
    <mergeCell ref="B15:B17"/>
    <mergeCell ref="B18:B20"/>
    <mergeCell ref="B21:B23"/>
    <mergeCell ref="B24:B26"/>
  </mergeCells>
  <conditionalFormatting sqref="B30:G59">
    <cfRule type="expression" dxfId="25" priority="1" stopIfTrue="1">
      <formula>$C$4="Performance"</formula>
    </cfRule>
  </conditionalFormatting>
  <dataValidations count="5">
    <dataValidation allowBlank="1" showInputMessage="1" showErrorMessage="1" promptTitle="Number of Studios" prompt="Enter the number of studios for each building - NOT the entire project - if more than one identical building." sqref="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dataValidation allowBlank="1" showInputMessage="1" showErrorMessage="1" promptTitle="Number of 1 - Bedrooms" prompt="Enter the number of one-bedroom units per building - NOT the entire project - if more than one identical building." sqref="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dataValidation allowBlank="1" showInputMessage="1" showErrorMessage="1" promptTitle="Number of 2 - Bedrooms" prompt="Enter the number of two-bedroom units per building - NOT the entire project - if more than one identical building." sqref="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dataValidation allowBlank="1" showInputMessage="1" showErrorMessage="1" promptTitle="Number of 3+ - Bedrooms" prompt="Enter the number of 3+ - bedroom units per building - NOT the entire project - if more than one identical building." sqref="C40:C41 IY40:IY41 SU40:SU41 ACQ40:ACQ41 AMM40:AMM41 AWI40:AWI41 BGE40:BGE41 BQA40:BQA41 BZW40:BZW41 CJS40:CJS41 CTO40:CTO41 DDK40:DDK41 DNG40:DNG41 DXC40:DXC41 EGY40:EGY41 EQU40:EQU41 FAQ40:FAQ41 FKM40:FKM41 FUI40:FUI41 GEE40:GEE41 GOA40:GOA41 GXW40:GXW41 HHS40:HHS41 HRO40:HRO41 IBK40:IBK41 ILG40:ILG41 IVC40:IVC41 JEY40:JEY41 JOU40:JOU41 JYQ40:JYQ41 KIM40:KIM41 KSI40:KSI41 LCE40:LCE41 LMA40:LMA41 LVW40:LVW41 MFS40:MFS41 MPO40:MPO41 MZK40:MZK41 NJG40:NJG41 NTC40:NTC41 OCY40:OCY41 OMU40:OMU41 OWQ40:OWQ41 PGM40:PGM41 PQI40:PQI41 QAE40:QAE41 QKA40:QKA41 QTW40:QTW41 RDS40:RDS41 RNO40:RNO41 RXK40:RXK41 SHG40:SHG41 SRC40:SRC41 TAY40:TAY41 TKU40:TKU41 TUQ40:TUQ41 UEM40:UEM41 UOI40:UOI41 UYE40:UYE41 VIA40:VIA41 VRW40:VRW41 WBS40:WBS41 WLO40:WLO41 WVK40:WVK41 C65576:C65577 IY65576:IY65577 SU65576:SU65577 ACQ65576:ACQ65577 AMM65576:AMM65577 AWI65576:AWI65577 BGE65576:BGE65577 BQA65576:BQA65577 BZW65576:BZW65577 CJS65576:CJS65577 CTO65576:CTO65577 DDK65576:DDK65577 DNG65576:DNG65577 DXC65576:DXC65577 EGY65576:EGY65577 EQU65576:EQU65577 FAQ65576:FAQ65577 FKM65576:FKM65577 FUI65576:FUI65577 GEE65576:GEE65577 GOA65576:GOA65577 GXW65576:GXW65577 HHS65576:HHS65577 HRO65576:HRO65577 IBK65576:IBK65577 ILG65576:ILG65577 IVC65576:IVC65577 JEY65576:JEY65577 JOU65576:JOU65577 JYQ65576:JYQ65577 KIM65576:KIM65577 KSI65576:KSI65577 LCE65576:LCE65577 LMA65576:LMA65577 LVW65576:LVW65577 MFS65576:MFS65577 MPO65576:MPO65577 MZK65576:MZK65577 NJG65576:NJG65577 NTC65576:NTC65577 OCY65576:OCY65577 OMU65576:OMU65577 OWQ65576:OWQ65577 PGM65576:PGM65577 PQI65576:PQI65577 QAE65576:QAE65577 QKA65576:QKA65577 QTW65576:QTW65577 RDS65576:RDS65577 RNO65576:RNO65577 RXK65576:RXK65577 SHG65576:SHG65577 SRC65576:SRC65577 TAY65576:TAY65577 TKU65576:TKU65577 TUQ65576:TUQ65577 UEM65576:UEM65577 UOI65576:UOI65577 UYE65576:UYE65577 VIA65576:VIA65577 VRW65576:VRW65577 WBS65576:WBS65577 WLO65576:WLO65577 WVK65576:WVK65577 C131112:C131113 IY131112:IY131113 SU131112:SU131113 ACQ131112:ACQ131113 AMM131112:AMM131113 AWI131112:AWI131113 BGE131112:BGE131113 BQA131112:BQA131113 BZW131112:BZW131113 CJS131112:CJS131113 CTO131112:CTO131113 DDK131112:DDK131113 DNG131112:DNG131113 DXC131112:DXC131113 EGY131112:EGY131113 EQU131112:EQU131113 FAQ131112:FAQ131113 FKM131112:FKM131113 FUI131112:FUI131113 GEE131112:GEE131113 GOA131112:GOA131113 GXW131112:GXW131113 HHS131112:HHS131113 HRO131112:HRO131113 IBK131112:IBK131113 ILG131112:ILG131113 IVC131112:IVC131113 JEY131112:JEY131113 JOU131112:JOU131113 JYQ131112:JYQ131113 KIM131112:KIM131113 KSI131112:KSI131113 LCE131112:LCE131113 LMA131112:LMA131113 LVW131112:LVW131113 MFS131112:MFS131113 MPO131112:MPO131113 MZK131112:MZK131113 NJG131112:NJG131113 NTC131112:NTC131113 OCY131112:OCY131113 OMU131112:OMU131113 OWQ131112:OWQ131113 PGM131112:PGM131113 PQI131112:PQI131113 QAE131112:QAE131113 QKA131112:QKA131113 QTW131112:QTW131113 RDS131112:RDS131113 RNO131112:RNO131113 RXK131112:RXK131113 SHG131112:SHG131113 SRC131112:SRC131113 TAY131112:TAY131113 TKU131112:TKU131113 TUQ131112:TUQ131113 UEM131112:UEM131113 UOI131112:UOI131113 UYE131112:UYE131113 VIA131112:VIA131113 VRW131112:VRW131113 WBS131112:WBS131113 WLO131112:WLO131113 WVK131112:WVK131113 C196648:C196649 IY196648:IY196649 SU196648:SU196649 ACQ196648:ACQ196649 AMM196648:AMM196649 AWI196648:AWI196649 BGE196648:BGE196649 BQA196648:BQA196649 BZW196648:BZW196649 CJS196648:CJS196649 CTO196648:CTO196649 DDK196648:DDK196649 DNG196648:DNG196649 DXC196648:DXC196649 EGY196648:EGY196649 EQU196648:EQU196649 FAQ196648:FAQ196649 FKM196648:FKM196649 FUI196648:FUI196649 GEE196648:GEE196649 GOA196648:GOA196649 GXW196648:GXW196649 HHS196648:HHS196649 HRO196648:HRO196649 IBK196648:IBK196649 ILG196648:ILG196649 IVC196648:IVC196649 JEY196648:JEY196649 JOU196648:JOU196649 JYQ196648:JYQ196649 KIM196648:KIM196649 KSI196648:KSI196649 LCE196648:LCE196649 LMA196648:LMA196649 LVW196648:LVW196649 MFS196648:MFS196649 MPO196648:MPO196649 MZK196648:MZK196649 NJG196648:NJG196649 NTC196648:NTC196649 OCY196648:OCY196649 OMU196648:OMU196649 OWQ196648:OWQ196649 PGM196648:PGM196649 PQI196648:PQI196649 QAE196648:QAE196649 QKA196648:QKA196649 QTW196648:QTW196649 RDS196648:RDS196649 RNO196648:RNO196649 RXK196648:RXK196649 SHG196648:SHG196649 SRC196648:SRC196649 TAY196648:TAY196649 TKU196648:TKU196649 TUQ196648:TUQ196649 UEM196648:UEM196649 UOI196648:UOI196649 UYE196648:UYE196649 VIA196648:VIA196649 VRW196648:VRW196649 WBS196648:WBS196649 WLO196648:WLO196649 WVK196648:WVK196649 C262184:C262185 IY262184:IY262185 SU262184:SU262185 ACQ262184:ACQ262185 AMM262184:AMM262185 AWI262184:AWI262185 BGE262184:BGE262185 BQA262184:BQA262185 BZW262184:BZW262185 CJS262184:CJS262185 CTO262184:CTO262185 DDK262184:DDK262185 DNG262184:DNG262185 DXC262184:DXC262185 EGY262184:EGY262185 EQU262184:EQU262185 FAQ262184:FAQ262185 FKM262184:FKM262185 FUI262184:FUI262185 GEE262184:GEE262185 GOA262184:GOA262185 GXW262184:GXW262185 HHS262184:HHS262185 HRO262184:HRO262185 IBK262184:IBK262185 ILG262184:ILG262185 IVC262184:IVC262185 JEY262184:JEY262185 JOU262184:JOU262185 JYQ262184:JYQ262185 KIM262184:KIM262185 KSI262184:KSI262185 LCE262184:LCE262185 LMA262184:LMA262185 LVW262184:LVW262185 MFS262184:MFS262185 MPO262184:MPO262185 MZK262184:MZK262185 NJG262184:NJG262185 NTC262184:NTC262185 OCY262184:OCY262185 OMU262184:OMU262185 OWQ262184:OWQ262185 PGM262184:PGM262185 PQI262184:PQI262185 QAE262184:QAE262185 QKA262184:QKA262185 QTW262184:QTW262185 RDS262184:RDS262185 RNO262184:RNO262185 RXK262184:RXK262185 SHG262184:SHG262185 SRC262184:SRC262185 TAY262184:TAY262185 TKU262184:TKU262185 TUQ262184:TUQ262185 UEM262184:UEM262185 UOI262184:UOI262185 UYE262184:UYE262185 VIA262184:VIA262185 VRW262184:VRW262185 WBS262184:WBS262185 WLO262184:WLO262185 WVK262184:WVK262185 C327720:C327721 IY327720:IY327721 SU327720:SU327721 ACQ327720:ACQ327721 AMM327720:AMM327721 AWI327720:AWI327721 BGE327720:BGE327721 BQA327720:BQA327721 BZW327720:BZW327721 CJS327720:CJS327721 CTO327720:CTO327721 DDK327720:DDK327721 DNG327720:DNG327721 DXC327720:DXC327721 EGY327720:EGY327721 EQU327720:EQU327721 FAQ327720:FAQ327721 FKM327720:FKM327721 FUI327720:FUI327721 GEE327720:GEE327721 GOA327720:GOA327721 GXW327720:GXW327721 HHS327720:HHS327721 HRO327720:HRO327721 IBK327720:IBK327721 ILG327720:ILG327721 IVC327720:IVC327721 JEY327720:JEY327721 JOU327720:JOU327721 JYQ327720:JYQ327721 KIM327720:KIM327721 KSI327720:KSI327721 LCE327720:LCE327721 LMA327720:LMA327721 LVW327720:LVW327721 MFS327720:MFS327721 MPO327720:MPO327721 MZK327720:MZK327721 NJG327720:NJG327721 NTC327720:NTC327721 OCY327720:OCY327721 OMU327720:OMU327721 OWQ327720:OWQ327721 PGM327720:PGM327721 PQI327720:PQI327721 QAE327720:QAE327721 QKA327720:QKA327721 QTW327720:QTW327721 RDS327720:RDS327721 RNO327720:RNO327721 RXK327720:RXK327721 SHG327720:SHG327721 SRC327720:SRC327721 TAY327720:TAY327721 TKU327720:TKU327721 TUQ327720:TUQ327721 UEM327720:UEM327721 UOI327720:UOI327721 UYE327720:UYE327721 VIA327720:VIA327721 VRW327720:VRW327721 WBS327720:WBS327721 WLO327720:WLO327721 WVK327720:WVK327721 C393256:C393257 IY393256:IY393257 SU393256:SU393257 ACQ393256:ACQ393257 AMM393256:AMM393257 AWI393256:AWI393257 BGE393256:BGE393257 BQA393256:BQA393257 BZW393256:BZW393257 CJS393256:CJS393257 CTO393256:CTO393257 DDK393256:DDK393257 DNG393256:DNG393257 DXC393256:DXC393257 EGY393256:EGY393257 EQU393256:EQU393257 FAQ393256:FAQ393257 FKM393256:FKM393257 FUI393256:FUI393257 GEE393256:GEE393257 GOA393256:GOA393257 GXW393256:GXW393257 HHS393256:HHS393257 HRO393256:HRO393257 IBK393256:IBK393257 ILG393256:ILG393257 IVC393256:IVC393257 JEY393256:JEY393257 JOU393256:JOU393257 JYQ393256:JYQ393257 KIM393256:KIM393257 KSI393256:KSI393257 LCE393256:LCE393257 LMA393256:LMA393257 LVW393256:LVW393257 MFS393256:MFS393257 MPO393256:MPO393257 MZK393256:MZK393257 NJG393256:NJG393257 NTC393256:NTC393257 OCY393256:OCY393257 OMU393256:OMU393257 OWQ393256:OWQ393257 PGM393256:PGM393257 PQI393256:PQI393257 QAE393256:QAE393257 QKA393256:QKA393257 QTW393256:QTW393257 RDS393256:RDS393257 RNO393256:RNO393257 RXK393256:RXK393257 SHG393256:SHG393257 SRC393256:SRC393257 TAY393256:TAY393257 TKU393256:TKU393257 TUQ393256:TUQ393257 UEM393256:UEM393257 UOI393256:UOI393257 UYE393256:UYE393257 VIA393256:VIA393257 VRW393256:VRW393257 WBS393256:WBS393257 WLO393256:WLO393257 WVK393256:WVK393257 C458792:C458793 IY458792:IY458793 SU458792:SU458793 ACQ458792:ACQ458793 AMM458792:AMM458793 AWI458792:AWI458793 BGE458792:BGE458793 BQA458792:BQA458793 BZW458792:BZW458793 CJS458792:CJS458793 CTO458792:CTO458793 DDK458792:DDK458793 DNG458792:DNG458793 DXC458792:DXC458793 EGY458792:EGY458793 EQU458792:EQU458793 FAQ458792:FAQ458793 FKM458792:FKM458793 FUI458792:FUI458793 GEE458792:GEE458793 GOA458792:GOA458793 GXW458792:GXW458793 HHS458792:HHS458793 HRO458792:HRO458793 IBK458792:IBK458793 ILG458792:ILG458793 IVC458792:IVC458793 JEY458792:JEY458793 JOU458792:JOU458793 JYQ458792:JYQ458793 KIM458792:KIM458793 KSI458792:KSI458793 LCE458792:LCE458793 LMA458792:LMA458793 LVW458792:LVW458793 MFS458792:MFS458793 MPO458792:MPO458793 MZK458792:MZK458793 NJG458792:NJG458793 NTC458792:NTC458793 OCY458792:OCY458793 OMU458792:OMU458793 OWQ458792:OWQ458793 PGM458792:PGM458793 PQI458792:PQI458793 QAE458792:QAE458793 QKA458792:QKA458793 QTW458792:QTW458793 RDS458792:RDS458793 RNO458792:RNO458793 RXK458792:RXK458793 SHG458792:SHG458793 SRC458792:SRC458793 TAY458792:TAY458793 TKU458792:TKU458793 TUQ458792:TUQ458793 UEM458792:UEM458793 UOI458792:UOI458793 UYE458792:UYE458793 VIA458792:VIA458793 VRW458792:VRW458793 WBS458792:WBS458793 WLO458792:WLO458793 WVK458792:WVK458793 C524328:C524329 IY524328:IY524329 SU524328:SU524329 ACQ524328:ACQ524329 AMM524328:AMM524329 AWI524328:AWI524329 BGE524328:BGE524329 BQA524328:BQA524329 BZW524328:BZW524329 CJS524328:CJS524329 CTO524328:CTO524329 DDK524328:DDK524329 DNG524328:DNG524329 DXC524328:DXC524329 EGY524328:EGY524329 EQU524328:EQU524329 FAQ524328:FAQ524329 FKM524328:FKM524329 FUI524328:FUI524329 GEE524328:GEE524329 GOA524328:GOA524329 GXW524328:GXW524329 HHS524328:HHS524329 HRO524328:HRO524329 IBK524328:IBK524329 ILG524328:ILG524329 IVC524328:IVC524329 JEY524328:JEY524329 JOU524328:JOU524329 JYQ524328:JYQ524329 KIM524328:KIM524329 KSI524328:KSI524329 LCE524328:LCE524329 LMA524328:LMA524329 LVW524328:LVW524329 MFS524328:MFS524329 MPO524328:MPO524329 MZK524328:MZK524329 NJG524328:NJG524329 NTC524328:NTC524329 OCY524328:OCY524329 OMU524328:OMU524329 OWQ524328:OWQ524329 PGM524328:PGM524329 PQI524328:PQI524329 QAE524328:QAE524329 QKA524328:QKA524329 QTW524328:QTW524329 RDS524328:RDS524329 RNO524328:RNO524329 RXK524328:RXK524329 SHG524328:SHG524329 SRC524328:SRC524329 TAY524328:TAY524329 TKU524328:TKU524329 TUQ524328:TUQ524329 UEM524328:UEM524329 UOI524328:UOI524329 UYE524328:UYE524329 VIA524328:VIA524329 VRW524328:VRW524329 WBS524328:WBS524329 WLO524328:WLO524329 WVK524328:WVK524329 C589864:C589865 IY589864:IY589865 SU589864:SU589865 ACQ589864:ACQ589865 AMM589864:AMM589865 AWI589864:AWI589865 BGE589864:BGE589865 BQA589864:BQA589865 BZW589864:BZW589865 CJS589864:CJS589865 CTO589864:CTO589865 DDK589864:DDK589865 DNG589864:DNG589865 DXC589864:DXC589865 EGY589864:EGY589865 EQU589864:EQU589865 FAQ589864:FAQ589865 FKM589864:FKM589865 FUI589864:FUI589865 GEE589864:GEE589865 GOA589864:GOA589865 GXW589864:GXW589865 HHS589864:HHS589865 HRO589864:HRO589865 IBK589864:IBK589865 ILG589864:ILG589865 IVC589864:IVC589865 JEY589864:JEY589865 JOU589864:JOU589865 JYQ589864:JYQ589865 KIM589864:KIM589865 KSI589864:KSI589865 LCE589864:LCE589865 LMA589864:LMA589865 LVW589864:LVW589865 MFS589864:MFS589865 MPO589864:MPO589865 MZK589864:MZK589865 NJG589864:NJG589865 NTC589864:NTC589865 OCY589864:OCY589865 OMU589864:OMU589865 OWQ589864:OWQ589865 PGM589864:PGM589865 PQI589864:PQI589865 QAE589864:QAE589865 QKA589864:QKA589865 QTW589864:QTW589865 RDS589864:RDS589865 RNO589864:RNO589865 RXK589864:RXK589865 SHG589864:SHG589865 SRC589864:SRC589865 TAY589864:TAY589865 TKU589864:TKU589865 TUQ589864:TUQ589865 UEM589864:UEM589865 UOI589864:UOI589865 UYE589864:UYE589865 VIA589864:VIA589865 VRW589864:VRW589865 WBS589864:WBS589865 WLO589864:WLO589865 WVK589864:WVK589865 C655400:C655401 IY655400:IY655401 SU655400:SU655401 ACQ655400:ACQ655401 AMM655400:AMM655401 AWI655400:AWI655401 BGE655400:BGE655401 BQA655400:BQA655401 BZW655400:BZW655401 CJS655400:CJS655401 CTO655400:CTO655401 DDK655400:DDK655401 DNG655400:DNG655401 DXC655400:DXC655401 EGY655400:EGY655401 EQU655400:EQU655401 FAQ655400:FAQ655401 FKM655400:FKM655401 FUI655400:FUI655401 GEE655400:GEE655401 GOA655400:GOA655401 GXW655400:GXW655401 HHS655400:HHS655401 HRO655400:HRO655401 IBK655400:IBK655401 ILG655400:ILG655401 IVC655400:IVC655401 JEY655400:JEY655401 JOU655400:JOU655401 JYQ655400:JYQ655401 KIM655400:KIM655401 KSI655400:KSI655401 LCE655400:LCE655401 LMA655400:LMA655401 LVW655400:LVW655401 MFS655400:MFS655401 MPO655400:MPO655401 MZK655400:MZK655401 NJG655400:NJG655401 NTC655400:NTC655401 OCY655400:OCY655401 OMU655400:OMU655401 OWQ655400:OWQ655401 PGM655400:PGM655401 PQI655400:PQI655401 QAE655400:QAE655401 QKA655400:QKA655401 QTW655400:QTW655401 RDS655400:RDS655401 RNO655400:RNO655401 RXK655400:RXK655401 SHG655400:SHG655401 SRC655400:SRC655401 TAY655400:TAY655401 TKU655400:TKU655401 TUQ655400:TUQ655401 UEM655400:UEM655401 UOI655400:UOI655401 UYE655400:UYE655401 VIA655400:VIA655401 VRW655400:VRW655401 WBS655400:WBS655401 WLO655400:WLO655401 WVK655400:WVK655401 C720936:C720937 IY720936:IY720937 SU720936:SU720937 ACQ720936:ACQ720937 AMM720936:AMM720937 AWI720936:AWI720937 BGE720936:BGE720937 BQA720936:BQA720937 BZW720936:BZW720937 CJS720936:CJS720937 CTO720936:CTO720937 DDK720936:DDK720937 DNG720936:DNG720937 DXC720936:DXC720937 EGY720936:EGY720937 EQU720936:EQU720937 FAQ720936:FAQ720937 FKM720936:FKM720937 FUI720936:FUI720937 GEE720936:GEE720937 GOA720936:GOA720937 GXW720936:GXW720937 HHS720936:HHS720937 HRO720936:HRO720937 IBK720936:IBK720937 ILG720936:ILG720937 IVC720936:IVC720937 JEY720936:JEY720937 JOU720936:JOU720937 JYQ720936:JYQ720937 KIM720936:KIM720937 KSI720936:KSI720937 LCE720936:LCE720937 LMA720936:LMA720937 LVW720936:LVW720937 MFS720936:MFS720937 MPO720936:MPO720937 MZK720936:MZK720937 NJG720936:NJG720937 NTC720936:NTC720937 OCY720936:OCY720937 OMU720936:OMU720937 OWQ720936:OWQ720937 PGM720936:PGM720937 PQI720936:PQI720937 QAE720936:QAE720937 QKA720936:QKA720937 QTW720936:QTW720937 RDS720936:RDS720937 RNO720936:RNO720937 RXK720936:RXK720937 SHG720936:SHG720937 SRC720936:SRC720937 TAY720936:TAY720937 TKU720936:TKU720937 TUQ720936:TUQ720937 UEM720936:UEM720937 UOI720936:UOI720937 UYE720936:UYE720937 VIA720936:VIA720937 VRW720936:VRW720937 WBS720936:WBS720937 WLO720936:WLO720937 WVK720936:WVK720937 C786472:C786473 IY786472:IY786473 SU786472:SU786473 ACQ786472:ACQ786473 AMM786472:AMM786473 AWI786472:AWI786473 BGE786472:BGE786473 BQA786472:BQA786473 BZW786472:BZW786473 CJS786472:CJS786473 CTO786472:CTO786473 DDK786472:DDK786473 DNG786472:DNG786473 DXC786472:DXC786473 EGY786472:EGY786473 EQU786472:EQU786473 FAQ786472:FAQ786473 FKM786472:FKM786473 FUI786472:FUI786473 GEE786472:GEE786473 GOA786472:GOA786473 GXW786472:GXW786473 HHS786472:HHS786473 HRO786472:HRO786473 IBK786472:IBK786473 ILG786472:ILG786473 IVC786472:IVC786473 JEY786472:JEY786473 JOU786472:JOU786473 JYQ786472:JYQ786473 KIM786472:KIM786473 KSI786472:KSI786473 LCE786472:LCE786473 LMA786472:LMA786473 LVW786472:LVW786473 MFS786472:MFS786473 MPO786472:MPO786473 MZK786472:MZK786473 NJG786472:NJG786473 NTC786472:NTC786473 OCY786472:OCY786473 OMU786472:OMU786473 OWQ786472:OWQ786473 PGM786472:PGM786473 PQI786472:PQI786473 QAE786472:QAE786473 QKA786472:QKA786473 QTW786472:QTW786473 RDS786472:RDS786473 RNO786472:RNO786473 RXK786472:RXK786473 SHG786472:SHG786473 SRC786472:SRC786473 TAY786472:TAY786473 TKU786472:TKU786473 TUQ786472:TUQ786473 UEM786472:UEM786473 UOI786472:UOI786473 UYE786472:UYE786473 VIA786472:VIA786473 VRW786472:VRW786473 WBS786472:WBS786473 WLO786472:WLO786473 WVK786472:WVK786473 C852008:C852009 IY852008:IY852009 SU852008:SU852009 ACQ852008:ACQ852009 AMM852008:AMM852009 AWI852008:AWI852009 BGE852008:BGE852009 BQA852008:BQA852009 BZW852008:BZW852009 CJS852008:CJS852009 CTO852008:CTO852009 DDK852008:DDK852009 DNG852008:DNG852009 DXC852008:DXC852009 EGY852008:EGY852009 EQU852008:EQU852009 FAQ852008:FAQ852009 FKM852008:FKM852009 FUI852008:FUI852009 GEE852008:GEE852009 GOA852008:GOA852009 GXW852008:GXW852009 HHS852008:HHS852009 HRO852008:HRO852009 IBK852008:IBK852009 ILG852008:ILG852009 IVC852008:IVC852009 JEY852008:JEY852009 JOU852008:JOU852009 JYQ852008:JYQ852009 KIM852008:KIM852009 KSI852008:KSI852009 LCE852008:LCE852009 LMA852008:LMA852009 LVW852008:LVW852009 MFS852008:MFS852009 MPO852008:MPO852009 MZK852008:MZK852009 NJG852008:NJG852009 NTC852008:NTC852009 OCY852008:OCY852009 OMU852008:OMU852009 OWQ852008:OWQ852009 PGM852008:PGM852009 PQI852008:PQI852009 QAE852008:QAE852009 QKA852008:QKA852009 QTW852008:QTW852009 RDS852008:RDS852009 RNO852008:RNO852009 RXK852008:RXK852009 SHG852008:SHG852009 SRC852008:SRC852009 TAY852008:TAY852009 TKU852008:TKU852009 TUQ852008:TUQ852009 UEM852008:UEM852009 UOI852008:UOI852009 UYE852008:UYE852009 VIA852008:VIA852009 VRW852008:VRW852009 WBS852008:WBS852009 WLO852008:WLO852009 WVK852008:WVK852009 C917544:C917545 IY917544:IY917545 SU917544:SU917545 ACQ917544:ACQ917545 AMM917544:AMM917545 AWI917544:AWI917545 BGE917544:BGE917545 BQA917544:BQA917545 BZW917544:BZW917545 CJS917544:CJS917545 CTO917544:CTO917545 DDK917544:DDK917545 DNG917544:DNG917545 DXC917544:DXC917545 EGY917544:EGY917545 EQU917544:EQU917545 FAQ917544:FAQ917545 FKM917544:FKM917545 FUI917544:FUI917545 GEE917544:GEE917545 GOA917544:GOA917545 GXW917544:GXW917545 HHS917544:HHS917545 HRO917544:HRO917545 IBK917544:IBK917545 ILG917544:ILG917545 IVC917544:IVC917545 JEY917544:JEY917545 JOU917544:JOU917545 JYQ917544:JYQ917545 KIM917544:KIM917545 KSI917544:KSI917545 LCE917544:LCE917545 LMA917544:LMA917545 LVW917544:LVW917545 MFS917544:MFS917545 MPO917544:MPO917545 MZK917544:MZK917545 NJG917544:NJG917545 NTC917544:NTC917545 OCY917544:OCY917545 OMU917544:OMU917545 OWQ917544:OWQ917545 PGM917544:PGM917545 PQI917544:PQI917545 QAE917544:QAE917545 QKA917544:QKA917545 QTW917544:QTW917545 RDS917544:RDS917545 RNO917544:RNO917545 RXK917544:RXK917545 SHG917544:SHG917545 SRC917544:SRC917545 TAY917544:TAY917545 TKU917544:TKU917545 TUQ917544:TUQ917545 UEM917544:UEM917545 UOI917544:UOI917545 UYE917544:UYE917545 VIA917544:VIA917545 VRW917544:VRW917545 WBS917544:WBS917545 WLO917544:WLO917545 WVK917544:WVK917545"/>
    <dataValidation type="list" allowBlank="1" showInputMessage="1" showErrorMessage="1" sqref="WVK917511 WLO917511 WBS917511 VRW917511 VIA917511 UYE917511 UOI917511 UEM917511 TUQ917511 TKU917511 TAY917511 SRC917511 SHG917511 RXK917511 RNO917511 RDS917511 QTW917511 QKA917511 QAE917511 PQI917511 PGM917511 OWQ917511 OMU917511 OCY917511 NTC917511 NJG917511 MZK917511 MPO917511 MFS917511 LVW917511 LMA917511 LCE917511 KSI917511 KIM917511 JYQ917511 JOU917511 JEY917511 IVC917511 ILG917511 IBK917511 HRO917511 HHS917511 GXW917511 GOA917511 GEE917511 FUI917511 FKM917511 FAQ917511 EQU917511 EGY917511 DXC917511 DNG917511 DDK917511 CTO917511 CJS917511 BZW917511 BQA917511 BGE917511 AWI917511 AMM917511 ACQ917511 SU917511 IY917511 C917511 WVK851975 WLO851975 WBS851975 VRW851975 VIA851975 UYE851975 UOI851975 UEM851975 TUQ851975 TKU851975 TAY851975 SRC851975 SHG851975 RXK851975 RNO851975 RDS851975 QTW851975 QKA851975 QAE851975 PQI851975 PGM851975 OWQ851975 OMU851975 OCY851975 NTC851975 NJG851975 MZK851975 MPO851975 MFS851975 LVW851975 LMA851975 LCE851975 KSI851975 KIM851975 JYQ851975 JOU851975 JEY851975 IVC851975 ILG851975 IBK851975 HRO851975 HHS851975 GXW851975 GOA851975 GEE851975 FUI851975 FKM851975 FAQ851975 EQU851975 EGY851975 DXC851975 DNG851975 DDK851975 CTO851975 CJS851975 BZW851975 BQA851975 BGE851975 AWI851975 AMM851975 ACQ851975 SU851975 IY851975 C851975 WVK786439 WLO786439 WBS786439 VRW786439 VIA786439 UYE786439 UOI786439 UEM786439 TUQ786439 TKU786439 TAY786439 SRC786439 SHG786439 RXK786439 RNO786439 RDS786439 QTW786439 QKA786439 QAE786439 PQI786439 PGM786439 OWQ786439 OMU786439 OCY786439 NTC786439 NJG786439 MZK786439 MPO786439 MFS786439 LVW786439 LMA786439 LCE786439 KSI786439 KIM786439 JYQ786439 JOU786439 JEY786439 IVC786439 ILG786439 IBK786439 HRO786439 HHS786439 GXW786439 GOA786439 GEE786439 FUI786439 FKM786439 FAQ786439 EQU786439 EGY786439 DXC786439 DNG786439 DDK786439 CTO786439 CJS786439 BZW786439 BQA786439 BGE786439 AWI786439 AMM786439 ACQ786439 SU786439 IY786439 C786439 WVK720903 WLO720903 WBS720903 VRW720903 VIA720903 UYE720903 UOI720903 UEM720903 TUQ720903 TKU720903 TAY720903 SRC720903 SHG720903 RXK720903 RNO720903 RDS720903 QTW720903 QKA720903 QAE720903 PQI720903 PGM720903 OWQ720903 OMU720903 OCY720903 NTC720903 NJG720903 MZK720903 MPO720903 MFS720903 LVW720903 LMA720903 LCE720903 KSI720903 KIM720903 JYQ720903 JOU720903 JEY720903 IVC720903 ILG720903 IBK720903 HRO720903 HHS720903 GXW720903 GOA720903 GEE720903 FUI720903 FKM720903 FAQ720903 EQU720903 EGY720903 DXC720903 DNG720903 DDK720903 CTO720903 CJS720903 BZW720903 BQA720903 BGE720903 AWI720903 AMM720903 ACQ720903 SU720903 IY720903 C720903 WVK655367 WLO655367 WBS655367 VRW655367 VIA655367 UYE655367 UOI655367 UEM655367 TUQ655367 TKU655367 TAY655367 SRC655367 SHG655367 RXK655367 RNO655367 RDS655367 QTW655367 QKA655367 QAE655367 PQI655367 PGM655367 OWQ655367 OMU655367 OCY655367 NTC655367 NJG655367 MZK655367 MPO655367 MFS655367 LVW655367 LMA655367 LCE655367 KSI655367 KIM655367 JYQ655367 JOU655367 JEY655367 IVC655367 ILG655367 IBK655367 HRO655367 HHS655367 GXW655367 GOA655367 GEE655367 FUI655367 FKM655367 FAQ655367 EQU655367 EGY655367 DXC655367 DNG655367 DDK655367 CTO655367 CJS655367 BZW655367 BQA655367 BGE655367 AWI655367 AMM655367 ACQ655367 SU655367 IY655367 C655367 WVK589831 WLO589831 WBS589831 VRW589831 VIA589831 UYE589831 UOI589831 UEM589831 TUQ589831 TKU589831 TAY589831 SRC589831 SHG589831 RXK589831 RNO589831 RDS589831 QTW589831 QKA589831 QAE589831 PQI589831 PGM589831 OWQ589831 OMU589831 OCY589831 NTC589831 NJG589831 MZK589831 MPO589831 MFS589831 LVW589831 LMA589831 LCE589831 KSI589831 KIM589831 JYQ589831 JOU589831 JEY589831 IVC589831 ILG589831 IBK589831 HRO589831 HHS589831 GXW589831 GOA589831 GEE589831 FUI589831 FKM589831 FAQ589831 EQU589831 EGY589831 DXC589831 DNG589831 DDK589831 CTO589831 CJS589831 BZW589831 BQA589831 BGE589831 AWI589831 AMM589831 ACQ589831 SU589831 IY589831 C589831 WVK524295 WLO524295 WBS524295 VRW524295 VIA524295 UYE524295 UOI524295 UEM524295 TUQ524295 TKU524295 TAY524295 SRC524295 SHG524295 RXK524295 RNO524295 RDS524295 QTW524295 QKA524295 QAE524295 PQI524295 PGM524295 OWQ524295 OMU524295 OCY524295 NTC524295 NJG524295 MZK524295 MPO524295 MFS524295 LVW524295 LMA524295 LCE524295 KSI524295 KIM524295 JYQ524295 JOU524295 JEY524295 IVC524295 ILG524295 IBK524295 HRO524295 HHS524295 GXW524295 GOA524295 GEE524295 FUI524295 FKM524295 FAQ524295 EQU524295 EGY524295 DXC524295 DNG524295 DDK524295 CTO524295 CJS524295 BZW524295 BQA524295 BGE524295 AWI524295 AMM524295 ACQ524295 SU524295 IY524295 C524295 WVK458759 WLO458759 WBS458759 VRW458759 VIA458759 UYE458759 UOI458759 UEM458759 TUQ458759 TKU458759 TAY458759 SRC458759 SHG458759 RXK458759 RNO458759 RDS458759 QTW458759 QKA458759 QAE458759 PQI458759 PGM458759 OWQ458759 OMU458759 OCY458759 NTC458759 NJG458759 MZK458759 MPO458759 MFS458759 LVW458759 LMA458759 LCE458759 KSI458759 KIM458759 JYQ458759 JOU458759 JEY458759 IVC458759 ILG458759 IBK458759 HRO458759 HHS458759 GXW458759 GOA458759 GEE458759 FUI458759 FKM458759 FAQ458759 EQU458759 EGY458759 DXC458759 DNG458759 DDK458759 CTO458759 CJS458759 BZW458759 BQA458759 BGE458759 AWI458759 AMM458759 ACQ458759 SU458759 IY458759 C458759 WVK393223 WLO393223 WBS393223 VRW393223 VIA393223 UYE393223 UOI393223 UEM393223 TUQ393223 TKU393223 TAY393223 SRC393223 SHG393223 RXK393223 RNO393223 RDS393223 QTW393223 QKA393223 QAE393223 PQI393223 PGM393223 OWQ393223 OMU393223 OCY393223 NTC393223 NJG393223 MZK393223 MPO393223 MFS393223 LVW393223 LMA393223 LCE393223 KSI393223 KIM393223 JYQ393223 JOU393223 JEY393223 IVC393223 ILG393223 IBK393223 HRO393223 HHS393223 GXW393223 GOA393223 GEE393223 FUI393223 FKM393223 FAQ393223 EQU393223 EGY393223 DXC393223 DNG393223 DDK393223 CTO393223 CJS393223 BZW393223 BQA393223 BGE393223 AWI393223 AMM393223 ACQ393223 SU393223 IY393223 C393223 WVK327687 WLO327687 WBS327687 VRW327687 VIA327687 UYE327687 UOI327687 UEM327687 TUQ327687 TKU327687 TAY327687 SRC327687 SHG327687 RXK327687 RNO327687 RDS327687 QTW327687 QKA327687 QAE327687 PQI327687 PGM327687 OWQ327687 OMU327687 OCY327687 NTC327687 NJG327687 MZK327687 MPO327687 MFS327687 LVW327687 LMA327687 LCE327687 KSI327687 KIM327687 JYQ327687 JOU327687 JEY327687 IVC327687 ILG327687 IBK327687 HRO327687 HHS327687 GXW327687 GOA327687 GEE327687 FUI327687 FKM327687 FAQ327687 EQU327687 EGY327687 DXC327687 DNG327687 DDK327687 CTO327687 CJS327687 BZW327687 BQA327687 BGE327687 AWI327687 AMM327687 ACQ327687 SU327687 IY327687 C327687 WVK262151 WLO262151 WBS262151 VRW262151 VIA262151 UYE262151 UOI262151 UEM262151 TUQ262151 TKU262151 TAY262151 SRC262151 SHG262151 RXK262151 RNO262151 RDS262151 QTW262151 QKA262151 QAE262151 PQI262151 PGM262151 OWQ262151 OMU262151 OCY262151 NTC262151 NJG262151 MZK262151 MPO262151 MFS262151 LVW262151 LMA262151 LCE262151 KSI262151 KIM262151 JYQ262151 JOU262151 JEY262151 IVC262151 ILG262151 IBK262151 HRO262151 HHS262151 GXW262151 GOA262151 GEE262151 FUI262151 FKM262151 FAQ262151 EQU262151 EGY262151 DXC262151 DNG262151 DDK262151 CTO262151 CJS262151 BZW262151 BQA262151 BGE262151 AWI262151 AMM262151 ACQ262151 SU262151 IY262151 C262151 WVK196615 WLO196615 WBS196615 VRW196615 VIA196615 UYE196615 UOI196615 UEM196615 TUQ196615 TKU196615 TAY196615 SRC196615 SHG196615 RXK196615 RNO196615 RDS196615 QTW196615 QKA196615 QAE196615 PQI196615 PGM196615 OWQ196615 OMU196615 OCY196615 NTC196615 NJG196615 MZK196615 MPO196615 MFS196615 LVW196615 LMA196615 LCE196615 KSI196615 KIM196615 JYQ196615 JOU196615 JEY196615 IVC196615 ILG196615 IBK196615 HRO196615 HHS196615 GXW196615 GOA196615 GEE196615 FUI196615 FKM196615 FAQ196615 EQU196615 EGY196615 DXC196615 DNG196615 DDK196615 CTO196615 CJS196615 BZW196615 BQA196615 BGE196615 AWI196615 AMM196615 ACQ196615 SU196615 IY196615 C196615 WVK131079 WLO131079 WBS131079 VRW131079 VIA131079 UYE131079 UOI131079 UEM131079 TUQ131079 TKU131079 TAY131079 SRC131079 SHG131079 RXK131079 RNO131079 RDS131079 QTW131079 QKA131079 QAE131079 PQI131079 PGM131079 OWQ131079 OMU131079 OCY131079 NTC131079 NJG131079 MZK131079 MPO131079 MFS131079 LVW131079 LMA131079 LCE131079 KSI131079 KIM131079 JYQ131079 JOU131079 JEY131079 IVC131079 ILG131079 IBK131079 HRO131079 HHS131079 GXW131079 GOA131079 GEE131079 FUI131079 FKM131079 FAQ131079 EQU131079 EGY131079 DXC131079 DNG131079 DDK131079 CTO131079 CJS131079 BZW131079 BQA131079 BGE131079 AWI131079 AMM131079 ACQ131079 SU131079 IY131079 C131079 WVK65543 WLO65543 WBS65543 VRW65543 VIA65543 UYE65543 UOI65543 UEM65543 TUQ65543 TKU65543 TAY65543 SRC65543 SHG65543 RXK65543 RNO65543 RDS65543 QTW65543 QKA65543 QAE65543 PQI65543 PGM65543 OWQ65543 OMU65543 OCY65543 NTC65543 NJG65543 MZK65543 MPO65543 MFS65543 LVW65543 LMA65543 LCE65543 KSI65543 KIM65543 JYQ65543 JOU65543 JEY65543 IVC65543 ILG65543 IBK65543 HRO65543 HHS65543 GXW65543 GOA65543 GEE65543 FUI65543 FKM65543 FAQ65543 EQU65543 EGY65543 DXC65543 DNG65543 DDK65543 CTO65543 CJS65543 BZW65543 BQA65543 BGE65543 AWI65543 AMM65543 ACQ65543 SU65543 IY65543 C65543 WVK7 WLO7 WBS7 VRW7 VIA7 UYE7 UOI7 UEM7 TUQ7 TKU7 TAY7 SRC7 SHG7 RXK7 RNO7 RDS7 QTW7 QKA7 QAE7 PQI7 PGM7 OWQ7 OMU7 OCY7 NTC7 NJG7 MZK7 MPO7 MFS7 LVW7 LMA7 LCE7 KSI7 KIM7 JYQ7 JOU7 JEY7 IVC7 ILG7 IBK7 HRO7 HHS7 GXW7 GOA7 GEE7 FUI7 FKM7 FAQ7 EQU7 EGY7 DXC7 DNG7 DDK7 CTO7 CJS7 BZW7 BQA7 BGE7 AWI7 AMM7 ACQ7 SU7 IY7">
      <formula1>$P$39:$P$41</formula1>
    </dataValidation>
  </dataValidations>
  <pageMargins left="0.75" right="0.75" top="1" bottom="1" header="0.5" footer="0.5"/>
  <pageSetup scale="62" orientation="portrait" r:id="rId1"/>
  <headerFooter alignWithMargins="0">
    <oddHeader>&amp;L&amp;"Arial,Bold"&amp;GSteven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3:AB179"/>
  <sheetViews>
    <sheetView showGridLines="0" zoomScaleNormal="100" workbookViewId="0">
      <selection activeCell="C4" sqref="C4"/>
    </sheetView>
  </sheetViews>
  <sheetFormatPr defaultRowHeight="12.75"/>
  <cols>
    <col min="1" max="1" width="9.140625" style="958"/>
    <col min="2" max="2" width="48.5703125" style="949" bestFit="1" customWidth="1"/>
    <col min="3" max="3" width="35.85546875" style="949" customWidth="1"/>
    <col min="4" max="4" width="21.7109375" style="958" customWidth="1"/>
    <col min="5" max="28" width="9.140625" style="958"/>
    <col min="29" max="257" width="9.140625" style="949"/>
    <col min="258" max="258" width="48.5703125" style="949" bestFit="1" customWidth="1"/>
    <col min="259" max="259" width="35.85546875" style="949" customWidth="1"/>
    <col min="260" max="260" width="21.7109375" style="949" customWidth="1"/>
    <col min="261" max="513" width="9.140625" style="949"/>
    <col min="514" max="514" width="48.5703125" style="949" bestFit="1" customWidth="1"/>
    <col min="515" max="515" width="35.85546875" style="949" customWidth="1"/>
    <col min="516" max="516" width="21.7109375" style="949" customWidth="1"/>
    <col min="517" max="769" width="9.140625" style="949"/>
    <col min="770" max="770" width="48.5703125" style="949" bestFit="1" customWidth="1"/>
    <col min="771" max="771" width="35.85546875" style="949" customWidth="1"/>
    <col min="772" max="772" width="21.7109375" style="949" customWidth="1"/>
    <col min="773" max="1025" width="9.140625" style="949"/>
    <col min="1026" max="1026" width="48.5703125" style="949" bestFit="1" customWidth="1"/>
    <col min="1027" max="1027" width="35.85546875" style="949" customWidth="1"/>
    <col min="1028" max="1028" width="21.7109375" style="949" customWidth="1"/>
    <col min="1029" max="1281" width="9.140625" style="949"/>
    <col min="1282" max="1282" width="48.5703125" style="949" bestFit="1" customWidth="1"/>
    <col min="1283" max="1283" width="35.85546875" style="949" customWidth="1"/>
    <col min="1284" max="1284" width="21.7109375" style="949" customWidth="1"/>
    <col min="1285" max="1537" width="9.140625" style="949"/>
    <col min="1538" max="1538" width="48.5703125" style="949" bestFit="1" customWidth="1"/>
    <col min="1539" max="1539" width="35.85546875" style="949" customWidth="1"/>
    <col min="1540" max="1540" width="21.7109375" style="949" customWidth="1"/>
    <col min="1541" max="1793" width="9.140625" style="949"/>
    <col min="1794" max="1794" width="48.5703125" style="949" bestFit="1" customWidth="1"/>
    <col min="1795" max="1795" width="35.85546875" style="949" customWidth="1"/>
    <col min="1796" max="1796" width="21.7109375" style="949" customWidth="1"/>
    <col min="1797" max="2049" width="9.140625" style="949"/>
    <col min="2050" max="2050" width="48.5703125" style="949" bestFit="1" customWidth="1"/>
    <col min="2051" max="2051" width="35.85546875" style="949" customWidth="1"/>
    <col min="2052" max="2052" width="21.7109375" style="949" customWidth="1"/>
    <col min="2053" max="2305" width="9.140625" style="949"/>
    <col min="2306" max="2306" width="48.5703125" style="949" bestFit="1" customWidth="1"/>
    <col min="2307" max="2307" width="35.85546875" style="949" customWidth="1"/>
    <col min="2308" max="2308" width="21.7109375" style="949" customWidth="1"/>
    <col min="2309" max="2561" width="9.140625" style="949"/>
    <col min="2562" max="2562" width="48.5703125" style="949" bestFit="1" customWidth="1"/>
    <col min="2563" max="2563" width="35.85546875" style="949" customWidth="1"/>
    <col min="2564" max="2564" width="21.7109375" style="949" customWidth="1"/>
    <col min="2565" max="2817" width="9.140625" style="949"/>
    <col min="2818" max="2818" width="48.5703125" style="949" bestFit="1" customWidth="1"/>
    <col min="2819" max="2819" width="35.85546875" style="949" customWidth="1"/>
    <col min="2820" max="2820" width="21.7109375" style="949" customWidth="1"/>
    <col min="2821" max="3073" width="9.140625" style="949"/>
    <col min="3074" max="3074" width="48.5703125" style="949" bestFit="1" customWidth="1"/>
    <col min="3075" max="3075" width="35.85546875" style="949" customWidth="1"/>
    <col min="3076" max="3076" width="21.7109375" style="949" customWidth="1"/>
    <col min="3077" max="3329" width="9.140625" style="949"/>
    <col min="3330" max="3330" width="48.5703125" style="949" bestFit="1" customWidth="1"/>
    <col min="3331" max="3331" width="35.85546875" style="949" customWidth="1"/>
    <col min="3332" max="3332" width="21.7109375" style="949" customWidth="1"/>
    <col min="3333" max="3585" width="9.140625" style="949"/>
    <col min="3586" max="3586" width="48.5703125" style="949" bestFit="1" customWidth="1"/>
    <col min="3587" max="3587" width="35.85546875" style="949" customWidth="1"/>
    <col min="3588" max="3588" width="21.7109375" style="949" customWidth="1"/>
    <col min="3589" max="3841" width="9.140625" style="949"/>
    <col min="3842" max="3842" width="48.5703125" style="949" bestFit="1" customWidth="1"/>
    <col min="3843" max="3843" width="35.85546875" style="949" customWidth="1"/>
    <col min="3844" max="3844" width="21.7109375" style="949" customWidth="1"/>
    <col min="3845" max="4097" width="9.140625" style="949"/>
    <col min="4098" max="4098" width="48.5703125" style="949" bestFit="1" customWidth="1"/>
    <col min="4099" max="4099" width="35.85546875" style="949" customWidth="1"/>
    <col min="4100" max="4100" width="21.7109375" style="949" customWidth="1"/>
    <col min="4101" max="4353" width="9.140625" style="949"/>
    <col min="4354" max="4354" width="48.5703125" style="949" bestFit="1" customWidth="1"/>
    <col min="4355" max="4355" width="35.85546875" style="949" customWidth="1"/>
    <col min="4356" max="4356" width="21.7109375" style="949" customWidth="1"/>
    <col min="4357" max="4609" width="9.140625" style="949"/>
    <col min="4610" max="4610" width="48.5703125" style="949" bestFit="1" customWidth="1"/>
    <col min="4611" max="4611" width="35.85546875" style="949" customWidth="1"/>
    <col min="4612" max="4612" width="21.7109375" style="949" customWidth="1"/>
    <col min="4613" max="4865" width="9.140625" style="949"/>
    <col min="4866" max="4866" width="48.5703125" style="949" bestFit="1" customWidth="1"/>
    <col min="4867" max="4867" width="35.85546875" style="949" customWidth="1"/>
    <col min="4868" max="4868" width="21.7109375" style="949" customWidth="1"/>
    <col min="4869" max="5121" width="9.140625" style="949"/>
    <col min="5122" max="5122" width="48.5703125" style="949" bestFit="1" customWidth="1"/>
    <col min="5123" max="5123" width="35.85546875" style="949" customWidth="1"/>
    <col min="5124" max="5124" width="21.7109375" style="949" customWidth="1"/>
    <col min="5125" max="5377" width="9.140625" style="949"/>
    <col min="5378" max="5378" width="48.5703125" style="949" bestFit="1" customWidth="1"/>
    <col min="5379" max="5379" width="35.85546875" style="949" customWidth="1"/>
    <col min="5380" max="5380" width="21.7109375" style="949" customWidth="1"/>
    <col min="5381" max="5633" width="9.140625" style="949"/>
    <col min="5634" max="5634" width="48.5703125" style="949" bestFit="1" customWidth="1"/>
    <col min="5635" max="5635" width="35.85546875" style="949" customWidth="1"/>
    <col min="5636" max="5636" width="21.7109375" style="949" customWidth="1"/>
    <col min="5637" max="5889" width="9.140625" style="949"/>
    <col min="5890" max="5890" width="48.5703125" style="949" bestFit="1" customWidth="1"/>
    <col min="5891" max="5891" width="35.85546875" style="949" customWidth="1"/>
    <col min="5892" max="5892" width="21.7109375" style="949" customWidth="1"/>
    <col min="5893" max="6145" width="9.140625" style="949"/>
    <col min="6146" max="6146" width="48.5703125" style="949" bestFit="1" customWidth="1"/>
    <col min="6147" max="6147" width="35.85546875" style="949" customWidth="1"/>
    <col min="6148" max="6148" width="21.7109375" style="949" customWidth="1"/>
    <col min="6149" max="6401" width="9.140625" style="949"/>
    <col min="6402" max="6402" width="48.5703125" style="949" bestFit="1" customWidth="1"/>
    <col min="6403" max="6403" width="35.85546875" style="949" customWidth="1"/>
    <col min="6404" max="6404" width="21.7109375" style="949" customWidth="1"/>
    <col min="6405" max="6657" width="9.140625" style="949"/>
    <col min="6658" max="6658" width="48.5703125" style="949" bestFit="1" customWidth="1"/>
    <col min="6659" max="6659" width="35.85546875" style="949" customWidth="1"/>
    <col min="6660" max="6660" width="21.7109375" style="949" customWidth="1"/>
    <col min="6661" max="6913" width="9.140625" style="949"/>
    <col min="6914" max="6914" width="48.5703125" style="949" bestFit="1" customWidth="1"/>
    <col min="6915" max="6915" width="35.85546875" style="949" customWidth="1"/>
    <col min="6916" max="6916" width="21.7109375" style="949" customWidth="1"/>
    <col min="6917" max="7169" width="9.140625" style="949"/>
    <col min="7170" max="7170" width="48.5703125" style="949" bestFit="1" customWidth="1"/>
    <col min="7171" max="7171" width="35.85546875" style="949" customWidth="1"/>
    <col min="7172" max="7172" width="21.7109375" style="949" customWidth="1"/>
    <col min="7173" max="7425" width="9.140625" style="949"/>
    <col min="7426" max="7426" width="48.5703125" style="949" bestFit="1" customWidth="1"/>
    <col min="7427" max="7427" width="35.85546875" style="949" customWidth="1"/>
    <col min="7428" max="7428" width="21.7109375" style="949" customWidth="1"/>
    <col min="7429" max="7681" width="9.140625" style="949"/>
    <col min="7682" max="7682" width="48.5703125" style="949" bestFit="1" customWidth="1"/>
    <col min="7683" max="7683" width="35.85546875" style="949" customWidth="1"/>
    <col min="7684" max="7684" width="21.7109375" style="949" customWidth="1"/>
    <col min="7685" max="7937" width="9.140625" style="949"/>
    <col min="7938" max="7938" width="48.5703125" style="949" bestFit="1" customWidth="1"/>
    <col min="7939" max="7939" width="35.85546875" style="949" customWidth="1"/>
    <col min="7940" max="7940" width="21.7109375" style="949" customWidth="1"/>
    <col min="7941" max="8193" width="9.140625" style="949"/>
    <col min="8194" max="8194" width="48.5703125" style="949" bestFit="1" customWidth="1"/>
    <col min="8195" max="8195" width="35.85546875" style="949" customWidth="1"/>
    <col min="8196" max="8196" width="21.7109375" style="949" customWidth="1"/>
    <col min="8197" max="8449" width="9.140625" style="949"/>
    <col min="8450" max="8450" width="48.5703125" style="949" bestFit="1" customWidth="1"/>
    <col min="8451" max="8451" width="35.85546875" style="949" customWidth="1"/>
    <col min="8452" max="8452" width="21.7109375" style="949" customWidth="1"/>
    <col min="8453" max="8705" width="9.140625" style="949"/>
    <col min="8706" max="8706" width="48.5703125" style="949" bestFit="1" customWidth="1"/>
    <col min="8707" max="8707" width="35.85546875" style="949" customWidth="1"/>
    <col min="8708" max="8708" width="21.7109375" style="949" customWidth="1"/>
    <col min="8709" max="8961" width="9.140625" style="949"/>
    <col min="8962" max="8962" width="48.5703125" style="949" bestFit="1" customWidth="1"/>
    <col min="8963" max="8963" width="35.85546875" style="949" customWidth="1"/>
    <col min="8964" max="8964" width="21.7109375" style="949" customWidth="1"/>
    <col min="8965" max="9217" width="9.140625" style="949"/>
    <col min="9218" max="9218" width="48.5703125" style="949" bestFit="1" customWidth="1"/>
    <col min="9219" max="9219" width="35.85546875" style="949" customWidth="1"/>
    <col min="9220" max="9220" width="21.7109375" style="949" customWidth="1"/>
    <col min="9221" max="9473" width="9.140625" style="949"/>
    <col min="9474" max="9474" width="48.5703125" style="949" bestFit="1" customWidth="1"/>
    <col min="9475" max="9475" width="35.85546875" style="949" customWidth="1"/>
    <col min="9476" max="9476" width="21.7109375" style="949" customWidth="1"/>
    <col min="9477" max="9729" width="9.140625" style="949"/>
    <col min="9730" max="9730" width="48.5703125" style="949" bestFit="1" customWidth="1"/>
    <col min="9731" max="9731" width="35.85546875" style="949" customWidth="1"/>
    <col min="9732" max="9732" width="21.7109375" style="949" customWidth="1"/>
    <col min="9733" max="9985" width="9.140625" style="949"/>
    <col min="9986" max="9986" width="48.5703125" style="949" bestFit="1" customWidth="1"/>
    <col min="9987" max="9987" width="35.85546875" style="949" customWidth="1"/>
    <col min="9988" max="9988" width="21.7109375" style="949" customWidth="1"/>
    <col min="9989" max="10241" width="9.140625" style="949"/>
    <col min="10242" max="10242" width="48.5703125" style="949" bestFit="1" customWidth="1"/>
    <col min="10243" max="10243" width="35.85546875" style="949" customWidth="1"/>
    <col min="10244" max="10244" width="21.7109375" style="949" customWidth="1"/>
    <col min="10245" max="10497" width="9.140625" style="949"/>
    <col min="10498" max="10498" width="48.5703125" style="949" bestFit="1" customWidth="1"/>
    <col min="10499" max="10499" width="35.85546875" style="949" customWidth="1"/>
    <col min="10500" max="10500" width="21.7109375" style="949" customWidth="1"/>
    <col min="10501" max="10753" width="9.140625" style="949"/>
    <col min="10754" max="10754" width="48.5703125" style="949" bestFit="1" customWidth="1"/>
    <col min="10755" max="10755" width="35.85546875" style="949" customWidth="1"/>
    <col min="10756" max="10756" width="21.7109375" style="949" customWidth="1"/>
    <col min="10757" max="11009" width="9.140625" style="949"/>
    <col min="11010" max="11010" width="48.5703125" style="949" bestFit="1" customWidth="1"/>
    <col min="11011" max="11011" width="35.85546875" style="949" customWidth="1"/>
    <col min="11012" max="11012" width="21.7109375" style="949" customWidth="1"/>
    <col min="11013" max="11265" width="9.140625" style="949"/>
    <col min="11266" max="11266" width="48.5703125" style="949" bestFit="1" customWidth="1"/>
    <col min="11267" max="11267" width="35.85546875" style="949" customWidth="1"/>
    <col min="11268" max="11268" width="21.7109375" style="949" customWidth="1"/>
    <col min="11269" max="11521" width="9.140625" style="949"/>
    <col min="11522" max="11522" width="48.5703125" style="949" bestFit="1" customWidth="1"/>
    <col min="11523" max="11523" width="35.85546875" style="949" customWidth="1"/>
    <col min="11524" max="11524" width="21.7109375" style="949" customWidth="1"/>
    <col min="11525" max="11777" width="9.140625" style="949"/>
    <col min="11778" max="11778" width="48.5703125" style="949" bestFit="1" customWidth="1"/>
    <col min="11779" max="11779" width="35.85546875" style="949" customWidth="1"/>
    <col min="11780" max="11780" width="21.7109375" style="949" customWidth="1"/>
    <col min="11781" max="12033" width="9.140625" style="949"/>
    <col min="12034" max="12034" width="48.5703125" style="949" bestFit="1" customWidth="1"/>
    <col min="12035" max="12035" width="35.85546875" style="949" customWidth="1"/>
    <col min="12036" max="12036" width="21.7109375" style="949" customWidth="1"/>
    <col min="12037" max="12289" width="9.140625" style="949"/>
    <col min="12290" max="12290" width="48.5703125" style="949" bestFit="1" customWidth="1"/>
    <col min="12291" max="12291" width="35.85546875" style="949" customWidth="1"/>
    <col min="12292" max="12292" width="21.7109375" style="949" customWidth="1"/>
    <col min="12293" max="12545" width="9.140625" style="949"/>
    <col min="12546" max="12546" width="48.5703125" style="949" bestFit="1" customWidth="1"/>
    <col min="12547" max="12547" width="35.85546875" style="949" customWidth="1"/>
    <col min="12548" max="12548" width="21.7109375" style="949" customWidth="1"/>
    <col min="12549" max="12801" width="9.140625" style="949"/>
    <col min="12802" max="12802" width="48.5703125" style="949" bestFit="1" customWidth="1"/>
    <col min="12803" max="12803" width="35.85546875" style="949" customWidth="1"/>
    <col min="12804" max="12804" width="21.7109375" style="949" customWidth="1"/>
    <col min="12805" max="13057" width="9.140625" style="949"/>
    <col min="13058" max="13058" width="48.5703125" style="949" bestFit="1" customWidth="1"/>
    <col min="13059" max="13059" width="35.85546875" style="949" customWidth="1"/>
    <col min="13060" max="13060" width="21.7109375" style="949" customWidth="1"/>
    <col min="13061" max="13313" width="9.140625" style="949"/>
    <col min="13314" max="13314" width="48.5703125" style="949" bestFit="1" customWidth="1"/>
    <col min="13315" max="13315" width="35.85546875" style="949" customWidth="1"/>
    <col min="13316" max="13316" width="21.7109375" style="949" customWidth="1"/>
    <col min="13317" max="13569" width="9.140625" style="949"/>
    <col min="13570" max="13570" width="48.5703125" style="949" bestFit="1" customWidth="1"/>
    <col min="13571" max="13571" width="35.85546875" style="949" customWidth="1"/>
    <col min="13572" max="13572" width="21.7109375" style="949" customWidth="1"/>
    <col min="13573" max="13825" width="9.140625" style="949"/>
    <col min="13826" max="13826" width="48.5703125" style="949" bestFit="1" customWidth="1"/>
    <col min="13827" max="13827" width="35.85546875" style="949" customWidth="1"/>
    <col min="13828" max="13828" width="21.7109375" style="949" customWidth="1"/>
    <col min="13829" max="14081" width="9.140625" style="949"/>
    <col min="14082" max="14082" width="48.5703125" style="949" bestFit="1" customWidth="1"/>
    <col min="14083" max="14083" width="35.85546875" style="949" customWidth="1"/>
    <col min="14084" max="14084" width="21.7109375" style="949" customWidth="1"/>
    <col min="14085" max="14337" width="9.140625" style="949"/>
    <col min="14338" max="14338" width="48.5703125" style="949" bestFit="1" customWidth="1"/>
    <col min="14339" max="14339" width="35.85546875" style="949" customWidth="1"/>
    <col min="14340" max="14340" width="21.7109375" style="949" customWidth="1"/>
    <col min="14341" max="14593" width="9.140625" style="949"/>
    <col min="14594" max="14594" width="48.5703125" style="949" bestFit="1" customWidth="1"/>
    <col min="14595" max="14595" width="35.85546875" style="949" customWidth="1"/>
    <col min="14596" max="14596" width="21.7109375" style="949" customWidth="1"/>
    <col min="14597" max="14849" width="9.140625" style="949"/>
    <col min="14850" max="14850" width="48.5703125" style="949" bestFit="1" customWidth="1"/>
    <col min="14851" max="14851" width="35.85546875" style="949" customWidth="1"/>
    <col min="14852" max="14852" width="21.7109375" style="949" customWidth="1"/>
    <col min="14853" max="15105" width="9.140625" style="949"/>
    <col min="15106" max="15106" width="48.5703125" style="949" bestFit="1" customWidth="1"/>
    <col min="15107" max="15107" width="35.85546875" style="949" customWidth="1"/>
    <col min="15108" max="15108" width="21.7109375" style="949" customWidth="1"/>
    <col min="15109" max="15361" width="9.140625" style="949"/>
    <col min="15362" max="15362" width="48.5703125" style="949" bestFit="1" customWidth="1"/>
    <col min="15363" max="15363" width="35.85546875" style="949" customWidth="1"/>
    <col min="15364" max="15364" width="21.7109375" style="949" customWidth="1"/>
    <col min="15365" max="15617" width="9.140625" style="949"/>
    <col min="15618" max="15618" width="48.5703125" style="949" bestFit="1" customWidth="1"/>
    <col min="15619" max="15619" width="35.85546875" style="949" customWidth="1"/>
    <col min="15620" max="15620" width="21.7109375" style="949" customWidth="1"/>
    <col min="15621" max="15873" width="9.140625" style="949"/>
    <col min="15874" max="15874" width="48.5703125" style="949" bestFit="1" customWidth="1"/>
    <col min="15875" max="15875" width="35.85546875" style="949" customWidth="1"/>
    <col min="15876" max="15876" width="21.7109375" style="949" customWidth="1"/>
    <col min="15877" max="16129" width="9.140625" style="949"/>
    <col min="16130" max="16130" width="48.5703125" style="949" bestFit="1" customWidth="1"/>
    <col min="16131" max="16131" width="35.85546875" style="949" customWidth="1"/>
    <col min="16132" max="16132" width="21.7109375" style="949" customWidth="1"/>
    <col min="16133" max="16384" width="9.140625" style="949"/>
  </cols>
  <sheetData>
    <row r="3" spans="1:28" ht="28.5" customHeight="1">
      <c r="B3" s="959" t="s">
        <v>687</v>
      </c>
      <c r="C3" s="960" t="s">
        <v>688</v>
      </c>
      <c r="D3" s="961" t="s">
        <v>689</v>
      </c>
    </row>
    <row r="4" spans="1:28" s="965" customFormat="1" ht="27.75" customHeight="1">
      <c r="A4" s="958"/>
      <c r="B4" s="962" t="s">
        <v>690</v>
      </c>
      <c r="C4" s="963" t="s">
        <v>691</v>
      </c>
      <c r="D4" s="964" t="s">
        <v>692</v>
      </c>
      <c r="E4" s="958"/>
      <c r="F4" s="958"/>
      <c r="G4" s="958"/>
      <c r="H4" s="958"/>
      <c r="I4" s="958"/>
      <c r="J4" s="958"/>
      <c r="K4" s="958"/>
      <c r="L4" s="958"/>
      <c r="M4" s="958"/>
      <c r="N4" s="958"/>
      <c r="O4" s="958"/>
      <c r="P4" s="958"/>
      <c r="Q4" s="958"/>
      <c r="R4" s="958"/>
      <c r="S4" s="958"/>
      <c r="T4" s="958"/>
      <c r="U4" s="958"/>
      <c r="V4" s="958"/>
      <c r="W4" s="958"/>
      <c r="X4" s="958"/>
      <c r="Y4" s="958"/>
      <c r="Z4" s="958"/>
      <c r="AA4" s="958"/>
      <c r="AB4" s="958"/>
    </row>
    <row r="5" spans="1:28" ht="27.75" customHeight="1">
      <c r="B5" s="966" t="s">
        <v>693</v>
      </c>
      <c r="C5" s="967" t="s">
        <v>694</v>
      </c>
      <c r="D5" s="968" t="s">
        <v>695</v>
      </c>
    </row>
    <row r="6" spans="1:28" s="965" customFormat="1" ht="27.75" customHeight="1">
      <c r="A6" s="958"/>
      <c r="B6" s="969" t="s">
        <v>696</v>
      </c>
      <c r="C6" s="963" t="s">
        <v>694</v>
      </c>
      <c r="D6" s="968" t="s">
        <v>695</v>
      </c>
      <c r="E6" s="958"/>
      <c r="F6" s="958"/>
      <c r="G6" s="958"/>
      <c r="H6" s="958"/>
      <c r="I6" s="958"/>
      <c r="J6" s="958"/>
      <c r="K6" s="958"/>
      <c r="L6" s="958"/>
      <c r="M6" s="958"/>
      <c r="N6" s="958"/>
      <c r="O6" s="958"/>
      <c r="P6" s="958"/>
      <c r="Q6" s="958"/>
      <c r="R6" s="958"/>
      <c r="S6" s="958"/>
      <c r="T6" s="958"/>
      <c r="U6" s="958"/>
      <c r="V6" s="958"/>
      <c r="W6" s="958"/>
      <c r="X6" s="958"/>
      <c r="Y6" s="958"/>
      <c r="Z6" s="958"/>
      <c r="AA6" s="958"/>
      <c r="AB6" s="958"/>
    </row>
    <row r="7" spans="1:28" ht="27.75" customHeight="1">
      <c r="B7" s="2513" t="s">
        <v>697</v>
      </c>
      <c r="C7" s="967" t="s">
        <v>698</v>
      </c>
      <c r="D7" s="934" t="s">
        <v>699</v>
      </c>
    </row>
    <row r="8" spans="1:28" ht="27.75" customHeight="1">
      <c r="B8" s="2514"/>
      <c r="C8" s="967" t="s">
        <v>700</v>
      </c>
      <c r="D8" s="934" t="s">
        <v>699</v>
      </c>
    </row>
    <row r="9" spans="1:28" ht="27.75" customHeight="1">
      <c r="B9" s="2515"/>
      <c r="C9" s="967" t="s">
        <v>701</v>
      </c>
      <c r="D9" s="934" t="s">
        <v>699</v>
      </c>
    </row>
    <row r="10" spans="1:28" s="965" customFormat="1" ht="27.75" customHeight="1">
      <c r="A10" s="958"/>
      <c r="B10" s="969" t="s">
        <v>702</v>
      </c>
      <c r="C10" s="963" t="s">
        <v>703</v>
      </c>
      <c r="D10" s="934" t="s">
        <v>699</v>
      </c>
      <c r="E10" s="958"/>
      <c r="F10" s="958"/>
      <c r="G10" s="958"/>
      <c r="H10" s="958"/>
      <c r="I10" s="958"/>
      <c r="J10" s="958"/>
      <c r="K10" s="958"/>
      <c r="L10" s="958"/>
      <c r="M10" s="958"/>
      <c r="N10" s="958"/>
      <c r="O10" s="958"/>
      <c r="P10" s="958"/>
      <c r="Q10" s="958"/>
      <c r="R10" s="958"/>
      <c r="S10" s="958"/>
      <c r="T10" s="958"/>
      <c r="U10" s="958"/>
      <c r="V10" s="958"/>
      <c r="W10" s="958"/>
      <c r="X10" s="958"/>
      <c r="Y10" s="958"/>
      <c r="Z10" s="958"/>
      <c r="AA10" s="958"/>
      <c r="AB10" s="958"/>
    </row>
    <row r="11" spans="1:28" ht="27.75" customHeight="1">
      <c r="B11" s="966" t="s">
        <v>704</v>
      </c>
      <c r="C11" s="967" t="s">
        <v>705</v>
      </c>
      <c r="D11" s="934" t="s">
        <v>699</v>
      </c>
    </row>
    <row r="12" spans="1:28" s="965" customFormat="1" ht="27.75" customHeight="1">
      <c r="A12" s="958"/>
      <c r="B12" s="2511" t="s">
        <v>706</v>
      </c>
      <c r="C12" s="963" t="s">
        <v>707</v>
      </c>
      <c r="D12" s="934" t="s">
        <v>699</v>
      </c>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row>
    <row r="13" spans="1:28" s="965" customFormat="1" ht="27.75" customHeight="1">
      <c r="A13" s="958"/>
      <c r="B13" s="2512"/>
      <c r="C13" s="963" t="s">
        <v>701</v>
      </c>
      <c r="D13" s="934" t="s">
        <v>699</v>
      </c>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row>
    <row r="14" spans="1:28" ht="27.75" customHeight="1">
      <c r="B14" s="2513" t="s">
        <v>708</v>
      </c>
      <c r="C14" s="967" t="s">
        <v>709</v>
      </c>
      <c r="D14" s="964" t="s">
        <v>692</v>
      </c>
    </row>
    <row r="15" spans="1:28" ht="27.75" customHeight="1">
      <c r="B15" s="2515"/>
      <c r="C15" s="967" t="s">
        <v>701</v>
      </c>
      <c r="D15" s="934" t="s">
        <v>699</v>
      </c>
    </row>
    <row r="16" spans="1:28" ht="27.75" customHeight="1">
      <c r="B16" s="969" t="s">
        <v>710</v>
      </c>
      <c r="C16" s="963" t="s">
        <v>711</v>
      </c>
      <c r="D16" s="934" t="s">
        <v>699</v>
      </c>
    </row>
    <row r="17" spans="1:28" s="965" customFormat="1" ht="27.75" customHeight="1">
      <c r="A17" s="958"/>
      <c r="B17" s="970" t="s">
        <v>712</v>
      </c>
      <c r="C17" s="971" t="s">
        <v>694</v>
      </c>
      <c r="D17" s="968" t="s">
        <v>695</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row>
    <row r="18" spans="1:28" ht="27.75" customHeight="1">
      <c r="B18" s="970" t="s">
        <v>713</v>
      </c>
      <c r="C18" s="971" t="s">
        <v>714</v>
      </c>
      <c r="D18" s="968" t="s">
        <v>695</v>
      </c>
      <c r="E18" s="972"/>
    </row>
    <row r="19" spans="1:28" s="965" customFormat="1" ht="27.75" customHeight="1">
      <c r="A19" s="958"/>
      <c r="B19" s="969" t="s">
        <v>715</v>
      </c>
      <c r="C19" s="963" t="s">
        <v>694</v>
      </c>
      <c r="D19" s="968" t="s">
        <v>695</v>
      </c>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row>
    <row r="20" spans="1:28" ht="27.75" customHeight="1">
      <c r="B20" s="969" t="s">
        <v>716</v>
      </c>
      <c r="C20" s="963" t="s">
        <v>714</v>
      </c>
      <c r="D20" s="968" t="s">
        <v>695</v>
      </c>
    </row>
    <row r="21" spans="1:28" s="965" customFormat="1" ht="27.75" customHeight="1">
      <c r="A21" s="958"/>
      <c r="B21" s="970" t="s">
        <v>717</v>
      </c>
      <c r="C21" s="2516" t="s">
        <v>718</v>
      </c>
      <c r="D21" s="968" t="s">
        <v>695</v>
      </c>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row>
    <row r="22" spans="1:28" ht="27.75" customHeight="1">
      <c r="B22" s="970" t="s">
        <v>719</v>
      </c>
      <c r="C22" s="2517"/>
      <c r="D22" s="968" t="s">
        <v>695</v>
      </c>
    </row>
    <row r="23" spans="1:28" s="965" customFormat="1" ht="27.75" customHeight="1">
      <c r="A23" s="958"/>
      <c r="B23" s="970" t="s">
        <v>720</v>
      </c>
      <c r="C23" s="2518"/>
      <c r="D23" s="968" t="s">
        <v>695</v>
      </c>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row>
    <row r="24" spans="1:28" ht="27.75" customHeight="1">
      <c r="B24" s="969" t="s">
        <v>721</v>
      </c>
      <c r="C24" s="963" t="s">
        <v>722</v>
      </c>
      <c r="D24" s="968" t="s">
        <v>695</v>
      </c>
    </row>
    <row r="25" spans="1:28" s="965" customFormat="1" ht="27.75" customHeight="1">
      <c r="A25" s="958"/>
      <c r="B25" s="2519" t="s">
        <v>723</v>
      </c>
      <c r="C25" s="971" t="s">
        <v>701</v>
      </c>
      <c r="D25" s="934" t="s">
        <v>699</v>
      </c>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row>
    <row r="26" spans="1:28" s="965" customFormat="1" ht="27.75" customHeight="1">
      <c r="A26" s="958"/>
      <c r="B26" s="2520"/>
      <c r="C26" s="971" t="s">
        <v>724</v>
      </c>
      <c r="D26" s="934" t="s">
        <v>699</v>
      </c>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row>
    <row r="27" spans="1:28" s="965" customFormat="1" ht="27.75" customHeight="1">
      <c r="A27" s="958"/>
      <c r="B27" s="2521"/>
      <c r="C27" s="971" t="s">
        <v>725</v>
      </c>
      <c r="D27" s="964" t="s">
        <v>692</v>
      </c>
      <c r="E27" s="958"/>
      <c r="F27" s="958"/>
      <c r="G27" s="958"/>
      <c r="H27" s="958"/>
      <c r="I27" s="958"/>
      <c r="J27" s="958"/>
      <c r="K27" s="958"/>
      <c r="L27" s="958"/>
      <c r="M27" s="958"/>
      <c r="N27" s="958"/>
      <c r="O27" s="958"/>
      <c r="P27" s="958"/>
      <c r="Q27" s="958"/>
      <c r="R27" s="958"/>
      <c r="S27" s="958"/>
      <c r="T27" s="958"/>
      <c r="U27" s="958"/>
      <c r="V27" s="958"/>
      <c r="W27" s="958"/>
      <c r="X27" s="958"/>
      <c r="Y27" s="958"/>
      <c r="Z27" s="958"/>
      <c r="AA27" s="958"/>
      <c r="AB27" s="958"/>
    </row>
    <row r="28" spans="1:28" ht="27.75" customHeight="1">
      <c r="B28" s="2511" t="s">
        <v>726</v>
      </c>
      <c r="C28" s="963" t="s">
        <v>727</v>
      </c>
      <c r="D28" s="968" t="s">
        <v>695</v>
      </c>
    </row>
    <row r="29" spans="1:28" ht="27.75" customHeight="1">
      <c r="B29" s="2512"/>
      <c r="C29" s="963" t="s">
        <v>728</v>
      </c>
      <c r="D29" s="934" t="s">
        <v>699</v>
      </c>
    </row>
    <row r="30" spans="1:28" s="965" customFormat="1" ht="27.75" customHeight="1">
      <c r="A30" s="958"/>
      <c r="B30" s="970" t="s">
        <v>729</v>
      </c>
      <c r="C30" s="971" t="s">
        <v>730</v>
      </c>
      <c r="D30" s="964" t="s">
        <v>692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row>
    <row r="31" spans="1:28">
      <c r="C31" s="973"/>
    </row>
    <row r="32" spans="1:28">
      <c r="C32" s="973"/>
    </row>
    <row r="179" spans="2:2" ht="18">
      <c r="B179" s="957"/>
    </row>
  </sheetData>
  <sheetProtection sheet="1" formatCells="0" formatColumns="0" formatRows="0" insertColumns="0" insertRows="0" insertHyperlinks="0"/>
  <mergeCells count="6">
    <mergeCell ref="B28:B29"/>
    <mergeCell ref="B7:B9"/>
    <mergeCell ref="B12:B13"/>
    <mergeCell ref="B14:B15"/>
    <mergeCell ref="C21:C23"/>
    <mergeCell ref="B25:B27"/>
  </mergeCells>
  <hyperlinks>
    <hyperlink ref="C4" location="'1.1 - APPLIANCES'!Print_Area" display="1.1 - APPLIANCES"/>
    <hyperlink ref="C5" location="'2.1-2.2, 5.1, 5.3 - HEATING&amp;DHW'!Print_Area" display="2.1-2.2, 5.1, 5.3 - HEATING&amp;DHW"/>
    <hyperlink ref="C6" location="'2.1-2.2, 5.1, 5.3 - HEATING&amp;DHW'!Print_Area" display="2.1-2.2, 5.1, 5.3 - HEATING&amp;DHW"/>
    <hyperlink ref="C9" location="'8.1 - INF_EXT AIR BARRIER'!A1" display="8.1 - INF_EXT AIR BARRIER"/>
    <hyperlink ref="C10" location="'3.2 - ENV_Roof'!Print_Area" display="3.2 - ENV_ROOF"/>
    <hyperlink ref="C11" location="'3.3 - ENV_FLOORS'!Print_Area" display="3.3 - ENV_FLOORS"/>
    <hyperlink ref="C15" location="'8.1 - INF_EXT AIR BARRIER'!A1" display="8.1 - INF_EXT AIR BARRIER"/>
    <hyperlink ref="C17" location="'2.1-2.2, 5.1, 5.3 - HEATING&amp;DHW'!Print_Area" display="2.1-2.2, 5.1, 5.3 - HEATING&amp;DHW"/>
    <hyperlink ref="C19" location="'2.1-2.2, 5.1, 5.3 - HEATING&amp;DHW'!Print_Area" display="2.1-2.2, 5.1, 5.3 - HEATING&amp;DHW"/>
    <hyperlink ref="C20" location="'5.2, 5.3 - COOLING'!Print_Area" display="5.2, 5.4 - COOLING"/>
    <hyperlink ref="C21" location="'6.1, 6.2, 6.3 - LIGHTING'!Print_Area" display="6.1, 6.2, 6.3 - LIGHTING"/>
    <hyperlink ref="C24" location="'7.1 - MOTORS'!Print_Area" display="9.1 - MOTORS but also in heating and dhw"/>
    <hyperlink ref="C27" location="'8.1 - INF_BLOWER DOOR TEST'!A1" display="8.1 - INF_BLOWER DOOR TEST"/>
    <hyperlink ref="C29" location="'8.2 - VENT_DUCT TIGHTNESS'!A1" display="8.2 - VENT_DUCT TIGHTNESS"/>
    <hyperlink ref="C30" location="'9.1 - METERS'!Print_Area" display="9.1 - METERS"/>
    <hyperlink ref="C8" location="'3.1 - ENV_ABOVE GRADE WALLS'!A1" display="3.1 - ENV_ABOVE GRADE WALL"/>
    <hyperlink ref="C7" location="'3.1 - ENV_BELOW GRADE WALLS'!Print_Area" display="'3.1 - ENV_BELOW GRADE WALLS'!Print_Area"/>
    <hyperlink ref="C12" location="'3.4 - ENV_WINDOWS'!Print_Area" display="'3.4 - ENV_WINDOWS'!Print_Area"/>
    <hyperlink ref="C14" location="'3.5 - ENV_EXTERIOR DOORS'!Print_Area" display="'3.5 - ENV_EXTERIOR DOORS'!Print_Area"/>
    <hyperlink ref="C26" location="'8.1-INF_COMPTZN VIS INSPECTION'!A1" display="8.1-INF_COMPTZN VIS INSPECTION"/>
    <hyperlink ref="C25" location="'8.1 - INF_EXT AIR BARRIER'!Print_Area" display="'8.1 - INF_EXT AIR BARRIER'!Print_Area"/>
    <hyperlink ref="C28" location="'8.2 - VENT_SCHEDULE&amp;TAB REPORT'!Print_Area" display="'8.2 - VENT_SCHEDULE&amp;TAB REPORT'!Print_Area"/>
    <hyperlink ref="C13" location="'8.1 - INF_EXT AIR BARRIER'!A1" display="8.1 - INF_EXT AIR BARRIER"/>
    <hyperlink ref="C16" location="'4.1 - GARAGES_CMPTZ &amp; HEATING '!A1" display="4.1 - GARAGES_CMPTZ &amp; Heating"/>
    <hyperlink ref="C18" location="'5.2, 5.4 - COOLING'!A1" display="5.2, 5.4 - COOLING"/>
  </hyperlinks>
  <pageMargins left="0.7" right="0.7" top="0.75" bottom="0.75" header="0.3" footer="0.3"/>
  <pageSetup orientation="portrait" verticalDpi="36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CCFF"/>
  </sheetPr>
  <dimension ref="A1:AY176"/>
  <sheetViews>
    <sheetView showGridLines="0" zoomScaleNormal="100" workbookViewId="0">
      <selection activeCell="D20" sqref="D20"/>
    </sheetView>
  </sheetViews>
  <sheetFormatPr defaultColWidth="8.85546875" defaultRowHeight="15"/>
  <cols>
    <col min="1" max="1" width="29.28515625" style="1326" customWidth="1"/>
    <col min="2" max="2" width="46.42578125" style="1326" customWidth="1"/>
    <col min="3" max="3" width="29.28515625" style="1326" customWidth="1"/>
    <col min="4" max="6" width="46.42578125" style="1326" customWidth="1"/>
    <col min="7" max="256" width="8.85546875" style="1326"/>
    <col min="257" max="257" width="29.28515625" style="1326" customWidth="1"/>
    <col min="258" max="258" width="46.42578125" style="1326" customWidth="1"/>
    <col min="259" max="259" width="29.28515625" style="1326" customWidth="1"/>
    <col min="260" max="262" width="46.42578125" style="1326" customWidth="1"/>
    <col min="263" max="512" width="8.85546875" style="1326"/>
    <col min="513" max="513" width="29.28515625" style="1326" customWidth="1"/>
    <col min="514" max="514" width="46.42578125" style="1326" customWidth="1"/>
    <col min="515" max="515" width="29.28515625" style="1326" customWidth="1"/>
    <col min="516" max="518" width="46.42578125" style="1326" customWidth="1"/>
    <col min="519" max="768" width="8.85546875" style="1326"/>
    <col min="769" max="769" width="29.28515625" style="1326" customWidth="1"/>
    <col min="770" max="770" width="46.42578125" style="1326" customWidth="1"/>
    <col min="771" max="771" width="29.28515625" style="1326" customWidth="1"/>
    <col min="772" max="774" width="46.42578125" style="1326" customWidth="1"/>
    <col min="775" max="1024" width="8.85546875" style="1326"/>
    <col min="1025" max="1025" width="29.28515625" style="1326" customWidth="1"/>
    <col min="1026" max="1026" width="46.42578125" style="1326" customWidth="1"/>
    <col min="1027" max="1027" width="29.28515625" style="1326" customWidth="1"/>
    <col min="1028" max="1030" width="46.42578125" style="1326" customWidth="1"/>
    <col min="1031" max="1280" width="8.85546875" style="1326"/>
    <col min="1281" max="1281" width="29.28515625" style="1326" customWidth="1"/>
    <col min="1282" max="1282" width="46.42578125" style="1326" customWidth="1"/>
    <col min="1283" max="1283" width="29.28515625" style="1326" customWidth="1"/>
    <col min="1284" max="1286" width="46.42578125" style="1326" customWidth="1"/>
    <col min="1287" max="1536" width="8.85546875" style="1326"/>
    <col min="1537" max="1537" width="29.28515625" style="1326" customWidth="1"/>
    <col min="1538" max="1538" width="46.42578125" style="1326" customWidth="1"/>
    <col min="1539" max="1539" width="29.28515625" style="1326" customWidth="1"/>
    <col min="1540" max="1542" width="46.42578125" style="1326" customWidth="1"/>
    <col min="1543" max="1792" width="8.85546875" style="1326"/>
    <col min="1793" max="1793" width="29.28515625" style="1326" customWidth="1"/>
    <col min="1794" max="1794" width="46.42578125" style="1326" customWidth="1"/>
    <col min="1795" max="1795" width="29.28515625" style="1326" customWidth="1"/>
    <col min="1796" max="1798" width="46.42578125" style="1326" customWidth="1"/>
    <col min="1799" max="2048" width="8.85546875" style="1326"/>
    <col min="2049" max="2049" width="29.28515625" style="1326" customWidth="1"/>
    <col min="2050" max="2050" width="46.42578125" style="1326" customWidth="1"/>
    <col min="2051" max="2051" width="29.28515625" style="1326" customWidth="1"/>
    <col min="2052" max="2054" width="46.42578125" style="1326" customWidth="1"/>
    <col min="2055" max="2304" width="8.85546875" style="1326"/>
    <col min="2305" max="2305" width="29.28515625" style="1326" customWidth="1"/>
    <col min="2306" max="2306" width="46.42578125" style="1326" customWidth="1"/>
    <col min="2307" max="2307" width="29.28515625" style="1326" customWidth="1"/>
    <col min="2308" max="2310" width="46.42578125" style="1326" customWidth="1"/>
    <col min="2311" max="2560" width="8.85546875" style="1326"/>
    <col min="2561" max="2561" width="29.28515625" style="1326" customWidth="1"/>
    <col min="2562" max="2562" width="46.42578125" style="1326" customWidth="1"/>
    <col min="2563" max="2563" width="29.28515625" style="1326" customWidth="1"/>
    <col min="2564" max="2566" width="46.42578125" style="1326" customWidth="1"/>
    <col min="2567" max="2816" width="8.85546875" style="1326"/>
    <col min="2817" max="2817" width="29.28515625" style="1326" customWidth="1"/>
    <col min="2818" max="2818" width="46.42578125" style="1326" customWidth="1"/>
    <col min="2819" max="2819" width="29.28515625" style="1326" customWidth="1"/>
    <col min="2820" max="2822" width="46.42578125" style="1326" customWidth="1"/>
    <col min="2823" max="3072" width="8.85546875" style="1326"/>
    <col min="3073" max="3073" width="29.28515625" style="1326" customWidth="1"/>
    <col min="3074" max="3074" width="46.42578125" style="1326" customWidth="1"/>
    <col min="3075" max="3075" width="29.28515625" style="1326" customWidth="1"/>
    <col min="3076" max="3078" width="46.42578125" style="1326" customWidth="1"/>
    <col min="3079" max="3328" width="8.85546875" style="1326"/>
    <col min="3329" max="3329" width="29.28515625" style="1326" customWidth="1"/>
    <col min="3330" max="3330" width="46.42578125" style="1326" customWidth="1"/>
    <col min="3331" max="3331" width="29.28515625" style="1326" customWidth="1"/>
    <col min="3332" max="3334" width="46.42578125" style="1326" customWidth="1"/>
    <col min="3335" max="3584" width="8.85546875" style="1326"/>
    <col min="3585" max="3585" width="29.28515625" style="1326" customWidth="1"/>
    <col min="3586" max="3586" width="46.42578125" style="1326" customWidth="1"/>
    <col min="3587" max="3587" width="29.28515625" style="1326" customWidth="1"/>
    <col min="3588" max="3590" width="46.42578125" style="1326" customWidth="1"/>
    <col min="3591" max="3840" width="8.85546875" style="1326"/>
    <col min="3841" max="3841" width="29.28515625" style="1326" customWidth="1"/>
    <col min="3842" max="3842" width="46.42578125" style="1326" customWidth="1"/>
    <col min="3843" max="3843" width="29.28515625" style="1326" customWidth="1"/>
    <col min="3844" max="3846" width="46.42578125" style="1326" customWidth="1"/>
    <col min="3847" max="4096" width="8.85546875" style="1326"/>
    <col min="4097" max="4097" width="29.28515625" style="1326" customWidth="1"/>
    <col min="4098" max="4098" width="46.42578125" style="1326" customWidth="1"/>
    <col min="4099" max="4099" width="29.28515625" style="1326" customWidth="1"/>
    <col min="4100" max="4102" width="46.42578125" style="1326" customWidth="1"/>
    <col min="4103" max="4352" width="8.85546875" style="1326"/>
    <col min="4353" max="4353" width="29.28515625" style="1326" customWidth="1"/>
    <col min="4354" max="4354" width="46.42578125" style="1326" customWidth="1"/>
    <col min="4355" max="4355" width="29.28515625" style="1326" customWidth="1"/>
    <col min="4356" max="4358" width="46.42578125" style="1326" customWidth="1"/>
    <col min="4359" max="4608" width="8.85546875" style="1326"/>
    <col min="4609" max="4609" width="29.28515625" style="1326" customWidth="1"/>
    <col min="4610" max="4610" width="46.42578125" style="1326" customWidth="1"/>
    <col min="4611" max="4611" width="29.28515625" style="1326" customWidth="1"/>
    <col min="4612" max="4614" width="46.42578125" style="1326" customWidth="1"/>
    <col min="4615" max="4864" width="8.85546875" style="1326"/>
    <col min="4865" max="4865" width="29.28515625" style="1326" customWidth="1"/>
    <col min="4866" max="4866" width="46.42578125" style="1326" customWidth="1"/>
    <col min="4867" max="4867" width="29.28515625" style="1326" customWidth="1"/>
    <col min="4868" max="4870" width="46.42578125" style="1326" customWidth="1"/>
    <col min="4871" max="5120" width="8.85546875" style="1326"/>
    <col min="5121" max="5121" width="29.28515625" style="1326" customWidth="1"/>
    <col min="5122" max="5122" width="46.42578125" style="1326" customWidth="1"/>
    <col min="5123" max="5123" width="29.28515625" style="1326" customWidth="1"/>
    <col min="5124" max="5126" width="46.42578125" style="1326" customWidth="1"/>
    <col min="5127" max="5376" width="8.85546875" style="1326"/>
    <col min="5377" max="5377" width="29.28515625" style="1326" customWidth="1"/>
    <col min="5378" max="5378" width="46.42578125" style="1326" customWidth="1"/>
    <col min="5379" max="5379" width="29.28515625" style="1326" customWidth="1"/>
    <col min="5380" max="5382" width="46.42578125" style="1326" customWidth="1"/>
    <col min="5383" max="5632" width="8.85546875" style="1326"/>
    <col min="5633" max="5633" width="29.28515625" style="1326" customWidth="1"/>
    <col min="5634" max="5634" width="46.42578125" style="1326" customWidth="1"/>
    <col min="5635" max="5635" width="29.28515625" style="1326" customWidth="1"/>
    <col min="5636" max="5638" width="46.42578125" style="1326" customWidth="1"/>
    <col min="5639" max="5888" width="8.85546875" style="1326"/>
    <col min="5889" max="5889" width="29.28515625" style="1326" customWidth="1"/>
    <col min="5890" max="5890" width="46.42578125" style="1326" customWidth="1"/>
    <col min="5891" max="5891" width="29.28515625" style="1326" customWidth="1"/>
    <col min="5892" max="5894" width="46.42578125" style="1326" customWidth="1"/>
    <col min="5895" max="6144" width="8.85546875" style="1326"/>
    <col min="6145" max="6145" width="29.28515625" style="1326" customWidth="1"/>
    <col min="6146" max="6146" width="46.42578125" style="1326" customWidth="1"/>
    <col min="6147" max="6147" width="29.28515625" style="1326" customWidth="1"/>
    <col min="6148" max="6150" width="46.42578125" style="1326" customWidth="1"/>
    <col min="6151" max="6400" width="8.85546875" style="1326"/>
    <col min="6401" max="6401" width="29.28515625" style="1326" customWidth="1"/>
    <col min="6402" max="6402" width="46.42578125" style="1326" customWidth="1"/>
    <col min="6403" max="6403" width="29.28515625" style="1326" customWidth="1"/>
    <col min="6404" max="6406" width="46.42578125" style="1326" customWidth="1"/>
    <col min="6407" max="6656" width="8.85546875" style="1326"/>
    <col min="6657" max="6657" width="29.28515625" style="1326" customWidth="1"/>
    <col min="6658" max="6658" width="46.42578125" style="1326" customWidth="1"/>
    <col min="6659" max="6659" width="29.28515625" style="1326" customWidth="1"/>
    <col min="6660" max="6662" width="46.42578125" style="1326" customWidth="1"/>
    <col min="6663" max="6912" width="8.85546875" style="1326"/>
    <col min="6913" max="6913" width="29.28515625" style="1326" customWidth="1"/>
    <col min="6914" max="6914" width="46.42578125" style="1326" customWidth="1"/>
    <col min="6915" max="6915" width="29.28515625" style="1326" customWidth="1"/>
    <col min="6916" max="6918" width="46.42578125" style="1326" customWidth="1"/>
    <col min="6919" max="7168" width="8.85546875" style="1326"/>
    <col min="7169" max="7169" width="29.28515625" style="1326" customWidth="1"/>
    <col min="7170" max="7170" width="46.42578125" style="1326" customWidth="1"/>
    <col min="7171" max="7171" width="29.28515625" style="1326" customWidth="1"/>
    <col min="7172" max="7174" width="46.42578125" style="1326" customWidth="1"/>
    <col min="7175" max="7424" width="8.85546875" style="1326"/>
    <col min="7425" max="7425" width="29.28515625" style="1326" customWidth="1"/>
    <col min="7426" max="7426" width="46.42578125" style="1326" customWidth="1"/>
    <col min="7427" max="7427" width="29.28515625" style="1326" customWidth="1"/>
    <col min="7428" max="7430" width="46.42578125" style="1326" customWidth="1"/>
    <col min="7431" max="7680" width="8.85546875" style="1326"/>
    <col min="7681" max="7681" width="29.28515625" style="1326" customWidth="1"/>
    <col min="7682" max="7682" width="46.42578125" style="1326" customWidth="1"/>
    <col min="7683" max="7683" width="29.28515625" style="1326" customWidth="1"/>
    <col min="7684" max="7686" width="46.42578125" style="1326" customWidth="1"/>
    <col min="7687" max="7936" width="8.85546875" style="1326"/>
    <col min="7937" max="7937" width="29.28515625" style="1326" customWidth="1"/>
    <col min="7938" max="7938" width="46.42578125" style="1326" customWidth="1"/>
    <col min="7939" max="7939" width="29.28515625" style="1326" customWidth="1"/>
    <col min="7940" max="7942" width="46.42578125" style="1326" customWidth="1"/>
    <col min="7943" max="8192" width="8.85546875" style="1326"/>
    <col min="8193" max="8193" width="29.28515625" style="1326" customWidth="1"/>
    <col min="8194" max="8194" width="46.42578125" style="1326" customWidth="1"/>
    <col min="8195" max="8195" width="29.28515625" style="1326" customWidth="1"/>
    <col min="8196" max="8198" width="46.42578125" style="1326" customWidth="1"/>
    <col min="8199" max="8448" width="8.85546875" style="1326"/>
    <col min="8449" max="8449" width="29.28515625" style="1326" customWidth="1"/>
    <col min="8450" max="8450" width="46.42578125" style="1326" customWidth="1"/>
    <col min="8451" max="8451" width="29.28515625" style="1326" customWidth="1"/>
    <col min="8452" max="8454" width="46.42578125" style="1326" customWidth="1"/>
    <col min="8455" max="8704" width="8.85546875" style="1326"/>
    <col min="8705" max="8705" width="29.28515625" style="1326" customWidth="1"/>
    <col min="8706" max="8706" width="46.42578125" style="1326" customWidth="1"/>
    <col min="8707" max="8707" width="29.28515625" style="1326" customWidth="1"/>
    <col min="8708" max="8710" width="46.42578125" style="1326" customWidth="1"/>
    <col min="8711" max="8960" width="8.85546875" style="1326"/>
    <col min="8961" max="8961" width="29.28515625" style="1326" customWidth="1"/>
    <col min="8962" max="8962" width="46.42578125" style="1326" customWidth="1"/>
    <col min="8963" max="8963" width="29.28515625" style="1326" customWidth="1"/>
    <col min="8964" max="8966" width="46.42578125" style="1326" customWidth="1"/>
    <col min="8967" max="9216" width="8.85546875" style="1326"/>
    <col min="9217" max="9217" width="29.28515625" style="1326" customWidth="1"/>
    <col min="9218" max="9218" width="46.42578125" style="1326" customWidth="1"/>
    <col min="9219" max="9219" width="29.28515625" style="1326" customWidth="1"/>
    <col min="9220" max="9222" width="46.42578125" style="1326" customWidth="1"/>
    <col min="9223" max="9472" width="8.85546875" style="1326"/>
    <col min="9473" max="9473" width="29.28515625" style="1326" customWidth="1"/>
    <col min="9474" max="9474" width="46.42578125" style="1326" customWidth="1"/>
    <col min="9475" max="9475" width="29.28515625" style="1326" customWidth="1"/>
    <col min="9476" max="9478" width="46.42578125" style="1326" customWidth="1"/>
    <col min="9479" max="9728" width="8.85546875" style="1326"/>
    <col min="9729" max="9729" width="29.28515625" style="1326" customWidth="1"/>
    <col min="9730" max="9730" width="46.42578125" style="1326" customWidth="1"/>
    <col min="9731" max="9731" width="29.28515625" style="1326" customWidth="1"/>
    <col min="9732" max="9734" width="46.42578125" style="1326" customWidth="1"/>
    <col min="9735" max="9984" width="8.85546875" style="1326"/>
    <col min="9985" max="9985" width="29.28515625" style="1326" customWidth="1"/>
    <col min="9986" max="9986" width="46.42578125" style="1326" customWidth="1"/>
    <col min="9987" max="9987" width="29.28515625" style="1326" customWidth="1"/>
    <col min="9988" max="9990" width="46.42578125" style="1326" customWidth="1"/>
    <col min="9991" max="10240" width="8.85546875" style="1326"/>
    <col min="10241" max="10241" width="29.28515625" style="1326" customWidth="1"/>
    <col min="10242" max="10242" width="46.42578125" style="1326" customWidth="1"/>
    <col min="10243" max="10243" width="29.28515625" style="1326" customWidth="1"/>
    <col min="10244" max="10246" width="46.42578125" style="1326" customWidth="1"/>
    <col min="10247" max="10496" width="8.85546875" style="1326"/>
    <col min="10497" max="10497" width="29.28515625" style="1326" customWidth="1"/>
    <col min="10498" max="10498" width="46.42578125" style="1326" customWidth="1"/>
    <col min="10499" max="10499" width="29.28515625" style="1326" customWidth="1"/>
    <col min="10500" max="10502" width="46.42578125" style="1326" customWidth="1"/>
    <col min="10503" max="10752" width="8.85546875" style="1326"/>
    <col min="10753" max="10753" width="29.28515625" style="1326" customWidth="1"/>
    <col min="10754" max="10754" width="46.42578125" style="1326" customWidth="1"/>
    <col min="10755" max="10755" width="29.28515625" style="1326" customWidth="1"/>
    <col min="10756" max="10758" width="46.42578125" style="1326" customWidth="1"/>
    <col min="10759" max="11008" width="8.85546875" style="1326"/>
    <col min="11009" max="11009" width="29.28515625" style="1326" customWidth="1"/>
    <col min="11010" max="11010" width="46.42578125" style="1326" customWidth="1"/>
    <col min="11011" max="11011" width="29.28515625" style="1326" customWidth="1"/>
    <col min="11012" max="11014" width="46.42578125" style="1326" customWidth="1"/>
    <col min="11015" max="11264" width="8.85546875" style="1326"/>
    <col min="11265" max="11265" width="29.28515625" style="1326" customWidth="1"/>
    <col min="11266" max="11266" width="46.42578125" style="1326" customWidth="1"/>
    <col min="11267" max="11267" width="29.28515625" style="1326" customWidth="1"/>
    <col min="11268" max="11270" width="46.42578125" style="1326" customWidth="1"/>
    <col min="11271" max="11520" width="8.85546875" style="1326"/>
    <col min="11521" max="11521" width="29.28515625" style="1326" customWidth="1"/>
    <col min="11522" max="11522" width="46.42578125" style="1326" customWidth="1"/>
    <col min="11523" max="11523" width="29.28515625" style="1326" customWidth="1"/>
    <col min="11524" max="11526" width="46.42578125" style="1326" customWidth="1"/>
    <col min="11527" max="11776" width="8.85546875" style="1326"/>
    <col min="11777" max="11777" width="29.28515625" style="1326" customWidth="1"/>
    <col min="11778" max="11778" width="46.42578125" style="1326" customWidth="1"/>
    <col min="11779" max="11779" width="29.28515625" style="1326" customWidth="1"/>
    <col min="11780" max="11782" width="46.42578125" style="1326" customWidth="1"/>
    <col min="11783" max="12032" width="8.85546875" style="1326"/>
    <col min="12033" max="12033" width="29.28515625" style="1326" customWidth="1"/>
    <col min="12034" max="12034" width="46.42578125" style="1326" customWidth="1"/>
    <col min="12035" max="12035" width="29.28515625" style="1326" customWidth="1"/>
    <col min="12036" max="12038" width="46.42578125" style="1326" customWidth="1"/>
    <col min="12039" max="12288" width="8.85546875" style="1326"/>
    <col min="12289" max="12289" width="29.28515625" style="1326" customWidth="1"/>
    <col min="12290" max="12290" width="46.42578125" style="1326" customWidth="1"/>
    <col min="12291" max="12291" width="29.28515625" style="1326" customWidth="1"/>
    <col min="12292" max="12294" width="46.42578125" style="1326" customWidth="1"/>
    <col min="12295" max="12544" width="8.85546875" style="1326"/>
    <col min="12545" max="12545" width="29.28515625" style="1326" customWidth="1"/>
    <col min="12546" max="12546" width="46.42578125" style="1326" customWidth="1"/>
    <col min="12547" max="12547" width="29.28515625" style="1326" customWidth="1"/>
    <col min="12548" max="12550" width="46.42578125" style="1326" customWidth="1"/>
    <col min="12551" max="12800" width="8.85546875" style="1326"/>
    <col min="12801" max="12801" width="29.28515625" style="1326" customWidth="1"/>
    <col min="12802" max="12802" width="46.42578125" style="1326" customWidth="1"/>
    <col min="12803" max="12803" width="29.28515625" style="1326" customWidth="1"/>
    <col min="12804" max="12806" width="46.42578125" style="1326" customWidth="1"/>
    <col min="12807" max="13056" width="8.85546875" style="1326"/>
    <col min="13057" max="13057" width="29.28515625" style="1326" customWidth="1"/>
    <col min="13058" max="13058" width="46.42578125" style="1326" customWidth="1"/>
    <col min="13059" max="13059" width="29.28515625" style="1326" customWidth="1"/>
    <col min="13060" max="13062" width="46.42578125" style="1326" customWidth="1"/>
    <col min="13063" max="13312" width="8.85546875" style="1326"/>
    <col min="13313" max="13313" width="29.28515625" style="1326" customWidth="1"/>
    <col min="13314" max="13314" width="46.42578125" style="1326" customWidth="1"/>
    <col min="13315" max="13315" width="29.28515625" style="1326" customWidth="1"/>
    <col min="13316" max="13318" width="46.42578125" style="1326" customWidth="1"/>
    <col min="13319" max="13568" width="8.85546875" style="1326"/>
    <col min="13569" max="13569" width="29.28515625" style="1326" customWidth="1"/>
    <col min="13570" max="13570" width="46.42578125" style="1326" customWidth="1"/>
    <col min="13571" max="13571" width="29.28515625" style="1326" customWidth="1"/>
    <col min="13572" max="13574" width="46.42578125" style="1326" customWidth="1"/>
    <col min="13575" max="13824" width="8.85546875" style="1326"/>
    <col min="13825" max="13825" width="29.28515625" style="1326" customWidth="1"/>
    <col min="13826" max="13826" width="46.42578125" style="1326" customWidth="1"/>
    <col min="13827" max="13827" width="29.28515625" style="1326" customWidth="1"/>
    <col min="13828" max="13830" width="46.42578125" style="1326" customWidth="1"/>
    <col min="13831" max="14080" width="8.85546875" style="1326"/>
    <col min="14081" max="14081" width="29.28515625" style="1326" customWidth="1"/>
    <col min="14082" max="14082" width="46.42578125" style="1326" customWidth="1"/>
    <col min="14083" max="14083" width="29.28515625" style="1326" customWidth="1"/>
    <col min="14084" max="14086" width="46.42578125" style="1326" customWidth="1"/>
    <col min="14087" max="14336" width="8.85546875" style="1326"/>
    <col min="14337" max="14337" width="29.28515625" style="1326" customWidth="1"/>
    <col min="14338" max="14338" width="46.42578125" style="1326" customWidth="1"/>
    <col min="14339" max="14339" width="29.28515625" style="1326" customWidth="1"/>
    <col min="14340" max="14342" width="46.42578125" style="1326" customWidth="1"/>
    <col min="14343" max="14592" width="8.85546875" style="1326"/>
    <col min="14593" max="14593" width="29.28515625" style="1326" customWidth="1"/>
    <col min="14594" max="14594" width="46.42578125" style="1326" customWidth="1"/>
    <col min="14595" max="14595" width="29.28515625" style="1326" customWidth="1"/>
    <col min="14596" max="14598" width="46.42578125" style="1326" customWidth="1"/>
    <col min="14599" max="14848" width="8.85546875" style="1326"/>
    <col min="14849" max="14849" width="29.28515625" style="1326" customWidth="1"/>
    <col min="14850" max="14850" width="46.42578125" style="1326" customWidth="1"/>
    <col min="14851" max="14851" width="29.28515625" style="1326" customWidth="1"/>
    <col min="14852" max="14854" width="46.42578125" style="1326" customWidth="1"/>
    <col min="14855" max="15104" width="8.85546875" style="1326"/>
    <col min="15105" max="15105" width="29.28515625" style="1326" customWidth="1"/>
    <col min="15106" max="15106" width="46.42578125" style="1326" customWidth="1"/>
    <col min="15107" max="15107" width="29.28515625" style="1326" customWidth="1"/>
    <col min="15108" max="15110" width="46.42578125" style="1326" customWidth="1"/>
    <col min="15111" max="15360" width="8.85546875" style="1326"/>
    <col min="15361" max="15361" width="29.28515625" style="1326" customWidth="1"/>
    <col min="15362" max="15362" width="46.42578125" style="1326" customWidth="1"/>
    <col min="15363" max="15363" width="29.28515625" style="1326" customWidth="1"/>
    <col min="15364" max="15366" width="46.42578125" style="1326" customWidth="1"/>
    <col min="15367" max="15616" width="8.85546875" style="1326"/>
    <col min="15617" max="15617" width="29.28515625" style="1326" customWidth="1"/>
    <col min="15618" max="15618" width="46.42578125" style="1326" customWidth="1"/>
    <col min="15619" max="15619" width="29.28515625" style="1326" customWidth="1"/>
    <col min="15620" max="15622" width="46.42578125" style="1326" customWidth="1"/>
    <col min="15623" max="15872" width="8.85546875" style="1326"/>
    <col min="15873" max="15873" width="29.28515625" style="1326" customWidth="1"/>
    <col min="15874" max="15874" width="46.42578125" style="1326" customWidth="1"/>
    <col min="15875" max="15875" width="29.28515625" style="1326" customWidth="1"/>
    <col min="15876" max="15878" width="46.42578125" style="1326" customWidth="1"/>
    <col min="15879" max="16128" width="8.85546875" style="1326"/>
    <col min="16129" max="16129" width="29.28515625" style="1326" customWidth="1"/>
    <col min="16130" max="16130" width="46.42578125" style="1326" customWidth="1"/>
    <col min="16131" max="16131" width="29.28515625" style="1326" customWidth="1"/>
    <col min="16132" max="16134" width="46.42578125" style="1326" customWidth="1"/>
    <col min="16135" max="16384" width="8.85546875" style="1326"/>
  </cols>
  <sheetData>
    <row r="1" spans="1:51" ht="15.75" customHeight="1"/>
    <row r="2" spans="1:51" ht="31.5" customHeight="1">
      <c r="A2" s="1327" t="s">
        <v>608</v>
      </c>
      <c r="B2" s="1328"/>
      <c r="C2" s="1329"/>
    </row>
    <row r="3" spans="1:51" s="1330" customFormat="1" ht="12.75">
      <c r="A3" s="2523" t="s">
        <v>731</v>
      </c>
      <c r="B3" s="2523"/>
      <c r="C3" s="2523"/>
      <c r="D3" s="2523"/>
    </row>
    <row r="4" spans="1:51" s="1330" customFormat="1" ht="12.75">
      <c r="A4" s="2524" t="s">
        <v>732</v>
      </c>
      <c r="B4" s="2524"/>
      <c r="C4" s="2524"/>
      <c r="D4" s="2524"/>
    </row>
    <row r="5" spans="1:51" ht="15.75" customHeight="1"/>
    <row r="6" spans="1:51" ht="48" customHeight="1">
      <c r="A6" s="1331" t="str">
        <f>'Project Info'!C3&amp;" Energy Reduction Measures"</f>
        <v>0 Energy Reduction Measures</v>
      </c>
      <c r="B6" s="1332"/>
      <c r="C6" s="1332"/>
      <c r="D6" s="1333"/>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row>
    <row r="7" spans="1:51" s="1334" customFormat="1" ht="57.75" customHeight="1">
      <c r="A7" s="2525" t="s">
        <v>733</v>
      </c>
      <c r="B7" s="2527" t="s">
        <v>734</v>
      </c>
      <c r="C7" s="975" t="s">
        <v>735</v>
      </c>
      <c r="D7" s="2529" t="s">
        <v>736</v>
      </c>
      <c r="E7" s="2530"/>
      <c r="F7" s="976" t="str">
        <f>Overview!G12</f>
        <v xml:space="preserve">AS BUILT REVIEW: 
Prepared by:
Date: </v>
      </c>
    </row>
    <row r="8" spans="1:51" ht="42" customHeight="1">
      <c r="A8" s="2526"/>
      <c r="B8" s="2528"/>
      <c r="C8" s="1335" t="s">
        <v>737</v>
      </c>
      <c r="D8" s="1336" t="s">
        <v>738</v>
      </c>
      <c r="E8" s="1337" t="s">
        <v>739</v>
      </c>
      <c r="F8" s="1338" t="s">
        <v>740</v>
      </c>
    </row>
    <row r="9" spans="1:51" s="1341" customFormat="1" ht="42" customHeight="1">
      <c r="A9" s="977" t="s">
        <v>741</v>
      </c>
      <c r="B9" s="978"/>
      <c r="C9" s="1339"/>
      <c r="D9" s="990"/>
      <c r="E9" s="990"/>
      <c r="F9" s="991"/>
      <c r="G9" s="1340"/>
      <c r="H9" s="1340"/>
      <c r="I9" s="1340"/>
      <c r="J9" s="1340"/>
      <c r="K9" s="1340"/>
      <c r="L9" s="1340"/>
    </row>
    <row r="10" spans="1:51">
      <c r="A10" s="1250" t="str">
        <f>'1.1 - APPLIANCES'!D26</f>
        <v>Refrigerators</v>
      </c>
      <c r="B10" s="979" t="s">
        <v>4</v>
      </c>
      <c r="C10" s="1351"/>
      <c r="D10" s="980">
        <f>'1.1 - APPLIANCES'!K26</f>
        <v>0</v>
      </c>
      <c r="E10" s="980">
        <f>'1.1 - APPLIANCES'!L26</f>
        <v>0</v>
      </c>
      <c r="F10" s="981">
        <f>'1.1 - APPLIANCES'!O26</f>
        <v>0</v>
      </c>
    </row>
    <row r="11" spans="1:51">
      <c r="A11" s="1250" t="str">
        <f>'1.1 - APPLIANCES'!D27</f>
        <v>Dishwashers</v>
      </c>
      <c r="B11" s="982" t="s">
        <v>4</v>
      </c>
      <c r="C11" s="1352"/>
      <c r="D11" s="983">
        <f>'1.1 - APPLIANCES'!K27</f>
        <v>0</v>
      </c>
      <c r="E11" s="983">
        <f>'1.1 - APPLIANCES'!L27</f>
        <v>0</v>
      </c>
      <c r="F11" s="984">
        <f>'1.1 - APPLIANCES'!O27</f>
        <v>0</v>
      </c>
    </row>
    <row r="12" spans="1:51">
      <c r="A12" s="1250" t="str">
        <f>'1.1 - APPLIANCES'!D28</f>
        <v>Clothes Washers</v>
      </c>
      <c r="B12" s="982" t="s">
        <v>4</v>
      </c>
      <c r="C12" s="1351"/>
      <c r="D12" s="983">
        <f>'1.1 - APPLIANCES'!K28</f>
        <v>0</v>
      </c>
      <c r="E12" s="983">
        <f>'1.1 - APPLIANCES'!L28</f>
        <v>0</v>
      </c>
      <c r="F12" s="984">
        <f>'1.1 - APPLIANCES'!O28</f>
        <v>0</v>
      </c>
    </row>
    <row r="13" spans="1:51">
      <c r="A13" s="1250" t="str">
        <f>'1.1 - APPLIANCES'!D29</f>
        <v>Ceiling Fans</v>
      </c>
      <c r="B13" s="982" t="s">
        <v>4</v>
      </c>
      <c r="C13" s="1351"/>
      <c r="D13" s="983">
        <f>'1.1 - APPLIANCES'!K29</f>
        <v>0</v>
      </c>
      <c r="E13" s="983">
        <f>'1.1 - APPLIANCES'!L29</f>
        <v>0</v>
      </c>
      <c r="F13" s="984">
        <f>'1.1 - APPLIANCES'!O29</f>
        <v>0</v>
      </c>
    </row>
    <row r="14" spans="1:51">
      <c r="A14" s="1250" t="str">
        <f>'1.1 - APPLIANCES'!D30</f>
        <v>Vending Machines</v>
      </c>
      <c r="B14" s="982" t="s">
        <v>4</v>
      </c>
      <c r="C14" s="1351"/>
      <c r="D14" s="983">
        <f>'1.1 - APPLIANCES'!K30</f>
        <v>0</v>
      </c>
      <c r="E14" s="983">
        <f>'1.1 - APPLIANCES'!L30</f>
        <v>0</v>
      </c>
      <c r="F14" s="984">
        <f>'1.1 - APPLIANCES'!O30</f>
        <v>0</v>
      </c>
    </row>
    <row r="15" spans="1:51">
      <c r="A15" s="985" t="s">
        <v>742</v>
      </c>
      <c r="B15" s="979" t="s">
        <v>743</v>
      </c>
      <c r="C15" s="1351"/>
      <c r="D15" s="983">
        <f>'1.1 - APPLIANCES'!F32</f>
        <v>0</v>
      </c>
      <c r="E15" s="986">
        <f>'1.1 - APPLIANCES'!L32</f>
        <v>0</v>
      </c>
      <c r="F15" s="987">
        <f>'1.1 - APPLIANCES'!O32</f>
        <v>0</v>
      </c>
    </row>
    <row r="16" spans="1:51" s="1341" customFormat="1" ht="63" customHeight="1">
      <c r="A16" s="977" t="s">
        <v>744</v>
      </c>
      <c r="B16" s="988" t="s">
        <v>745</v>
      </c>
      <c r="C16" s="989"/>
      <c r="D16" s="990"/>
      <c r="E16" s="990"/>
      <c r="F16" s="991"/>
      <c r="G16" s="1340"/>
      <c r="H16" s="1340"/>
      <c r="I16" s="1340"/>
      <c r="J16" s="1340"/>
      <c r="K16" s="1340"/>
      <c r="L16" s="1340"/>
    </row>
    <row r="17" spans="1:12" ht="63.75" customHeight="1">
      <c r="A17" s="985" t="s">
        <v>746</v>
      </c>
      <c r="B17" s="982" t="s">
        <v>747</v>
      </c>
      <c r="C17" s="1351"/>
      <c r="D17" s="983">
        <f>'2.1-2.2 - DOMESTIC HOT WATER'!H48</f>
        <v>0</v>
      </c>
      <c r="E17" s="986">
        <f>'2.1-2.2 - DOMESTIC HOT WATER'!M48</f>
        <v>0</v>
      </c>
      <c r="F17" s="987">
        <f>'2.1-2.2 - DOMESTIC HOT WATER'!P48</f>
        <v>0</v>
      </c>
    </row>
    <row r="18" spans="1:12" ht="25.5">
      <c r="A18" s="985" t="s">
        <v>748</v>
      </c>
      <c r="B18" s="982" t="s">
        <v>749</v>
      </c>
      <c r="C18" s="1351"/>
      <c r="D18" s="983">
        <f>'2.1-2.2 - DOMESTIC HOT WATER'!H49</f>
        <v>0</v>
      </c>
      <c r="E18" s="986">
        <f>'2.1-2.2 - DOMESTIC HOT WATER'!M49</f>
        <v>0</v>
      </c>
      <c r="F18" s="987">
        <f>'2.1-2.2 - DOMESTIC HOT WATER'!P49</f>
        <v>0</v>
      </c>
    </row>
    <row r="19" spans="1:12" ht="38.25">
      <c r="A19" s="985" t="s">
        <v>750</v>
      </c>
      <c r="B19" s="982" t="s">
        <v>751</v>
      </c>
      <c r="C19" s="1351"/>
      <c r="D19" s="983">
        <f>'2.1-2.2 - DOMESTIC HOT WATER'!H50</f>
        <v>0</v>
      </c>
      <c r="E19" s="986">
        <f>'2.1-2.2 - DOMESTIC HOT WATER'!M50</f>
        <v>0</v>
      </c>
      <c r="F19" s="987">
        <f>'2.1-2.2 - DOMESTIC HOT WATER'!P50</f>
        <v>0</v>
      </c>
    </row>
    <row r="20" spans="1:12" s="1341" customFormat="1" ht="41.25" customHeight="1">
      <c r="A20" s="977" t="s">
        <v>752</v>
      </c>
      <c r="B20" s="988" t="s">
        <v>753</v>
      </c>
      <c r="C20" s="989"/>
      <c r="D20" s="990"/>
      <c r="E20" s="990"/>
      <c r="F20" s="991"/>
      <c r="G20" s="1340"/>
      <c r="H20" s="1340"/>
      <c r="I20" s="1340"/>
      <c r="J20" s="1340"/>
      <c r="K20" s="1340"/>
      <c r="L20" s="1340"/>
    </row>
    <row r="21" spans="1:12" ht="25.5">
      <c r="A21" s="985" t="s">
        <v>82</v>
      </c>
      <c r="B21" s="979" t="s">
        <v>754</v>
      </c>
      <c r="C21" s="1351"/>
      <c r="D21" s="983">
        <f>'3.1 - ENV_BELOW GRADE WALLS'!F45</f>
        <v>0</v>
      </c>
      <c r="E21" s="983">
        <f>'3.1 - ENV_BELOW GRADE WALLS'!G45</f>
        <v>0</v>
      </c>
      <c r="F21" s="984">
        <f>'3.1 - ENV_BELOW GRADE WALLS'!J45</f>
        <v>0</v>
      </c>
    </row>
    <row r="22" spans="1:12" ht="45" customHeight="1">
      <c r="A22" s="985" t="s">
        <v>81</v>
      </c>
      <c r="B22" s="979" t="s">
        <v>754</v>
      </c>
      <c r="C22" s="1351"/>
      <c r="D22" s="983">
        <f>'3.1 - ENV_ABOVE GRADE WALLS'!F46</f>
        <v>0</v>
      </c>
      <c r="E22" s="983">
        <f>'3.1 - ENV_ABOVE GRADE WALLS'!G46</f>
        <v>0</v>
      </c>
      <c r="F22" s="984">
        <f>'3.1 - ENV_ABOVE GRADE WALLS'!J46</f>
        <v>0</v>
      </c>
    </row>
    <row r="23" spans="1:12" ht="25.5">
      <c r="A23" s="985" t="s">
        <v>755</v>
      </c>
      <c r="B23" s="979" t="s">
        <v>754</v>
      </c>
      <c r="C23" s="1351"/>
      <c r="D23" s="983">
        <f>'3.1 - ENV_ABOVE GRADE WALLS'!F60</f>
        <v>0</v>
      </c>
      <c r="E23" s="983">
        <f>'3.1 - ENV_ABOVE GRADE WALLS'!G60</f>
        <v>0</v>
      </c>
      <c r="F23" s="984">
        <f>'3.1 - ENV_ABOVE GRADE WALLS'!J60</f>
        <v>0</v>
      </c>
    </row>
    <row r="24" spans="1:12" ht="25.5">
      <c r="A24" s="985" t="s">
        <v>36</v>
      </c>
      <c r="B24" s="979" t="s">
        <v>754</v>
      </c>
      <c r="C24" s="1351"/>
      <c r="D24" s="983">
        <f>'3.2 - ENV_ROOF'!F46</f>
        <v>0</v>
      </c>
      <c r="E24" s="983">
        <f>'3.2 - ENV_ROOF'!G46</f>
        <v>0</v>
      </c>
      <c r="F24" s="984">
        <f>'3.2 - ENV_ROOF'!J46</f>
        <v>0</v>
      </c>
    </row>
    <row r="25" spans="1:12" ht="25.5">
      <c r="A25" s="985" t="s">
        <v>756</v>
      </c>
      <c r="B25" s="979" t="s">
        <v>754</v>
      </c>
      <c r="C25" s="1351"/>
      <c r="D25" s="983">
        <f>'3.3 - ENV_FLOORS'!F34</f>
        <v>0</v>
      </c>
      <c r="E25" s="986">
        <f>'3.3 - ENV_FLOORS'!G34</f>
        <v>0</v>
      </c>
      <c r="F25" s="987">
        <f>'3.3 - ENV_FLOORS'!J34</f>
        <v>0</v>
      </c>
    </row>
    <row r="26" spans="1:12" ht="25.5">
      <c r="A26" s="985" t="s">
        <v>757</v>
      </c>
      <c r="B26" s="979" t="s">
        <v>754</v>
      </c>
      <c r="C26" s="1351"/>
      <c r="D26" s="983">
        <f>'3.3 - ENV_FLOORS'!F44</f>
        <v>0</v>
      </c>
      <c r="E26" s="986">
        <f>'3.3 - ENV_FLOORS'!G44</f>
        <v>0</v>
      </c>
      <c r="F26" s="987">
        <f>'3.3 - ENV_FLOORS'!J44</f>
        <v>0</v>
      </c>
    </row>
    <row r="27" spans="1:12" ht="25.5">
      <c r="A27" s="985" t="s">
        <v>758</v>
      </c>
      <c r="B27" s="979" t="s">
        <v>754</v>
      </c>
      <c r="C27" s="1351"/>
      <c r="D27" s="983">
        <f>'3.3 - ENV_FLOORS'!F54</f>
        <v>0</v>
      </c>
      <c r="E27" s="986">
        <f>'3.3 - ENV_FLOORS'!G54</f>
        <v>0</v>
      </c>
      <c r="F27" s="987">
        <f>'3.3 - ENV_FLOORS'!J45</f>
        <v>0</v>
      </c>
    </row>
    <row r="28" spans="1:12" ht="25.5">
      <c r="A28" s="985" t="s">
        <v>759</v>
      </c>
      <c r="B28" s="979" t="s">
        <v>754</v>
      </c>
      <c r="C28" s="1351"/>
      <c r="D28" s="983">
        <f>'3.3 - ENV_FLOORS'!F64</f>
        <v>0</v>
      </c>
      <c r="E28" s="986">
        <f>'3.3 - ENV_FLOORS'!G64</f>
        <v>0</v>
      </c>
      <c r="F28" s="987">
        <f>'3.3 - ENV_FLOORS'!J64</f>
        <v>0</v>
      </c>
    </row>
    <row r="29" spans="1:12" ht="25.5">
      <c r="A29" s="985" t="s">
        <v>463</v>
      </c>
      <c r="B29" s="979" t="s">
        <v>754</v>
      </c>
      <c r="C29" s="1351"/>
      <c r="D29" s="983">
        <f>'3.4 - ENV_WINDOWS'!G39</f>
        <v>0</v>
      </c>
      <c r="E29" s="983">
        <f>'3.4 - ENV_WINDOWS'!M39</f>
        <v>0</v>
      </c>
      <c r="F29" s="984">
        <f>'3.4 - ENV_WINDOWS'!P39</f>
        <v>0</v>
      </c>
    </row>
    <row r="30" spans="1:12" ht="25.5">
      <c r="A30" s="985" t="s">
        <v>760</v>
      </c>
      <c r="B30" s="979" t="s">
        <v>754</v>
      </c>
      <c r="C30" s="1351"/>
      <c r="D30" s="983">
        <f>'3.5 - ENV_EXTERIOR DOORS'!G35</f>
        <v>0</v>
      </c>
      <c r="E30" s="983">
        <f>'3.5 - ENV_EXTERIOR DOORS'!J35</f>
        <v>0</v>
      </c>
      <c r="F30" s="984">
        <f>'3.5 - ENV_EXTERIOR DOORS'!M35</f>
        <v>0</v>
      </c>
    </row>
    <row r="31" spans="1:12" s="1341" customFormat="1" ht="41.25" customHeight="1">
      <c r="A31" s="977" t="s">
        <v>761</v>
      </c>
      <c r="B31" s="988" t="s">
        <v>762</v>
      </c>
      <c r="C31" s="989"/>
      <c r="D31" s="990"/>
      <c r="E31" s="990"/>
      <c r="F31" s="991"/>
      <c r="G31" s="1340"/>
      <c r="H31" s="1340"/>
      <c r="I31" s="1340"/>
      <c r="J31" s="1340"/>
      <c r="K31" s="1340"/>
      <c r="L31" s="1340"/>
    </row>
    <row r="32" spans="1:12" ht="38.25">
      <c r="A32" s="985" t="s">
        <v>763</v>
      </c>
      <c r="B32" s="979" t="s">
        <v>764</v>
      </c>
      <c r="C32" s="1351"/>
      <c r="D32" s="983">
        <f>'5.1, 5.3 - HEATING'!H47</f>
        <v>0</v>
      </c>
      <c r="E32" s="986">
        <f>'5.1, 5.3 - HEATING'!M47</f>
        <v>0</v>
      </c>
      <c r="F32" s="987">
        <f>'5.1, 5.3 - HEATING'!P47</f>
        <v>0</v>
      </c>
    </row>
    <row r="33" spans="1:12" ht="25.5">
      <c r="A33" s="985" t="s">
        <v>765</v>
      </c>
      <c r="B33" s="979" t="s">
        <v>766</v>
      </c>
      <c r="C33" s="1351"/>
      <c r="D33" s="983">
        <f>'5.1, 5.3 - HEATING'!H48</f>
        <v>0</v>
      </c>
      <c r="E33" s="986">
        <f>'5.1, 5.3 - HEATING'!M48</f>
        <v>0</v>
      </c>
      <c r="F33" s="987">
        <f>'5.1, 5.3 - HEATING'!P48</f>
        <v>0</v>
      </c>
    </row>
    <row r="34" spans="1:12" ht="51">
      <c r="A34" s="985" t="s">
        <v>767</v>
      </c>
      <c r="B34" s="979" t="s">
        <v>768</v>
      </c>
      <c r="C34" s="1351"/>
      <c r="D34" s="983">
        <f>'5.1, 5.3 - HEATING'!H46</f>
        <v>0</v>
      </c>
      <c r="E34" s="986">
        <f>'5.1, 5.3 - HEATING'!M46</f>
        <v>0</v>
      </c>
      <c r="F34" s="987">
        <f>'5.1, 5.3 - HEATING'!P46</f>
        <v>0</v>
      </c>
    </row>
    <row r="35" spans="1:12" ht="25.5">
      <c r="A35" s="985" t="s">
        <v>769</v>
      </c>
      <c r="B35" s="979" t="s">
        <v>770</v>
      </c>
      <c r="C35" s="1351"/>
      <c r="D35" s="983">
        <f>'5.1, 5.3 - HEATING'!H49</f>
        <v>0</v>
      </c>
      <c r="E35" s="986">
        <f>'5.1, 5.3 - HEATING'!M49</f>
        <v>0</v>
      </c>
      <c r="F35" s="987">
        <f>'5.1, 5.3 - HEATING'!P49</f>
        <v>0</v>
      </c>
    </row>
    <row r="36" spans="1:12" ht="38.25">
      <c r="A36" s="985" t="s">
        <v>771</v>
      </c>
      <c r="B36" s="979" t="s">
        <v>772</v>
      </c>
      <c r="C36" s="1351"/>
      <c r="D36" s="983">
        <f>'5.1, 5.3 - HEATING'!H50</f>
        <v>0</v>
      </c>
      <c r="E36" s="986">
        <f>'5.1, 5.3 - HEATING'!M50</f>
        <v>0</v>
      </c>
      <c r="F36" s="987">
        <f>'5.1, 5.3 - HEATING'!P50</f>
        <v>0</v>
      </c>
    </row>
    <row r="37" spans="1:12">
      <c r="A37" s="985" t="s">
        <v>773</v>
      </c>
      <c r="B37" s="979" t="s">
        <v>770</v>
      </c>
      <c r="C37" s="1353"/>
      <c r="D37" s="983" t="s">
        <v>404</v>
      </c>
      <c r="E37" s="986" t="s">
        <v>404</v>
      </c>
      <c r="F37" s="987" t="s">
        <v>404</v>
      </c>
    </row>
    <row r="38" spans="1:12" ht="38.25">
      <c r="A38" s="985" t="s">
        <v>774</v>
      </c>
      <c r="B38" s="979" t="s">
        <v>764</v>
      </c>
      <c r="C38" s="1351"/>
      <c r="D38" s="983">
        <f>'5.2, 5.4 - COOLING'!G36</f>
        <v>0</v>
      </c>
      <c r="E38" s="986">
        <f>'5.2, 5.4 - COOLING'!N36</f>
        <v>0</v>
      </c>
      <c r="F38" s="987">
        <f>'5.2, 5.4 - COOLING'!Q36</f>
        <v>0</v>
      </c>
    </row>
    <row r="39" spans="1:12" ht="51">
      <c r="A39" s="985" t="s">
        <v>775</v>
      </c>
      <c r="B39" s="979" t="s">
        <v>768</v>
      </c>
      <c r="C39" s="1351"/>
      <c r="D39" s="983">
        <f>'5.2, 5.4 - COOLING'!G35</f>
        <v>0</v>
      </c>
      <c r="E39" s="986">
        <f>'5.2, 5.4 - COOLING'!N35</f>
        <v>0</v>
      </c>
      <c r="F39" s="987">
        <f>'5.2, 5.4 - COOLING'!Q35</f>
        <v>0</v>
      </c>
    </row>
    <row r="40" spans="1:12" ht="38.25">
      <c r="A40" s="985" t="s">
        <v>776</v>
      </c>
      <c r="B40" s="979" t="s">
        <v>772</v>
      </c>
      <c r="C40" s="1351"/>
      <c r="D40" s="983">
        <f>'5.2, 5.4 - COOLING'!G37</f>
        <v>0</v>
      </c>
      <c r="E40" s="986">
        <f>'5.2, 5.4 - COOLING'!N37</f>
        <v>0</v>
      </c>
      <c r="F40" s="987">
        <f>'5.2, 5.4 - COOLING'!Q37</f>
        <v>0</v>
      </c>
    </row>
    <row r="41" spans="1:12" s="1341" customFormat="1" ht="41.25" customHeight="1">
      <c r="A41" s="977" t="s">
        <v>777</v>
      </c>
      <c r="B41" s="988" t="s">
        <v>778</v>
      </c>
      <c r="C41" s="989"/>
      <c r="D41" s="990"/>
      <c r="E41" s="990"/>
      <c r="F41" s="991"/>
      <c r="G41" s="1340"/>
      <c r="H41" s="1340"/>
      <c r="I41" s="1340"/>
      <c r="J41" s="1340"/>
      <c r="K41" s="1340"/>
      <c r="L41" s="1340"/>
    </row>
    <row r="42" spans="1:12" ht="25.5">
      <c r="A42" s="985" t="s">
        <v>779</v>
      </c>
      <c r="B42" s="979" t="s">
        <v>780</v>
      </c>
      <c r="C42" s="1353"/>
      <c r="D42" s="983">
        <f>'6.1, 6.2, 6.3 - LIGHTING'!J84</f>
        <v>0</v>
      </c>
      <c r="E42" s="983">
        <f>'6.1, 6.2, 6.3 - LIGHTING'!K84</f>
        <v>0</v>
      </c>
      <c r="F42" s="984">
        <f>'6.1, 6.2, 6.3 - LIGHTING'!N84</f>
        <v>0</v>
      </c>
    </row>
    <row r="43" spans="1:12" ht="127.5">
      <c r="A43" s="985" t="s">
        <v>47</v>
      </c>
      <c r="B43" s="979" t="s">
        <v>781</v>
      </c>
      <c r="C43" s="1353"/>
      <c r="D43" s="983">
        <f>'6.1, 6.2, 6.3 - LIGHTING'!J85</f>
        <v>0</v>
      </c>
      <c r="E43" s="983">
        <f>'6.1, 6.2, 6.3 - LIGHTING'!K85</f>
        <v>0</v>
      </c>
      <c r="F43" s="984">
        <f>'6.1, 6.2, 6.3 - LIGHTING'!N85</f>
        <v>0</v>
      </c>
    </row>
    <row r="44" spans="1:12">
      <c r="A44" s="985" t="s">
        <v>782</v>
      </c>
      <c r="B44" s="979" t="s">
        <v>783</v>
      </c>
      <c r="C44" s="1353"/>
      <c r="D44" s="983">
        <f>'6.1, 6.2, 6.3 - LIGHTING'!J87</f>
        <v>0</v>
      </c>
      <c r="E44" s="983">
        <f>'6.1, 6.2, 6.3 - LIGHTING'!K87</f>
        <v>0</v>
      </c>
      <c r="F44" s="984">
        <f>'6.1, 6.2, 6.3 - LIGHTING'!N87</f>
        <v>0</v>
      </c>
    </row>
    <row r="45" spans="1:12" ht="191.25">
      <c r="A45" s="985" t="s">
        <v>784</v>
      </c>
      <c r="B45" s="979" t="s">
        <v>785</v>
      </c>
      <c r="C45" s="1353"/>
      <c r="D45" s="983">
        <f>'6.1, 6.2, 6.3 - LIGHTING'!J88</f>
        <v>0</v>
      </c>
      <c r="E45" s="983">
        <f>'6.1, 6.2, 6.3 - LIGHTING'!K88</f>
        <v>0</v>
      </c>
      <c r="F45" s="984">
        <f>'6.1, 6.2, 6.3 - LIGHTING'!N88</f>
        <v>0</v>
      </c>
    </row>
    <row r="46" spans="1:12">
      <c r="A46" s="985" t="s">
        <v>786</v>
      </c>
      <c r="B46" s="979" t="s">
        <v>787</v>
      </c>
      <c r="C46" s="1353"/>
      <c r="D46" s="983">
        <f>'6.1, 6.2, 6.3 - LIGHTING'!J91</f>
        <v>0</v>
      </c>
      <c r="E46" s="983">
        <f>'6.1, 6.2, 6.3 - LIGHTING'!K91</f>
        <v>0</v>
      </c>
      <c r="F46" s="984">
        <f>'6.1, 6.2, 6.3 - LIGHTING'!N91</f>
        <v>0</v>
      </c>
    </row>
    <row r="47" spans="1:12" ht="89.25">
      <c r="A47" s="985" t="s">
        <v>61</v>
      </c>
      <c r="B47" s="979" t="s">
        <v>788</v>
      </c>
      <c r="C47" s="1351"/>
      <c r="D47" s="983">
        <f>'6.1, 6.2, 6.3 - LIGHTING'!J92</f>
        <v>0</v>
      </c>
      <c r="E47" s="983">
        <f>'6.1, 6.2, 6.3 - LIGHTING'!K92</f>
        <v>0</v>
      </c>
      <c r="F47" s="984">
        <f>'6.1, 6.2, 6.3 - LIGHTING'!N92</f>
        <v>0</v>
      </c>
    </row>
    <row r="48" spans="1:12" s="1341" customFormat="1" ht="12.75">
      <c r="A48" s="977" t="s">
        <v>789</v>
      </c>
      <c r="B48" s="992"/>
      <c r="C48" s="989"/>
      <c r="D48" s="990"/>
      <c r="E48" s="990"/>
      <c r="F48" s="991"/>
      <c r="G48" s="1340"/>
      <c r="H48" s="1340"/>
      <c r="I48" s="1340"/>
      <c r="J48" s="1340"/>
      <c r="K48" s="1340"/>
      <c r="L48" s="1340"/>
    </row>
    <row r="49" spans="1:12" ht="76.5">
      <c r="A49" s="993" t="s">
        <v>790</v>
      </c>
      <c r="B49" s="979" t="s">
        <v>791</v>
      </c>
      <c r="C49" s="1353"/>
      <c r="D49" s="983">
        <f>'7.1 - MOTORS'!H34</f>
        <v>0</v>
      </c>
      <c r="E49" s="983">
        <f>'7.1 - MOTORS'!J34</f>
        <v>0</v>
      </c>
      <c r="F49" s="984">
        <f>'7.1 - MOTORS'!M34</f>
        <v>0</v>
      </c>
    </row>
    <row r="50" spans="1:12" ht="76.5">
      <c r="A50" s="993" t="s">
        <v>792</v>
      </c>
      <c r="B50" s="979" t="s">
        <v>791</v>
      </c>
      <c r="C50" s="1353"/>
      <c r="D50" s="983">
        <f>'7.1 - MOTORS'!H36</f>
        <v>0</v>
      </c>
      <c r="E50" s="983">
        <f>'7.1 - MOTORS'!J36</f>
        <v>0</v>
      </c>
      <c r="F50" s="984">
        <f>'7.1 - MOTORS'!M36</f>
        <v>0</v>
      </c>
    </row>
    <row r="51" spans="1:12" ht="38.25">
      <c r="A51" s="993" t="s">
        <v>793</v>
      </c>
      <c r="B51" s="979" t="s">
        <v>794</v>
      </c>
      <c r="C51" s="1353"/>
      <c r="D51" s="983">
        <f>'7.1 - MOTORS'!H36</f>
        <v>0</v>
      </c>
      <c r="E51" s="983">
        <f>'7.1 - MOTORS'!J36</f>
        <v>0</v>
      </c>
      <c r="F51" s="984">
        <f>'7.1 - MOTORS'!M36</f>
        <v>0</v>
      </c>
    </row>
    <row r="52" spans="1:12" s="1341" customFormat="1" ht="41.25" customHeight="1">
      <c r="A52" s="977" t="s">
        <v>795</v>
      </c>
      <c r="B52" s="994"/>
      <c r="C52" s="995"/>
      <c r="D52" s="990"/>
      <c r="E52" s="990"/>
      <c r="F52" s="991"/>
      <c r="G52" s="1340"/>
      <c r="H52" s="1340"/>
      <c r="I52" s="1340"/>
      <c r="J52" s="1340"/>
      <c r="K52" s="1340"/>
      <c r="L52" s="1340"/>
    </row>
    <row r="53" spans="1:12" ht="89.25">
      <c r="A53" s="985" t="s">
        <v>796</v>
      </c>
      <c r="B53" s="979" t="s">
        <v>797</v>
      </c>
      <c r="C53" s="1351"/>
      <c r="D53" s="983">
        <f>'8.2 - VENT_SCHEDULE&amp;TAB REPORT'!H54</f>
        <v>0</v>
      </c>
      <c r="E53" s="983">
        <f>'8.2 - VENT_SCHEDULE&amp;TAB REPORT'!O54</f>
        <v>0</v>
      </c>
      <c r="F53" s="984">
        <f>'8.2 - VENT_SCHEDULE&amp;TAB REPORT'!R54</f>
        <v>0</v>
      </c>
    </row>
    <row r="54" spans="1:12" ht="38.25">
      <c r="A54" s="985" t="s">
        <v>798</v>
      </c>
      <c r="B54" s="979" t="s">
        <v>799</v>
      </c>
      <c r="C54" s="1353"/>
      <c r="D54" s="986">
        <f>'8.2 - VENT_SCHEDULE&amp;TAB REPORT'!H56</f>
        <v>0</v>
      </c>
      <c r="E54" s="983">
        <f>'8.2 - VENT_SCHEDULE&amp;TAB REPORT'!O56</f>
        <v>0</v>
      </c>
      <c r="F54" s="984">
        <f>'8.2 - VENT_SCHEDULE&amp;TAB REPORT'!R56</f>
        <v>0</v>
      </c>
    </row>
    <row r="55" spans="1:12" ht="25.5">
      <c r="A55" s="985" t="s">
        <v>800</v>
      </c>
      <c r="B55" s="979" t="s">
        <v>770</v>
      </c>
      <c r="C55" s="1354"/>
      <c r="D55" s="986">
        <f>'8.2 - VENT_SCHEDULE&amp;TAB REPORT'!H57</f>
        <v>0</v>
      </c>
      <c r="E55" s="986">
        <f>'8.2 - VENT_SCHEDULE&amp;TAB REPORT'!O57</f>
        <v>0</v>
      </c>
      <c r="F55" s="987">
        <f>'8.2 - VENT_SCHEDULE&amp;TAB REPORT'!R57</f>
        <v>0</v>
      </c>
      <c r="G55" s="1342"/>
    </row>
    <row r="56" spans="1:12" ht="25.5">
      <c r="A56" s="985" t="s">
        <v>801</v>
      </c>
      <c r="B56" s="979" t="s">
        <v>802</v>
      </c>
      <c r="C56" s="1351"/>
      <c r="D56" s="986">
        <f>'8.2 - VENT_SCHEDULE&amp;TAB REPORT'!H32</f>
        <v>0</v>
      </c>
      <c r="E56" s="983">
        <f>'8.2 - VENT_SCHEDULE&amp;TAB REPORT'!O32</f>
        <v>0</v>
      </c>
      <c r="F56" s="984">
        <f>'8.2 - VENT_SCHEDULE&amp;TAB REPORT'!R32</f>
        <v>0</v>
      </c>
    </row>
    <row r="57" spans="1:12" ht="114.75">
      <c r="A57" s="2531" t="s">
        <v>803</v>
      </c>
      <c r="B57" s="979" t="str">
        <f>'8.2 - VENT_SCHEDULE&amp;TAB REPORT'!E52</f>
        <v>Central exhaust fans 1/16 HP and less must be direct-drive and have variable speed controllers.
Central exhaust fans greater than 1/16 HP and less than 1 HP must be direct-drive with ECM motors and variable speed controllers.
Central exhaust fans 1 HP and larger must have NEMA Premium efficient motors.</v>
      </c>
      <c r="C57" s="1353"/>
      <c r="D57" s="986">
        <f>'8.2 - VENT_SCHEDULE&amp;TAB REPORT'!H52</f>
        <v>0</v>
      </c>
      <c r="E57" s="983">
        <f>'8.2 - VENT_SCHEDULE&amp;TAB REPORT'!O52</f>
        <v>0</v>
      </c>
      <c r="F57" s="984">
        <f>'8.2 - VENT_SCHEDULE&amp;TAB REPORT'!R52</f>
        <v>0</v>
      </c>
    </row>
    <row r="58" spans="1:12" ht="25.5">
      <c r="A58" s="2532"/>
      <c r="B58" s="979" t="str">
        <f>'8.2 - VENT_SCHEDULE&amp;TAB REPORT'!E53</f>
        <v>Apartment in-line and ceiling exhaust fans must be ENERGY STAR qualified.</v>
      </c>
      <c r="C58" s="1353"/>
      <c r="D58" s="986">
        <f>'8.2 - VENT_SCHEDULE&amp;TAB REPORT'!H53</f>
        <v>0</v>
      </c>
      <c r="E58" s="983">
        <f>'8.2 - VENT_SCHEDULE&amp;TAB REPORT'!O53</f>
        <v>0</v>
      </c>
      <c r="F58" s="984">
        <f>'8.2 - VENT_SCHEDULE&amp;TAB REPORT'!R53</f>
        <v>0</v>
      </c>
    </row>
    <row r="59" spans="1:12" ht="114.75">
      <c r="A59" s="985" t="s">
        <v>804</v>
      </c>
      <c r="B59" s="979" t="str">
        <f>'8.2 - VENT_SCHEDULE&amp;TAB REPORT'!E51</f>
        <v>Central exhaust fans 1/16 HP and less must be direct-drive and have variable speed controllers.
Central exhaust fans greater than 1/16 HP and less than 1 HP must be direct-drive with ECM motors and variable speed controllers.
Central exhaust fans 1 HP and larger must have NEMA Premium efficient motors.</v>
      </c>
      <c r="C59" s="1353"/>
      <c r="D59" s="986">
        <f>'8.2 - VENT_SCHEDULE&amp;TAB REPORT'!H51</f>
        <v>0</v>
      </c>
      <c r="E59" s="983">
        <f>'8.2 - VENT_SCHEDULE&amp;TAB REPORT'!O51</f>
        <v>0</v>
      </c>
      <c r="F59" s="984">
        <f>'8.2 - VENT_SCHEDULE&amp;TAB REPORT'!R51</f>
        <v>0</v>
      </c>
    </row>
    <row r="60" spans="1:12" ht="38.25">
      <c r="A60" s="985" t="s">
        <v>805</v>
      </c>
      <c r="B60" s="979" t="str">
        <f>'8.2 - VENT_SCHEDULE&amp;TAB REPORT'!E55</f>
        <v xml:space="preserve">Powered common laundry ventilation must be installed with automatic demand control to turn off ventilation fans when no dryers are operating.  </v>
      </c>
      <c r="C60" s="1353"/>
      <c r="D60" s="983">
        <f>'8.2 - VENT_SCHEDULE&amp;TAB REPORT'!H55</f>
        <v>0</v>
      </c>
      <c r="E60" s="983">
        <f>'8.2 - VENT_SCHEDULE&amp;TAB REPORT'!O55</f>
        <v>0</v>
      </c>
      <c r="F60" s="984">
        <f>'8.2 - VENT_SCHEDULE&amp;TAB REPORT'!R55</f>
        <v>0</v>
      </c>
    </row>
    <row r="61" spans="1:12" ht="55.5" customHeight="1">
      <c r="A61" s="985" t="s">
        <v>806</v>
      </c>
      <c r="B61" s="979" t="s">
        <v>86</v>
      </c>
      <c r="C61" s="1353"/>
      <c r="D61" s="983">
        <f>'8.2 - VENT_SCHEDULE&amp;TAB REPORT'!H59</f>
        <v>0</v>
      </c>
      <c r="E61" s="983">
        <f>'8.2 - VENT_SCHEDULE&amp;TAB REPORT'!O59</f>
        <v>0</v>
      </c>
      <c r="F61" s="984">
        <f>'8.2 - VENT_SCHEDULE&amp;TAB REPORT'!R59</f>
        <v>0</v>
      </c>
    </row>
    <row r="62" spans="1:12" s="1341" customFormat="1" ht="41.25" customHeight="1">
      <c r="A62" s="977" t="s">
        <v>807</v>
      </c>
      <c r="B62" s="994"/>
      <c r="C62" s="995"/>
      <c r="D62" s="990"/>
      <c r="E62" s="990"/>
      <c r="F62" s="991"/>
      <c r="G62" s="1340"/>
      <c r="H62" s="1340"/>
      <c r="I62" s="1340"/>
      <c r="J62" s="1340"/>
      <c r="K62" s="1340"/>
      <c r="L62" s="1340"/>
    </row>
    <row r="63" spans="1:12" ht="28.5">
      <c r="A63" s="985" t="s">
        <v>808</v>
      </c>
      <c r="B63" s="979" t="s">
        <v>770</v>
      </c>
      <c r="C63" s="996"/>
      <c r="D63" s="1343" t="s">
        <v>809</v>
      </c>
      <c r="E63" s="1343" t="s">
        <v>809</v>
      </c>
      <c r="F63" s="987"/>
    </row>
    <row r="64" spans="1:12" ht="28.5">
      <c r="A64" s="985" t="s">
        <v>810</v>
      </c>
      <c r="B64" s="979" t="s">
        <v>770</v>
      </c>
      <c r="C64" s="997"/>
      <c r="D64" s="1343" t="s">
        <v>809</v>
      </c>
      <c r="E64" s="1343" t="s">
        <v>809</v>
      </c>
      <c r="F64" s="987"/>
    </row>
    <row r="65" spans="1:7">
      <c r="A65" s="2522"/>
      <c r="B65" s="2522"/>
      <c r="C65" s="2522"/>
      <c r="D65" s="1328"/>
      <c r="E65" s="1328"/>
      <c r="F65" s="1328"/>
    </row>
    <row r="66" spans="1:7">
      <c r="A66" s="1328"/>
      <c r="B66" s="1328"/>
      <c r="C66" s="1328"/>
      <c r="D66" s="1328"/>
      <c r="E66" s="1328"/>
      <c r="F66" s="1328"/>
    </row>
    <row r="67" spans="1:7">
      <c r="A67" s="1344"/>
      <c r="B67" s="1344"/>
      <c r="C67" s="1328"/>
      <c r="D67" s="1328"/>
      <c r="E67" s="1328"/>
      <c r="F67" s="1328"/>
      <c r="G67" s="1345"/>
    </row>
    <row r="68" spans="1:7" ht="18">
      <c r="A68" s="1344"/>
      <c r="B68" s="1346"/>
      <c r="C68" s="1328"/>
      <c r="D68" s="1328"/>
      <c r="E68" s="1328"/>
      <c r="F68" s="1328"/>
    </row>
    <row r="69" spans="1:7">
      <c r="A69" s="1344"/>
      <c r="B69" s="1344"/>
      <c r="C69" s="1328"/>
      <c r="D69" s="1328"/>
      <c r="E69" s="1328"/>
      <c r="F69" s="1328"/>
    </row>
    <row r="70" spans="1:7" ht="18">
      <c r="A70" s="1328"/>
      <c r="B70" s="1347"/>
      <c r="C70" s="1328"/>
    </row>
    <row r="71" spans="1:7">
      <c r="A71" s="1328"/>
      <c r="B71" s="1328"/>
      <c r="C71" s="1328"/>
    </row>
    <row r="72" spans="1:7">
      <c r="A72" s="1328"/>
      <c r="B72" s="1328"/>
      <c r="C72" s="1328"/>
    </row>
    <row r="73" spans="1:7">
      <c r="A73" s="1328"/>
      <c r="B73" s="1328"/>
      <c r="C73" s="1328"/>
    </row>
    <row r="74" spans="1:7">
      <c r="A74" s="1328"/>
      <c r="B74" s="1328"/>
      <c r="C74" s="1348"/>
    </row>
    <row r="75" spans="1:7">
      <c r="A75" s="1328"/>
      <c r="B75" s="1328"/>
      <c r="C75" s="1328"/>
    </row>
    <row r="76" spans="1:7">
      <c r="A76" s="1328"/>
      <c r="B76" s="1328"/>
      <c r="C76" s="1328"/>
    </row>
    <row r="77" spans="1:7">
      <c r="A77" s="1328"/>
      <c r="B77" s="1328"/>
      <c r="C77" s="1328"/>
    </row>
    <row r="78" spans="1:7">
      <c r="A78" s="1344"/>
      <c r="B78" s="1344"/>
      <c r="C78" s="1344"/>
    </row>
    <row r="79" spans="1:7">
      <c r="A79" s="1344"/>
      <c r="B79" s="1344"/>
      <c r="C79" s="1344"/>
    </row>
    <row r="80" spans="1:7">
      <c r="A80" s="1344"/>
      <c r="B80" s="1349"/>
      <c r="C80" s="1350"/>
    </row>
    <row r="81" spans="1:3">
      <c r="A81" s="1328"/>
      <c r="B81" s="1328"/>
      <c r="C81" s="1328"/>
    </row>
    <row r="82" spans="1:3">
      <c r="A82" s="1328"/>
      <c r="B82" s="1328"/>
      <c r="C82" s="1328"/>
    </row>
    <row r="83" spans="1:3">
      <c r="A83" s="1328"/>
      <c r="B83" s="1328"/>
      <c r="C83" s="1328"/>
    </row>
    <row r="176" spans="2:2" ht="18">
      <c r="B176" s="1347"/>
    </row>
  </sheetData>
  <sheetProtection sheet="1" objects="1" scenarios="1" formatCells="0" formatColumns="0" formatRows="0" insertColumns="0" insertRows="0"/>
  <mergeCells count="7">
    <mergeCell ref="A65:C65"/>
    <mergeCell ref="A3:D3"/>
    <mergeCell ref="A4:D4"/>
    <mergeCell ref="A7:A8"/>
    <mergeCell ref="B7:B8"/>
    <mergeCell ref="D7:E7"/>
    <mergeCell ref="A57:A58"/>
  </mergeCells>
  <printOptions horizontalCentered="1"/>
  <pageMargins left="0.75" right="0.75" top="1" bottom="1" header="0.5" footer="0.5"/>
  <pageSetup scale="62" orientation="landscape" r:id="rId1"/>
  <headerFooter alignWithMargins="0">
    <oddHeader>&amp;L&amp;"Arial,Bold"Steven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CCFF"/>
  </sheetPr>
  <dimension ref="A1:R285"/>
  <sheetViews>
    <sheetView showGridLines="0" topLeftCell="B1" zoomScaleNormal="100" zoomScaleSheetLayoutView="100" workbookViewId="0">
      <selection activeCell="V10" sqref="V10"/>
    </sheetView>
  </sheetViews>
  <sheetFormatPr defaultRowHeight="15"/>
  <cols>
    <col min="1" max="1" width="15.5703125" style="1024" hidden="1" customWidth="1"/>
    <col min="2" max="2" width="18.42578125" style="918" customWidth="1"/>
    <col min="3" max="3" width="52.28515625" style="918" customWidth="1"/>
    <col min="4" max="5" width="14.28515625" style="1053" customWidth="1"/>
    <col min="6" max="7" width="13.7109375" style="918" customWidth="1"/>
    <col min="8" max="11" width="9.140625" style="1001" hidden="1" customWidth="1"/>
    <col min="12" max="12" width="0" style="1001" hidden="1" customWidth="1"/>
    <col min="13" max="16" width="9.140625" style="1001" hidden="1" customWidth="1"/>
    <col min="17" max="17" width="36.28515625" style="918" hidden="1" customWidth="1"/>
    <col min="18" max="18" width="42.28515625" style="918" hidden="1" customWidth="1"/>
    <col min="19" max="19" width="0" style="1001" hidden="1" customWidth="1"/>
    <col min="20" max="256" width="9.140625" style="1001"/>
    <col min="257" max="257" width="0" style="1001" hidden="1" customWidth="1"/>
    <col min="258" max="258" width="18.42578125" style="1001" customWidth="1"/>
    <col min="259" max="259" width="52.28515625" style="1001" customWidth="1"/>
    <col min="260" max="261" width="14.28515625" style="1001" customWidth="1"/>
    <col min="262" max="263" width="13.7109375" style="1001" customWidth="1"/>
    <col min="264" max="275" width="0" style="1001" hidden="1" customWidth="1"/>
    <col min="276" max="512" width="9.140625" style="1001"/>
    <col min="513" max="513" width="0" style="1001" hidden="1" customWidth="1"/>
    <col min="514" max="514" width="18.42578125" style="1001" customWidth="1"/>
    <col min="515" max="515" width="52.28515625" style="1001" customWidth="1"/>
    <col min="516" max="517" width="14.28515625" style="1001" customWidth="1"/>
    <col min="518" max="519" width="13.7109375" style="1001" customWidth="1"/>
    <col min="520" max="531" width="0" style="1001" hidden="1" customWidth="1"/>
    <col min="532" max="768" width="9.140625" style="1001"/>
    <col min="769" max="769" width="0" style="1001" hidden="1" customWidth="1"/>
    <col min="770" max="770" width="18.42578125" style="1001" customWidth="1"/>
    <col min="771" max="771" width="52.28515625" style="1001" customWidth="1"/>
    <col min="772" max="773" width="14.28515625" style="1001" customWidth="1"/>
    <col min="774" max="775" width="13.7109375" style="1001" customWidth="1"/>
    <col min="776" max="787" width="0" style="1001" hidden="1" customWidth="1"/>
    <col min="788" max="1024" width="9.140625" style="1001"/>
    <col min="1025" max="1025" width="0" style="1001" hidden="1" customWidth="1"/>
    <col min="1026" max="1026" width="18.42578125" style="1001" customWidth="1"/>
    <col min="1027" max="1027" width="52.28515625" style="1001" customWidth="1"/>
    <col min="1028" max="1029" width="14.28515625" style="1001" customWidth="1"/>
    <col min="1030" max="1031" width="13.7109375" style="1001" customWidth="1"/>
    <col min="1032" max="1043" width="0" style="1001" hidden="1" customWidth="1"/>
    <col min="1044" max="1280" width="9.140625" style="1001"/>
    <col min="1281" max="1281" width="0" style="1001" hidden="1" customWidth="1"/>
    <col min="1282" max="1282" width="18.42578125" style="1001" customWidth="1"/>
    <col min="1283" max="1283" width="52.28515625" style="1001" customWidth="1"/>
    <col min="1284" max="1285" width="14.28515625" style="1001" customWidth="1"/>
    <col min="1286" max="1287" width="13.7109375" style="1001" customWidth="1"/>
    <col min="1288" max="1299" width="0" style="1001" hidden="1" customWidth="1"/>
    <col min="1300" max="1536" width="9.140625" style="1001"/>
    <col min="1537" max="1537" width="0" style="1001" hidden="1" customWidth="1"/>
    <col min="1538" max="1538" width="18.42578125" style="1001" customWidth="1"/>
    <col min="1539" max="1539" width="52.28515625" style="1001" customWidth="1"/>
    <col min="1540" max="1541" width="14.28515625" style="1001" customWidth="1"/>
    <col min="1542" max="1543" width="13.7109375" style="1001" customWidth="1"/>
    <col min="1544" max="1555" width="0" style="1001" hidden="1" customWidth="1"/>
    <col min="1556" max="1792" width="9.140625" style="1001"/>
    <col min="1793" max="1793" width="0" style="1001" hidden="1" customWidth="1"/>
    <col min="1794" max="1794" width="18.42578125" style="1001" customWidth="1"/>
    <col min="1795" max="1795" width="52.28515625" style="1001" customWidth="1"/>
    <col min="1796" max="1797" width="14.28515625" style="1001" customWidth="1"/>
    <col min="1798" max="1799" width="13.7109375" style="1001" customWidth="1"/>
    <col min="1800" max="1811" width="0" style="1001" hidden="1" customWidth="1"/>
    <col min="1812" max="2048" width="9.140625" style="1001"/>
    <col min="2049" max="2049" width="0" style="1001" hidden="1" customWidth="1"/>
    <col min="2050" max="2050" width="18.42578125" style="1001" customWidth="1"/>
    <col min="2051" max="2051" width="52.28515625" style="1001" customWidth="1"/>
    <col min="2052" max="2053" width="14.28515625" style="1001" customWidth="1"/>
    <col min="2054" max="2055" width="13.7109375" style="1001" customWidth="1"/>
    <col min="2056" max="2067" width="0" style="1001" hidden="1" customWidth="1"/>
    <col min="2068" max="2304" width="9.140625" style="1001"/>
    <col min="2305" max="2305" width="0" style="1001" hidden="1" customWidth="1"/>
    <col min="2306" max="2306" width="18.42578125" style="1001" customWidth="1"/>
    <col min="2307" max="2307" width="52.28515625" style="1001" customWidth="1"/>
    <col min="2308" max="2309" width="14.28515625" style="1001" customWidth="1"/>
    <col min="2310" max="2311" width="13.7109375" style="1001" customWidth="1"/>
    <col min="2312" max="2323" width="0" style="1001" hidden="1" customWidth="1"/>
    <col min="2324" max="2560" width="9.140625" style="1001"/>
    <col min="2561" max="2561" width="0" style="1001" hidden="1" customWidth="1"/>
    <col min="2562" max="2562" width="18.42578125" style="1001" customWidth="1"/>
    <col min="2563" max="2563" width="52.28515625" style="1001" customWidth="1"/>
    <col min="2564" max="2565" width="14.28515625" style="1001" customWidth="1"/>
    <col min="2566" max="2567" width="13.7109375" style="1001" customWidth="1"/>
    <col min="2568" max="2579" width="0" style="1001" hidden="1" customWidth="1"/>
    <col min="2580" max="2816" width="9.140625" style="1001"/>
    <col min="2817" max="2817" width="0" style="1001" hidden="1" customWidth="1"/>
    <col min="2818" max="2818" width="18.42578125" style="1001" customWidth="1"/>
    <col min="2819" max="2819" width="52.28515625" style="1001" customWidth="1"/>
    <col min="2820" max="2821" width="14.28515625" style="1001" customWidth="1"/>
    <col min="2822" max="2823" width="13.7109375" style="1001" customWidth="1"/>
    <col min="2824" max="2835" width="0" style="1001" hidden="1" customWidth="1"/>
    <col min="2836" max="3072" width="9.140625" style="1001"/>
    <col min="3073" max="3073" width="0" style="1001" hidden="1" customWidth="1"/>
    <col min="3074" max="3074" width="18.42578125" style="1001" customWidth="1"/>
    <col min="3075" max="3075" width="52.28515625" style="1001" customWidth="1"/>
    <col min="3076" max="3077" width="14.28515625" style="1001" customWidth="1"/>
    <col min="3078" max="3079" width="13.7109375" style="1001" customWidth="1"/>
    <col min="3080" max="3091" width="0" style="1001" hidden="1" customWidth="1"/>
    <col min="3092" max="3328" width="9.140625" style="1001"/>
    <col min="3329" max="3329" width="0" style="1001" hidden="1" customWidth="1"/>
    <col min="3330" max="3330" width="18.42578125" style="1001" customWidth="1"/>
    <col min="3331" max="3331" width="52.28515625" style="1001" customWidth="1"/>
    <col min="3332" max="3333" width="14.28515625" style="1001" customWidth="1"/>
    <col min="3334" max="3335" width="13.7109375" style="1001" customWidth="1"/>
    <col min="3336" max="3347" width="0" style="1001" hidden="1" customWidth="1"/>
    <col min="3348" max="3584" width="9.140625" style="1001"/>
    <col min="3585" max="3585" width="0" style="1001" hidden="1" customWidth="1"/>
    <col min="3586" max="3586" width="18.42578125" style="1001" customWidth="1"/>
    <col min="3587" max="3587" width="52.28515625" style="1001" customWidth="1"/>
    <col min="3588" max="3589" width="14.28515625" style="1001" customWidth="1"/>
    <col min="3590" max="3591" width="13.7109375" style="1001" customWidth="1"/>
    <col min="3592" max="3603" width="0" style="1001" hidden="1" customWidth="1"/>
    <col min="3604" max="3840" width="9.140625" style="1001"/>
    <col min="3841" max="3841" width="0" style="1001" hidden="1" customWidth="1"/>
    <col min="3842" max="3842" width="18.42578125" style="1001" customWidth="1"/>
    <col min="3843" max="3843" width="52.28515625" style="1001" customWidth="1"/>
    <col min="3844" max="3845" width="14.28515625" style="1001" customWidth="1"/>
    <col min="3846" max="3847" width="13.7109375" style="1001" customWidth="1"/>
    <col min="3848" max="3859" width="0" style="1001" hidden="1" customWidth="1"/>
    <col min="3860" max="4096" width="9.140625" style="1001"/>
    <col min="4097" max="4097" width="0" style="1001" hidden="1" customWidth="1"/>
    <col min="4098" max="4098" width="18.42578125" style="1001" customWidth="1"/>
    <col min="4099" max="4099" width="52.28515625" style="1001" customWidth="1"/>
    <col min="4100" max="4101" width="14.28515625" style="1001" customWidth="1"/>
    <col min="4102" max="4103" width="13.7109375" style="1001" customWidth="1"/>
    <col min="4104" max="4115" width="0" style="1001" hidden="1" customWidth="1"/>
    <col min="4116" max="4352" width="9.140625" style="1001"/>
    <col min="4353" max="4353" width="0" style="1001" hidden="1" customWidth="1"/>
    <col min="4354" max="4354" width="18.42578125" style="1001" customWidth="1"/>
    <col min="4355" max="4355" width="52.28515625" style="1001" customWidth="1"/>
    <col min="4356" max="4357" width="14.28515625" style="1001" customWidth="1"/>
    <col min="4358" max="4359" width="13.7109375" style="1001" customWidth="1"/>
    <col min="4360" max="4371" width="0" style="1001" hidden="1" customWidth="1"/>
    <col min="4372" max="4608" width="9.140625" style="1001"/>
    <col min="4609" max="4609" width="0" style="1001" hidden="1" customWidth="1"/>
    <col min="4610" max="4610" width="18.42578125" style="1001" customWidth="1"/>
    <col min="4611" max="4611" width="52.28515625" style="1001" customWidth="1"/>
    <col min="4612" max="4613" width="14.28515625" style="1001" customWidth="1"/>
    <col min="4614" max="4615" width="13.7109375" style="1001" customWidth="1"/>
    <col min="4616" max="4627" width="0" style="1001" hidden="1" customWidth="1"/>
    <col min="4628" max="4864" width="9.140625" style="1001"/>
    <col min="4865" max="4865" width="0" style="1001" hidden="1" customWidth="1"/>
    <col min="4866" max="4866" width="18.42578125" style="1001" customWidth="1"/>
    <col min="4867" max="4867" width="52.28515625" style="1001" customWidth="1"/>
    <col min="4868" max="4869" width="14.28515625" style="1001" customWidth="1"/>
    <col min="4870" max="4871" width="13.7109375" style="1001" customWidth="1"/>
    <col min="4872" max="4883" width="0" style="1001" hidden="1" customWidth="1"/>
    <col min="4884" max="5120" width="9.140625" style="1001"/>
    <col min="5121" max="5121" width="0" style="1001" hidden="1" customWidth="1"/>
    <col min="5122" max="5122" width="18.42578125" style="1001" customWidth="1"/>
    <col min="5123" max="5123" width="52.28515625" style="1001" customWidth="1"/>
    <col min="5124" max="5125" width="14.28515625" style="1001" customWidth="1"/>
    <col min="5126" max="5127" width="13.7109375" style="1001" customWidth="1"/>
    <col min="5128" max="5139" width="0" style="1001" hidden="1" customWidth="1"/>
    <col min="5140" max="5376" width="9.140625" style="1001"/>
    <col min="5377" max="5377" width="0" style="1001" hidden="1" customWidth="1"/>
    <col min="5378" max="5378" width="18.42578125" style="1001" customWidth="1"/>
    <col min="5379" max="5379" width="52.28515625" style="1001" customWidth="1"/>
    <col min="5380" max="5381" width="14.28515625" style="1001" customWidth="1"/>
    <col min="5382" max="5383" width="13.7109375" style="1001" customWidth="1"/>
    <col min="5384" max="5395" width="0" style="1001" hidden="1" customWidth="1"/>
    <col min="5396" max="5632" width="9.140625" style="1001"/>
    <col min="5633" max="5633" width="0" style="1001" hidden="1" customWidth="1"/>
    <col min="5634" max="5634" width="18.42578125" style="1001" customWidth="1"/>
    <col min="5635" max="5635" width="52.28515625" style="1001" customWidth="1"/>
    <col min="5636" max="5637" width="14.28515625" style="1001" customWidth="1"/>
    <col min="5638" max="5639" width="13.7109375" style="1001" customWidth="1"/>
    <col min="5640" max="5651" width="0" style="1001" hidden="1" customWidth="1"/>
    <col min="5652" max="5888" width="9.140625" style="1001"/>
    <col min="5889" max="5889" width="0" style="1001" hidden="1" customWidth="1"/>
    <col min="5890" max="5890" width="18.42578125" style="1001" customWidth="1"/>
    <col min="5891" max="5891" width="52.28515625" style="1001" customWidth="1"/>
    <col min="5892" max="5893" width="14.28515625" style="1001" customWidth="1"/>
    <col min="5894" max="5895" width="13.7109375" style="1001" customWidth="1"/>
    <col min="5896" max="5907" width="0" style="1001" hidden="1" customWidth="1"/>
    <col min="5908" max="6144" width="9.140625" style="1001"/>
    <col min="6145" max="6145" width="0" style="1001" hidden="1" customWidth="1"/>
    <col min="6146" max="6146" width="18.42578125" style="1001" customWidth="1"/>
    <col min="6147" max="6147" width="52.28515625" style="1001" customWidth="1"/>
    <col min="6148" max="6149" width="14.28515625" style="1001" customWidth="1"/>
    <col min="6150" max="6151" width="13.7109375" style="1001" customWidth="1"/>
    <col min="6152" max="6163" width="0" style="1001" hidden="1" customWidth="1"/>
    <col min="6164" max="6400" width="9.140625" style="1001"/>
    <col min="6401" max="6401" width="0" style="1001" hidden="1" customWidth="1"/>
    <col min="6402" max="6402" width="18.42578125" style="1001" customWidth="1"/>
    <col min="6403" max="6403" width="52.28515625" style="1001" customWidth="1"/>
    <col min="6404" max="6405" width="14.28515625" style="1001" customWidth="1"/>
    <col min="6406" max="6407" width="13.7109375" style="1001" customWidth="1"/>
    <col min="6408" max="6419" width="0" style="1001" hidden="1" customWidth="1"/>
    <col min="6420" max="6656" width="9.140625" style="1001"/>
    <col min="6657" max="6657" width="0" style="1001" hidden="1" customWidth="1"/>
    <col min="6658" max="6658" width="18.42578125" style="1001" customWidth="1"/>
    <col min="6659" max="6659" width="52.28515625" style="1001" customWidth="1"/>
    <col min="6660" max="6661" width="14.28515625" style="1001" customWidth="1"/>
    <col min="6662" max="6663" width="13.7109375" style="1001" customWidth="1"/>
    <col min="6664" max="6675" width="0" style="1001" hidden="1" customWidth="1"/>
    <col min="6676" max="6912" width="9.140625" style="1001"/>
    <col min="6913" max="6913" width="0" style="1001" hidden="1" customWidth="1"/>
    <col min="6914" max="6914" width="18.42578125" style="1001" customWidth="1"/>
    <col min="6915" max="6915" width="52.28515625" style="1001" customWidth="1"/>
    <col min="6916" max="6917" width="14.28515625" style="1001" customWidth="1"/>
    <col min="6918" max="6919" width="13.7109375" style="1001" customWidth="1"/>
    <col min="6920" max="6931" width="0" style="1001" hidden="1" customWidth="1"/>
    <col min="6932" max="7168" width="9.140625" style="1001"/>
    <col min="7169" max="7169" width="0" style="1001" hidden="1" customWidth="1"/>
    <col min="7170" max="7170" width="18.42578125" style="1001" customWidth="1"/>
    <col min="7171" max="7171" width="52.28515625" style="1001" customWidth="1"/>
    <col min="7172" max="7173" width="14.28515625" style="1001" customWidth="1"/>
    <col min="7174" max="7175" width="13.7109375" style="1001" customWidth="1"/>
    <col min="7176" max="7187" width="0" style="1001" hidden="1" customWidth="1"/>
    <col min="7188" max="7424" width="9.140625" style="1001"/>
    <col min="7425" max="7425" width="0" style="1001" hidden="1" customWidth="1"/>
    <col min="7426" max="7426" width="18.42578125" style="1001" customWidth="1"/>
    <col min="7427" max="7427" width="52.28515625" style="1001" customWidth="1"/>
    <col min="7428" max="7429" width="14.28515625" style="1001" customWidth="1"/>
    <col min="7430" max="7431" width="13.7109375" style="1001" customWidth="1"/>
    <col min="7432" max="7443" width="0" style="1001" hidden="1" customWidth="1"/>
    <col min="7444" max="7680" width="9.140625" style="1001"/>
    <col min="7681" max="7681" width="0" style="1001" hidden="1" customWidth="1"/>
    <col min="7682" max="7682" width="18.42578125" style="1001" customWidth="1"/>
    <col min="7683" max="7683" width="52.28515625" style="1001" customWidth="1"/>
    <col min="7684" max="7685" width="14.28515625" style="1001" customWidth="1"/>
    <col min="7686" max="7687" width="13.7109375" style="1001" customWidth="1"/>
    <col min="7688" max="7699" width="0" style="1001" hidden="1" customWidth="1"/>
    <col min="7700" max="7936" width="9.140625" style="1001"/>
    <col min="7937" max="7937" width="0" style="1001" hidden="1" customWidth="1"/>
    <col min="7938" max="7938" width="18.42578125" style="1001" customWidth="1"/>
    <col min="7939" max="7939" width="52.28515625" style="1001" customWidth="1"/>
    <col min="7940" max="7941" width="14.28515625" style="1001" customWidth="1"/>
    <col min="7942" max="7943" width="13.7109375" style="1001" customWidth="1"/>
    <col min="7944" max="7955" width="0" style="1001" hidden="1" customWidth="1"/>
    <col min="7956" max="8192" width="9.140625" style="1001"/>
    <col min="8193" max="8193" width="0" style="1001" hidden="1" customWidth="1"/>
    <col min="8194" max="8194" width="18.42578125" style="1001" customWidth="1"/>
    <col min="8195" max="8195" width="52.28515625" style="1001" customWidth="1"/>
    <col min="8196" max="8197" width="14.28515625" style="1001" customWidth="1"/>
    <col min="8198" max="8199" width="13.7109375" style="1001" customWidth="1"/>
    <col min="8200" max="8211" width="0" style="1001" hidden="1" customWidth="1"/>
    <col min="8212" max="8448" width="9.140625" style="1001"/>
    <col min="8449" max="8449" width="0" style="1001" hidden="1" customWidth="1"/>
    <col min="8450" max="8450" width="18.42578125" style="1001" customWidth="1"/>
    <col min="8451" max="8451" width="52.28515625" style="1001" customWidth="1"/>
    <col min="8452" max="8453" width="14.28515625" style="1001" customWidth="1"/>
    <col min="8454" max="8455" width="13.7109375" style="1001" customWidth="1"/>
    <col min="8456" max="8467" width="0" style="1001" hidden="1" customWidth="1"/>
    <col min="8468" max="8704" width="9.140625" style="1001"/>
    <col min="8705" max="8705" width="0" style="1001" hidden="1" customWidth="1"/>
    <col min="8706" max="8706" width="18.42578125" style="1001" customWidth="1"/>
    <col min="8707" max="8707" width="52.28515625" style="1001" customWidth="1"/>
    <col min="8708" max="8709" width="14.28515625" style="1001" customWidth="1"/>
    <col min="8710" max="8711" width="13.7109375" style="1001" customWidth="1"/>
    <col min="8712" max="8723" width="0" style="1001" hidden="1" customWidth="1"/>
    <col min="8724" max="8960" width="9.140625" style="1001"/>
    <col min="8961" max="8961" width="0" style="1001" hidden="1" customWidth="1"/>
    <col min="8962" max="8962" width="18.42578125" style="1001" customWidth="1"/>
    <col min="8963" max="8963" width="52.28515625" style="1001" customWidth="1"/>
    <col min="8964" max="8965" width="14.28515625" style="1001" customWidth="1"/>
    <col min="8966" max="8967" width="13.7109375" style="1001" customWidth="1"/>
    <col min="8968" max="8979" width="0" style="1001" hidden="1" customWidth="1"/>
    <col min="8980" max="9216" width="9.140625" style="1001"/>
    <col min="9217" max="9217" width="0" style="1001" hidden="1" customWidth="1"/>
    <col min="9218" max="9218" width="18.42578125" style="1001" customWidth="1"/>
    <col min="9219" max="9219" width="52.28515625" style="1001" customWidth="1"/>
    <col min="9220" max="9221" width="14.28515625" style="1001" customWidth="1"/>
    <col min="9222" max="9223" width="13.7109375" style="1001" customWidth="1"/>
    <col min="9224" max="9235" width="0" style="1001" hidden="1" customWidth="1"/>
    <col min="9236" max="9472" width="9.140625" style="1001"/>
    <col min="9473" max="9473" width="0" style="1001" hidden="1" customWidth="1"/>
    <col min="9474" max="9474" width="18.42578125" style="1001" customWidth="1"/>
    <col min="9475" max="9475" width="52.28515625" style="1001" customWidth="1"/>
    <col min="9476" max="9477" width="14.28515625" style="1001" customWidth="1"/>
    <col min="9478" max="9479" width="13.7109375" style="1001" customWidth="1"/>
    <col min="9480" max="9491" width="0" style="1001" hidden="1" customWidth="1"/>
    <col min="9492" max="9728" width="9.140625" style="1001"/>
    <col min="9729" max="9729" width="0" style="1001" hidden="1" customWidth="1"/>
    <col min="9730" max="9730" width="18.42578125" style="1001" customWidth="1"/>
    <col min="9731" max="9731" width="52.28515625" style="1001" customWidth="1"/>
    <col min="9732" max="9733" width="14.28515625" style="1001" customWidth="1"/>
    <col min="9734" max="9735" width="13.7109375" style="1001" customWidth="1"/>
    <col min="9736" max="9747" width="0" style="1001" hidden="1" customWidth="1"/>
    <col min="9748" max="9984" width="9.140625" style="1001"/>
    <col min="9985" max="9985" width="0" style="1001" hidden="1" customWidth="1"/>
    <col min="9986" max="9986" width="18.42578125" style="1001" customWidth="1"/>
    <col min="9987" max="9987" width="52.28515625" style="1001" customWidth="1"/>
    <col min="9988" max="9989" width="14.28515625" style="1001" customWidth="1"/>
    <col min="9990" max="9991" width="13.7109375" style="1001" customWidth="1"/>
    <col min="9992" max="10003" width="0" style="1001" hidden="1" customWidth="1"/>
    <col min="10004" max="10240" width="9.140625" style="1001"/>
    <col min="10241" max="10241" width="0" style="1001" hidden="1" customWidth="1"/>
    <col min="10242" max="10242" width="18.42578125" style="1001" customWidth="1"/>
    <col min="10243" max="10243" width="52.28515625" style="1001" customWidth="1"/>
    <col min="10244" max="10245" width="14.28515625" style="1001" customWidth="1"/>
    <col min="10246" max="10247" width="13.7109375" style="1001" customWidth="1"/>
    <col min="10248" max="10259" width="0" style="1001" hidden="1" customWidth="1"/>
    <col min="10260" max="10496" width="9.140625" style="1001"/>
    <col min="10497" max="10497" width="0" style="1001" hidden="1" customWidth="1"/>
    <col min="10498" max="10498" width="18.42578125" style="1001" customWidth="1"/>
    <col min="10499" max="10499" width="52.28515625" style="1001" customWidth="1"/>
    <col min="10500" max="10501" width="14.28515625" style="1001" customWidth="1"/>
    <col min="10502" max="10503" width="13.7109375" style="1001" customWidth="1"/>
    <col min="10504" max="10515" width="0" style="1001" hidden="1" customWidth="1"/>
    <col min="10516" max="10752" width="9.140625" style="1001"/>
    <col min="10753" max="10753" width="0" style="1001" hidden="1" customWidth="1"/>
    <col min="10754" max="10754" width="18.42578125" style="1001" customWidth="1"/>
    <col min="10755" max="10755" width="52.28515625" style="1001" customWidth="1"/>
    <col min="10756" max="10757" width="14.28515625" style="1001" customWidth="1"/>
    <col min="10758" max="10759" width="13.7109375" style="1001" customWidth="1"/>
    <col min="10760" max="10771" width="0" style="1001" hidden="1" customWidth="1"/>
    <col min="10772" max="11008" width="9.140625" style="1001"/>
    <col min="11009" max="11009" width="0" style="1001" hidden="1" customWidth="1"/>
    <col min="11010" max="11010" width="18.42578125" style="1001" customWidth="1"/>
    <col min="11011" max="11011" width="52.28515625" style="1001" customWidth="1"/>
    <col min="11012" max="11013" width="14.28515625" style="1001" customWidth="1"/>
    <col min="11014" max="11015" width="13.7109375" style="1001" customWidth="1"/>
    <col min="11016" max="11027" width="0" style="1001" hidden="1" customWidth="1"/>
    <col min="11028" max="11264" width="9.140625" style="1001"/>
    <col min="11265" max="11265" width="0" style="1001" hidden="1" customWidth="1"/>
    <col min="11266" max="11266" width="18.42578125" style="1001" customWidth="1"/>
    <col min="11267" max="11267" width="52.28515625" style="1001" customWidth="1"/>
    <col min="11268" max="11269" width="14.28515625" style="1001" customWidth="1"/>
    <col min="11270" max="11271" width="13.7109375" style="1001" customWidth="1"/>
    <col min="11272" max="11283" width="0" style="1001" hidden="1" customWidth="1"/>
    <col min="11284" max="11520" width="9.140625" style="1001"/>
    <col min="11521" max="11521" width="0" style="1001" hidden="1" customWidth="1"/>
    <col min="11522" max="11522" width="18.42578125" style="1001" customWidth="1"/>
    <col min="11523" max="11523" width="52.28515625" style="1001" customWidth="1"/>
    <col min="11524" max="11525" width="14.28515625" style="1001" customWidth="1"/>
    <col min="11526" max="11527" width="13.7109375" style="1001" customWidth="1"/>
    <col min="11528" max="11539" width="0" style="1001" hidden="1" customWidth="1"/>
    <col min="11540" max="11776" width="9.140625" style="1001"/>
    <col min="11777" max="11777" width="0" style="1001" hidden="1" customWidth="1"/>
    <col min="11778" max="11778" width="18.42578125" style="1001" customWidth="1"/>
    <col min="11779" max="11779" width="52.28515625" style="1001" customWidth="1"/>
    <col min="11780" max="11781" width="14.28515625" style="1001" customWidth="1"/>
    <col min="11782" max="11783" width="13.7109375" style="1001" customWidth="1"/>
    <col min="11784" max="11795" width="0" style="1001" hidden="1" customWidth="1"/>
    <col min="11796" max="12032" width="9.140625" style="1001"/>
    <col min="12033" max="12033" width="0" style="1001" hidden="1" customWidth="1"/>
    <col min="12034" max="12034" width="18.42578125" style="1001" customWidth="1"/>
    <col min="12035" max="12035" width="52.28515625" style="1001" customWidth="1"/>
    <col min="12036" max="12037" width="14.28515625" style="1001" customWidth="1"/>
    <col min="12038" max="12039" width="13.7109375" style="1001" customWidth="1"/>
    <col min="12040" max="12051" width="0" style="1001" hidden="1" customWidth="1"/>
    <col min="12052" max="12288" width="9.140625" style="1001"/>
    <col min="12289" max="12289" width="0" style="1001" hidden="1" customWidth="1"/>
    <col min="12290" max="12290" width="18.42578125" style="1001" customWidth="1"/>
    <col min="12291" max="12291" width="52.28515625" style="1001" customWidth="1"/>
    <col min="12292" max="12293" width="14.28515625" style="1001" customWidth="1"/>
    <col min="12294" max="12295" width="13.7109375" style="1001" customWidth="1"/>
    <col min="12296" max="12307" width="0" style="1001" hidden="1" customWidth="1"/>
    <col min="12308" max="12544" width="9.140625" style="1001"/>
    <col min="12545" max="12545" width="0" style="1001" hidden="1" customWidth="1"/>
    <col min="12546" max="12546" width="18.42578125" style="1001" customWidth="1"/>
    <col min="12547" max="12547" width="52.28515625" style="1001" customWidth="1"/>
    <col min="12548" max="12549" width="14.28515625" style="1001" customWidth="1"/>
    <col min="12550" max="12551" width="13.7109375" style="1001" customWidth="1"/>
    <col min="12552" max="12563" width="0" style="1001" hidden="1" customWidth="1"/>
    <col min="12564" max="12800" width="9.140625" style="1001"/>
    <col min="12801" max="12801" width="0" style="1001" hidden="1" customWidth="1"/>
    <col min="12802" max="12802" width="18.42578125" style="1001" customWidth="1"/>
    <col min="12803" max="12803" width="52.28515625" style="1001" customWidth="1"/>
    <col min="12804" max="12805" width="14.28515625" style="1001" customWidth="1"/>
    <col min="12806" max="12807" width="13.7109375" style="1001" customWidth="1"/>
    <col min="12808" max="12819" width="0" style="1001" hidden="1" customWidth="1"/>
    <col min="12820" max="13056" width="9.140625" style="1001"/>
    <col min="13057" max="13057" width="0" style="1001" hidden="1" customWidth="1"/>
    <col min="13058" max="13058" width="18.42578125" style="1001" customWidth="1"/>
    <col min="13059" max="13059" width="52.28515625" style="1001" customWidth="1"/>
    <col min="13060" max="13061" width="14.28515625" style="1001" customWidth="1"/>
    <col min="13062" max="13063" width="13.7109375" style="1001" customWidth="1"/>
    <col min="13064" max="13075" width="0" style="1001" hidden="1" customWidth="1"/>
    <col min="13076" max="13312" width="9.140625" style="1001"/>
    <col min="13313" max="13313" width="0" style="1001" hidden="1" customWidth="1"/>
    <col min="13314" max="13314" width="18.42578125" style="1001" customWidth="1"/>
    <col min="13315" max="13315" width="52.28515625" style="1001" customWidth="1"/>
    <col min="13316" max="13317" width="14.28515625" style="1001" customWidth="1"/>
    <col min="13318" max="13319" width="13.7109375" style="1001" customWidth="1"/>
    <col min="13320" max="13331" width="0" style="1001" hidden="1" customWidth="1"/>
    <col min="13332" max="13568" width="9.140625" style="1001"/>
    <col min="13569" max="13569" width="0" style="1001" hidden="1" customWidth="1"/>
    <col min="13570" max="13570" width="18.42578125" style="1001" customWidth="1"/>
    <col min="13571" max="13571" width="52.28515625" style="1001" customWidth="1"/>
    <col min="13572" max="13573" width="14.28515625" style="1001" customWidth="1"/>
    <col min="13574" max="13575" width="13.7109375" style="1001" customWidth="1"/>
    <col min="13576" max="13587" width="0" style="1001" hidden="1" customWidth="1"/>
    <col min="13588" max="13824" width="9.140625" style="1001"/>
    <col min="13825" max="13825" width="0" style="1001" hidden="1" customWidth="1"/>
    <col min="13826" max="13826" width="18.42578125" style="1001" customWidth="1"/>
    <col min="13827" max="13827" width="52.28515625" style="1001" customWidth="1"/>
    <col min="13828" max="13829" width="14.28515625" style="1001" customWidth="1"/>
    <col min="13830" max="13831" width="13.7109375" style="1001" customWidth="1"/>
    <col min="13832" max="13843" width="0" style="1001" hidden="1" customWidth="1"/>
    <col min="13844" max="14080" width="9.140625" style="1001"/>
    <col min="14081" max="14081" width="0" style="1001" hidden="1" customWidth="1"/>
    <col min="14082" max="14082" width="18.42578125" style="1001" customWidth="1"/>
    <col min="14083" max="14083" width="52.28515625" style="1001" customWidth="1"/>
    <col min="14084" max="14085" width="14.28515625" style="1001" customWidth="1"/>
    <col min="14086" max="14087" width="13.7109375" style="1001" customWidth="1"/>
    <col min="14088" max="14099" width="0" style="1001" hidden="1" customWidth="1"/>
    <col min="14100" max="14336" width="9.140625" style="1001"/>
    <col min="14337" max="14337" width="0" style="1001" hidden="1" customWidth="1"/>
    <col min="14338" max="14338" width="18.42578125" style="1001" customWidth="1"/>
    <col min="14339" max="14339" width="52.28515625" style="1001" customWidth="1"/>
    <col min="14340" max="14341" width="14.28515625" style="1001" customWidth="1"/>
    <col min="14342" max="14343" width="13.7109375" style="1001" customWidth="1"/>
    <col min="14344" max="14355" width="0" style="1001" hidden="1" customWidth="1"/>
    <col min="14356" max="14592" width="9.140625" style="1001"/>
    <col min="14593" max="14593" width="0" style="1001" hidden="1" customWidth="1"/>
    <col min="14594" max="14594" width="18.42578125" style="1001" customWidth="1"/>
    <col min="14595" max="14595" width="52.28515625" style="1001" customWidth="1"/>
    <col min="14596" max="14597" width="14.28515625" style="1001" customWidth="1"/>
    <col min="14598" max="14599" width="13.7109375" style="1001" customWidth="1"/>
    <col min="14600" max="14611" width="0" style="1001" hidden="1" customWidth="1"/>
    <col min="14612" max="14848" width="9.140625" style="1001"/>
    <col min="14849" max="14849" width="0" style="1001" hidden="1" customWidth="1"/>
    <col min="14850" max="14850" width="18.42578125" style="1001" customWidth="1"/>
    <col min="14851" max="14851" width="52.28515625" style="1001" customWidth="1"/>
    <col min="14852" max="14853" width="14.28515625" style="1001" customWidth="1"/>
    <col min="14854" max="14855" width="13.7109375" style="1001" customWidth="1"/>
    <col min="14856" max="14867" width="0" style="1001" hidden="1" customWidth="1"/>
    <col min="14868" max="15104" width="9.140625" style="1001"/>
    <col min="15105" max="15105" width="0" style="1001" hidden="1" customWidth="1"/>
    <col min="15106" max="15106" width="18.42578125" style="1001" customWidth="1"/>
    <col min="15107" max="15107" width="52.28515625" style="1001" customWidth="1"/>
    <col min="15108" max="15109" width="14.28515625" style="1001" customWidth="1"/>
    <col min="15110" max="15111" width="13.7109375" style="1001" customWidth="1"/>
    <col min="15112" max="15123" width="0" style="1001" hidden="1" customWidth="1"/>
    <col min="15124" max="15360" width="9.140625" style="1001"/>
    <col min="15361" max="15361" width="0" style="1001" hidden="1" customWidth="1"/>
    <col min="15362" max="15362" width="18.42578125" style="1001" customWidth="1"/>
    <col min="15363" max="15363" width="52.28515625" style="1001" customWidth="1"/>
    <col min="15364" max="15365" width="14.28515625" style="1001" customWidth="1"/>
    <col min="15366" max="15367" width="13.7109375" style="1001" customWidth="1"/>
    <col min="15368" max="15379" width="0" style="1001" hidden="1" customWidth="1"/>
    <col min="15380" max="15616" width="9.140625" style="1001"/>
    <col min="15617" max="15617" width="0" style="1001" hidden="1" customWidth="1"/>
    <col min="15618" max="15618" width="18.42578125" style="1001" customWidth="1"/>
    <col min="15619" max="15619" width="52.28515625" style="1001" customWidth="1"/>
    <col min="15620" max="15621" width="14.28515625" style="1001" customWidth="1"/>
    <col min="15622" max="15623" width="13.7109375" style="1001" customWidth="1"/>
    <col min="15624" max="15635" width="0" style="1001" hidden="1" customWidth="1"/>
    <col min="15636" max="15872" width="9.140625" style="1001"/>
    <col min="15873" max="15873" width="0" style="1001" hidden="1" customWidth="1"/>
    <col min="15874" max="15874" width="18.42578125" style="1001" customWidth="1"/>
    <col min="15875" max="15875" width="52.28515625" style="1001" customWidth="1"/>
    <col min="15876" max="15877" width="14.28515625" style="1001" customWidth="1"/>
    <col min="15878" max="15879" width="13.7109375" style="1001" customWidth="1"/>
    <col min="15880" max="15891" width="0" style="1001" hidden="1" customWidth="1"/>
    <col min="15892" max="16128" width="9.140625" style="1001"/>
    <col min="16129" max="16129" width="0" style="1001" hidden="1" customWidth="1"/>
    <col min="16130" max="16130" width="18.42578125" style="1001" customWidth="1"/>
    <col min="16131" max="16131" width="52.28515625" style="1001" customWidth="1"/>
    <col min="16132" max="16133" width="14.28515625" style="1001" customWidth="1"/>
    <col min="16134" max="16135" width="13.7109375" style="1001" customWidth="1"/>
    <col min="16136" max="16147" width="0" style="1001" hidden="1" customWidth="1"/>
    <col min="16148" max="16384" width="9.140625" style="1001"/>
  </cols>
  <sheetData>
    <row r="1" spans="2:18" ht="20.25">
      <c r="B1" s="998" t="s">
        <v>608</v>
      </c>
      <c r="C1" s="974"/>
      <c r="D1" s="999"/>
      <c r="E1" s="1000"/>
      <c r="F1" s="1000"/>
      <c r="G1" s="1000"/>
      <c r="H1" s="1000"/>
      <c r="Q1" s="974"/>
      <c r="R1" s="974"/>
    </row>
    <row r="2" spans="2:18">
      <c r="B2" s="2544" t="s">
        <v>811</v>
      </c>
      <c r="C2" s="2544"/>
      <c r="D2" s="2544"/>
      <c r="E2" s="2544"/>
      <c r="F2" s="2544"/>
      <c r="G2" s="2544"/>
      <c r="H2" s="1002"/>
      <c r="Q2" s="1001"/>
      <c r="R2" s="1001"/>
    </row>
    <row r="3" spans="2:18">
      <c r="B3" s="2544" t="s">
        <v>812</v>
      </c>
      <c r="C3" s="2544"/>
      <c r="D3" s="2544"/>
      <c r="E3" s="2544"/>
      <c r="F3" s="2544"/>
      <c r="G3" s="1003"/>
      <c r="Q3" s="1001"/>
      <c r="R3" s="1001"/>
    </row>
    <row r="4" spans="2:18">
      <c r="B4" s="2544" t="s">
        <v>813</v>
      </c>
      <c r="C4" s="2544"/>
      <c r="D4" s="2544"/>
      <c r="E4" s="2544"/>
      <c r="F4" s="2544"/>
      <c r="G4" s="1003"/>
      <c r="Q4" s="1001"/>
      <c r="R4" s="1001"/>
    </row>
    <row r="5" spans="2:18">
      <c r="B5" s="2544" t="s">
        <v>814</v>
      </c>
      <c r="C5" s="2544"/>
      <c r="D5" s="2544"/>
      <c r="E5" s="2544"/>
      <c r="F5" s="2544"/>
      <c r="G5" s="2544"/>
      <c r="Q5" s="1001"/>
      <c r="R5" s="1001"/>
    </row>
    <row r="6" spans="2:18">
      <c r="D6" s="1001"/>
      <c r="E6" s="1001"/>
    </row>
    <row r="7" spans="2:18">
      <c r="B7" s="1004"/>
      <c r="C7" s="1005"/>
      <c r="D7" s="1005"/>
      <c r="E7" s="1005"/>
      <c r="F7" s="1006"/>
      <c r="G7" s="1006"/>
      <c r="Q7" s="1004"/>
      <c r="R7" s="1006"/>
    </row>
    <row r="8" spans="2:18" ht="28.5" customHeight="1">
      <c r="B8" s="1007" t="str">
        <f>'Project Info'!C3&amp;" Modified Prescriptive Path Checklist"</f>
        <v>0 Modified Prescriptive Path Checklist</v>
      </c>
      <c r="C8" s="1008"/>
      <c r="D8" s="2545" t="s">
        <v>815</v>
      </c>
      <c r="E8" s="2546"/>
      <c r="F8" s="1009"/>
      <c r="G8" s="1009"/>
      <c r="Q8" s="1010"/>
      <c r="R8" s="1009"/>
    </row>
    <row r="9" spans="2:18" ht="15.75">
      <c r="B9" s="1011"/>
      <c r="C9" s="1012"/>
      <c r="D9" s="1012"/>
      <c r="E9" s="1013"/>
      <c r="F9" s="1014"/>
      <c r="G9" s="1014"/>
      <c r="Q9" s="1015"/>
      <c r="R9" s="1014"/>
    </row>
    <row r="10" spans="2:18" ht="72">
      <c r="B10" s="1016" t="s">
        <v>266</v>
      </c>
      <c r="C10" s="1017" t="s">
        <v>816</v>
      </c>
      <c r="D10" s="1018" t="s">
        <v>817</v>
      </c>
      <c r="E10" s="1018" t="s">
        <v>818</v>
      </c>
      <c r="F10" s="1016" t="s">
        <v>819</v>
      </c>
      <c r="G10" s="1016" t="s">
        <v>820</v>
      </c>
      <c r="Q10" s="1017" t="s">
        <v>821</v>
      </c>
      <c r="R10" s="1017" t="s">
        <v>822</v>
      </c>
    </row>
    <row r="11" spans="2:18" ht="27.75" customHeight="1">
      <c r="B11" s="2535" t="s">
        <v>823</v>
      </c>
      <c r="C11" s="2536"/>
      <c r="D11" s="1019"/>
      <c r="E11" s="1019"/>
      <c r="F11" s="1019"/>
      <c r="G11" s="1019"/>
      <c r="Q11" s="1001"/>
      <c r="R11" s="1001"/>
    </row>
    <row r="12" spans="2:18" ht="39" customHeight="1">
      <c r="B12" s="2547" t="s">
        <v>824</v>
      </c>
      <c r="C12" s="1020" t="s">
        <v>825</v>
      </c>
      <c r="D12" s="1021" t="s">
        <v>826</v>
      </c>
      <c r="E12" s="1021" t="s">
        <v>826</v>
      </c>
      <c r="F12" s="1022" t="s">
        <v>826</v>
      </c>
      <c r="G12" s="1022" t="s">
        <v>826</v>
      </c>
      <c r="Q12" s="1020"/>
      <c r="R12" s="1020"/>
    </row>
    <row r="13" spans="2:18">
      <c r="B13" s="2548"/>
      <c r="C13" s="1023" t="str">
        <f>'1.1 - APPLIANCES'!D26</f>
        <v>Refrigerators</v>
      </c>
      <c r="D13" s="1021">
        <f>'1.1 - APPLIANCES'!L26</f>
        <v>0</v>
      </c>
      <c r="E13" s="1021">
        <f>'1.1 - APPLIANCES'!M26</f>
        <v>0</v>
      </c>
      <c r="F13" s="1022">
        <f>'1.1 - APPLIANCES'!N26</f>
        <v>0</v>
      </c>
      <c r="G13" s="1355"/>
      <c r="Q13" s="1023"/>
      <c r="R13" s="1023"/>
    </row>
    <row r="14" spans="2:18">
      <c r="B14" s="2548"/>
      <c r="C14" s="1023" t="str">
        <f>'1.1 - APPLIANCES'!D27</f>
        <v>Dishwashers</v>
      </c>
      <c r="D14" s="1021">
        <f>'1.1 - APPLIANCES'!L27</f>
        <v>0</v>
      </c>
      <c r="E14" s="1021">
        <f>'1.1 - APPLIANCES'!M27</f>
        <v>0</v>
      </c>
      <c r="F14" s="1022">
        <f>'1.1 - APPLIANCES'!N27</f>
        <v>0</v>
      </c>
      <c r="G14" s="1355"/>
      <c r="Q14" s="1023"/>
      <c r="R14" s="1023"/>
    </row>
    <row r="15" spans="2:18">
      <c r="B15" s="2548"/>
      <c r="C15" s="1023" t="str">
        <f>'1.1 - APPLIANCES'!D28</f>
        <v>Clothes Washers</v>
      </c>
      <c r="D15" s="1021">
        <f>'1.1 - APPLIANCES'!L28</f>
        <v>0</v>
      </c>
      <c r="E15" s="1021">
        <f>'1.1 - APPLIANCES'!M28</f>
        <v>0</v>
      </c>
      <c r="F15" s="1022">
        <f>'1.1 - APPLIANCES'!N28</f>
        <v>0</v>
      </c>
      <c r="G15" s="1355"/>
      <c r="Q15" s="1023"/>
      <c r="R15" s="1023"/>
    </row>
    <row r="16" spans="2:18">
      <c r="B16" s="2548"/>
      <c r="C16" s="1023" t="str">
        <f>'1.1 - APPLIANCES'!D29</f>
        <v>Ceiling Fans</v>
      </c>
      <c r="D16" s="1021">
        <f>'1.1 - APPLIANCES'!L29</f>
        <v>0</v>
      </c>
      <c r="E16" s="1021">
        <f>'1.1 - APPLIANCES'!M29</f>
        <v>0</v>
      </c>
      <c r="F16" s="1022">
        <f>'1.1 - APPLIANCES'!N29</f>
        <v>0</v>
      </c>
      <c r="G16" s="1355"/>
      <c r="Q16" s="1023"/>
      <c r="R16" s="1023"/>
    </row>
    <row r="17" spans="1:18">
      <c r="B17" s="2549"/>
      <c r="C17" s="1023" t="str">
        <f>'1.1 - APPLIANCES'!D30</f>
        <v>Vending Machines</v>
      </c>
      <c r="D17" s="1021">
        <f>'1.1 - APPLIANCES'!L30</f>
        <v>0</v>
      </c>
      <c r="E17" s="1021">
        <f>'1.1 - APPLIANCES'!M30</f>
        <v>0</v>
      </c>
      <c r="F17" s="1022">
        <f>'1.1 - APPLIANCES'!N30</f>
        <v>0</v>
      </c>
      <c r="G17" s="1355"/>
      <c r="Q17" s="1023"/>
      <c r="R17" s="1023"/>
    </row>
    <row r="18" spans="1:18" ht="27.75" customHeight="1">
      <c r="B18" s="2535" t="s">
        <v>827</v>
      </c>
      <c r="C18" s="2536"/>
      <c r="D18" s="1025"/>
      <c r="E18" s="1025"/>
      <c r="F18" s="1025"/>
      <c r="G18" s="1356"/>
      <c r="Q18" s="1001"/>
      <c r="R18" s="1001"/>
    </row>
    <row r="19" spans="1:18" ht="24">
      <c r="B19" s="1026" t="s">
        <v>828</v>
      </c>
      <c r="C19" s="1026" t="s">
        <v>829</v>
      </c>
      <c r="D19" s="1027">
        <f>'2.1-2.2 - DOMESTIC HOT WATER'!M46</f>
        <v>0</v>
      </c>
      <c r="E19" s="1027">
        <f>'2.1-2.2 - DOMESTIC HOT WATER'!N46</f>
        <v>0</v>
      </c>
      <c r="F19" s="1027">
        <f>'2.1-2.2 - DOMESTIC HOT WATER'!O46</f>
        <v>0</v>
      </c>
      <c r="G19" s="1357"/>
      <c r="Q19" s="1026"/>
      <c r="R19" s="1026"/>
    </row>
    <row r="20" spans="1:18" ht="132">
      <c r="B20" s="2533" t="s">
        <v>830</v>
      </c>
      <c r="C20" s="1028" t="s">
        <v>831</v>
      </c>
      <c r="D20" s="1027">
        <f>'2.1-2.2 - DOMESTIC HOT WATER'!M48</f>
        <v>0</v>
      </c>
      <c r="E20" s="1027">
        <f>'2.1-2.2 - DOMESTIC HOT WATER'!N48</f>
        <v>0</v>
      </c>
      <c r="F20" s="1027">
        <f>'2.1-2.2 - DOMESTIC HOT WATER'!O48</f>
        <v>0</v>
      </c>
      <c r="G20" s="1357"/>
      <c r="H20" s="1029"/>
      <c r="Q20" s="1028"/>
      <c r="R20" s="1028"/>
    </row>
    <row r="21" spans="1:18" ht="25.5" customHeight="1">
      <c r="B21" s="2534"/>
      <c r="C21" s="1026" t="s">
        <v>749</v>
      </c>
      <c r="D21" s="1027">
        <f>'2.1-2.2 - DOMESTIC HOT WATER'!M49</f>
        <v>0</v>
      </c>
      <c r="E21" s="1027">
        <f>'2.1-2.2 - DOMESTIC HOT WATER'!N49</f>
        <v>0</v>
      </c>
      <c r="F21" s="1027">
        <f>'2.1-2.2 - DOMESTIC HOT WATER'!O49</f>
        <v>0</v>
      </c>
      <c r="G21" s="1357"/>
      <c r="H21" s="1029"/>
      <c r="Q21" s="1026"/>
      <c r="R21" s="1026"/>
    </row>
    <row r="22" spans="1:18" ht="48">
      <c r="B22" s="1026" t="s">
        <v>832</v>
      </c>
      <c r="C22" s="1028" t="s">
        <v>833</v>
      </c>
      <c r="D22" s="1027">
        <f>'2.1-2.2 - DOMESTIC HOT WATER'!M54</f>
        <v>0</v>
      </c>
      <c r="E22" s="1027">
        <f>'2.1-2.2 - DOMESTIC HOT WATER'!N54</f>
        <v>0</v>
      </c>
      <c r="F22" s="1027">
        <f>'2.1-2.2 - DOMESTIC HOT WATER'!O54</f>
        <v>0</v>
      </c>
      <c r="G22" s="1357"/>
      <c r="Q22" s="1028"/>
      <c r="R22" s="1028"/>
    </row>
    <row r="23" spans="1:18" ht="36">
      <c r="B23" s="1026" t="s">
        <v>834</v>
      </c>
      <c r="C23" s="1030" t="s">
        <v>835</v>
      </c>
      <c r="D23" s="1027">
        <f>'2.1-2.2 - DOMESTIC HOT WATER'!M55</f>
        <v>0</v>
      </c>
      <c r="E23" s="1027">
        <f>'2.1-2.2 - DOMESTIC HOT WATER'!N55</f>
        <v>0</v>
      </c>
      <c r="F23" s="1027">
        <f>'2.1-2.2 - DOMESTIC HOT WATER'!O55</f>
        <v>0</v>
      </c>
      <c r="G23" s="1357"/>
      <c r="Q23" s="1030"/>
      <c r="R23" s="1030"/>
    </row>
    <row r="24" spans="1:18" ht="60">
      <c r="B24" s="1026" t="s">
        <v>836</v>
      </c>
      <c r="C24" s="1030" t="s">
        <v>837</v>
      </c>
      <c r="D24" s="1027">
        <f>'2.1-2.2 - DOMESTIC HOT WATER'!M53</f>
        <v>0</v>
      </c>
      <c r="E24" s="1027">
        <f>'2.1-2.2 - DOMESTIC HOT WATER'!N53</f>
        <v>0</v>
      </c>
      <c r="F24" s="1027">
        <f>'2.1-2.2 - DOMESTIC HOT WATER'!O53</f>
        <v>0</v>
      </c>
      <c r="G24" s="1357"/>
      <c r="Q24" s="1030"/>
      <c r="R24" s="1030"/>
    </row>
    <row r="25" spans="1:18" ht="72">
      <c r="B25" s="1026" t="s">
        <v>838</v>
      </c>
      <c r="C25" s="1028" t="s">
        <v>839</v>
      </c>
      <c r="D25" s="1027">
        <f>'2.1-2.2 - DOMESTIC HOT WATER'!M50</f>
        <v>0</v>
      </c>
      <c r="E25" s="1027">
        <f>'2.1-2.2 - DOMESTIC HOT WATER'!N50</f>
        <v>0</v>
      </c>
      <c r="F25" s="1027">
        <f>'2.1-2.2 - DOMESTIC HOT WATER'!O50</f>
        <v>0</v>
      </c>
      <c r="G25" s="1357"/>
      <c r="Q25" s="1028"/>
      <c r="R25" s="1028"/>
    </row>
    <row r="26" spans="1:18">
      <c r="A26" s="1031"/>
      <c r="B26" s="2535" t="s">
        <v>840</v>
      </c>
      <c r="C26" s="2536"/>
      <c r="D26" s="1025"/>
      <c r="E26" s="1025"/>
      <c r="F26" s="1025"/>
      <c r="G26" s="1356"/>
      <c r="Q26" s="1001"/>
      <c r="R26" s="1001"/>
    </row>
    <row r="27" spans="1:18" ht="94.5" customHeight="1">
      <c r="A27" s="1031"/>
      <c r="B27" s="2533" t="s">
        <v>828</v>
      </c>
      <c r="C27" s="1026" t="s">
        <v>841</v>
      </c>
      <c r="D27" s="1032" t="s">
        <v>826</v>
      </c>
      <c r="E27" s="1032" t="s">
        <v>826</v>
      </c>
      <c r="F27" s="1033" t="s">
        <v>826</v>
      </c>
      <c r="G27" s="1358" t="s">
        <v>826</v>
      </c>
      <c r="Q27" s="1026"/>
      <c r="R27" s="1026"/>
    </row>
    <row r="28" spans="1:18">
      <c r="B28" s="2541"/>
      <c r="C28" s="1023" t="s">
        <v>842</v>
      </c>
      <c r="D28" s="1027">
        <f>'3.1 - ENV_BELOW GRADE WALLS'!$G$45</f>
        <v>0</v>
      </c>
      <c r="E28" s="1027">
        <f>'3.1 - ENV_BELOW GRADE WALLS'!$H$45</f>
        <v>0</v>
      </c>
      <c r="F28" s="1027">
        <f>'3.1 - ENV_BELOW GRADE WALLS'!$I$45</f>
        <v>0</v>
      </c>
      <c r="G28" s="1357"/>
      <c r="H28" s="1029"/>
      <c r="I28" s="1029"/>
      <c r="Q28" s="1023"/>
      <c r="R28" s="1023"/>
    </row>
    <row r="29" spans="1:18">
      <c r="B29" s="2541"/>
      <c r="C29" s="1023" t="s">
        <v>843</v>
      </c>
      <c r="D29" s="1027">
        <f>'3.1 - ENV_ABOVE GRADE WALLS'!$G$46</f>
        <v>0</v>
      </c>
      <c r="E29" s="1027">
        <f>'3.1 - ENV_ABOVE GRADE WALLS'!$H$46</f>
        <v>0</v>
      </c>
      <c r="F29" s="1027">
        <f>'3.1 - ENV_ABOVE GRADE WALLS'!$I$46</f>
        <v>0</v>
      </c>
      <c r="G29" s="1357"/>
      <c r="H29" s="1029"/>
      <c r="I29" s="1029"/>
      <c r="Q29" s="1023"/>
      <c r="R29" s="1023"/>
    </row>
    <row r="30" spans="1:18">
      <c r="B30" s="2541"/>
      <c r="C30" s="1023" t="s">
        <v>844</v>
      </c>
      <c r="D30" s="1027">
        <f>'3.1 - ENV_ABOVE GRADE WALLS'!$G$60</f>
        <v>0</v>
      </c>
      <c r="E30" s="1027">
        <f>'3.1 - ENV_ABOVE GRADE WALLS'!$H$60</f>
        <v>0</v>
      </c>
      <c r="F30" s="1027">
        <f>'3.1 - ENV_ABOVE GRADE WALLS'!$I$60</f>
        <v>0</v>
      </c>
      <c r="G30" s="1357"/>
      <c r="H30" s="1029"/>
      <c r="I30" s="1029"/>
      <c r="Q30" s="1023"/>
      <c r="R30" s="1023"/>
    </row>
    <row r="31" spans="1:18">
      <c r="B31" s="2541"/>
      <c r="C31" s="1023" t="s">
        <v>845</v>
      </c>
      <c r="D31" s="1027">
        <f>'3.2 - ENV_ROOF'!$G$46</f>
        <v>0</v>
      </c>
      <c r="E31" s="1027">
        <f>'3.2 - ENV_ROOF'!$H$46</f>
        <v>0</v>
      </c>
      <c r="F31" s="1027">
        <f>'3.2 - ENV_ROOF'!$I$46</f>
        <v>0</v>
      </c>
      <c r="G31" s="1357"/>
      <c r="H31" s="1029"/>
      <c r="I31" s="1029"/>
      <c r="Q31" s="1023"/>
      <c r="R31" s="1023"/>
    </row>
    <row r="32" spans="1:18">
      <c r="B32" s="2541"/>
      <c r="C32" s="1023" t="s">
        <v>846</v>
      </c>
      <c r="D32" s="1027">
        <f>'3.3 - ENV_FLOORS'!G34</f>
        <v>0</v>
      </c>
      <c r="E32" s="1027">
        <f>'3.3 - ENV_FLOORS'!$H$34</f>
        <v>0</v>
      </c>
      <c r="F32" s="1027">
        <f>'3.3 - ENV_FLOORS'!$I$34</f>
        <v>0</v>
      </c>
      <c r="G32" s="1357"/>
      <c r="H32" s="1029"/>
      <c r="I32" s="1029"/>
      <c r="Q32" s="1023"/>
      <c r="R32" s="1023"/>
    </row>
    <row r="33" spans="1:18">
      <c r="B33" s="2541"/>
      <c r="C33" s="1023" t="s">
        <v>847</v>
      </c>
      <c r="D33" s="1027">
        <f>'3.3 - ENV_FLOORS'!$G$44</f>
        <v>0</v>
      </c>
      <c r="E33" s="1027">
        <f>'3.3 - ENV_FLOORS'!$H$44</f>
        <v>0</v>
      </c>
      <c r="F33" s="1027">
        <f>'3.3 - ENV_FLOORS'!$I$44</f>
        <v>0</v>
      </c>
      <c r="G33" s="1357"/>
      <c r="H33" s="1029"/>
      <c r="I33" s="1029"/>
      <c r="Q33" s="1023"/>
      <c r="R33" s="1023"/>
    </row>
    <row r="34" spans="1:18">
      <c r="B34" s="2541"/>
      <c r="C34" s="1023" t="s">
        <v>848</v>
      </c>
      <c r="D34" s="1027">
        <f>'3.3 - ENV_FLOORS'!$G$54</f>
        <v>0</v>
      </c>
      <c r="E34" s="1027">
        <f>'3.3 - ENV_FLOORS'!$H$54</f>
        <v>0</v>
      </c>
      <c r="F34" s="1034">
        <f>'3.3 - ENV_FLOORS'!$I$54</f>
        <v>0</v>
      </c>
      <c r="G34" s="1357"/>
      <c r="H34" s="1029"/>
      <c r="I34" s="1029"/>
      <c r="Q34" s="1023"/>
      <c r="R34" s="1023"/>
    </row>
    <row r="35" spans="1:18">
      <c r="B35" s="2541"/>
      <c r="C35" s="1023" t="s">
        <v>849</v>
      </c>
      <c r="D35" s="1027">
        <f>'3.3 - ENV_FLOORS'!$G$64</f>
        <v>0</v>
      </c>
      <c r="E35" s="1027">
        <f>'3.3 - ENV_FLOORS'!$H$64</f>
        <v>0</v>
      </c>
      <c r="F35" s="1034">
        <f>'3.3 - ENV_FLOORS'!$I$64</f>
        <v>0</v>
      </c>
      <c r="G35" s="1357"/>
      <c r="H35" s="1029"/>
      <c r="I35" s="1029"/>
      <c r="Q35" s="1023"/>
      <c r="R35" s="1023"/>
    </row>
    <row r="36" spans="1:18">
      <c r="B36" s="2541"/>
      <c r="C36" s="1023" t="s">
        <v>850</v>
      </c>
      <c r="D36" s="1027">
        <f>'3.5 - ENV_EXTERIOR DOORS'!J35</f>
        <v>0</v>
      </c>
      <c r="E36" s="1027">
        <f>'3.5 - ENV_EXTERIOR DOORS'!K35</f>
        <v>0</v>
      </c>
      <c r="F36" s="1034">
        <f>'3.5 - ENV_EXTERIOR DOORS'!L35</f>
        <v>0</v>
      </c>
      <c r="G36" s="1357"/>
      <c r="H36" s="1029"/>
      <c r="I36" s="1029"/>
      <c r="Q36" s="1023"/>
      <c r="R36" s="1023"/>
    </row>
    <row r="37" spans="1:18" ht="80.25" customHeight="1">
      <c r="A37" s="1031"/>
      <c r="B37" s="2541"/>
      <c r="C37" s="1026" t="s">
        <v>851</v>
      </c>
      <c r="D37" s="1032" t="s">
        <v>826</v>
      </c>
      <c r="E37" s="1032" t="s">
        <v>826</v>
      </c>
      <c r="F37" s="1033" t="s">
        <v>826</v>
      </c>
      <c r="G37" s="1358" t="s">
        <v>826</v>
      </c>
      <c r="Q37" s="1026"/>
      <c r="R37" s="1026"/>
    </row>
    <row r="38" spans="1:18">
      <c r="B38" s="2541"/>
      <c r="C38" s="1023" t="s">
        <v>842</v>
      </c>
      <c r="D38" s="1027">
        <f>'3.1 - ENV_BELOW GRADE WALLS'!$G$50</f>
        <v>0</v>
      </c>
      <c r="E38" s="1027">
        <f>'3.1 - ENV_BELOW GRADE WALLS'!$H$50</f>
        <v>0</v>
      </c>
      <c r="F38" s="1027">
        <f>'3.1 - ENV_BELOW GRADE WALLS'!$I$50</f>
        <v>0</v>
      </c>
      <c r="G38" s="1357"/>
      <c r="H38" s="1029"/>
      <c r="I38" s="1029"/>
      <c r="Q38" s="1023"/>
      <c r="R38" s="1023"/>
    </row>
    <row r="39" spans="1:18">
      <c r="B39" s="2541"/>
      <c r="C39" s="1023" t="s">
        <v>843</v>
      </c>
      <c r="D39" s="1027">
        <f>'3.1 - ENV_ABOVE GRADE WALLS'!$G$63</f>
        <v>0</v>
      </c>
      <c r="E39" s="1027">
        <f>'3.1 - ENV_ABOVE GRADE WALLS'!$H$63</f>
        <v>0</v>
      </c>
      <c r="F39" s="1027">
        <f>'3.1 - ENV_ABOVE GRADE WALLS'!$I$62</f>
        <v>0</v>
      </c>
      <c r="G39" s="1357"/>
      <c r="H39" s="1029"/>
      <c r="I39" s="1029"/>
      <c r="Q39" s="1023"/>
      <c r="R39" s="1023"/>
    </row>
    <row r="40" spans="1:18">
      <c r="B40" s="2541"/>
      <c r="C40" s="1023" t="s">
        <v>844</v>
      </c>
      <c r="D40" s="1027">
        <f>'3.1 - ENV_ABOVE GRADE WALLS'!$G$64</f>
        <v>0</v>
      </c>
      <c r="E40" s="1027">
        <f>'3.1 - ENV_ABOVE GRADE WALLS'!$H$64</f>
        <v>0</v>
      </c>
      <c r="F40" s="1027">
        <f>'3.1 - ENV_ABOVE GRADE WALLS'!$I$64</f>
        <v>0</v>
      </c>
      <c r="G40" s="1357"/>
      <c r="H40" s="1029"/>
      <c r="I40" s="1029"/>
      <c r="Q40" s="1023"/>
      <c r="R40" s="1023"/>
    </row>
    <row r="41" spans="1:18">
      <c r="B41" s="2541"/>
      <c r="C41" s="1023" t="s">
        <v>845</v>
      </c>
      <c r="D41" s="1027">
        <f>'3.2 - ENV_ROOF'!$G$49</f>
        <v>0</v>
      </c>
      <c r="E41" s="1027">
        <f>'3.2 - ENV_ROOF'!$H$49</f>
        <v>0</v>
      </c>
      <c r="F41" s="1027">
        <f>'3.2 - ENV_ROOF'!$I$49</f>
        <v>0</v>
      </c>
      <c r="G41" s="1357"/>
      <c r="H41" s="1029"/>
      <c r="I41" s="1029"/>
      <c r="Q41" s="1023"/>
      <c r="R41" s="1023"/>
    </row>
    <row r="42" spans="1:18">
      <c r="B42" s="2541"/>
      <c r="C42" s="1023" t="s">
        <v>846</v>
      </c>
      <c r="D42" s="1027">
        <f>'3.3 - ENV_FLOORS'!$G$68</f>
        <v>0</v>
      </c>
      <c r="E42" s="1027">
        <f>'3.3 - ENV_FLOORS'!$H$68</f>
        <v>0</v>
      </c>
      <c r="F42" s="1027">
        <f>'3.3 - ENV_FLOORS'!$I$68</f>
        <v>0</v>
      </c>
      <c r="G42" s="1357"/>
      <c r="H42" s="1029"/>
      <c r="I42" s="1029"/>
      <c r="Q42" s="1023"/>
      <c r="R42" s="1023"/>
    </row>
    <row r="43" spans="1:18">
      <c r="B43" s="2541"/>
      <c r="C43" s="1023" t="s">
        <v>847</v>
      </c>
      <c r="D43" s="1027">
        <f>'3.3 - ENV_FLOORS'!$G$69</f>
        <v>0</v>
      </c>
      <c r="E43" s="1027">
        <f>'3.3 - ENV_FLOORS'!$H$69</f>
        <v>0</v>
      </c>
      <c r="F43" s="1027">
        <f>'3.3 - ENV_FLOORS'!$I$69</f>
        <v>0</v>
      </c>
      <c r="G43" s="1357"/>
      <c r="H43" s="1029"/>
      <c r="I43" s="1029"/>
      <c r="Q43" s="1023"/>
      <c r="R43" s="1023"/>
    </row>
    <row r="44" spans="1:18">
      <c r="B44" s="2541"/>
      <c r="C44" s="1023" t="s">
        <v>848</v>
      </c>
      <c r="D44" s="1027">
        <f>'3.3 - ENV_FLOORS'!$G$70</f>
        <v>0</v>
      </c>
      <c r="E44" s="1027">
        <f>'3.3 - ENV_FLOORS'!$H$70</f>
        <v>0</v>
      </c>
      <c r="F44" s="1027">
        <f>'3.3 - ENV_FLOORS'!$I$70</f>
        <v>0</v>
      </c>
      <c r="G44" s="1357"/>
      <c r="H44" s="1029"/>
      <c r="I44" s="1029"/>
      <c r="Q44" s="1023"/>
      <c r="R44" s="1023"/>
    </row>
    <row r="45" spans="1:18">
      <c r="B45" s="2541"/>
      <c r="C45" s="1023" t="s">
        <v>849</v>
      </c>
      <c r="D45" s="1027">
        <f>'3.3 - ENV_FLOORS'!$G$71</f>
        <v>0</v>
      </c>
      <c r="E45" s="1027">
        <f>'3.3 - ENV_FLOORS'!$H$71</f>
        <v>0</v>
      </c>
      <c r="F45" s="1034">
        <f>'3.3 - ENV_FLOORS'!$I$71</f>
        <v>0</v>
      </c>
      <c r="G45" s="1357"/>
      <c r="H45" s="1029"/>
      <c r="I45" s="1029"/>
      <c r="Q45" s="1023"/>
      <c r="R45" s="1023"/>
    </row>
    <row r="46" spans="1:18">
      <c r="B46" s="2541"/>
      <c r="C46" s="1023" t="s">
        <v>850</v>
      </c>
      <c r="D46" s="1027">
        <f>'3.5 - ENV_EXTERIOR DOORS'!J35</f>
        <v>0</v>
      </c>
      <c r="E46" s="1027">
        <f>'3.5 - ENV_EXTERIOR DOORS'!K35</f>
        <v>0</v>
      </c>
      <c r="F46" s="1027">
        <f>'3.5 - ENV_EXTERIOR DOORS'!L35</f>
        <v>0</v>
      </c>
      <c r="G46" s="1357"/>
      <c r="H46" s="1029"/>
      <c r="I46" s="1029"/>
      <c r="Q46" s="1023"/>
      <c r="R46" s="1023"/>
    </row>
    <row r="47" spans="1:18" ht="48">
      <c r="B47" s="2534"/>
      <c r="C47" s="1030" t="s">
        <v>852</v>
      </c>
      <c r="D47" s="1032">
        <f>'3.1 - ENV_ABOVE GRADE WALLS'!G65</f>
        <v>0</v>
      </c>
      <c r="E47" s="1027">
        <f>'3.1 - ENV_ABOVE GRADE WALLS'!H65</f>
        <v>0</v>
      </c>
      <c r="F47" s="1027">
        <f>'3.1 - ENV_ABOVE GRADE WALLS'!I65</f>
        <v>0</v>
      </c>
      <c r="G47" s="1357"/>
      <c r="H47" s="1029"/>
      <c r="Q47" s="1030"/>
      <c r="R47" s="1030"/>
    </row>
    <row r="48" spans="1:18" ht="111" customHeight="1">
      <c r="A48" s="1031"/>
      <c r="B48" s="2533" t="s">
        <v>853</v>
      </c>
      <c r="C48" s="1035" t="str">
        <f>IF('Project Info'!$C$9="","&lt;Confirm if project is participating in NYSERDA MPP on Project Info tab&gt;",IF('Project Info'!$C$9="Yes",'Mod Prescriptive Path Checklist'!R48,'Mod Prescriptive Path Checklist'!Q48))</f>
        <v>Specified windows must be double or triple-pane, with low-emissivity glass or coatings. 
Based on the climate zone, the specified windows meet the Prescriptive requirements.
Window frames must be separated from conductive framing (metal &amp; masonry studs, lintels &amp; sills) with insulation designed to serve as a thermal break.</v>
      </c>
      <c r="D48" s="1021">
        <f>'3.4 - ENV_WINDOWS'!M39</f>
        <v>0</v>
      </c>
      <c r="E48" s="1021">
        <f>'3.4 - ENV_WINDOWS'!N39</f>
        <v>0</v>
      </c>
      <c r="F48" s="1022">
        <f>'3.4 - ENV_WINDOWS'!O39</f>
        <v>0</v>
      </c>
      <c r="G48" s="1355"/>
      <c r="H48" s="1029"/>
      <c r="Q48" s="1035" t="s">
        <v>854</v>
      </c>
      <c r="R48" s="1035" t="s">
        <v>855</v>
      </c>
    </row>
    <row r="49" spans="1:18">
      <c r="A49" s="1031"/>
      <c r="B49" s="2534"/>
      <c r="C49" s="1035" t="s">
        <v>856</v>
      </c>
      <c r="D49" s="1021">
        <f>'3.4 - ENV_WINDOWS'!M40</f>
        <v>0</v>
      </c>
      <c r="E49" s="1021">
        <f>'3.4 - ENV_WINDOWS'!N40</f>
        <v>0</v>
      </c>
      <c r="F49" s="1022">
        <f>'3.4 - ENV_WINDOWS'!O40</f>
        <v>0</v>
      </c>
      <c r="G49" s="1355"/>
      <c r="Q49" s="1035"/>
      <c r="R49" s="1035"/>
    </row>
    <row r="50" spans="1:18" ht="36">
      <c r="B50" s="1026" t="s">
        <v>857</v>
      </c>
      <c r="C50" s="1030" t="s">
        <v>858</v>
      </c>
      <c r="D50" s="1027">
        <f>'3.5 - ENV_EXTERIOR DOORS'!J35</f>
        <v>0</v>
      </c>
      <c r="E50" s="1027">
        <f>'3.5 - ENV_EXTERIOR DOORS'!K35</f>
        <v>0</v>
      </c>
      <c r="F50" s="1034">
        <f>'3.5 - ENV_EXTERIOR DOORS'!L35</f>
        <v>0</v>
      </c>
      <c r="G50" s="1357"/>
      <c r="Q50" s="1030"/>
      <c r="R50" s="1030"/>
    </row>
    <row r="51" spans="1:18" ht="36">
      <c r="B51" s="1026" t="s">
        <v>859</v>
      </c>
      <c r="C51" s="1036" t="s">
        <v>860</v>
      </c>
      <c r="D51" s="1021">
        <f>'5.2, 5.4 - COOLING'!N56</f>
        <v>0</v>
      </c>
      <c r="E51" s="1021">
        <f>'5.2, 5.4 - COOLING'!O56</f>
        <v>0</v>
      </c>
      <c r="F51" s="1022">
        <f>'5.2, 5.4 - COOLING'!P56</f>
        <v>0</v>
      </c>
      <c r="G51" s="1355"/>
      <c r="Q51" s="1036"/>
      <c r="R51" s="1036"/>
    </row>
    <row r="52" spans="1:18">
      <c r="B52" s="1037" t="s">
        <v>861</v>
      </c>
      <c r="C52" s="1038"/>
      <c r="D52" s="1025"/>
      <c r="E52" s="1025"/>
      <c r="F52" s="1025"/>
      <c r="G52" s="1356"/>
      <c r="Q52" s="1038"/>
      <c r="R52" s="1038"/>
    </row>
    <row r="53" spans="1:18" ht="48">
      <c r="B53" s="1026" t="s">
        <v>862</v>
      </c>
      <c r="C53" s="1030" t="s">
        <v>863</v>
      </c>
      <c r="D53" s="1027">
        <f>'4.1 - GARAGES_CMPTZ &amp; HEATING '!G25</f>
        <v>0</v>
      </c>
      <c r="E53" s="1027">
        <f>'4.1 - GARAGES_CMPTZ &amp; HEATING '!H25</f>
        <v>0</v>
      </c>
      <c r="F53" s="1034">
        <f>'4.1 - GARAGES_CMPTZ &amp; HEATING '!I25</f>
        <v>0</v>
      </c>
      <c r="G53" s="1357"/>
      <c r="Q53" s="1030"/>
      <c r="R53" s="1030"/>
    </row>
    <row r="54" spans="1:18" ht="60">
      <c r="A54" s="1031"/>
      <c r="B54" s="1026" t="s">
        <v>864</v>
      </c>
      <c r="C54" s="1030" t="s">
        <v>865</v>
      </c>
      <c r="D54" s="1027">
        <f>'4.1 - GARAGES_CMPTZ &amp; HEATING '!G23</f>
        <v>0</v>
      </c>
      <c r="E54" s="1027">
        <f>'4.1 - GARAGES_CMPTZ &amp; HEATING '!H23</f>
        <v>0</v>
      </c>
      <c r="F54" s="1034">
        <f>'4.1 - GARAGES_CMPTZ &amp; HEATING '!I23</f>
        <v>0</v>
      </c>
      <c r="G54" s="1357"/>
      <c r="Q54" s="1030"/>
      <c r="R54" s="1030"/>
    </row>
    <row r="55" spans="1:18" ht="60">
      <c r="B55" s="1026" t="s">
        <v>866</v>
      </c>
      <c r="C55" s="1030" t="s">
        <v>867</v>
      </c>
      <c r="D55" s="1027">
        <f>'4.1 - GARAGES_CMPTZ &amp; HEATING '!G24</f>
        <v>0</v>
      </c>
      <c r="E55" s="1027">
        <f>'4.1 - GARAGES_CMPTZ &amp; HEATING '!H24</f>
        <v>0</v>
      </c>
      <c r="F55" s="1034">
        <f>'4.1 - GARAGES_CMPTZ &amp; HEATING '!I24</f>
        <v>0</v>
      </c>
      <c r="G55" s="1357"/>
      <c r="Q55" s="1030"/>
      <c r="R55" s="1030"/>
    </row>
    <row r="56" spans="1:18">
      <c r="B56" s="2535" t="s">
        <v>868</v>
      </c>
      <c r="C56" s="2536"/>
      <c r="D56" s="1025"/>
      <c r="E56" s="1025"/>
      <c r="F56" s="1025"/>
      <c r="G56" s="1356"/>
      <c r="Q56" s="1001"/>
      <c r="R56" s="1001"/>
    </row>
    <row r="57" spans="1:18" ht="24">
      <c r="A57" s="1031"/>
      <c r="B57" s="2542" t="s">
        <v>828</v>
      </c>
      <c r="C57" s="1026" t="s">
        <v>869</v>
      </c>
      <c r="D57" s="1027" t="s">
        <v>826</v>
      </c>
      <c r="E57" s="1027" t="s">
        <v>826</v>
      </c>
      <c r="F57" s="1034" t="s">
        <v>826</v>
      </c>
      <c r="G57" s="1359" t="s">
        <v>826</v>
      </c>
      <c r="Q57" s="1026"/>
      <c r="R57" s="1026"/>
    </row>
    <row r="58" spans="1:18">
      <c r="B58" s="2542"/>
      <c r="C58" s="1039" t="s">
        <v>870</v>
      </c>
      <c r="D58" s="1027">
        <f>'5.1, 5.3 - HEATING'!M44</f>
        <v>0</v>
      </c>
      <c r="E58" s="1027">
        <f>'5.1, 5.3 - HEATING'!N44</f>
        <v>0</v>
      </c>
      <c r="F58" s="1034">
        <f>'5.1, 5.3 - HEATING'!O44</f>
        <v>0</v>
      </c>
      <c r="G58" s="1357"/>
      <c r="Q58" s="1039"/>
      <c r="R58" s="1039"/>
    </row>
    <row r="59" spans="1:18">
      <c r="B59" s="2542"/>
      <c r="C59" s="1039" t="s">
        <v>871</v>
      </c>
      <c r="D59" s="1027">
        <f>'5.2, 5.4 - COOLING'!N33</f>
        <v>0</v>
      </c>
      <c r="E59" s="1027">
        <f>'5.2, 5.4 - COOLING'!O33</f>
        <v>0</v>
      </c>
      <c r="F59" s="1034">
        <f>'5.2, 5.4 - COOLING'!P33</f>
        <v>0</v>
      </c>
      <c r="G59" s="1357"/>
      <c r="Q59" s="1039"/>
      <c r="R59" s="1039"/>
    </row>
    <row r="60" spans="1:18" ht="51.75" customHeight="1">
      <c r="A60" s="1031"/>
      <c r="B60" s="1026" t="s">
        <v>872</v>
      </c>
      <c r="C60" s="1035" t="str">
        <f>IF('Project Info'!$C$9="","&lt;Confirm if project is participating in NYSERDA MPP on Project Info tab&gt;",IF('Project Info'!$C$9="Yes",'Mod Prescriptive Path Checklist'!R60,'Mod Prescriptive Path Checklist'!Q60))</f>
        <v xml:space="preserve">Heating equipment shall be ENERGY STAR qualified, where applicable. Atmospherically vented gas furnaces and boilers shall not be specified. </v>
      </c>
      <c r="D60" s="1027">
        <f>'5.1, 5.3 - HEATING'!M47</f>
        <v>0</v>
      </c>
      <c r="E60" s="1027">
        <f>'5.1, 5.3 - HEATING'!N47</f>
        <v>0</v>
      </c>
      <c r="F60" s="1034">
        <f>'5.1, 5.3 - HEATING'!O47</f>
        <v>0</v>
      </c>
      <c r="G60" s="1357"/>
      <c r="Q60" s="1035" t="s">
        <v>873</v>
      </c>
      <c r="R60" s="1030" t="s">
        <v>874</v>
      </c>
    </row>
    <row r="61" spans="1:18" ht="72">
      <c r="A61" s="1031"/>
      <c r="B61" s="1026" t="s">
        <v>875</v>
      </c>
      <c r="C61" s="1030" t="s">
        <v>876</v>
      </c>
      <c r="D61" s="1027">
        <f>'5.1, 5.3 - HEATING'!M48</f>
        <v>0</v>
      </c>
      <c r="E61" s="1027">
        <f>'5.1, 5.3 - HEATING'!N48</f>
        <v>0</v>
      </c>
      <c r="F61" s="1027">
        <f>'5.1, 5.3 - HEATING'!O48</f>
        <v>0</v>
      </c>
      <c r="G61" s="1357"/>
      <c r="Q61" s="1030"/>
      <c r="R61" s="1030"/>
    </row>
    <row r="62" spans="1:18" ht="132">
      <c r="B62" s="2533" t="s">
        <v>877</v>
      </c>
      <c r="C62" s="1028" t="s">
        <v>878</v>
      </c>
      <c r="D62" s="1027">
        <f>'5.1, 5.3 - HEATING'!M46</f>
        <v>0</v>
      </c>
      <c r="E62" s="1027">
        <f>'5.1, 5.3 - HEATING'!N46</f>
        <v>0</v>
      </c>
      <c r="F62" s="1034">
        <f>'5.1, 5.3 - HEATING'!O46</f>
        <v>0</v>
      </c>
      <c r="G62" s="1357"/>
      <c r="Q62" s="1028"/>
      <c r="R62" s="1028"/>
    </row>
    <row r="63" spans="1:18" ht="24">
      <c r="A63" s="1031"/>
      <c r="B63" s="2534"/>
      <c r="C63" s="1028" t="s">
        <v>879</v>
      </c>
      <c r="D63" s="1027">
        <f>'5.1, 5.3 - HEATING'!M47</f>
        <v>0</v>
      </c>
      <c r="E63" s="1027">
        <f>'5.1, 5.3 - HEATING'!N47</f>
        <v>0</v>
      </c>
      <c r="F63" s="1034">
        <f>'5.1, 5.3 - HEATING'!O47</f>
        <v>0</v>
      </c>
      <c r="G63" s="1357"/>
      <c r="Q63" s="1028"/>
      <c r="R63" s="1028"/>
    </row>
    <row r="64" spans="1:18" ht="132">
      <c r="B64" s="2533" t="s">
        <v>880</v>
      </c>
      <c r="C64" s="1028" t="s">
        <v>881</v>
      </c>
      <c r="D64" s="1027">
        <f>'5.2, 5.4 - COOLING'!N35</f>
        <v>0</v>
      </c>
      <c r="E64" s="1027">
        <f>'5.2, 5.4 - COOLING'!O35</f>
        <v>0</v>
      </c>
      <c r="F64" s="1034">
        <f>'5.2, 5.4 - COOLING'!P35</f>
        <v>0</v>
      </c>
      <c r="G64" s="1357"/>
      <c r="Q64" s="1028"/>
      <c r="R64" s="1028"/>
    </row>
    <row r="65" spans="1:18" ht="48">
      <c r="B65" s="2534"/>
      <c r="C65" s="1035" t="str">
        <f>IF('Project Info'!$C$9="","&lt;Confirm if project is participating in NYSERDA MPP on Project Info tab&gt;",IF('Project Info'!$C$9="Yes",'Mod Prescriptive Path Checklist'!R65,'Mod Prescriptive Path Checklist'!Q65))</f>
        <v>Based on the climate zone, the specified cooling equipment meets the Prescriptive requirements for efficiency.  Cooling equipment shall be ENERGY STAR qualified, where applicable.</v>
      </c>
      <c r="D65" s="1027">
        <f>'5.2, 5.4 - COOLING'!N36</f>
        <v>0</v>
      </c>
      <c r="E65" s="1027">
        <f>'5.2, 5.4 - COOLING'!O36</f>
        <v>0</v>
      </c>
      <c r="F65" s="1034">
        <f>'5.2, 5.4 - COOLING'!P36</f>
        <v>0</v>
      </c>
      <c r="G65" s="1357"/>
      <c r="H65" s="1029"/>
      <c r="Q65" s="1035" t="s">
        <v>882</v>
      </c>
      <c r="R65" s="1030" t="s">
        <v>883</v>
      </c>
    </row>
    <row r="66" spans="1:18" ht="72">
      <c r="B66" s="2543" t="s">
        <v>884</v>
      </c>
      <c r="C66" s="1036" t="s">
        <v>885</v>
      </c>
      <c r="D66" s="1027" t="s">
        <v>826</v>
      </c>
      <c r="E66" s="1027" t="s">
        <v>826</v>
      </c>
      <c r="F66" s="1034" t="s">
        <v>826</v>
      </c>
      <c r="G66" s="1359" t="s">
        <v>826</v>
      </c>
      <c r="H66" s="1029"/>
      <c r="Q66" s="1036"/>
      <c r="R66" s="1036"/>
    </row>
    <row r="67" spans="1:18">
      <c r="B67" s="2543"/>
      <c r="C67" s="1040" t="s">
        <v>870</v>
      </c>
      <c r="D67" s="1027">
        <f>'5.1, 5.3 - HEATING'!M57</f>
        <v>0</v>
      </c>
      <c r="E67" s="1027">
        <f>'5.1, 5.3 - HEATING'!N57</f>
        <v>0</v>
      </c>
      <c r="F67" s="1034">
        <f>'5.1, 5.3 - HEATING'!O57</f>
        <v>0</v>
      </c>
      <c r="G67" s="1357"/>
      <c r="Q67" s="1040"/>
      <c r="R67" s="1040"/>
    </row>
    <row r="68" spans="1:18">
      <c r="B68" s="2543"/>
      <c r="C68" s="1040" t="s">
        <v>871</v>
      </c>
      <c r="D68" s="1027">
        <f>'5.2, 5.4 - COOLING'!N43</f>
        <v>0</v>
      </c>
      <c r="E68" s="1027">
        <f>'5.2, 5.4 - COOLING'!O43</f>
        <v>0</v>
      </c>
      <c r="F68" s="1034">
        <f>'5.2, 5.4 - COOLING'!P43</f>
        <v>0</v>
      </c>
      <c r="G68" s="1357"/>
      <c r="Q68" s="1040"/>
      <c r="R68" s="1040"/>
    </row>
    <row r="69" spans="1:18" ht="48">
      <c r="B69" s="2543" t="s">
        <v>886</v>
      </c>
      <c r="C69" s="1030" t="s">
        <v>887</v>
      </c>
      <c r="D69" s="1027" t="s">
        <v>826</v>
      </c>
      <c r="E69" s="1027" t="s">
        <v>826</v>
      </c>
      <c r="F69" s="1034" t="s">
        <v>826</v>
      </c>
      <c r="G69" s="1359" t="s">
        <v>826</v>
      </c>
      <c r="Q69" s="1030"/>
      <c r="R69" s="1030"/>
    </row>
    <row r="70" spans="1:18">
      <c r="B70" s="2543"/>
      <c r="C70" s="1040" t="s">
        <v>870</v>
      </c>
      <c r="D70" s="1027">
        <f>'5.1, 5.3 - HEATING'!M60</f>
        <v>0</v>
      </c>
      <c r="E70" s="1027">
        <f>'5.1, 5.3 - HEATING'!N60</f>
        <v>0</v>
      </c>
      <c r="F70" s="1034">
        <f>'5.1, 5.3 - HEATING'!O60</f>
        <v>0</v>
      </c>
      <c r="G70" s="1357"/>
      <c r="Q70" s="1040"/>
      <c r="R70" s="1040"/>
    </row>
    <row r="71" spans="1:18">
      <c r="B71" s="2543"/>
      <c r="C71" s="1040" t="s">
        <v>871</v>
      </c>
      <c r="D71" s="1027">
        <f>'5.2, 5.4 - COOLING'!N51</f>
        <v>0</v>
      </c>
      <c r="E71" s="1027">
        <f>'5.2, 5.4 - COOLING'!O51</f>
        <v>0</v>
      </c>
      <c r="F71" s="1034">
        <f>'5.2, 5.4 - COOLING'!P51</f>
        <v>0</v>
      </c>
      <c r="G71" s="1357"/>
      <c r="Q71" s="1040"/>
      <c r="R71" s="1040"/>
    </row>
    <row r="72" spans="1:18" ht="60">
      <c r="B72" s="2543" t="s">
        <v>888</v>
      </c>
      <c r="C72" s="1030" t="s">
        <v>889</v>
      </c>
      <c r="D72" s="1027" t="s">
        <v>826</v>
      </c>
      <c r="E72" s="1027" t="s">
        <v>826</v>
      </c>
      <c r="F72" s="1034" t="s">
        <v>826</v>
      </c>
      <c r="G72" s="1359" t="s">
        <v>826</v>
      </c>
      <c r="Q72" s="1030"/>
      <c r="R72" s="1030"/>
    </row>
    <row r="73" spans="1:18">
      <c r="B73" s="2543"/>
      <c r="C73" s="1040" t="s">
        <v>870</v>
      </c>
      <c r="D73" s="1027">
        <f>'5.1, 5.3 - HEATING'!M62</f>
        <v>0</v>
      </c>
      <c r="E73" s="1027">
        <f>'5.1, 5.3 - HEATING'!N62</f>
        <v>0</v>
      </c>
      <c r="F73" s="1034">
        <f>'5.1, 5.3 - HEATING'!O62</f>
        <v>0</v>
      </c>
      <c r="G73" s="1357"/>
      <c r="H73" s="1029"/>
      <c r="I73" s="1029"/>
      <c r="Q73" s="1040"/>
      <c r="R73" s="1040"/>
    </row>
    <row r="74" spans="1:18">
      <c r="B74" s="2543"/>
      <c r="C74" s="1040" t="s">
        <v>871</v>
      </c>
      <c r="D74" s="1027">
        <f>'5.2, 5.4 - COOLING'!N50</f>
        <v>0</v>
      </c>
      <c r="E74" s="1027">
        <f>'5.2, 5.4 - COOLING'!O50</f>
        <v>0</v>
      </c>
      <c r="F74" s="1034">
        <f>'5.2, 5.4 - COOLING'!P50</f>
        <v>0</v>
      </c>
      <c r="G74" s="1357"/>
      <c r="Q74" s="1040"/>
      <c r="R74" s="1040"/>
    </row>
    <row r="75" spans="1:18" ht="37.5">
      <c r="A75" s="1031"/>
      <c r="B75" s="2543"/>
      <c r="C75" s="1030" t="s">
        <v>890</v>
      </c>
      <c r="D75" s="1027" t="s">
        <v>826</v>
      </c>
      <c r="E75" s="1027" t="s">
        <v>826</v>
      </c>
      <c r="F75" s="1034" t="s">
        <v>826</v>
      </c>
      <c r="G75" s="1359" t="s">
        <v>826</v>
      </c>
      <c r="Q75" s="1030"/>
      <c r="R75" s="1030"/>
    </row>
    <row r="76" spans="1:18">
      <c r="B76" s="2543"/>
      <c r="C76" s="1039" t="s">
        <v>870</v>
      </c>
      <c r="D76" s="1027">
        <f>'5.1, 5.3 - HEATING'!M68</f>
        <v>0</v>
      </c>
      <c r="E76" s="1027">
        <f>'5.1, 5.3 - HEATING'!N68</f>
        <v>0</v>
      </c>
      <c r="F76" s="1034">
        <f>'5.1, 5.3 - HEATING'!O68</f>
        <v>0</v>
      </c>
      <c r="G76" s="1357"/>
      <c r="H76" s="1041"/>
      <c r="I76" s="1029"/>
      <c r="Q76" s="1039"/>
      <c r="R76" s="1039"/>
    </row>
    <row r="77" spans="1:18">
      <c r="B77" s="2543"/>
      <c r="C77" s="1039" t="s">
        <v>871</v>
      </c>
      <c r="D77" s="1027">
        <f>'5.2, 5.4 - COOLING'!N52</f>
        <v>0</v>
      </c>
      <c r="E77" s="1027">
        <f>'5.2, 5.4 - COOLING'!O52</f>
        <v>0</v>
      </c>
      <c r="F77" s="1034">
        <f>'5.2, 5.4 - COOLING'!P52</f>
        <v>0</v>
      </c>
      <c r="G77" s="1357"/>
      <c r="Q77" s="1039"/>
      <c r="R77" s="1039"/>
    </row>
    <row r="78" spans="1:18" ht="48">
      <c r="B78" s="2543"/>
      <c r="C78" s="1035" t="str">
        <f>IF('Project Info'!$C$9="","&lt;Confirm if project is participating in NYSERDA MPP on Project Info tab&gt;",IF('Project Info'!$C$9="Yes",'Mod Prescriptive Path Checklist'!R78,'Mod Prescriptive Path Checklist'!Q78))</f>
        <v>Heating and cooling supply and return ductwork shall be insulated to a minimum R-8 in unconditioned space and R-4 in conditioned space.</v>
      </c>
      <c r="D78" s="1027" t="s">
        <v>826</v>
      </c>
      <c r="E78" s="1027" t="s">
        <v>826</v>
      </c>
      <c r="F78" s="1034" t="s">
        <v>826</v>
      </c>
      <c r="G78" s="1359" t="s">
        <v>826</v>
      </c>
      <c r="Q78" s="1035" t="s">
        <v>891</v>
      </c>
      <c r="R78" s="1030" t="s">
        <v>892</v>
      </c>
    </row>
    <row r="79" spans="1:18">
      <c r="B79" s="2543"/>
      <c r="C79" s="1039" t="s">
        <v>870</v>
      </c>
      <c r="D79" s="1027">
        <f>'5.1, 5.3 - HEATING'!M61</f>
        <v>0</v>
      </c>
      <c r="E79" s="1027">
        <f>'5.1, 5.3 - HEATING'!N61</f>
        <v>0</v>
      </c>
      <c r="F79" s="1034">
        <f>'5.1, 5.3 - HEATING'!O61</f>
        <v>0</v>
      </c>
      <c r="G79" s="1357"/>
      <c r="H79" s="1029"/>
      <c r="Q79" s="1039"/>
      <c r="R79" s="1039"/>
    </row>
    <row r="80" spans="1:18">
      <c r="B80" s="2543"/>
      <c r="C80" s="1039" t="s">
        <v>871</v>
      </c>
      <c r="D80" s="1027">
        <f>'5.2, 5.4 - COOLING'!N48</f>
        <v>0</v>
      </c>
      <c r="E80" s="1027">
        <f>'5.2, 5.4 - COOLING'!O48</f>
        <v>0</v>
      </c>
      <c r="F80" s="1034">
        <f>'5.2, 5.4 - COOLING'!P48</f>
        <v>0</v>
      </c>
      <c r="G80" s="1357"/>
      <c r="H80" s="1029"/>
      <c r="Q80" s="1039"/>
      <c r="R80" s="1039"/>
    </row>
    <row r="81" spans="2:18" ht="84">
      <c r="B81" s="2543" t="s">
        <v>893</v>
      </c>
      <c r="C81" s="1036" t="s">
        <v>894</v>
      </c>
      <c r="D81" s="1021">
        <f>'5.2, 5.4 - COOLING'!N42</f>
        <v>0</v>
      </c>
      <c r="E81" s="1021">
        <f>'5.2, 5.4 - COOLING'!O42</f>
        <v>0</v>
      </c>
      <c r="F81" s="1022">
        <f>'5.2, 5.4 - COOLING'!P42</f>
        <v>0</v>
      </c>
      <c r="G81" s="1355"/>
      <c r="H81" s="1029"/>
      <c r="Q81" s="1036"/>
      <c r="R81" s="1036"/>
    </row>
    <row r="82" spans="2:18" ht="84">
      <c r="B82" s="2543"/>
      <c r="C82" s="1036" t="s">
        <v>895</v>
      </c>
      <c r="D82" s="1021">
        <f>'5.1, 5.3 - HEATING'!M53</f>
        <v>0</v>
      </c>
      <c r="E82" s="1021">
        <f>'5.1, 5.3 - HEATING'!N53</f>
        <v>0</v>
      </c>
      <c r="F82" s="1022">
        <f>'5.1, 5.3 - HEATING'!O53</f>
        <v>0</v>
      </c>
      <c r="G82" s="1355"/>
      <c r="H82" s="1029"/>
      <c r="Q82" s="1036"/>
      <c r="R82" s="1036"/>
    </row>
    <row r="83" spans="2:18" ht="63.75" customHeight="1">
      <c r="B83" s="2543" t="s">
        <v>896</v>
      </c>
      <c r="C83" s="1036" t="s">
        <v>897</v>
      </c>
      <c r="D83" s="1021" t="s">
        <v>826</v>
      </c>
      <c r="E83" s="1021" t="s">
        <v>826</v>
      </c>
      <c r="F83" s="1022" t="s">
        <v>826</v>
      </c>
      <c r="G83" s="1360" t="s">
        <v>826</v>
      </c>
      <c r="H83" s="1029"/>
      <c r="Q83" s="1036"/>
      <c r="R83" s="1036"/>
    </row>
    <row r="84" spans="2:18">
      <c r="B84" s="2543"/>
      <c r="C84" s="1039" t="s">
        <v>870</v>
      </c>
      <c r="D84" s="1027">
        <f>'5.1, 5.3 - HEATING'!M59</f>
        <v>0</v>
      </c>
      <c r="E84" s="1027">
        <f>'5.1, 5.3 - HEATING'!N59</f>
        <v>0</v>
      </c>
      <c r="F84" s="1034">
        <f>'5.1, 5.3 - HEATING'!O59</f>
        <v>0</v>
      </c>
      <c r="G84" s="1357"/>
      <c r="H84" s="1029"/>
      <c r="I84" s="1029"/>
      <c r="Q84" s="1039"/>
      <c r="R84" s="1039"/>
    </row>
    <row r="85" spans="2:18">
      <c r="B85" s="2543"/>
      <c r="C85" s="1039" t="s">
        <v>871</v>
      </c>
      <c r="D85" s="1027">
        <f>'5.2, 5.4 - COOLING'!N49</f>
        <v>0</v>
      </c>
      <c r="E85" s="1027">
        <f>'5.2, 5.4 - COOLING'!O49</f>
        <v>0</v>
      </c>
      <c r="F85" s="1034">
        <f>'5.2, 5.4 - COOLING'!P49</f>
        <v>0</v>
      </c>
      <c r="G85" s="1357"/>
      <c r="Q85" s="1039"/>
      <c r="R85" s="1039"/>
    </row>
    <row r="86" spans="2:18" ht="35.25" customHeight="1">
      <c r="B86" s="2543"/>
      <c r="C86" s="1039" t="s">
        <v>898</v>
      </c>
      <c r="D86" s="1027">
        <f>'8.2 - VENT_SCHEDULE&amp;TAB REPORT'!O67</f>
        <v>0</v>
      </c>
      <c r="E86" s="1027">
        <f>'8.2 - VENT_SCHEDULE&amp;TAB REPORT'!P67</f>
        <v>0</v>
      </c>
      <c r="F86" s="1034">
        <f>'8.2 - VENT_SCHEDULE&amp;TAB REPORT'!Q67</f>
        <v>0</v>
      </c>
      <c r="G86" s="1357"/>
      <c r="Q86" s="1039"/>
      <c r="R86" s="1039"/>
    </row>
    <row r="87" spans="2:18" ht="36">
      <c r="B87" s="2543" t="s">
        <v>899</v>
      </c>
      <c r="C87" s="1036" t="s">
        <v>772</v>
      </c>
      <c r="D87" s="1021" t="s">
        <v>826</v>
      </c>
      <c r="E87" s="1021" t="s">
        <v>826</v>
      </c>
      <c r="F87" s="1022" t="s">
        <v>826</v>
      </c>
      <c r="G87" s="1360" t="s">
        <v>826</v>
      </c>
      <c r="Q87" s="1036"/>
      <c r="R87" s="1036"/>
    </row>
    <row r="88" spans="2:18">
      <c r="B88" s="2543"/>
      <c r="C88" s="1039" t="s">
        <v>870</v>
      </c>
      <c r="D88" s="1027">
        <f>'5.1, 5.3 - HEATING'!M71</f>
        <v>0</v>
      </c>
      <c r="E88" s="1027">
        <f>'5.1, 5.3 - HEATING'!N71</f>
        <v>0</v>
      </c>
      <c r="F88" s="1034">
        <f>'5.1, 5.3 - HEATING'!O71</f>
        <v>0</v>
      </c>
      <c r="G88" s="1357"/>
      <c r="H88" s="1042"/>
      <c r="Q88" s="1039"/>
      <c r="R88" s="1039"/>
    </row>
    <row r="89" spans="2:18">
      <c r="B89" s="2543"/>
      <c r="C89" s="1039" t="s">
        <v>871</v>
      </c>
      <c r="D89" s="1027">
        <f>'5.2, 5.4 - COOLING'!N57</f>
        <v>0</v>
      </c>
      <c r="E89" s="1027">
        <f>'5.2, 5.4 - COOLING'!O57</f>
        <v>0</v>
      </c>
      <c r="F89" s="1034">
        <f>'5.2, 5.4 - COOLING'!P57</f>
        <v>0</v>
      </c>
      <c r="G89" s="1357"/>
      <c r="H89" s="1042"/>
      <c r="Q89" s="1039"/>
      <c r="R89" s="1039"/>
    </row>
    <row r="90" spans="2:18" ht="84">
      <c r="B90" s="2533" t="s">
        <v>900</v>
      </c>
      <c r="C90" s="1030" t="s">
        <v>901</v>
      </c>
      <c r="D90" s="1027" t="s">
        <v>826</v>
      </c>
      <c r="E90" s="1027" t="s">
        <v>826</v>
      </c>
      <c r="F90" s="1034" t="s">
        <v>826</v>
      </c>
      <c r="G90" s="1359" t="s">
        <v>826</v>
      </c>
      <c r="H90" s="1042"/>
      <c r="Q90" s="1030"/>
      <c r="R90" s="1030"/>
    </row>
    <row r="91" spans="2:18">
      <c r="B91" s="2541"/>
      <c r="C91" s="1039" t="s">
        <v>870</v>
      </c>
      <c r="D91" s="1027">
        <f>'5.1, 5.3 - HEATING'!M54</f>
        <v>0</v>
      </c>
      <c r="E91" s="1027">
        <f>'5.1, 5.3 - HEATING'!N54</f>
        <v>0</v>
      </c>
      <c r="F91" s="1034">
        <f>'5.1, 5.3 - HEATING'!O54</f>
        <v>0</v>
      </c>
      <c r="G91" s="1357"/>
      <c r="H91" s="1029"/>
      <c r="I91" s="1029"/>
      <c r="Q91" s="1039"/>
      <c r="R91" s="1039"/>
    </row>
    <row r="92" spans="2:18">
      <c r="B92" s="2541"/>
      <c r="C92" s="1039" t="s">
        <v>871</v>
      </c>
      <c r="D92" s="1027">
        <f>'5.2, 5.4 - COOLING'!N39</f>
        <v>0</v>
      </c>
      <c r="E92" s="1027">
        <f>'5.2, 5.4 - COOLING'!O39</f>
        <v>0</v>
      </c>
      <c r="F92" s="1034">
        <f>'5.2, 5.4 - COOLING'!P39</f>
        <v>0</v>
      </c>
      <c r="G92" s="1357"/>
      <c r="H92" s="1029"/>
      <c r="Q92" s="1039"/>
      <c r="R92" s="1039"/>
    </row>
    <row r="93" spans="2:18" ht="48">
      <c r="B93" s="2541"/>
      <c r="C93" s="1030" t="s">
        <v>902</v>
      </c>
      <c r="D93" s="1027" t="s">
        <v>826</v>
      </c>
      <c r="E93" s="1027" t="s">
        <v>826</v>
      </c>
      <c r="F93" s="1034" t="s">
        <v>826</v>
      </c>
      <c r="G93" s="1359" t="s">
        <v>826</v>
      </c>
      <c r="H93" s="1029"/>
      <c r="Q93" s="1030"/>
      <c r="R93" s="1030"/>
    </row>
    <row r="94" spans="2:18">
      <c r="B94" s="2541"/>
      <c r="C94" s="1039" t="s">
        <v>870</v>
      </c>
      <c r="D94" s="1027">
        <f>'5.1, 5.3 - HEATING'!M55</f>
        <v>0</v>
      </c>
      <c r="E94" s="1027">
        <f>'5.1, 5.3 - HEATING'!N55</f>
        <v>0</v>
      </c>
      <c r="F94" s="1034">
        <f>'5.1, 5.3 - HEATING'!O55</f>
        <v>0</v>
      </c>
      <c r="G94" s="1357"/>
      <c r="H94" s="1029"/>
      <c r="I94" s="1029"/>
      <c r="Q94" s="1039"/>
      <c r="R94" s="1039"/>
    </row>
    <row r="95" spans="2:18">
      <c r="B95" s="2534"/>
      <c r="C95" s="1039" t="s">
        <v>871</v>
      </c>
      <c r="D95" s="1027">
        <f>'5.2, 5.4 - COOLING'!N40</f>
        <v>0</v>
      </c>
      <c r="E95" s="1027">
        <f>'5.2, 5.4 - COOLING'!O40</f>
        <v>0</v>
      </c>
      <c r="F95" s="1034">
        <f>'5.2, 5.4 - COOLING'!P40</f>
        <v>0</v>
      </c>
      <c r="G95" s="1357"/>
      <c r="H95" s="1029"/>
      <c r="Q95" s="1039"/>
      <c r="R95" s="1039"/>
    </row>
    <row r="96" spans="2:18" ht="48">
      <c r="B96" s="2533" t="s">
        <v>903</v>
      </c>
      <c r="C96" s="1030" t="s">
        <v>904</v>
      </c>
      <c r="D96" s="1027" t="s">
        <v>826</v>
      </c>
      <c r="E96" s="1027" t="s">
        <v>826</v>
      </c>
      <c r="F96" s="1034" t="s">
        <v>826</v>
      </c>
      <c r="G96" s="1359" t="s">
        <v>826</v>
      </c>
      <c r="H96" s="1029"/>
      <c r="Q96" s="1030"/>
      <c r="R96" s="1030"/>
    </row>
    <row r="97" spans="1:18">
      <c r="B97" s="2541"/>
      <c r="C97" s="1039" t="s">
        <v>870</v>
      </c>
      <c r="D97" s="1027">
        <f>'5.1, 5.3 - HEATING'!M66</f>
        <v>0</v>
      </c>
      <c r="E97" s="1027">
        <f>'5.1, 5.3 - HEATING'!N66</f>
        <v>0</v>
      </c>
      <c r="F97" s="1034">
        <f>'5.1, 5.3 - HEATING'!O66</f>
        <v>0</v>
      </c>
      <c r="G97" s="1357"/>
      <c r="H97" s="1029"/>
      <c r="I97" s="1029"/>
      <c r="Q97" s="1039"/>
      <c r="R97" s="1039"/>
    </row>
    <row r="98" spans="1:18">
      <c r="B98" s="2541"/>
      <c r="C98" s="1039" t="s">
        <v>871</v>
      </c>
      <c r="D98" s="1027">
        <f>'5.2, 5.4 - COOLING'!N46</f>
        <v>0</v>
      </c>
      <c r="E98" s="1027">
        <f>'5.2, 5.4 - COOLING'!O46</f>
        <v>0</v>
      </c>
      <c r="F98" s="1034">
        <f>'5.2, 5.4 - COOLING'!P46</f>
        <v>0</v>
      </c>
      <c r="G98" s="1357"/>
      <c r="H98" s="1029"/>
      <c r="Q98" s="1039"/>
      <c r="R98" s="1039"/>
    </row>
    <row r="99" spans="1:18" ht="36">
      <c r="B99" s="2541"/>
      <c r="C99" s="1030" t="s">
        <v>905</v>
      </c>
      <c r="D99" s="1027" t="s">
        <v>826</v>
      </c>
      <c r="E99" s="1027" t="s">
        <v>826</v>
      </c>
      <c r="F99" s="1034" t="s">
        <v>826</v>
      </c>
      <c r="G99" s="1359" t="s">
        <v>826</v>
      </c>
      <c r="H99" s="1029"/>
      <c r="Q99" s="1030"/>
      <c r="R99" s="1030"/>
    </row>
    <row r="100" spans="1:18">
      <c r="B100" s="2541"/>
      <c r="C100" s="1039" t="s">
        <v>870</v>
      </c>
      <c r="D100" s="1027">
        <f>'5.1, 5.3 - HEATING'!M67</f>
        <v>0</v>
      </c>
      <c r="E100" s="1027">
        <f>'5.1, 5.3 - HEATING'!N67</f>
        <v>0</v>
      </c>
      <c r="F100" s="1034">
        <f>'5.1, 5.3 - HEATING'!O67</f>
        <v>0</v>
      </c>
      <c r="G100" s="1357"/>
      <c r="H100" s="1029"/>
      <c r="I100" s="1029"/>
      <c r="Q100" s="1039"/>
      <c r="R100" s="1039"/>
    </row>
    <row r="101" spans="1:18">
      <c r="B101" s="2534"/>
      <c r="C101" s="1039" t="s">
        <v>871</v>
      </c>
      <c r="D101" s="1027">
        <f>'5.2, 5.4 - COOLING'!N47</f>
        <v>0</v>
      </c>
      <c r="E101" s="1027">
        <f>'5.2, 5.4 - COOLING'!O47</f>
        <v>0</v>
      </c>
      <c r="F101" s="1034">
        <f>'5.2, 5.4 - COOLING'!P47</f>
        <v>0</v>
      </c>
      <c r="G101" s="1357"/>
      <c r="H101" s="1029"/>
      <c r="Q101" s="1039"/>
      <c r="R101" s="1039"/>
    </row>
    <row r="102" spans="1:18" ht="98.25" customHeight="1">
      <c r="B102" s="2535" t="s">
        <v>906</v>
      </c>
      <c r="C102" s="2536"/>
      <c r="D102" s="1025"/>
      <c r="E102" s="1043" t="s">
        <v>907</v>
      </c>
      <c r="F102" s="1025"/>
      <c r="G102" s="1356"/>
      <c r="H102" s="1029"/>
      <c r="Q102" s="1001"/>
      <c r="R102" s="1001"/>
    </row>
    <row r="103" spans="1:18" ht="77.25" customHeight="1">
      <c r="B103" s="1026" t="s">
        <v>908</v>
      </c>
      <c r="C103" s="1028" t="s">
        <v>909</v>
      </c>
      <c r="D103" s="1027">
        <f>'6.1, 6.2, 6.3 - LIGHTING'!K84</f>
        <v>0</v>
      </c>
      <c r="E103" s="1027">
        <f>'6.1, 6.2, 6.3 - LIGHTING'!L84</f>
        <v>0</v>
      </c>
      <c r="F103" s="1034">
        <f>'6.1, 6.2, 6.3 - LIGHTING'!M84</f>
        <v>0</v>
      </c>
      <c r="G103" s="1357"/>
      <c r="Q103" s="1028"/>
      <c r="R103" s="1028"/>
    </row>
    <row r="104" spans="1:18" ht="75.75" customHeight="1">
      <c r="A104" s="1031"/>
      <c r="B104" s="2540" t="s">
        <v>910</v>
      </c>
      <c r="C104" s="1035" t="str">
        <f>IF('Project Info'!$C$9="","&lt;Confirm if project is participating in NYSERDA MPP on Project Info tab&gt;",IF('Project Info'!$C$9="Yes",'Mod Prescriptive Path Checklist'!R104,'Mod Prescriptive Path Checklist'!Q104))</f>
        <v>All light fixtures in non-apartments spaces, including hallways, stairwells, lobbies, elevators and decorative fixtures, shall have a combined lamp and ballast efficacies meeting or exceeding ENERGY STAR specifications.  Alternatively, T-5 or T-8 lamps with electronic ballasts or ENERGY STAR qualified screw-in lamps may be used.</v>
      </c>
      <c r="D104" s="1027">
        <f>'6.1, 6.2, 6.3 - LIGHTING'!K85</f>
        <v>0</v>
      </c>
      <c r="E104" s="1027">
        <f>'6.1, 6.2, 6.3 - LIGHTING'!L85</f>
        <v>0</v>
      </c>
      <c r="F104" s="1027">
        <f>'6.1, 6.2, 6.3 - LIGHTING'!M85</f>
        <v>0</v>
      </c>
      <c r="G104" s="1357"/>
      <c r="Q104" s="1035" t="s">
        <v>911</v>
      </c>
      <c r="R104" s="1044" t="s">
        <v>912</v>
      </c>
    </row>
    <row r="105" spans="1:18" ht="149.25" customHeight="1">
      <c r="B105" s="2540"/>
      <c r="C105" s="1044" t="s">
        <v>913</v>
      </c>
      <c r="D105" s="1027">
        <f>'6.1, 6.2, 6.3 - LIGHTING'!K86</f>
        <v>0</v>
      </c>
      <c r="E105" s="1027">
        <f>'6.1, 6.2, 6.3 - LIGHTING'!L86</f>
        <v>0</v>
      </c>
      <c r="F105" s="1027">
        <f>'6.1, 6.2, 6.3 - LIGHTING'!M86</f>
        <v>0</v>
      </c>
      <c r="G105" s="1357"/>
      <c r="Q105" s="1044"/>
      <c r="R105" s="1044"/>
    </row>
    <row r="106" spans="1:18" ht="59.25" customHeight="1">
      <c r="A106" s="1031"/>
      <c r="B106" s="1026" t="s">
        <v>914</v>
      </c>
      <c r="C106" s="1026" t="s">
        <v>915</v>
      </c>
      <c r="D106" s="1027">
        <f>'6.1, 6.2, 6.3 - LIGHTING'!K87</f>
        <v>0</v>
      </c>
      <c r="E106" s="1027">
        <f>'6.1, 6.2, 6.3 - LIGHTING'!L87</f>
        <v>0</v>
      </c>
      <c r="F106" s="1034">
        <f>'6.1, 6.2, 6.3 - LIGHTING'!M87</f>
        <v>0</v>
      </c>
      <c r="G106" s="1357"/>
      <c r="Q106" s="1026"/>
      <c r="R106" s="1026"/>
    </row>
    <row r="107" spans="1:18" ht="41.25" customHeight="1">
      <c r="A107" s="1031"/>
      <c r="B107" s="2533" t="s">
        <v>916</v>
      </c>
      <c r="C107" s="1028" t="s">
        <v>917</v>
      </c>
      <c r="D107" s="1027">
        <f>'6.1, 6.2, 6.3 - LIGHTING'!K88</f>
        <v>0</v>
      </c>
      <c r="E107" s="1027">
        <f>'6.1, 6.2, 6.3 - LIGHTING'!L88</f>
        <v>0</v>
      </c>
      <c r="F107" s="1034">
        <f>'6.1, 6.2, 6.3 - LIGHTING'!M88</f>
        <v>0</v>
      </c>
      <c r="G107" s="1357"/>
      <c r="Q107" s="1028"/>
      <c r="R107" s="1028"/>
    </row>
    <row r="108" spans="1:18" ht="40.5" customHeight="1">
      <c r="A108" s="1031"/>
      <c r="B108" s="2541"/>
      <c r="C108" s="1035" t="str">
        <f>IF('Project Info'!$C$9="","&lt;Confirm if project is participating in NYSERDA MPP on Project Info tab&gt;",IF('Project Info'!$C$9="Yes",'Mod Prescriptive Path Checklist'!R108,'Mod Prescriptive Path Checklist'!Q108))</f>
        <v>All outdoor lighting fixtures shall have combined lamp and ballast efficacies meeting or exceeding ENERGY STAR specifications.</v>
      </c>
      <c r="D108" s="1027">
        <f>'6.1, 6.2, 6.3 - LIGHTING'!K88</f>
        <v>0</v>
      </c>
      <c r="E108" s="1027">
        <f>'6.1, 6.2, 6.3 - LIGHTING'!L88</f>
        <v>0</v>
      </c>
      <c r="F108" s="1034">
        <f>'6.1, 6.2, 6.3 - LIGHTING'!M88</f>
        <v>0</v>
      </c>
      <c r="G108" s="1357"/>
      <c r="Q108" s="1035" t="s">
        <v>918</v>
      </c>
      <c r="R108" s="1028" t="s">
        <v>919</v>
      </c>
    </row>
    <row r="109" spans="1:18" ht="51.75" customHeight="1">
      <c r="A109" s="1031"/>
      <c r="B109" s="2534"/>
      <c r="C109" s="1028" t="s">
        <v>920</v>
      </c>
      <c r="D109" s="1027">
        <f>'6.1, 6.2, 6.3 - LIGHTING'!K91</f>
        <v>0</v>
      </c>
      <c r="E109" s="1027">
        <f>'6.1, 6.2, 6.3 - LIGHTING'!L91</f>
        <v>0</v>
      </c>
      <c r="F109" s="1034">
        <f>'6.1, 6.2, 6.3 - LIGHTING'!M91</f>
        <v>0</v>
      </c>
      <c r="G109" s="1357"/>
      <c r="Q109" s="1028"/>
      <c r="R109" s="1028"/>
    </row>
    <row r="110" spans="1:18" ht="132" customHeight="1">
      <c r="A110" s="1031"/>
      <c r="B110" s="1026" t="s">
        <v>921</v>
      </c>
      <c r="C110" s="1035" t="str">
        <f>IF('Project Info'!$C$9="","&lt;Confirm if project is participating in NYSERDA MPP on Project Info tab&gt;",IF('Project Info'!$C$9="Yes",'Mod Prescriptive Path Checklist'!R110,'Mod Prescriptive Path Checklist'!Q110))</f>
        <v>All hard-wired lighting fixtures and ceiling fans installed within apartments shall meet or exceed ENERGY STAR specifications.  ENERGY STAR qualified screw-in lamps may be used in  the following applications only:  Closets, storage spaces, and other locations that are not within habitable living space.
Overall in-unit lighting power density may not exceed 0.7 W/ft2.</v>
      </c>
      <c r="D110" s="1027">
        <f>'6.1, 6.2, 6.3 - LIGHTING'!K92</f>
        <v>0</v>
      </c>
      <c r="E110" s="1027">
        <f>'6.1, 6.2, 6.3 - LIGHTING'!L92</f>
        <v>0</v>
      </c>
      <c r="F110" s="1034">
        <f>'6.1, 6.2, 6.3 - LIGHTING'!M92</f>
        <v>0</v>
      </c>
      <c r="G110" s="1357"/>
      <c r="Q110" s="1035" t="s">
        <v>922</v>
      </c>
      <c r="R110" s="1028" t="s">
        <v>923</v>
      </c>
    </row>
    <row r="111" spans="1:18" ht="112.5" customHeight="1">
      <c r="B111" s="1026" t="s">
        <v>924</v>
      </c>
      <c r="C111" s="1028" t="s">
        <v>925</v>
      </c>
      <c r="D111" s="1027">
        <f>'6.1, 6.2, 6.3 - LIGHTING'!K82</f>
        <v>0</v>
      </c>
      <c r="E111" s="1027">
        <f>'6.1, 6.2, 6.3 - LIGHTING'!L82</f>
        <v>0</v>
      </c>
      <c r="F111" s="1034">
        <f>'6.1, 6.2, 6.3 - LIGHTING'!M82</f>
        <v>0</v>
      </c>
      <c r="G111" s="1357"/>
      <c r="Q111" s="1028"/>
      <c r="R111" s="1028"/>
    </row>
    <row r="112" spans="1:18">
      <c r="B112" s="1037" t="s">
        <v>926</v>
      </c>
      <c r="C112" s="1038"/>
      <c r="D112" s="1025"/>
      <c r="E112" s="1025"/>
      <c r="F112" s="1025"/>
      <c r="G112" s="1356"/>
      <c r="Q112" s="1038"/>
      <c r="R112" s="1038"/>
    </row>
    <row r="113" spans="1:18" ht="36">
      <c r="A113" s="1031"/>
      <c r="B113" s="1045" t="s">
        <v>927</v>
      </c>
      <c r="C113" s="1028" t="s">
        <v>794</v>
      </c>
      <c r="D113" s="1027">
        <f>'7.1 - MOTORS'!J34</f>
        <v>0</v>
      </c>
      <c r="E113" s="1027">
        <f>'7.1 - MOTORS'!K34</f>
        <v>0</v>
      </c>
      <c r="F113" s="1027">
        <f>'7.1 - MOTORS'!L34</f>
        <v>0</v>
      </c>
      <c r="G113" s="1357"/>
      <c r="Q113" s="1028"/>
      <c r="R113" s="1028"/>
    </row>
    <row r="114" spans="1:18" ht="132">
      <c r="A114" s="1031"/>
      <c r="B114" s="1045" t="s">
        <v>928</v>
      </c>
      <c r="C114" s="1028" t="s">
        <v>929</v>
      </c>
      <c r="D114" s="1027">
        <f>'7.1 - MOTORS'!J35</f>
        <v>0</v>
      </c>
      <c r="E114" s="1027">
        <f>'7.1 - MOTORS'!K35</f>
        <v>0</v>
      </c>
      <c r="F114" s="1027">
        <f>'7.1 - MOTORS'!L35</f>
        <v>0</v>
      </c>
      <c r="G114" s="1357"/>
      <c r="Q114" s="1028"/>
      <c r="R114" s="1028"/>
    </row>
    <row r="115" spans="1:18" ht="36">
      <c r="A115" s="1031"/>
      <c r="B115" s="1045" t="s">
        <v>930</v>
      </c>
      <c r="C115" s="1028" t="s">
        <v>794</v>
      </c>
      <c r="D115" s="1027">
        <f>'7.1 - MOTORS'!J36</f>
        <v>0</v>
      </c>
      <c r="E115" s="1027">
        <f>'7.1 - MOTORS'!K36</f>
        <v>0</v>
      </c>
      <c r="F115" s="1027">
        <f>'7.1 - MOTORS'!L36</f>
        <v>0</v>
      </c>
      <c r="G115" s="1357"/>
      <c r="Q115" s="1028"/>
      <c r="R115" s="1028"/>
    </row>
    <row r="116" spans="1:18">
      <c r="A116" s="1031"/>
      <c r="B116" s="2535" t="s">
        <v>931</v>
      </c>
      <c r="C116" s="2536"/>
      <c r="D116" s="1025"/>
      <c r="E116" s="1025"/>
      <c r="F116" s="1025"/>
      <c r="G116" s="1356"/>
      <c r="H116" s="1029"/>
      <c r="Q116" s="1001"/>
      <c r="R116" s="1001"/>
    </row>
    <row r="117" spans="1:18" ht="84">
      <c r="A117" s="1031"/>
      <c r="B117" s="1026" t="s">
        <v>932</v>
      </c>
      <c r="C117" s="1028" t="s">
        <v>933</v>
      </c>
      <c r="D117" s="1027">
        <f>'8.1 - INF_EXT AIR BARRIER'!G47</f>
        <v>0</v>
      </c>
      <c r="E117" s="1027">
        <f>'8.1 - INF_EXT AIR BARRIER'!H47</f>
        <v>0</v>
      </c>
      <c r="F117" s="1034">
        <f>'8.1 - INF_EXT AIR BARRIER'!I47</f>
        <v>0</v>
      </c>
      <c r="G117" s="1357"/>
      <c r="Q117" s="1028"/>
      <c r="R117" s="1028"/>
    </row>
    <row r="118" spans="1:18" ht="60" customHeight="1">
      <c r="B118" s="1026" t="s">
        <v>934</v>
      </c>
      <c r="C118" s="1026" t="s">
        <v>935</v>
      </c>
      <c r="D118" s="1027">
        <f>'8.1 - INF_BLOWER DOOR TEST'!I41</f>
        <v>0</v>
      </c>
      <c r="E118" s="1027">
        <f>'8.1 - INF_BLOWER DOOR TEST'!J41</f>
        <v>0</v>
      </c>
      <c r="F118" s="1034">
        <f>'8.1 - INF_BLOWER DOOR TEST'!K41</f>
        <v>0</v>
      </c>
      <c r="G118" s="1357"/>
      <c r="Q118" s="1026"/>
      <c r="R118" s="1026"/>
    </row>
    <row r="119" spans="1:18" ht="27" customHeight="1">
      <c r="B119" s="2533" t="s">
        <v>936</v>
      </c>
      <c r="C119" s="1028" t="s">
        <v>937</v>
      </c>
      <c r="D119" s="1027">
        <f>'8.2 - VENT_SCHEDULE&amp;TAB REPORT'!O56</f>
        <v>0</v>
      </c>
      <c r="E119" s="1027">
        <f>'8.2 - VENT_SCHEDULE&amp;TAB REPORT'!P56</f>
        <v>0</v>
      </c>
      <c r="F119" s="1034">
        <f>'8.2 - VENT_SCHEDULE&amp;TAB REPORT'!Q56</f>
        <v>0</v>
      </c>
      <c r="G119" s="1357"/>
      <c r="Q119" s="1028"/>
      <c r="R119" s="1028"/>
    </row>
    <row r="120" spans="1:18" ht="108">
      <c r="B120" s="2541"/>
      <c r="C120" s="1028" t="s">
        <v>938</v>
      </c>
      <c r="D120" s="1027">
        <f>'8.2 - VENT_SCHEDULE&amp;TAB REPORT'!O51</f>
        <v>0</v>
      </c>
      <c r="E120" s="1027">
        <f>'8.2 - VENT_SCHEDULE&amp;TAB REPORT'!P51</f>
        <v>0</v>
      </c>
      <c r="F120" s="1027">
        <f>'8.2 - VENT_SCHEDULE&amp;TAB REPORT'!Q51</f>
        <v>0</v>
      </c>
      <c r="G120" s="1357"/>
      <c r="Q120" s="1028"/>
      <c r="R120" s="1028"/>
    </row>
    <row r="121" spans="1:18" ht="36">
      <c r="B121" s="2541"/>
      <c r="C121" s="1028" t="s">
        <v>939</v>
      </c>
      <c r="D121" s="1027">
        <f>'8.2 - VENT_SCHEDULE&amp;TAB REPORT'!O55</f>
        <v>0</v>
      </c>
      <c r="E121" s="1027">
        <f>'8.2 - VENT_SCHEDULE&amp;TAB REPORT'!P55</f>
        <v>0</v>
      </c>
      <c r="F121" s="1027">
        <f>'8.2 - VENT_SCHEDULE&amp;TAB REPORT'!Q55</f>
        <v>0</v>
      </c>
      <c r="G121" s="1357"/>
      <c r="Q121" s="1028"/>
      <c r="R121" s="1028"/>
    </row>
    <row r="122" spans="1:18" ht="168">
      <c r="B122" s="2533" t="s">
        <v>940</v>
      </c>
      <c r="C122" s="1035" t="str">
        <f>IF('Project Info'!$C$9="","&lt;Confirm if project is participating in NYSERDA MPP on Project Info tab&gt;",IF('Project Info'!$C$9="Yes",'Mod Prescriptive Path Checklist'!R122,'Mod Prescriptive Path Checklist'!Q122))</f>
        <v>Apartment ventilation systems shall be designed and tested to satisfy minimum requirements of ASHRAE 62.2-2007 based upon the anticipated occupancy, without reliance on natural ventilation and without exceeding the minimum ventilation rates by more than 50%. 
Outdoor air must be provided to each unit directly from the outdoors.  Projects using exhaust ventilation systems must specify how outside air is delivered at the flow rate required by ASHRAE 62.2-2007.  Systems that rely on transfer air from pressurized hallways or corridors, adjacent to dwelling units, attics, etc., are prohibited.</v>
      </c>
      <c r="D122" s="1027">
        <f>'8.2 - VENT_SCHEDULE&amp;TAB REPORT'!O54</f>
        <v>0</v>
      </c>
      <c r="E122" s="1027">
        <f>'8.2 - VENT_SCHEDULE&amp;TAB REPORT'!P54</f>
        <v>0</v>
      </c>
      <c r="F122" s="1034">
        <f>'8.2 - VENT_SCHEDULE&amp;TAB REPORT'!Q54</f>
        <v>0</v>
      </c>
      <c r="G122" s="1357"/>
      <c r="K122" s="1001" t="s">
        <v>815</v>
      </c>
      <c r="Q122" s="1035" t="s">
        <v>941</v>
      </c>
      <c r="R122" s="1028" t="s">
        <v>942</v>
      </c>
    </row>
    <row r="123" spans="1:18" ht="24">
      <c r="B123" s="2541"/>
      <c r="C123" s="1030" t="s">
        <v>943</v>
      </c>
      <c r="D123" s="1027">
        <f>'8.2 - VENT_SCHEDULE&amp;TAB REPORT'!O64</f>
        <v>0</v>
      </c>
      <c r="E123" s="1027">
        <f>'8.2 - VENT_SCHEDULE&amp;TAB REPORT'!P64</f>
        <v>0</v>
      </c>
      <c r="F123" s="1027">
        <f>'8.2 - VENT_SCHEDULE&amp;TAB REPORT'!Q64</f>
        <v>0</v>
      </c>
      <c r="G123" s="1357"/>
      <c r="K123" s="1001" t="s">
        <v>944</v>
      </c>
      <c r="Q123" s="1030"/>
      <c r="R123" s="1030"/>
    </row>
    <row r="124" spans="1:18" ht="108">
      <c r="B124" s="2541"/>
      <c r="C124" s="1028" t="s">
        <v>938</v>
      </c>
      <c r="D124" s="1027">
        <f>'8.2 - VENT_SCHEDULE&amp;TAB REPORT'!O52</f>
        <v>0</v>
      </c>
      <c r="E124" s="1027">
        <f>'8.2 - VENT_SCHEDULE&amp;TAB REPORT'!P52</f>
        <v>0</v>
      </c>
      <c r="F124" s="1027">
        <f>'8.2 - VENT_SCHEDULE&amp;TAB REPORT'!Q52</f>
        <v>0</v>
      </c>
      <c r="G124" s="1357"/>
      <c r="K124" s="1001" t="s">
        <v>945</v>
      </c>
      <c r="Q124" s="1028"/>
      <c r="R124" s="1028"/>
    </row>
    <row r="125" spans="1:18" ht="24">
      <c r="B125" s="2541"/>
      <c r="C125" s="1026" t="s">
        <v>946</v>
      </c>
      <c r="D125" s="1027">
        <f>'8.2 - VENT_SCHEDULE&amp;TAB REPORT'!O53</f>
        <v>0</v>
      </c>
      <c r="E125" s="1027">
        <f>'8.2 - VENT_SCHEDULE&amp;TAB REPORT'!P53</f>
        <v>0</v>
      </c>
      <c r="F125" s="1034">
        <f>'8.2 - VENT_SCHEDULE&amp;TAB REPORT'!Q53</f>
        <v>0</v>
      </c>
      <c r="G125" s="1357"/>
      <c r="Q125" s="1026"/>
      <c r="R125" s="1026"/>
    </row>
    <row r="126" spans="1:18" ht="60">
      <c r="B126" s="2533" t="s">
        <v>947</v>
      </c>
      <c r="C126" s="1026" t="s">
        <v>948</v>
      </c>
      <c r="D126" s="1027">
        <f>'8.2 - VENT_DUCT TIGHTNESS'!G32</f>
        <v>0</v>
      </c>
      <c r="E126" s="1027">
        <f>'8.2 - VENT_DUCT TIGHTNESS'!H32</f>
        <v>0</v>
      </c>
      <c r="F126" s="1034">
        <f>'8.2 - VENT_DUCT TIGHTNESS'!I32</f>
        <v>0</v>
      </c>
      <c r="G126" s="1357"/>
      <c r="H126" s="1042"/>
      <c r="Q126" s="1026"/>
      <c r="R126" s="1026"/>
    </row>
    <row r="127" spans="1:18" ht="48">
      <c r="B127" s="2534"/>
      <c r="C127" s="1026" t="s">
        <v>949</v>
      </c>
      <c r="D127" s="1027">
        <f>'8.2 - VENT_DUCT TIGHTNESS'!G33</f>
        <v>0</v>
      </c>
      <c r="E127" s="1027">
        <f>'8.2 - VENT_DUCT TIGHTNESS'!H33</f>
        <v>0</v>
      </c>
      <c r="F127" s="1034">
        <f>'8.2 - VENT_DUCT TIGHTNESS'!I33</f>
        <v>0</v>
      </c>
      <c r="G127" s="1357"/>
      <c r="Q127" s="1026"/>
      <c r="R127" s="1026"/>
    </row>
    <row r="128" spans="1:18" ht="24">
      <c r="B128" s="1026" t="s">
        <v>950</v>
      </c>
      <c r="C128" s="1030" t="s">
        <v>86</v>
      </c>
      <c r="D128" s="1027">
        <f>'8.2 - VENT_SCHEDULE&amp;TAB REPORT'!O60</f>
        <v>0</v>
      </c>
      <c r="E128" s="1027">
        <f>'8.2 - VENT_SCHEDULE&amp;TAB REPORT'!P60</f>
        <v>0</v>
      </c>
      <c r="F128" s="1034">
        <f>'8.2 - VENT_SCHEDULE&amp;TAB REPORT'!Q60</f>
        <v>0</v>
      </c>
      <c r="G128" s="1357"/>
      <c r="Q128" s="1030"/>
      <c r="R128" s="1030"/>
    </row>
    <row r="129" spans="1:18">
      <c r="A129" s="1031"/>
      <c r="B129" s="2535" t="s">
        <v>951</v>
      </c>
      <c r="C129" s="2536"/>
      <c r="D129" s="1025"/>
      <c r="E129" s="1025"/>
      <c r="F129" s="1025"/>
      <c r="G129" s="1356"/>
      <c r="Q129" s="1001"/>
      <c r="R129" s="1001"/>
    </row>
    <row r="130" spans="1:18" ht="72">
      <c r="A130" s="1031"/>
      <c r="B130" s="1026" t="s">
        <v>952</v>
      </c>
      <c r="C130" s="1030" t="s">
        <v>953</v>
      </c>
      <c r="D130" s="1027">
        <f>'9.1 - METERS'!J29</f>
        <v>0</v>
      </c>
      <c r="E130" s="1027">
        <f>'9.1 - METERS'!K29</f>
        <v>0</v>
      </c>
      <c r="F130" s="1034">
        <f>'9.1 - METERS'!L29</f>
        <v>0</v>
      </c>
      <c r="G130" s="1357"/>
      <c r="Q130" s="1030"/>
      <c r="R130" s="1030"/>
    </row>
    <row r="131" spans="1:18" ht="108">
      <c r="A131" s="1031"/>
      <c r="B131" s="1026" t="s">
        <v>954</v>
      </c>
      <c r="C131" s="1030" t="s">
        <v>955</v>
      </c>
      <c r="D131" s="1027" t="s">
        <v>404</v>
      </c>
      <c r="E131" s="1027" t="s">
        <v>404</v>
      </c>
      <c r="F131" s="1034">
        <f>'9.1 - METERS'!L32</f>
        <v>0</v>
      </c>
      <c r="G131" s="1357"/>
      <c r="Q131" s="1030"/>
      <c r="R131" s="1030"/>
    </row>
    <row r="132" spans="1:18" ht="24" customHeight="1">
      <c r="B132" s="2537" t="s">
        <v>956</v>
      </c>
      <c r="C132" s="2538"/>
      <c r="D132" s="2538"/>
      <c r="E132" s="2538"/>
      <c r="F132" s="2539"/>
      <c r="G132" s="1046"/>
      <c r="Q132" s="1001"/>
      <c r="R132" s="1001"/>
    </row>
    <row r="133" spans="1:18">
      <c r="B133" s="1047" t="s">
        <v>957</v>
      </c>
      <c r="C133" s="1048"/>
      <c r="D133" s="1048"/>
      <c r="E133" s="1048"/>
      <c r="F133" s="1049"/>
      <c r="G133" s="1049"/>
      <c r="Q133" s="1050"/>
      <c r="R133" s="1050"/>
    </row>
    <row r="134" spans="1:18">
      <c r="B134" s="1001"/>
      <c r="C134" s="1001"/>
      <c r="D134" s="1001"/>
      <c r="E134" s="1001"/>
      <c r="F134" s="1001"/>
      <c r="G134" s="1001"/>
      <c r="Q134" s="1051"/>
      <c r="R134" s="1051"/>
    </row>
    <row r="135" spans="1:18">
      <c r="B135" s="1001"/>
      <c r="C135" s="1001"/>
      <c r="D135" s="1001"/>
      <c r="E135" s="1001"/>
      <c r="F135" s="1001"/>
      <c r="G135" s="1001"/>
      <c r="Q135" s="1001"/>
      <c r="R135" s="1001"/>
    </row>
    <row r="136" spans="1:18">
      <c r="B136" s="1001"/>
      <c r="C136" s="1001"/>
      <c r="D136" s="1001"/>
      <c r="E136" s="1001"/>
      <c r="F136" s="1001"/>
      <c r="G136" s="1001"/>
      <c r="Q136" s="1001"/>
      <c r="R136" s="1001"/>
    </row>
    <row r="137" spans="1:18">
      <c r="B137" s="1001"/>
      <c r="C137" s="1001"/>
      <c r="D137" s="1001"/>
      <c r="E137" s="1001"/>
      <c r="F137" s="1001"/>
      <c r="G137" s="1001"/>
      <c r="Q137" s="1001"/>
      <c r="R137" s="1001"/>
    </row>
    <row r="138" spans="1:18">
      <c r="B138" s="1001"/>
      <c r="C138" s="1001"/>
      <c r="D138" s="1001"/>
      <c r="E138" s="1001"/>
      <c r="F138" s="1001"/>
      <c r="G138" s="1001"/>
      <c r="Q138" s="1001"/>
      <c r="R138" s="1001"/>
    </row>
    <row r="139" spans="1:18">
      <c r="B139" s="1001"/>
      <c r="C139" s="1001"/>
      <c r="D139" s="1001"/>
      <c r="E139" s="1001"/>
      <c r="F139" s="1001"/>
      <c r="G139" s="1001"/>
      <c r="Q139" s="1001"/>
      <c r="R139" s="1001"/>
    </row>
    <row r="140" spans="1:18">
      <c r="B140" s="1001"/>
      <c r="C140" s="1001"/>
      <c r="D140" s="1001"/>
      <c r="E140" s="1001"/>
      <c r="F140" s="1001"/>
      <c r="G140" s="1001"/>
      <c r="Q140" s="1001"/>
      <c r="R140" s="1001"/>
    </row>
    <row r="141" spans="1:18">
      <c r="B141" s="1001"/>
      <c r="C141" s="1001"/>
      <c r="D141" s="1001"/>
      <c r="E141" s="1001"/>
      <c r="F141" s="1001"/>
      <c r="G141" s="1001"/>
      <c r="Q141" s="1001"/>
      <c r="R141" s="1001"/>
    </row>
    <row r="142" spans="1:18">
      <c r="B142" s="1001"/>
      <c r="C142" s="1001"/>
      <c r="D142" s="1001"/>
      <c r="E142" s="1001"/>
      <c r="F142" s="1001"/>
      <c r="G142" s="1001"/>
      <c r="Q142" s="1001"/>
      <c r="R142" s="1001"/>
    </row>
    <row r="143" spans="1:18">
      <c r="B143" s="1001"/>
      <c r="C143" s="1001"/>
      <c r="D143" s="1001"/>
      <c r="E143" s="1001"/>
      <c r="F143" s="1001"/>
      <c r="G143" s="1001"/>
      <c r="Q143" s="1001"/>
      <c r="R143" s="1001"/>
    </row>
    <row r="144" spans="1:18">
      <c r="B144" s="1001"/>
      <c r="C144" s="1001"/>
      <c r="D144" s="1001"/>
      <c r="E144" s="1001"/>
      <c r="F144" s="1001"/>
      <c r="G144" s="1001"/>
      <c r="Q144" s="1001"/>
      <c r="R144" s="1001"/>
    </row>
    <row r="145" spans="2:18">
      <c r="B145" s="1001"/>
      <c r="C145" s="1001"/>
      <c r="D145" s="1001"/>
      <c r="E145" s="1001"/>
      <c r="F145" s="1001"/>
      <c r="G145" s="1001"/>
      <c r="Q145" s="1001"/>
      <c r="R145" s="1001"/>
    </row>
    <row r="146" spans="2:18">
      <c r="B146" s="1001"/>
      <c r="C146" s="1001"/>
      <c r="D146" s="1001"/>
      <c r="E146" s="1001"/>
      <c r="F146" s="1001"/>
      <c r="G146" s="1001"/>
      <c r="Q146" s="1001"/>
      <c r="R146" s="1001"/>
    </row>
    <row r="147" spans="2:18">
      <c r="B147" s="1001"/>
      <c r="C147" s="1001"/>
      <c r="D147" s="1001"/>
      <c r="E147" s="1001"/>
      <c r="F147" s="1001"/>
      <c r="G147" s="1001"/>
      <c r="Q147" s="1001"/>
      <c r="R147" s="1001"/>
    </row>
    <row r="148" spans="2:18">
      <c r="B148" s="1001"/>
      <c r="C148" s="1001"/>
      <c r="D148" s="1001"/>
      <c r="E148" s="1001"/>
      <c r="F148" s="1001"/>
      <c r="G148" s="1001"/>
      <c r="Q148" s="1001"/>
      <c r="R148" s="1001"/>
    </row>
    <row r="149" spans="2:18">
      <c r="B149" s="1001"/>
      <c r="C149" s="1001"/>
      <c r="D149" s="1001"/>
      <c r="E149" s="1001"/>
      <c r="F149" s="1001"/>
      <c r="G149" s="1001"/>
      <c r="Q149" s="1001"/>
      <c r="R149" s="1001"/>
    </row>
    <row r="150" spans="2:18">
      <c r="B150" s="1001"/>
      <c r="C150" s="1001"/>
      <c r="D150" s="1001"/>
      <c r="E150" s="1001"/>
      <c r="F150" s="1001"/>
      <c r="G150" s="1001"/>
      <c r="Q150" s="1001"/>
      <c r="R150" s="1001"/>
    </row>
    <row r="151" spans="2:18">
      <c r="B151" s="1001"/>
      <c r="C151" s="1001"/>
      <c r="D151" s="1001"/>
      <c r="E151" s="1001"/>
      <c r="F151" s="1001"/>
      <c r="G151" s="1001"/>
      <c r="Q151" s="1001"/>
      <c r="R151" s="1001"/>
    </row>
    <row r="152" spans="2:18">
      <c r="B152" s="1001"/>
      <c r="C152" s="1001"/>
      <c r="D152" s="1001"/>
      <c r="E152" s="1001"/>
      <c r="F152" s="1001"/>
      <c r="G152" s="1001"/>
      <c r="Q152" s="1001"/>
      <c r="R152" s="1001"/>
    </row>
    <row r="153" spans="2:18">
      <c r="B153" s="1001"/>
      <c r="C153" s="1001"/>
      <c r="D153" s="1001"/>
      <c r="E153" s="1001"/>
      <c r="F153" s="1001"/>
      <c r="G153" s="1001"/>
      <c r="Q153" s="1001"/>
      <c r="R153" s="1001"/>
    </row>
    <row r="154" spans="2:18">
      <c r="B154" s="1001"/>
      <c r="C154" s="1001"/>
      <c r="D154" s="1001"/>
      <c r="E154" s="1001"/>
      <c r="F154" s="1001"/>
      <c r="G154" s="1001"/>
      <c r="Q154" s="1001"/>
      <c r="R154" s="1001"/>
    </row>
    <row r="155" spans="2:18">
      <c r="B155" s="1001"/>
      <c r="C155" s="1001"/>
      <c r="D155" s="1001"/>
      <c r="E155" s="1001"/>
      <c r="F155" s="1001"/>
      <c r="G155" s="1001"/>
      <c r="Q155" s="1001"/>
      <c r="R155" s="1001"/>
    </row>
    <row r="156" spans="2:18">
      <c r="B156" s="1001"/>
      <c r="C156" s="1001"/>
      <c r="D156" s="1001"/>
      <c r="E156" s="1001"/>
      <c r="F156" s="1001"/>
      <c r="G156" s="1001"/>
      <c r="Q156" s="1001"/>
      <c r="R156" s="1001"/>
    </row>
    <row r="157" spans="2:18">
      <c r="B157" s="1001"/>
      <c r="C157" s="1001"/>
      <c r="D157" s="1001"/>
      <c r="E157" s="1001"/>
      <c r="F157" s="1001"/>
      <c r="G157" s="1001"/>
      <c r="Q157" s="1001"/>
      <c r="R157" s="1001"/>
    </row>
    <row r="158" spans="2:18">
      <c r="B158" s="1001"/>
      <c r="C158" s="1001"/>
      <c r="D158" s="1001"/>
      <c r="E158" s="1001"/>
      <c r="F158" s="1001"/>
      <c r="G158" s="1001"/>
      <c r="Q158" s="1001"/>
      <c r="R158" s="1001"/>
    </row>
    <row r="159" spans="2:18">
      <c r="B159" s="1001"/>
      <c r="C159" s="1001"/>
      <c r="D159" s="1001"/>
      <c r="E159" s="1001"/>
      <c r="F159" s="1001"/>
      <c r="G159" s="1001"/>
      <c r="Q159" s="1001"/>
      <c r="R159" s="1001"/>
    </row>
    <row r="160" spans="2:18">
      <c r="B160" s="1001"/>
      <c r="C160" s="1001"/>
      <c r="D160" s="1001"/>
      <c r="E160" s="1001"/>
      <c r="F160" s="1001"/>
      <c r="G160" s="1001"/>
      <c r="Q160" s="1001"/>
      <c r="R160" s="1001"/>
    </row>
    <row r="161" spans="2:18">
      <c r="B161" s="1001"/>
      <c r="C161" s="1001"/>
      <c r="D161" s="1001"/>
      <c r="E161" s="1001"/>
      <c r="F161" s="1001"/>
      <c r="G161" s="1001"/>
      <c r="Q161" s="1001"/>
      <c r="R161" s="1001"/>
    </row>
    <row r="162" spans="2:18">
      <c r="B162" s="1001"/>
      <c r="C162" s="1001"/>
      <c r="D162" s="1001"/>
      <c r="E162" s="1001"/>
      <c r="F162" s="1001"/>
      <c r="G162" s="1001"/>
      <c r="Q162" s="1001"/>
      <c r="R162" s="1001"/>
    </row>
    <row r="163" spans="2:18">
      <c r="B163" s="1001"/>
      <c r="C163" s="1001"/>
      <c r="D163" s="1001"/>
      <c r="E163" s="1001"/>
      <c r="F163" s="1001"/>
      <c r="G163" s="1001"/>
      <c r="Q163" s="1001"/>
      <c r="R163" s="1001"/>
    </row>
    <row r="164" spans="2:18">
      <c r="B164" s="1001"/>
      <c r="C164" s="1001"/>
      <c r="D164" s="1001"/>
      <c r="E164" s="1001"/>
      <c r="F164" s="1001"/>
      <c r="G164" s="1001"/>
      <c r="Q164" s="1001"/>
      <c r="R164" s="1001"/>
    </row>
    <row r="165" spans="2:18">
      <c r="B165" s="1001"/>
      <c r="C165" s="1001"/>
      <c r="D165" s="1001"/>
      <c r="E165" s="1001"/>
      <c r="F165" s="1001"/>
      <c r="G165" s="1001"/>
      <c r="Q165" s="1001"/>
      <c r="R165" s="1001"/>
    </row>
    <row r="166" spans="2:18">
      <c r="B166" s="1001"/>
      <c r="C166" s="1001"/>
      <c r="D166" s="1001"/>
      <c r="E166" s="1001"/>
      <c r="F166" s="1001"/>
      <c r="G166" s="1001"/>
      <c r="Q166" s="1001"/>
      <c r="R166" s="1001"/>
    </row>
    <row r="167" spans="2:18">
      <c r="B167" s="1001"/>
      <c r="C167" s="1001"/>
      <c r="D167" s="1001"/>
      <c r="E167" s="1001"/>
      <c r="F167" s="1001"/>
      <c r="G167" s="1001"/>
      <c r="Q167" s="1001"/>
      <c r="R167" s="1001"/>
    </row>
    <row r="168" spans="2:18">
      <c r="B168" s="1001"/>
      <c r="C168" s="1001"/>
      <c r="D168" s="1001"/>
      <c r="E168" s="1001"/>
      <c r="F168" s="1001"/>
      <c r="G168" s="1001"/>
      <c r="Q168" s="1001"/>
      <c r="R168" s="1001"/>
    </row>
    <row r="169" spans="2:18">
      <c r="B169" s="1001"/>
      <c r="C169" s="1001"/>
      <c r="D169" s="1001"/>
      <c r="E169" s="1001"/>
      <c r="F169" s="1001"/>
      <c r="G169" s="1001"/>
      <c r="Q169" s="1001"/>
      <c r="R169" s="1001"/>
    </row>
    <row r="170" spans="2:18">
      <c r="B170" s="1001"/>
      <c r="C170" s="1001"/>
      <c r="D170" s="1001"/>
      <c r="E170" s="1001"/>
      <c r="F170" s="1001"/>
      <c r="G170" s="1001"/>
      <c r="Q170" s="1001"/>
      <c r="R170" s="1001"/>
    </row>
    <row r="171" spans="2:18">
      <c r="B171" s="1001"/>
      <c r="C171" s="1001"/>
      <c r="D171" s="1001"/>
      <c r="E171" s="1001"/>
      <c r="F171" s="1001"/>
      <c r="G171" s="1001"/>
      <c r="Q171" s="1001"/>
      <c r="R171" s="1001"/>
    </row>
    <row r="172" spans="2:18">
      <c r="B172" s="1001"/>
      <c r="C172" s="1001"/>
      <c r="D172" s="1001"/>
      <c r="E172" s="1001"/>
      <c r="F172" s="1001"/>
      <c r="G172" s="1001"/>
      <c r="Q172" s="1001"/>
      <c r="R172" s="1001"/>
    </row>
    <row r="173" spans="2:18">
      <c r="B173" s="1001"/>
      <c r="C173" s="1001"/>
      <c r="D173" s="1001"/>
      <c r="E173" s="1001"/>
      <c r="F173" s="1001"/>
      <c r="G173" s="1001"/>
      <c r="Q173" s="1001"/>
      <c r="R173" s="1001"/>
    </row>
    <row r="174" spans="2:18">
      <c r="B174" s="1001"/>
      <c r="C174" s="1001"/>
      <c r="D174" s="1001"/>
      <c r="E174" s="1001"/>
      <c r="F174" s="1001"/>
      <c r="G174" s="1001"/>
      <c r="Q174" s="1001"/>
      <c r="R174" s="1001"/>
    </row>
    <row r="175" spans="2:18">
      <c r="B175" s="1001"/>
      <c r="C175" s="1001"/>
      <c r="D175" s="1001"/>
      <c r="E175" s="1001"/>
      <c r="F175" s="1001"/>
      <c r="G175" s="1001"/>
      <c r="Q175" s="1001"/>
      <c r="R175" s="1001"/>
    </row>
    <row r="176" spans="2:18">
      <c r="B176" s="1001"/>
      <c r="C176" s="1001"/>
      <c r="D176" s="1001"/>
      <c r="E176" s="1001"/>
      <c r="F176" s="1001"/>
      <c r="G176" s="1001"/>
      <c r="Q176" s="1001"/>
      <c r="R176" s="1001"/>
    </row>
    <row r="177" spans="2:18">
      <c r="B177" s="1001"/>
      <c r="C177" s="1001"/>
      <c r="D177" s="1001"/>
      <c r="E177" s="1001"/>
      <c r="F177" s="1001"/>
      <c r="G177" s="1001"/>
      <c r="Q177" s="1001"/>
      <c r="R177" s="1001"/>
    </row>
    <row r="178" spans="2:18">
      <c r="B178" s="1001"/>
      <c r="C178" s="1001"/>
      <c r="D178" s="1001"/>
      <c r="E178" s="1001"/>
      <c r="F178" s="1001"/>
      <c r="G178" s="1001"/>
      <c r="Q178" s="1001"/>
      <c r="R178" s="1001"/>
    </row>
    <row r="179" spans="2:18">
      <c r="B179" s="1001"/>
      <c r="C179" s="1001"/>
      <c r="D179" s="1001"/>
      <c r="E179" s="1001"/>
      <c r="F179" s="1001"/>
      <c r="G179" s="1001"/>
      <c r="Q179" s="1001"/>
      <c r="R179" s="1001"/>
    </row>
    <row r="180" spans="2:18">
      <c r="B180" s="1001"/>
      <c r="C180" s="1001"/>
      <c r="D180" s="1001"/>
      <c r="E180" s="1001"/>
      <c r="F180" s="1001"/>
      <c r="G180" s="1001"/>
      <c r="Q180" s="1001"/>
      <c r="R180" s="1001"/>
    </row>
    <row r="181" spans="2:18">
      <c r="B181" s="1001"/>
      <c r="C181" s="1001"/>
      <c r="D181" s="1001"/>
      <c r="E181" s="1001"/>
      <c r="F181" s="1001"/>
      <c r="G181" s="1001"/>
      <c r="Q181" s="1001"/>
      <c r="R181" s="1001"/>
    </row>
    <row r="182" spans="2:18">
      <c r="B182" s="1001"/>
      <c r="C182" s="1001"/>
      <c r="D182" s="1001"/>
      <c r="E182" s="1001"/>
      <c r="F182" s="1001"/>
      <c r="G182" s="1001"/>
      <c r="Q182" s="1001"/>
      <c r="R182" s="1001"/>
    </row>
    <row r="183" spans="2:18">
      <c r="B183" s="1001"/>
      <c r="C183" s="1001"/>
      <c r="D183" s="1001"/>
      <c r="E183" s="1001"/>
      <c r="F183" s="1001"/>
      <c r="G183" s="1001"/>
      <c r="Q183" s="1001"/>
      <c r="R183" s="1001"/>
    </row>
    <row r="184" spans="2:18">
      <c r="B184" s="1001"/>
      <c r="C184" s="1001"/>
      <c r="D184" s="1001"/>
      <c r="E184" s="1001"/>
      <c r="F184" s="1001"/>
      <c r="G184" s="1001"/>
      <c r="Q184" s="1001"/>
      <c r="R184" s="1001"/>
    </row>
    <row r="185" spans="2:18">
      <c r="B185" s="1001"/>
      <c r="C185" s="1001"/>
      <c r="D185" s="1001"/>
      <c r="E185" s="1001"/>
      <c r="F185" s="1001"/>
      <c r="G185" s="1001"/>
      <c r="Q185" s="1001"/>
      <c r="R185" s="1001"/>
    </row>
    <row r="186" spans="2:18">
      <c r="B186" s="1001"/>
      <c r="C186" s="1001"/>
      <c r="D186" s="1001"/>
      <c r="E186" s="1001"/>
      <c r="F186" s="1001"/>
      <c r="G186" s="1001"/>
      <c r="Q186" s="1001"/>
      <c r="R186" s="1001"/>
    </row>
    <row r="187" spans="2:18">
      <c r="B187" s="1001"/>
      <c r="C187" s="1001"/>
      <c r="D187" s="1001"/>
      <c r="E187" s="1001"/>
      <c r="F187" s="1001"/>
      <c r="G187" s="1001"/>
      <c r="Q187" s="1001"/>
      <c r="R187" s="1001"/>
    </row>
    <row r="188" spans="2:18">
      <c r="B188" s="1001"/>
      <c r="C188" s="1001"/>
      <c r="D188" s="1001"/>
      <c r="E188" s="1001"/>
      <c r="F188" s="1001"/>
      <c r="G188" s="1001"/>
      <c r="Q188" s="1001"/>
      <c r="R188" s="1001"/>
    </row>
    <row r="189" spans="2:18">
      <c r="B189" s="1001"/>
      <c r="C189" s="1001"/>
      <c r="D189" s="1001"/>
      <c r="E189" s="1001"/>
      <c r="F189" s="1001"/>
      <c r="G189" s="1001"/>
      <c r="Q189" s="1001"/>
      <c r="R189" s="1001"/>
    </row>
    <row r="190" spans="2:18">
      <c r="B190" s="1001"/>
      <c r="C190" s="1001"/>
      <c r="D190" s="1001"/>
      <c r="E190" s="1001"/>
      <c r="F190" s="1001"/>
      <c r="G190" s="1001"/>
      <c r="Q190" s="1001"/>
      <c r="R190" s="1001"/>
    </row>
    <row r="191" spans="2:18">
      <c r="B191" s="1001"/>
      <c r="C191" s="1001"/>
      <c r="D191" s="1001"/>
      <c r="E191" s="1001"/>
      <c r="F191" s="1001"/>
      <c r="G191" s="1001"/>
      <c r="Q191" s="1001"/>
      <c r="R191" s="1001"/>
    </row>
    <row r="192" spans="2:18">
      <c r="B192" s="1001"/>
      <c r="C192" s="1001"/>
      <c r="D192" s="1001"/>
      <c r="E192" s="1001"/>
      <c r="F192" s="1001"/>
      <c r="G192" s="1001"/>
      <c r="Q192" s="1001"/>
      <c r="R192" s="1001"/>
    </row>
    <row r="193" spans="2:18">
      <c r="B193" s="1001"/>
      <c r="C193" s="1001"/>
      <c r="D193" s="1001"/>
      <c r="E193" s="1001"/>
      <c r="F193" s="1001"/>
      <c r="G193" s="1001"/>
      <c r="Q193" s="1001"/>
      <c r="R193" s="1001"/>
    </row>
    <row r="194" spans="2:18">
      <c r="B194" s="1001"/>
      <c r="C194" s="1001"/>
      <c r="D194" s="1001"/>
      <c r="E194" s="1001"/>
      <c r="F194" s="1001"/>
      <c r="G194" s="1001"/>
      <c r="Q194" s="1001"/>
      <c r="R194" s="1001"/>
    </row>
    <row r="195" spans="2:18">
      <c r="B195" s="1001"/>
      <c r="C195" s="1001"/>
      <c r="D195" s="1001"/>
      <c r="E195" s="1001"/>
      <c r="F195" s="1001"/>
      <c r="G195" s="1001"/>
      <c r="Q195" s="1001"/>
      <c r="R195" s="1001"/>
    </row>
    <row r="196" spans="2:18">
      <c r="B196" s="1001"/>
      <c r="C196" s="1001"/>
      <c r="D196" s="1001"/>
      <c r="E196" s="1001"/>
      <c r="F196" s="1001"/>
      <c r="G196" s="1001"/>
      <c r="Q196" s="1001"/>
      <c r="R196" s="1001"/>
    </row>
    <row r="197" spans="2:18">
      <c r="B197" s="1001"/>
      <c r="C197" s="1001"/>
      <c r="D197" s="1001"/>
      <c r="E197" s="1001"/>
      <c r="F197" s="1001"/>
      <c r="G197" s="1001"/>
      <c r="Q197" s="1001"/>
      <c r="R197" s="1001"/>
    </row>
    <row r="198" spans="2:18">
      <c r="B198" s="1001"/>
      <c r="C198" s="1001"/>
      <c r="D198" s="1001"/>
      <c r="E198" s="1001"/>
      <c r="F198" s="1001"/>
      <c r="G198" s="1001"/>
      <c r="Q198" s="1001"/>
      <c r="R198" s="1001"/>
    </row>
    <row r="199" spans="2:18">
      <c r="B199" s="1001"/>
      <c r="C199" s="1001"/>
      <c r="D199" s="1001"/>
      <c r="E199" s="1001"/>
      <c r="F199" s="1001"/>
      <c r="G199" s="1001"/>
      <c r="Q199" s="1001"/>
      <c r="R199" s="1001"/>
    </row>
    <row r="200" spans="2:18">
      <c r="B200" s="1001"/>
      <c r="C200" s="1001"/>
      <c r="D200" s="1001"/>
      <c r="E200" s="1001"/>
      <c r="F200" s="1001"/>
      <c r="G200" s="1001"/>
      <c r="Q200" s="1001"/>
      <c r="R200" s="1001"/>
    </row>
    <row r="201" spans="2:18">
      <c r="B201" s="1001"/>
      <c r="C201" s="1001"/>
      <c r="D201" s="1001"/>
      <c r="E201" s="1001"/>
      <c r="F201" s="1001"/>
      <c r="G201" s="1001"/>
      <c r="Q201" s="1001"/>
      <c r="R201" s="1001"/>
    </row>
    <row r="202" spans="2:18">
      <c r="B202" s="1001"/>
      <c r="C202" s="1001"/>
      <c r="D202" s="1001"/>
      <c r="E202" s="1001"/>
      <c r="F202" s="1001"/>
      <c r="G202" s="1001"/>
      <c r="Q202" s="1001"/>
      <c r="R202" s="1001"/>
    </row>
    <row r="203" spans="2:18">
      <c r="B203" s="1001"/>
      <c r="C203" s="1001"/>
      <c r="D203" s="1001"/>
      <c r="E203" s="1001"/>
      <c r="F203" s="1001"/>
      <c r="G203" s="1001"/>
      <c r="Q203" s="1001"/>
      <c r="R203" s="1001"/>
    </row>
    <row r="204" spans="2:18">
      <c r="B204" s="1001"/>
      <c r="C204" s="1001"/>
      <c r="D204" s="1001"/>
      <c r="E204" s="1001"/>
      <c r="F204" s="1001"/>
      <c r="G204" s="1001"/>
      <c r="Q204" s="1001"/>
      <c r="R204" s="1001"/>
    </row>
    <row r="205" spans="2:18" ht="18">
      <c r="B205" s="1052"/>
      <c r="C205" s="1001"/>
      <c r="D205" s="1001"/>
      <c r="E205" s="1001"/>
      <c r="F205" s="1001"/>
      <c r="G205" s="1001"/>
      <c r="Q205" s="1001"/>
      <c r="R205" s="1001"/>
    </row>
    <row r="206" spans="2:18">
      <c r="B206" s="1001"/>
      <c r="C206" s="1001"/>
      <c r="D206" s="1001"/>
      <c r="E206" s="1001"/>
      <c r="F206" s="1001"/>
      <c r="G206" s="1001"/>
      <c r="Q206" s="1001"/>
      <c r="R206" s="1001"/>
    </row>
    <row r="207" spans="2:18">
      <c r="B207" s="1001"/>
      <c r="C207" s="1001"/>
      <c r="D207" s="1001"/>
      <c r="E207" s="1001"/>
      <c r="F207" s="1001"/>
      <c r="G207" s="1001"/>
      <c r="Q207" s="1001"/>
      <c r="R207" s="1001"/>
    </row>
    <row r="208" spans="2:18">
      <c r="B208" s="1001"/>
      <c r="C208" s="1001"/>
      <c r="D208" s="1001"/>
      <c r="E208" s="1001"/>
      <c r="F208" s="1001"/>
      <c r="G208" s="1001"/>
      <c r="Q208" s="1001"/>
      <c r="R208" s="1001"/>
    </row>
    <row r="209" spans="2:18">
      <c r="B209" s="1001"/>
      <c r="C209" s="1001"/>
      <c r="D209" s="1001"/>
      <c r="E209" s="1001"/>
      <c r="F209" s="1001"/>
      <c r="G209" s="1001"/>
      <c r="Q209" s="1001"/>
      <c r="R209" s="1001"/>
    </row>
    <row r="210" spans="2:18">
      <c r="B210" s="1001"/>
      <c r="C210" s="1001"/>
      <c r="D210" s="1001"/>
      <c r="E210" s="1001"/>
      <c r="F210" s="1001"/>
      <c r="G210" s="1001"/>
      <c r="Q210" s="1001"/>
      <c r="R210" s="1001"/>
    </row>
    <row r="211" spans="2:18">
      <c r="B211" s="1001"/>
      <c r="C211" s="1001"/>
      <c r="D211" s="1001"/>
      <c r="E211" s="1001"/>
      <c r="F211" s="1001"/>
      <c r="G211" s="1001"/>
      <c r="Q211" s="1001"/>
      <c r="R211" s="1001"/>
    </row>
    <row r="212" spans="2:18">
      <c r="B212" s="1001"/>
      <c r="C212" s="1001"/>
      <c r="D212" s="1001"/>
      <c r="E212" s="1001"/>
      <c r="F212" s="1001"/>
      <c r="G212" s="1001"/>
      <c r="Q212" s="1001"/>
      <c r="R212" s="1001"/>
    </row>
    <row r="213" spans="2:18">
      <c r="B213" s="1001"/>
      <c r="C213" s="1001"/>
      <c r="D213" s="1001"/>
      <c r="E213" s="1001"/>
      <c r="F213" s="1001"/>
      <c r="G213" s="1001"/>
      <c r="Q213" s="1001"/>
      <c r="R213" s="1001"/>
    </row>
    <row r="214" spans="2:18">
      <c r="B214" s="1001"/>
      <c r="C214" s="1001"/>
      <c r="D214" s="1001"/>
      <c r="E214" s="1001"/>
      <c r="F214" s="1001"/>
      <c r="G214" s="1001"/>
      <c r="Q214" s="1001"/>
      <c r="R214" s="1001"/>
    </row>
    <row r="215" spans="2:18">
      <c r="B215" s="1001"/>
      <c r="C215" s="1001"/>
      <c r="D215" s="1001"/>
      <c r="E215" s="1001"/>
      <c r="F215" s="1001"/>
      <c r="G215" s="1001"/>
      <c r="Q215" s="1001"/>
      <c r="R215" s="1001"/>
    </row>
    <row r="216" spans="2:18">
      <c r="B216" s="1001"/>
      <c r="C216" s="1001"/>
      <c r="D216" s="1001"/>
      <c r="E216" s="1001"/>
      <c r="F216" s="1001"/>
      <c r="G216" s="1001"/>
      <c r="Q216" s="1001"/>
      <c r="R216" s="1001"/>
    </row>
    <row r="217" spans="2:18">
      <c r="B217" s="1001"/>
      <c r="C217" s="1001"/>
      <c r="D217" s="1001"/>
      <c r="E217" s="1001"/>
      <c r="F217" s="1001"/>
      <c r="G217" s="1001"/>
      <c r="Q217" s="1001"/>
      <c r="R217" s="1001"/>
    </row>
    <row r="218" spans="2:18">
      <c r="B218" s="1001"/>
      <c r="C218" s="1001"/>
      <c r="D218" s="1001"/>
      <c r="E218" s="1001"/>
      <c r="F218" s="1001"/>
      <c r="G218" s="1001"/>
      <c r="Q218" s="1001"/>
      <c r="R218" s="1001"/>
    </row>
    <row r="219" spans="2:18">
      <c r="B219" s="1001"/>
      <c r="C219" s="1001"/>
      <c r="D219" s="1001"/>
      <c r="E219" s="1001"/>
      <c r="F219" s="1001"/>
      <c r="G219" s="1001"/>
      <c r="Q219" s="1001"/>
      <c r="R219" s="1001"/>
    </row>
    <row r="220" spans="2:18">
      <c r="B220" s="1001"/>
      <c r="C220" s="1001"/>
      <c r="D220" s="1001"/>
      <c r="E220" s="1001"/>
      <c r="F220" s="1001"/>
      <c r="G220" s="1001"/>
      <c r="Q220" s="1001"/>
      <c r="R220" s="1001"/>
    </row>
    <row r="221" spans="2:18">
      <c r="B221" s="1001"/>
      <c r="C221" s="1001"/>
      <c r="D221" s="1001"/>
      <c r="E221" s="1001"/>
      <c r="F221" s="1001"/>
      <c r="G221" s="1001"/>
      <c r="Q221" s="1001"/>
      <c r="R221" s="1001"/>
    </row>
    <row r="222" spans="2:18">
      <c r="B222" s="1001"/>
      <c r="C222" s="1001"/>
      <c r="D222" s="1001"/>
      <c r="E222" s="1001"/>
      <c r="F222" s="1001"/>
      <c r="G222" s="1001"/>
      <c r="Q222" s="1001"/>
      <c r="R222" s="1001"/>
    </row>
    <row r="223" spans="2:18">
      <c r="B223" s="1001"/>
      <c r="C223" s="1001"/>
      <c r="D223" s="1001"/>
      <c r="E223" s="1001"/>
      <c r="F223" s="1001"/>
      <c r="G223" s="1001"/>
      <c r="Q223" s="1001"/>
      <c r="R223" s="1001"/>
    </row>
    <row r="224" spans="2:18">
      <c r="B224" s="1001"/>
      <c r="C224" s="1001"/>
      <c r="D224" s="1001"/>
      <c r="E224" s="1001"/>
      <c r="F224" s="1001"/>
      <c r="G224" s="1001"/>
      <c r="Q224" s="1001"/>
      <c r="R224" s="1001"/>
    </row>
    <row r="225" spans="2:18">
      <c r="B225" s="1001"/>
      <c r="C225" s="1001"/>
      <c r="D225" s="1001"/>
      <c r="E225" s="1001"/>
      <c r="F225" s="1001"/>
      <c r="G225" s="1001"/>
      <c r="Q225" s="1001"/>
      <c r="R225" s="1001"/>
    </row>
    <row r="226" spans="2:18">
      <c r="B226" s="1001"/>
      <c r="C226" s="1001"/>
      <c r="D226" s="1001"/>
      <c r="E226" s="1001"/>
      <c r="F226" s="1001"/>
      <c r="G226" s="1001"/>
      <c r="Q226" s="1001"/>
      <c r="R226" s="1001"/>
    </row>
    <row r="227" spans="2:18">
      <c r="B227" s="1001"/>
      <c r="C227" s="1001"/>
      <c r="D227" s="1001"/>
      <c r="E227" s="1001"/>
      <c r="F227" s="1001"/>
      <c r="G227" s="1001"/>
      <c r="Q227" s="1001"/>
      <c r="R227" s="1001"/>
    </row>
    <row r="228" spans="2:18">
      <c r="B228" s="1001"/>
      <c r="C228" s="1001"/>
      <c r="D228" s="1001"/>
      <c r="E228" s="1001"/>
      <c r="F228" s="1001"/>
      <c r="G228" s="1001"/>
      <c r="Q228" s="1001"/>
      <c r="R228" s="1001"/>
    </row>
    <row r="229" spans="2:18">
      <c r="B229" s="1001"/>
      <c r="C229" s="1001"/>
      <c r="D229" s="1001"/>
      <c r="E229" s="1001"/>
      <c r="F229" s="1001"/>
      <c r="G229" s="1001"/>
      <c r="Q229" s="1001"/>
      <c r="R229" s="1001"/>
    </row>
    <row r="230" spans="2:18">
      <c r="B230" s="1001"/>
      <c r="C230" s="1001"/>
      <c r="D230" s="1001"/>
      <c r="E230" s="1001"/>
      <c r="F230" s="1001"/>
      <c r="G230" s="1001"/>
      <c r="Q230" s="1001"/>
      <c r="R230" s="1001"/>
    </row>
    <row r="231" spans="2:18">
      <c r="B231" s="1001"/>
      <c r="C231" s="1001"/>
      <c r="D231" s="1001"/>
      <c r="E231" s="1001"/>
      <c r="F231" s="1001"/>
      <c r="G231" s="1001"/>
      <c r="Q231" s="1001"/>
      <c r="R231" s="1001"/>
    </row>
    <row r="232" spans="2:18">
      <c r="B232" s="1001"/>
      <c r="C232" s="1001"/>
      <c r="D232" s="1001"/>
      <c r="E232" s="1001"/>
      <c r="F232" s="1001"/>
      <c r="G232" s="1001"/>
      <c r="Q232" s="1001"/>
      <c r="R232" s="1001"/>
    </row>
    <row r="233" spans="2:18">
      <c r="B233" s="1001"/>
      <c r="C233" s="1001"/>
      <c r="D233" s="1001"/>
      <c r="E233" s="1001"/>
      <c r="F233" s="1001"/>
      <c r="G233" s="1001"/>
      <c r="Q233" s="1001"/>
      <c r="R233" s="1001"/>
    </row>
    <row r="234" spans="2:18">
      <c r="B234" s="1001"/>
      <c r="C234" s="1001"/>
      <c r="D234" s="1001"/>
      <c r="E234" s="1001"/>
      <c r="F234" s="1001"/>
      <c r="G234" s="1001"/>
      <c r="Q234" s="1001"/>
      <c r="R234" s="1001"/>
    </row>
    <row r="235" spans="2:18">
      <c r="B235" s="1001"/>
      <c r="C235" s="1001"/>
      <c r="D235" s="1001"/>
      <c r="E235" s="1001"/>
      <c r="F235" s="1001"/>
      <c r="G235" s="1001"/>
      <c r="Q235" s="1001"/>
      <c r="R235" s="1001"/>
    </row>
    <row r="236" spans="2:18">
      <c r="B236" s="1001"/>
      <c r="C236" s="1001"/>
      <c r="D236" s="1001"/>
      <c r="E236" s="1001"/>
      <c r="F236" s="1001"/>
      <c r="G236" s="1001"/>
      <c r="Q236" s="1001"/>
      <c r="R236" s="1001"/>
    </row>
    <row r="237" spans="2:18">
      <c r="B237" s="1001"/>
      <c r="C237" s="1001"/>
      <c r="D237" s="1001"/>
      <c r="E237" s="1001"/>
      <c r="F237" s="1001"/>
      <c r="G237" s="1001"/>
      <c r="Q237" s="1001"/>
      <c r="R237" s="1001"/>
    </row>
    <row r="238" spans="2:18">
      <c r="B238" s="1001"/>
      <c r="C238" s="1001"/>
      <c r="D238" s="1001"/>
      <c r="E238" s="1001"/>
      <c r="F238" s="1001"/>
      <c r="G238" s="1001"/>
      <c r="Q238" s="1001"/>
      <c r="R238" s="1001"/>
    </row>
    <row r="239" spans="2:18">
      <c r="B239" s="1001"/>
      <c r="C239" s="1001"/>
      <c r="D239" s="1001"/>
      <c r="E239" s="1001"/>
      <c r="F239" s="1001"/>
      <c r="G239" s="1001"/>
      <c r="Q239" s="1001"/>
      <c r="R239" s="1001"/>
    </row>
    <row r="240" spans="2:18">
      <c r="B240" s="1001"/>
      <c r="C240" s="1001"/>
      <c r="D240" s="1001"/>
      <c r="E240" s="1001"/>
      <c r="F240" s="1001"/>
      <c r="G240" s="1001"/>
      <c r="Q240" s="1001"/>
      <c r="R240" s="1001"/>
    </row>
    <row r="241" spans="2:18">
      <c r="B241" s="1001"/>
      <c r="C241" s="1001"/>
      <c r="D241" s="1001"/>
      <c r="E241" s="1001"/>
      <c r="F241" s="1001"/>
      <c r="G241" s="1001"/>
      <c r="Q241" s="1001"/>
      <c r="R241" s="1001"/>
    </row>
    <row r="242" spans="2:18">
      <c r="B242" s="1001"/>
      <c r="C242" s="1001"/>
      <c r="D242" s="1001"/>
      <c r="E242" s="1001"/>
      <c r="F242" s="1001"/>
      <c r="G242" s="1001"/>
      <c r="Q242" s="1001"/>
      <c r="R242" s="1001"/>
    </row>
    <row r="243" spans="2:18">
      <c r="B243" s="1001"/>
      <c r="C243" s="1001"/>
      <c r="D243" s="1001"/>
      <c r="E243" s="1001"/>
      <c r="F243" s="1001"/>
      <c r="G243" s="1001"/>
      <c r="Q243" s="1001"/>
      <c r="R243" s="1001"/>
    </row>
    <row r="244" spans="2:18">
      <c r="B244" s="1001"/>
      <c r="C244" s="1001"/>
      <c r="D244" s="1001"/>
      <c r="E244" s="1001"/>
      <c r="F244" s="1001"/>
      <c r="G244" s="1001"/>
      <c r="Q244" s="1001"/>
      <c r="R244" s="1001"/>
    </row>
    <row r="245" spans="2:18">
      <c r="B245" s="1001"/>
      <c r="C245" s="1001"/>
      <c r="D245" s="1001"/>
      <c r="E245" s="1001"/>
      <c r="F245" s="1001"/>
      <c r="G245" s="1001"/>
      <c r="Q245" s="1001"/>
      <c r="R245" s="1001"/>
    </row>
    <row r="246" spans="2:18">
      <c r="B246" s="1001"/>
      <c r="C246" s="1001"/>
      <c r="D246" s="1001"/>
      <c r="E246" s="1001"/>
      <c r="F246" s="1001"/>
      <c r="G246" s="1001"/>
      <c r="Q246" s="1001"/>
      <c r="R246" s="1001"/>
    </row>
    <row r="247" spans="2:18">
      <c r="B247" s="1001"/>
      <c r="C247" s="1001"/>
      <c r="D247" s="1001"/>
      <c r="E247" s="1001"/>
      <c r="F247" s="1001"/>
      <c r="G247" s="1001"/>
      <c r="Q247" s="1001"/>
      <c r="R247" s="1001"/>
    </row>
    <row r="248" spans="2:18">
      <c r="B248" s="1001"/>
      <c r="C248" s="1001"/>
      <c r="D248" s="1001"/>
      <c r="E248" s="1001"/>
      <c r="F248" s="1001"/>
      <c r="G248" s="1001"/>
      <c r="Q248" s="1001"/>
      <c r="R248" s="1001"/>
    </row>
    <row r="249" spans="2:18">
      <c r="B249" s="1001"/>
      <c r="C249" s="1001"/>
      <c r="D249" s="1001"/>
      <c r="E249" s="1001"/>
      <c r="F249" s="1001"/>
      <c r="G249" s="1001"/>
      <c r="Q249" s="1001"/>
      <c r="R249" s="1001"/>
    </row>
    <row r="250" spans="2:18">
      <c r="B250" s="1001"/>
      <c r="C250" s="1001"/>
      <c r="D250" s="1001"/>
      <c r="E250" s="1001"/>
      <c r="F250" s="1001"/>
      <c r="G250" s="1001"/>
      <c r="Q250" s="1001"/>
      <c r="R250" s="1001"/>
    </row>
    <row r="251" spans="2:18">
      <c r="B251" s="1001"/>
      <c r="C251" s="1001"/>
      <c r="D251" s="1001"/>
      <c r="E251" s="1001"/>
      <c r="F251" s="1001"/>
      <c r="G251" s="1001"/>
      <c r="Q251" s="1001"/>
      <c r="R251" s="1001"/>
    </row>
    <row r="252" spans="2:18">
      <c r="B252" s="1001"/>
      <c r="C252" s="1001"/>
      <c r="D252" s="1001"/>
      <c r="E252" s="1001"/>
      <c r="F252" s="1001"/>
      <c r="G252" s="1001"/>
      <c r="Q252" s="1001"/>
      <c r="R252" s="1001"/>
    </row>
    <row r="253" spans="2:18">
      <c r="B253" s="1001"/>
      <c r="C253" s="1001"/>
      <c r="D253" s="1001"/>
      <c r="E253" s="1001"/>
      <c r="F253" s="1001"/>
      <c r="G253" s="1001"/>
      <c r="Q253" s="1001"/>
      <c r="R253" s="1001"/>
    </row>
    <row r="254" spans="2:18">
      <c r="B254" s="1001"/>
      <c r="C254" s="1001"/>
      <c r="D254" s="1001"/>
      <c r="E254" s="1001"/>
      <c r="F254" s="1001"/>
      <c r="G254" s="1001"/>
      <c r="Q254" s="1001"/>
      <c r="R254" s="1001"/>
    </row>
    <row r="255" spans="2:18">
      <c r="B255" s="1001"/>
      <c r="C255" s="1001"/>
      <c r="D255" s="1001"/>
      <c r="E255" s="1001"/>
      <c r="F255" s="1001"/>
      <c r="G255" s="1001"/>
      <c r="Q255" s="1001"/>
      <c r="R255" s="1001"/>
    </row>
    <row r="256" spans="2:18">
      <c r="B256" s="1001"/>
      <c r="C256" s="1001"/>
      <c r="D256" s="1001"/>
      <c r="E256" s="1001"/>
      <c r="F256" s="1001"/>
      <c r="G256" s="1001"/>
      <c r="Q256" s="1001"/>
      <c r="R256" s="1001"/>
    </row>
    <row r="257" spans="2:18">
      <c r="B257" s="1001"/>
      <c r="C257" s="1001"/>
      <c r="D257" s="1001"/>
      <c r="E257" s="1001"/>
      <c r="F257" s="1001"/>
      <c r="G257" s="1001"/>
      <c r="Q257" s="1001"/>
      <c r="R257" s="1001"/>
    </row>
    <row r="258" spans="2:18">
      <c r="B258" s="1001"/>
      <c r="C258" s="1001"/>
      <c r="D258" s="1001"/>
      <c r="E258" s="1001"/>
      <c r="F258" s="1001"/>
      <c r="G258" s="1001"/>
      <c r="Q258" s="1001"/>
      <c r="R258" s="1001"/>
    </row>
    <row r="259" spans="2:18">
      <c r="B259" s="1001"/>
      <c r="C259" s="1001"/>
      <c r="D259" s="1001"/>
      <c r="E259" s="1001"/>
      <c r="F259" s="1001"/>
      <c r="G259" s="1001"/>
      <c r="Q259" s="1001"/>
      <c r="R259" s="1001"/>
    </row>
    <row r="260" spans="2:18">
      <c r="B260" s="1001"/>
      <c r="C260" s="1001"/>
      <c r="D260" s="1001"/>
      <c r="E260" s="1001"/>
      <c r="F260" s="1001"/>
      <c r="G260" s="1001"/>
      <c r="Q260" s="1001"/>
      <c r="R260" s="1001"/>
    </row>
    <row r="261" spans="2:18">
      <c r="B261" s="1001"/>
      <c r="C261" s="1001"/>
      <c r="D261" s="1001"/>
      <c r="E261" s="1001"/>
      <c r="F261" s="1001"/>
      <c r="G261" s="1001"/>
      <c r="Q261" s="1001"/>
      <c r="R261" s="1001"/>
    </row>
    <row r="262" spans="2:18">
      <c r="B262" s="1001"/>
      <c r="C262" s="1001"/>
      <c r="D262" s="1001"/>
      <c r="E262" s="1001"/>
      <c r="F262" s="1001"/>
      <c r="G262" s="1001"/>
      <c r="Q262" s="1001"/>
      <c r="R262" s="1001"/>
    </row>
    <row r="263" spans="2:18">
      <c r="B263" s="1001"/>
      <c r="C263" s="1001"/>
      <c r="D263" s="1001"/>
      <c r="E263" s="1001"/>
      <c r="F263" s="1001"/>
      <c r="G263" s="1001"/>
      <c r="Q263" s="1001"/>
      <c r="R263" s="1001"/>
    </row>
    <row r="264" spans="2:18">
      <c r="B264" s="1001"/>
      <c r="C264" s="1001"/>
      <c r="D264" s="1001"/>
      <c r="E264" s="1001"/>
      <c r="F264" s="1001"/>
      <c r="G264" s="1001"/>
      <c r="Q264" s="1001"/>
      <c r="R264" s="1001"/>
    </row>
    <row r="265" spans="2:18">
      <c r="B265" s="1001"/>
      <c r="C265" s="1001"/>
      <c r="D265" s="1001"/>
      <c r="E265" s="1001"/>
      <c r="F265" s="1001"/>
      <c r="G265" s="1001"/>
      <c r="Q265" s="1001"/>
      <c r="R265" s="1001"/>
    </row>
    <row r="266" spans="2:18">
      <c r="B266" s="1001"/>
      <c r="C266" s="1001"/>
      <c r="D266" s="1001"/>
      <c r="E266" s="1001"/>
      <c r="F266" s="1001"/>
      <c r="G266" s="1001"/>
      <c r="Q266" s="1001"/>
      <c r="R266" s="1001"/>
    </row>
    <row r="267" spans="2:18">
      <c r="B267" s="1001"/>
      <c r="C267" s="1001"/>
      <c r="D267" s="1001"/>
      <c r="E267" s="1001"/>
      <c r="F267" s="1001"/>
      <c r="G267" s="1001"/>
      <c r="Q267" s="1001"/>
      <c r="R267" s="1001"/>
    </row>
    <row r="268" spans="2:18">
      <c r="B268" s="1001"/>
      <c r="C268" s="1001"/>
      <c r="D268" s="1001"/>
      <c r="E268" s="1001"/>
      <c r="F268" s="1001"/>
      <c r="G268" s="1001"/>
      <c r="Q268" s="1001"/>
      <c r="R268" s="1001"/>
    </row>
    <row r="269" spans="2:18">
      <c r="B269" s="1001"/>
      <c r="C269" s="1001"/>
      <c r="D269" s="1001"/>
      <c r="E269" s="1001"/>
      <c r="F269" s="1001"/>
      <c r="G269" s="1001"/>
      <c r="Q269" s="1001"/>
      <c r="R269" s="1001"/>
    </row>
    <row r="270" spans="2:18">
      <c r="B270" s="1001"/>
      <c r="C270" s="1001"/>
      <c r="D270" s="1001"/>
      <c r="E270" s="1001"/>
      <c r="F270" s="1001"/>
      <c r="G270" s="1001"/>
      <c r="Q270" s="1001"/>
      <c r="R270" s="1001"/>
    </row>
    <row r="271" spans="2:18">
      <c r="B271" s="1001"/>
      <c r="C271" s="1001"/>
      <c r="D271" s="1001"/>
      <c r="E271" s="1001"/>
      <c r="F271" s="1001"/>
      <c r="G271" s="1001"/>
      <c r="Q271" s="1001"/>
      <c r="R271" s="1001"/>
    </row>
    <row r="272" spans="2:18">
      <c r="B272" s="1001"/>
      <c r="C272" s="1001"/>
      <c r="D272" s="1001"/>
      <c r="E272" s="1001"/>
      <c r="F272" s="1001"/>
      <c r="G272" s="1001"/>
      <c r="Q272" s="1001"/>
      <c r="R272" s="1001"/>
    </row>
    <row r="273" spans="2:18">
      <c r="B273" s="1001"/>
      <c r="C273" s="1001"/>
      <c r="D273" s="1001"/>
      <c r="E273" s="1001"/>
      <c r="F273" s="1001"/>
      <c r="G273" s="1001"/>
      <c r="Q273" s="1001"/>
      <c r="R273" s="1001"/>
    </row>
    <row r="274" spans="2:18">
      <c r="B274" s="1001"/>
      <c r="C274" s="1001"/>
      <c r="D274" s="1001"/>
      <c r="E274" s="1001"/>
      <c r="F274" s="1001"/>
      <c r="G274" s="1001"/>
      <c r="Q274" s="1001"/>
      <c r="R274" s="1001"/>
    </row>
    <row r="275" spans="2:18">
      <c r="B275" s="1001"/>
      <c r="C275" s="1001"/>
      <c r="D275" s="1001"/>
      <c r="E275" s="1001"/>
      <c r="F275" s="1001"/>
      <c r="G275" s="1001"/>
      <c r="Q275" s="1001"/>
      <c r="R275" s="1001"/>
    </row>
    <row r="276" spans="2:18">
      <c r="B276" s="1001"/>
      <c r="C276" s="1001"/>
      <c r="D276" s="1001"/>
      <c r="E276" s="1001"/>
      <c r="F276" s="1001"/>
      <c r="G276" s="1001"/>
      <c r="Q276" s="1001"/>
      <c r="R276" s="1001"/>
    </row>
    <row r="277" spans="2:18">
      <c r="B277" s="1001"/>
      <c r="C277" s="1001"/>
      <c r="D277" s="1001"/>
      <c r="E277" s="1001"/>
      <c r="F277" s="1001"/>
      <c r="G277" s="1001"/>
      <c r="Q277" s="1001"/>
      <c r="R277" s="1001"/>
    </row>
    <row r="278" spans="2:18">
      <c r="B278" s="1001"/>
      <c r="C278" s="1001"/>
      <c r="D278" s="1001"/>
      <c r="E278" s="1001"/>
      <c r="F278" s="1001"/>
      <c r="G278" s="1001"/>
      <c r="Q278" s="1001"/>
      <c r="R278" s="1001"/>
    </row>
    <row r="279" spans="2:18">
      <c r="B279" s="1001"/>
      <c r="C279" s="1001"/>
      <c r="D279" s="1001"/>
      <c r="E279" s="1001"/>
      <c r="F279" s="1001"/>
      <c r="G279" s="1001"/>
      <c r="Q279" s="1001"/>
      <c r="R279" s="1001"/>
    </row>
    <row r="280" spans="2:18">
      <c r="B280" s="1001"/>
      <c r="C280" s="1001"/>
      <c r="D280" s="1001"/>
      <c r="E280" s="1001"/>
      <c r="F280" s="1001"/>
      <c r="G280" s="1001"/>
      <c r="Q280" s="1001"/>
      <c r="R280" s="1001"/>
    </row>
    <row r="281" spans="2:18">
      <c r="B281" s="1001"/>
      <c r="C281" s="1001"/>
      <c r="D281" s="1001"/>
      <c r="E281" s="1001"/>
      <c r="F281" s="1001"/>
      <c r="G281" s="1001"/>
      <c r="Q281" s="1001"/>
      <c r="R281" s="1001"/>
    </row>
    <row r="282" spans="2:18">
      <c r="B282" s="1001"/>
      <c r="C282" s="1001"/>
      <c r="D282" s="1001"/>
      <c r="E282" s="1001"/>
      <c r="F282" s="1001"/>
      <c r="G282" s="1001"/>
      <c r="Q282" s="1001"/>
      <c r="R282" s="1001"/>
    </row>
    <row r="283" spans="2:18">
      <c r="B283" s="1001"/>
      <c r="C283" s="1001"/>
      <c r="D283" s="1001"/>
      <c r="E283" s="1001"/>
      <c r="F283" s="1001"/>
      <c r="G283" s="1001"/>
      <c r="Q283" s="1001"/>
      <c r="R283" s="1001"/>
    </row>
    <row r="284" spans="2:18">
      <c r="B284" s="1001"/>
      <c r="C284" s="1001"/>
      <c r="D284" s="1001"/>
      <c r="E284" s="1001"/>
      <c r="F284" s="1001"/>
      <c r="G284" s="1001"/>
      <c r="Q284" s="1001"/>
      <c r="R284" s="1001"/>
    </row>
    <row r="285" spans="2:18">
      <c r="B285" s="1001"/>
      <c r="C285" s="1001"/>
      <c r="D285" s="1001"/>
      <c r="E285" s="1001"/>
      <c r="F285" s="1001"/>
      <c r="G285" s="1001"/>
      <c r="Q285" s="1001"/>
      <c r="R285" s="1001"/>
    </row>
  </sheetData>
  <sheetProtection sheet="1" objects="1" scenarios="1" formatCells="0" formatColumns="0" formatRows="0"/>
  <mergeCells count="33">
    <mergeCell ref="B48:B49"/>
    <mergeCell ref="B2:G2"/>
    <mergeCell ref="B3:F3"/>
    <mergeCell ref="B4:F4"/>
    <mergeCell ref="B5:G5"/>
    <mergeCell ref="D8:E8"/>
    <mergeCell ref="B11:C11"/>
    <mergeCell ref="B12:B17"/>
    <mergeCell ref="B18:C18"/>
    <mergeCell ref="B20:B21"/>
    <mergeCell ref="B26:C26"/>
    <mergeCell ref="B27:B47"/>
    <mergeCell ref="B96:B101"/>
    <mergeCell ref="B56:C56"/>
    <mergeCell ref="B57:B59"/>
    <mergeCell ref="B62:B63"/>
    <mergeCell ref="B64:B65"/>
    <mergeCell ref="B66:B68"/>
    <mergeCell ref="B69:B71"/>
    <mergeCell ref="B72:B80"/>
    <mergeCell ref="B81:B82"/>
    <mergeCell ref="B83:B86"/>
    <mergeCell ref="B87:B89"/>
    <mergeCell ref="B90:B95"/>
    <mergeCell ref="B126:B127"/>
    <mergeCell ref="B129:C129"/>
    <mergeCell ref="B132:F132"/>
    <mergeCell ref="B102:C102"/>
    <mergeCell ref="B104:B105"/>
    <mergeCell ref="B107:B109"/>
    <mergeCell ref="B116:C116"/>
    <mergeCell ref="B119:B121"/>
    <mergeCell ref="B122:B125"/>
  </mergeCells>
  <conditionalFormatting sqref="E133:F65536 E125:F131 E122:F122 E116:F119 E106:F112 D8 E9:E15 E1:F3 E62:F103 E26:F54 F5:F15 E16:F18 E5:E7 E56:F60">
    <cfRule type="cellIs" dxfId="24" priority="7" stopIfTrue="1" operator="equal">
      <formula>"No"</formula>
    </cfRule>
  </conditionalFormatting>
  <conditionalFormatting sqref="E19:F25">
    <cfRule type="cellIs" dxfId="23" priority="6" stopIfTrue="1" operator="equal">
      <formula>"No"</formula>
    </cfRule>
  </conditionalFormatting>
  <conditionalFormatting sqref="G133:G65536 G125:G131 G122 G116:G119 G106:G112 G1 G62:G103 G26:G60 G6:G18 G3">
    <cfRule type="cellIs" dxfId="22" priority="5" stopIfTrue="1" operator="equal">
      <formula>"No"</formula>
    </cfRule>
  </conditionalFormatting>
  <conditionalFormatting sqref="G19:G25">
    <cfRule type="cellIs" dxfId="21" priority="4" stopIfTrue="1" operator="equal">
      <formula>"No"</formula>
    </cfRule>
  </conditionalFormatting>
  <conditionalFormatting sqref="E4:F4">
    <cfRule type="cellIs" dxfId="20" priority="3" stopIfTrue="1" operator="equal">
      <formula>"No"</formula>
    </cfRule>
  </conditionalFormatting>
  <conditionalFormatting sqref="G4">
    <cfRule type="cellIs" dxfId="19" priority="2" stopIfTrue="1" operator="equal">
      <formula>"No"</formula>
    </cfRule>
  </conditionalFormatting>
  <conditionalFormatting sqref="E55:F55">
    <cfRule type="cellIs" dxfId="18" priority="1" stopIfTrue="1" operator="equal">
      <formula>"No"</formula>
    </cfRule>
  </conditionalFormatting>
  <dataValidations count="1">
    <dataValidation type="list" allowBlank="1" showInputMessage="1" showErrorMessage="1" sqref="WVL983048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formula1>$K$122:$K$124</formula1>
    </dataValidation>
  </dataValidations>
  <hyperlinks>
    <hyperlink ref="B133" r:id="rId1"/>
  </hyperlink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CCFF"/>
  </sheetPr>
  <dimension ref="B2:Q129"/>
  <sheetViews>
    <sheetView showGridLines="0" zoomScaleNormal="100" zoomScaleSheetLayoutView="100" workbookViewId="0">
      <selection activeCell="B3" sqref="B3:B4"/>
    </sheetView>
  </sheetViews>
  <sheetFormatPr defaultRowHeight="15"/>
  <cols>
    <col min="1" max="1" width="9.140625" style="1362"/>
    <col min="2" max="2" width="32.42578125" style="953" customWidth="1"/>
    <col min="3" max="4" width="37.28515625" style="953" customWidth="1"/>
    <col min="5" max="5" width="12.7109375" style="953" hidden="1" customWidth="1"/>
    <col min="6" max="8" width="25.42578125" style="953" hidden="1" customWidth="1"/>
    <col min="9" max="17" width="25.42578125" style="953" customWidth="1"/>
    <col min="18" max="257" width="9.140625" style="1362"/>
    <col min="258" max="258" width="32.42578125" style="1362" customWidth="1"/>
    <col min="259" max="260" width="37.28515625" style="1362" customWidth="1"/>
    <col min="261" max="264" width="0" style="1362" hidden="1" customWidth="1"/>
    <col min="265" max="273" width="25.42578125" style="1362" customWidth="1"/>
    <col min="274" max="513" width="9.140625" style="1362"/>
    <col min="514" max="514" width="32.42578125" style="1362" customWidth="1"/>
    <col min="515" max="516" width="37.28515625" style="1362" customWidth="1"/>
    <col min="517" max="520" width="0" style="1362" hidden="1" customWidth="1"/>
    <col min="521" max="529" width="25.42578125" style="1362" customWidth="1"/>
    <col min="530" max="769" width="9.140625" style="1362"/>
    <col min="770" max="770" width="32.42578125" style="1362" customWidth="1"/>
    <col min="771" max="772" width="37.28515625" style="1362" customWidth="1"/>
    <col min="773" max="776" width="0" style="1362" hidden="1" customWidth="1"/>
    <col min="777" max="785" width="25.42578125" style="1362" customWidth="1"/>
    <col min="786" max="1025" width="9.140625" style="1362"/>
    <col min="1026" max="1026" width="32.42578125" style="1362" customWidth="1"/>
    <col min="1027" max="1028" width="37.28515625" style="1362" customWidth="1"/>
    <col min="1029" max="1032" width="0" style="1362" hidden="1" customWidth="1"/>
    <col min="1033" max="1041" width="25.42578125" style="1362" customWidth="1"/>
    <col min="1042" max="1281" width="9.140625" style="1362"/>
    <col min="1282" max="1282" width="32.42578125" style="1362" customWidth="1"/>
    <col min="1283" max="1284" width="37.28515625" style="1362" customWidth="1"/>
    <col min="1285" max="1288" width="0" style="1362" hidden="1" customWidth="1"/>
    <col min="1289" max="1297" width="25.42578125" style="1362" customWidth="1"/>
    <col min="1298" max="1537" width="9.140625" style="1362"/>
    <col min="1538" max="1538" width="32.42578125" style="1362" customWidth="1"/>
    <col min="1539" max="1540" width="37.28515625" style="1362" customWidth="1"/>
    <col min="1541" max="1544" width="0" style="1362" hidden="1" customWidth="1"/>
    <col min="1545" max="1553" width="25.42578125" style="1362" customWidth="1"/>
    <col min="1554" max="1793" width="9.140625" style="1362"/>
    <col min="1794" max="1794" width="32.42578125" style="1362" customWidth="1"/>
    <col min="1795" max="1796" width="37.28515625" style="1362" customWidth="1"/>
    <col min="1797" max="1800" width="0" style="1362" hidden="1" customWidth="1"/>
    <col min="1801" max="1809" width="25.42578125" style="1362" customWidth="1"/>
    <col min="1810" max="2049" width="9.140625" style="1362"/>
    <col min="2050" max="2050" width="32.42578125" style="1362" customWidth="1"/>
    <col min="2051" max="2052" width="37.28515625" style="1362" customWidth="1"/>
    <col min="2053" max="2056" width="0" style="1362" hidden="1" customWidth="1"/>
    <col min="2057" max="2065" width="25.42578125" style="1362" customWidth="1"/>
    <col min="2066" max="2305" width="9.140625" style="1362"/>
    <col min="2306" max="2306" width="32.42578125" style="1362" customWidth="1"/>
    <col min="2307" max="2308" width="37.28515625" style="1362" customWidth="1"/>
    <col min="2309" max="2312" width="0" style="1362" hidden="1" customWidth="1"/>
    <col min="2313" max="2321" width="25.42578125" style="1362" customWidth="1"/>
    <col min="2322" max="2561" width="9.140625" style="1362"/>
    <col min="2562" max="2562" width="32.42578125" style="1362" customWidth="1"/>
    <col min="2563" max="2564" width="37.28515625" style="1362" customWidth="1"/>
    <col min="2565" max="2568" width="0" style="1362" hidden="1" customWidth="1"/>
    <col min="2569" max="2577" width="25.42578125" style="1362" customWidth="1"/>
    <col min="2578" max="2817" width="9.140625" style="1362"/>
    <col min="2818" max="2818" width="32.42578125" style="1362" customWidth="1"/>
    <col min="2819" max="2820" width="37.28515625" style="1362" customWidth="1"/>
    <col min="2821" max="2824" width="0" style="1362" hidden="1" customWidth="1"/>
    <col min="2825" max="2833" width="25.42578125" style="1362" customWidth="1"/>
    <col min="2834" max="3073" width="9.140625" style="1362"/>
    <col min="3074" max="3074" width="32.42578125" style="1362" customWidth="1"/>
    <col min="3075" max="3076" width="37.28515625" style="1362" customWidth="1"/>
    <col min="3077" max="3080" width="0" style="1362" hidden="1" customWidth="1"/>
    <col min="3081" max="3089" width="25.42578125" style="1362" customWidth="1"/>
    <col min="3090" max="3329" width="9.140625" style="1362"/>
    <col min="3330" max="3330" width="32.42578125" style="1362" customWidth="1"/>
    <col min="3331" max="3332" width="37.28515625" style="1362" customWidth="1"/>
    <col min="3333" max="3336" width="0" style="1362" hidden="1" customWidth="1"/>
    <col min="3337" max="3345" width="25.42578125" style="1362" customWidth="1"/>
    <col min="3346" max="3585" width="9.140625" style="1362"/>
    <col min="3586" max="3586" width="32.42578125" style="1362" customWidth="1"/>
    <col min="3587" max="3588" width="37.28515625" style="1362" customWidth="1"/>
    <col min="3589" max="3592" width="0" style="1362" hidden="1" customWidth="1"/>
    <col min="3593" max="3601" width="25.42578125" style="1362" customWidth="1"/>
    <col min="3602" max="3841" width="9.140625" style="1362"/>
    <col min="3842" max="3842" width="32.42578125" style="1362" customWidth="1"/>
    <col min="3843" max="3844" width="37.28515625" style="1362" customWidth="1"/>
    <col min="3845" max="3848" width="0" style="1362" hidden="1" customWidth="1"/>
    <col min="3849" max="3857" width="25.42578125" style="1362" customWidth="1"/>
    <col min="3858" max="4097" width="9.140625" style="1362"/>
    <col min="4098" max="4098" width="32.42578125" style="1362" customWidth="1"/>
    <col min="4099" max="4100" width="37.28515625" style="1362" customWidth="1"/>
    <col min="4101" max="4104" width="0" style="1362" hidden="1" customWidth="1"/>
    <col min="4105" max="4113" width="25.42578125" style="1362" customWidth="1"/>
    <col min="4114" max="4353" width="9.140625" style="1362"/>
    <col min="4354" max="4354" width="32.42578125" style="1362" customWidth="1"/>
    <col min="4355" max="4356" width="37.28515625" style="1362" customWidth="1"/>
    <col min="4357" max="4360" width="0" style="1362" hidden="1" customWidth="1"/>
    <col min="4361" max="4369" width="25.42578125" style="1362" customWidth="1"/>
    <col min="4370" max="4609" width="9.140625" style="1362"/>
    <col min="4610" max="4610" width="32.42578125" style="1362" customWidth="1"/>
    <col min="4611" max="4612" width="37.28515625" style="1362" customWidth="1"/>
    <col min="4613" max="4616" width="0" style="1362" hidden="1" customWidth="1"/>
    <col min="4617" max="4625" width="25.42578125" style="1362" customWidth="1"/>
    <col min="4626" max="4865" width="9.140625" style="1362"/>
    <col min="4866" max="4866" width="32.42578125" style="1362" customWidth="1"/>
    <col min="4867" max="4868" width="37.28515625" style="1362" customWidth="1"/>
    <col min="4869" max="4872" width="0" style="1362" hidden="1" customWidth="1"/>
    <col min="4873" max="4881" width="25.42578125" style="1362" customWidth="1"/>
    <col min="4882" max="5121" width="9.140625" style="1362"/>
    <col min="5122" max="5122" width="32.42578125" style="1362" customWidth="1"/>
    <col min="5123" max="5124" width="37.28515625" style="1362" customWidth="1"/>
    <col min="5125" max="5128" width="0" style="1362" hidden="1" customWidth="1"/>
    <col min="5129" max="5137" width="25.42578125" style="1362" customWidth="1"/>
    <col min="5138" max="5377" width="9.140625" style="1362"/>
    <col min="5378" max="5378" width="32.42578125" style="1362" customWidth="1"/>
    <col min="5379" max="5380" width="37.28515625" style="1362" customWidth="1"/>
    <col min="5381" max="5384" width="0" style="1362" hidden="1" customWidth="1"/>
    <col min="5385" max="5393" width="25.42578125" style="1362" customWidth="1"/>
    <col min="5394" max="5633" width="9.140625" style="1362"/>
    <col min="5634" max="5634" width="32.42578125" style="1362" customWidth="1"/>
    <col min="5635" max="5636" width="37.28515625" style="1362" customWidth="1"/>
    <col min="5637" max="5640" width="0" style="1362" hidden="1" customWidth="1"/>
    <col min="5641" max="5649" width="25.42578125" style="1362" customWidth="1"/>
    <col min="5650" max="5889" width="9.140625" style="1362"/>
    <col min="5890" max="5890" width="32.42578125" style="1362" customWidth="1"/>
    <col min="5891" max="5892" width="37.28515625" style="1362" customWidth="1"/>
    <col min="5893" max="5896" width="0" style="1362" hidden="1" customWidth="1"/>
    <col min="5897" max="5905" width="25.42578125" style="1362" customWidth="1"/>
    <col min="5906" max="6145" width="9.140625" style="1362"/>
    <col min="6146" max="6146" width="32.42578125" style="1362" customWidth="1"/>
    <col min="6147" max="6148" width="37.28515625" style="1362" customWidth="1"/>
    <col min="6149" max="6152" width="0" style="1362" hidden="1" customWidth="1"/>
    <col min="6153" max="6161" width="25.42578125" style="1362" customWidth="1"/>
    <col min="6162" max="6401" width="9.140625" style="1362"/>
    <col min="6402" max="6402" width="32.42578125" style="1362" customWidth="1"/>
    <col min="6403" max="6404" width="37.28515625" style="1362" customWidth="1"/>
    <col min="6405" max="6408" width="0" style="1362" hidden="1" customWidth="1"/>
    <col min="6409" max="6417" width="25.42578125" style="1362" customWidth="1"/>
    <col min="6418" max="6657" width="9.140625" style="1362"/>
    <col min="6658" max="6658" width="32.42578125" style="1362" customWidth="1"/>
    <col min="6659" max="6660" width="37.28515625" style="1362" customWidth="1"/>
    <col min="6661" max="6664" width="0" style="1362" hidden="1" customWidth="1"/>
    <col min="6665" max="6673" width="25.42578125" style="1362" customWidth="1"/>
    <col min="6674" max="6913" width="9.140625" style="1362"/>
    <col min="6914" max="6914" width="32.42578125" style="1362" customWidth="1"/>
    <col min="6915" max="6916" width="37.28515625" style="1362" customWidth="1"/>
    <col min="6917" max="6920" width="0" style="1362" hidden="1" customWidth="1"/>
    <col min="6921" max="6929" width="25.42578125" style="1362" customWidth="1"/>
    <col min="6930" max="7169" width="9.140625" style="1362"/>
    <col min="7170" max="7170" width="32.42578125" style="1362" customWidth="1"/>
    <col min="7171" max="7172" width="37.28515625" style="1362" customWidth="1"/>
    <col min="7173" max="7176" width="0" style="1362" hidden="1" customWidth="1"/>
    <col min="7177" max="7185" width="25.42578125" style="1362" customWidth="1"/>
    <col min="7186" max="7425" width="9.140625" style="1362"/>
    <col min="7426" max="7426" width="32.42578125" style="1362" customWidth="1"/>
    <col min="7427" max="7428" width="37.28515625" style="1362" customWidth="1"/>
    <col min="7429" max="7432" width="0" style="1362" hidden="1" customWidth="1"/>
    <col min="7433" max="7441" width="25.42578125" style="1362" customWidth="1"/>
    <col min="7442" max="7681" width="9.140625" style="1362"/>
    <col min="7682" max="7682" width="32.42578125" style="1362" customWidth="1"/>
    <col min="7683" max="7684" width="37.28515625" style="1362" customWidth="1"/>
    <col min="7685" max="7688" width="0" style="1362" hidden="1" customWidth="1"/>
    <col min="7689" max="7697" width="25.42578125" style="1362" customWidth="1"/>
    <col min="7698" max="7937" width="9.140625" style="1362"/>
    <col min="7938" max="7938" width="32.42578125" style="1362" customWidth="1"/>
    <col min="7939" max="7940" width="37.28515625" style="1362" customWidth="1"/>
    <col min="7941" max="7944" width="0" style="1362" hidden="1" customWidth="1"/>
    <col min="7945" max="7953" width="25.42578125" style="1362" customWidth="1"/>
    <col min="7954" max="8193" width="9.140625" style="1362"/>
    <col min="8194" max="8194" width="32.42578125" style="1362" customWidth="1"/>
    <col min="8195" max="8196" width="37.28515625" style="1362" customWidth="1"/>
    <col min="8197" max="8200" width="0" style="1362" hidden="1" customWidth="1"/>
    <col min="8201" max="8209" width="25.42578125" style="1362" customWidth="1"/>
    <col min="8210" max="8449" width="9.140625" style="1362"/>
    <col min="8450" max="8450" width="32.42578125" style="1362" customWidth="1"/>
    <col min="8451" max="8452" width="37.28515625" style="1362" customWidth="1"/>
    <col min="8453" max="8456" width="0" style="1362" hidden="1" customWidth="1"/>
    <col min="8457" max="8465" width="25.42578125" style="1362" customWidth="1"/>
    <col min="8466" max="8705" width="9.140625" style="1362"/>
    <col min="8706" max="8706" width="32.42578125" style="1362" customWidth="1"/>
    <col min="8707" max="8708" width="37.28515625" style="1362" customWidth="1"/>
    <col min="8709" max="8712" width="0" style="1362" hidden="1" customWidth="1"/>
    <col min="8713" max="8721" width="25.42578125" style="1362" customWidth="1"/>
    <col min="8722" max="8961" width="9.140625" style="1362"/>
    <col min="8962" max="8962" width="32.42578125" style="1362" customWidth="1"/>
    <col min="8963" max="8964" width="37.28515625" style="1362" customWidth="1"/>
    <col min="8965" max="8968" width="0" style="1362" hidden="1" customWidth="1"/>
    <col min="8969" max="8977" width="25.42578125" style="1362" customWidth="1"/>
    <col min="8978" max="9217" width="9.140625" style="1362"/>
    <col min="9218" max="9218" width="32.42578125" style="1362" customWidth="1"/>
    <col min="9219" max="9220" width="37.28515625" style="1362" customWidth="1"/>
    <col min="9221" max="9224" width="0" style="1362" hidden="1" customWidth="1"/>
    <col min="9225" max="9233" width="25.42578125" style="1362" customWidth="1"/>
    <col min="9234" max="9473" width="9.140625" style="1362"/>
    <col min="9474" max="9474" width="32.42578125" style="1362" customWidth="1"/>
    <col min="9475" max="9476" width="37.28515625" style="1362" customWidth="1"/>
    <col min="9477" max="9480" width="0" style="1362" hidden="1" customWidth="1"/>
    <col min="9481" max="9489" width="25.42578125" style="1362" customWidth="1"/>
    <col min="9490" max="9729" width="9.140625" style="1362"/>
    <col min="9730" max="9730" width="32.42578125" style="1362" customWidth="1"/>
    <col min="9731" max="9732" width="37.28515625" style="1362" customWidth="1"/>
    <col min="9733" max="9736" width="0" style="1362" hidden="1" customWidth="1"/>
    <col min="9737" max="9745" width="25.42578125" style="1362" customWidth="1"/>
    <col min="9746" max="9985" width="9.140625" style="1362"/>
    <col min="9986" max="9986" width="32.42578125" style="1362" customWidth="1"/>
    <col min="9987" max="9988" width="37.28515625" style="1362" customWidth="1"/>
    <col min="9989" max="9992" width="0" style="1362" hidden="1" customWidth="1"/>
    <col min="9993" max="10001" width="25.42578125" style="1362" customWidth="1"/>
    <col min="10002" max="10241" width="9.140625" style="1362"/>
    <col min="10242" max="10242" width="32.42578125" style="1362" customWidth="1"/>
    <col min="10243" max="10244" width="37.28515625" style="1362" customWidth="1"/>
    <col min="10245" max="10248" width="0" style="1362" hidden="1" customWidth="1"/>
    <col min="10249" max="10257" width="25.42578125" style="1362" customWidth="1"/>
    <col min="10258" max="10497" width="9.140625" style="1362"/>
    <col min="10498" max="10498" width="32.42578125" style="1362" customWidth="1"/>
    <col min="10499" max="10500" width="37.28515625" style="1362" customWidth="1"/>
    <col min="10501" max="10504" width="0" style="1362" hidden="1" customWidth="1"/>
    <col min="10505" max="10513" width="25.42578125" style="1362" customWidth="1"/>
    <col min="10514" max="10753" width="9.140625" style="1362"/>
    <col min="10754" max="10754" width="32.42578125" style="1362" customWidth="1"/>
    <col min="10755" max="10756" width="37.28515625" style="1362" customWidth="1"/>
    <col min="10757" max="10760" width="0" style="1362" hidden="1" customWidth="1"/>
    <col min="10761" max="10769" width="25.42578125" style="1362" customWidth="1"/>
    <col min="10770" max="11009" width="9.140625" style="1362"/>
    <col min="11010" max="11010" width="32.42578125" style="1362" customWidth="1"/>
    <col min="11011" max="11012" width="37.28515625" style="1362" customWidth="1"/>
    <col min="11013" max="11016" width="0" style="1362" hidden="1" customWidth="1"/>
    <col min="11017" max="11025" width="25.42578125" style="1362" customWidth="1"/>
    <col min="11026" max="11265" width="9.140625" style="1362"/>
    <col min="11266" max="11266" width="32.42578125" style="1362" customWidth="1"/>
    <col min="11267" max="11268" width="37.28515625" style="1362" customWidth="1"/>
    <col min="11269" max="11272" width="0" style="1362" hidden="1" customWidth="1"/>
    <col min="11273" max="11281" width="25.42578125" style="1362" customWidth="1"/>
    <col min="11282" max="11521" width="9.140625" style="1362"/>
    <col min="11522" max="11522" width="32.42578125" style="1362" customWidth="1"/>
    <col min="11523" max="11524" width="37.28515625" style="1362" customWidth="1"/>
    <col min="11525" max="11528" width="0" style="1362" hidden="1" customWidth="1"/>
    <col min="11529" max="11537" width="25.42578125" style="1362" customWidth="1"/>
    <col min="11538" max="11777" width="9.140625" style="1362"/>
    <col min="11778" max="11778" width="32.42578125" style="1362" customWidth="1"/>
    <col min="11779" max="11780" width="37.28515625" style="1362" customWidth="1"/>
    <col min="11781" max="11784" width="0" style="1362" hidden="1" customWidth="1"/>
    <col min="11785" max="11793" width="25.42578125" style="1362" customWidth="1"/>
    <col min="11794" max="12033" width="9.140625" style="1362"/>
    <col min="12034" max="12034" width="32.42578125" style="1362" customWidth="1"/>
    <col min="12035" max="12036" width="37.28515625" style="1362" customWidth="1"/>
    <col min="12037" max="12040" width="0" style="1362" hidden="1" customWidth="1"/>
    <col min="12041" max="12049" width="25.42578125" style="1362" customWidth="1"/>
    <col min="12050" max="12289" width="9.140625" style="1362"/>
    <col min="12290" max="12290" width="32.42578125" style="1362" customWidth="1"/>
    <col min="12291" max="12292" width="37.28515625" style="1362" customWidth="1"/>
    <col min="12293" max="12296" width="0" style="1362" hidden="1" customWidth="1"/>
    <col min="12297" max="12305" width="25.42578125" style="1362" customWidth="1"/>
    <col min="12306" max="12545" width="9.140625" style="1362"/>
    <col min="12546" max="12546" width="32.42578125" style="1362" customWidth="1"/>
    <col min="12547" max="12548" width="37.28515625" style="1362" customWidth="1"/>
    <col min="12549" max="12552" width="0" style="1362" hidden="1" customWidth="1"/>
    <col min="12553" max="12561" width="25.42578125" style="1362" customWidth="1"/>
    <col min="12562" max="12801" width="9.140625" style="1362"/>
    <col min="12802" max="12802" width="32.42578125" style="1362" customWidth="1"/>
    <col min="12803" max="12804" width="37.28515625" style="1362" customWidth="1"/>
    <col min="12805" max="12808" width="0" style="1362" hidden="1" customWidth="1"/>
    <col min="12809" max="12817" width="25.42578125" style="1362" customWidth="1"/>
    <col min="12818" max="13057" width="9.140625" style="1362"/>
    <col min="13058" max="13058" width="32.42578125" style="1362" customWidth="1"/>
    <col min="13059" max="13060" width="37.28515625" style="1362" customWidth="1"/>
    <col min="13061" max="13064" width="0" style="1362" hidden="1" customWidth="1"/>
    <col min="13065" max="13073" width="25.42578125" style="1362" customWidth="1"/>
    <col min="13074" max="13313" width="9.140625" style="1362"/>
    <col min="13314" max="13314" width="32.42578125" style="1362" customWidth="1"/>
    <col min="13315" max="13316" width="37.28515625" style="1362" customWidth="1"/>
    <col min="13317" max="13320" width="0" style="1362" hidden="1" customWidth="1"/>
    <col min="13321" max="13329" width="25.42578125" style="1362" customWidth="1"/>
    <col min="13330" max="13569" width="9.140625" style="1362"/>
    <col min="13570" max="13570" width="32.42578125" style="1362" customWidth="1"/>
    <col min="13571" max="13572" width="37.28515625" style="1362" customWidth="1"/>
    <col min="13573" max="13576" width="0" style="1362" hidden="1" customWidth="1"/>
    <col min="13577" max="13585" width="25.42578125" style="1362" customWidth="1"/>
    <col min="13586" max="13825" width="9.140625" style="1362"/>
    <col min="13826" max="13826" width="32.42578125" style="1362" customWidth="1"/>
    <col min="13827" max="13828" width="37.28515625" style="1362" customWidth="1"/>
    <col min="13829" max="13832" width="0" style="1362" hidden="1" customWidth="1"/>
    <col min="13833" max="13841" width="25.42578125" style="1362" customWidth="1"/>
    <col min="13842" max="14081" width="9.140625" style="1362"/>
    <col min="14082" max="14082" width="32.42578125" style="1362" customWidth="1"/>
    <col min="14083" max="14084" width="37.28515625" style="1362" customWidth="1"/>
    <col min="14085" max="14088" width="0" style="1362" hidden="1" customWidth="1"/>
    <col min="14089" max="14097" width="25.42578125" style="1362" customWidth="1"/>
    <col min="14098" max="14337" width="9.140625" style="1362"/>
    <col min="14338" max="14338" width="32.42578125" style="1362" customWidth="1"/>
    <col min="14339" max="14340" width="37.28515625" style="1362" customWidth="1"/>
    <col min="14341" max="14344" width="0" style="1362" hidden="1" customWidth="1"/>
    <col min="14345" max="14353" width="25.42578125" style="1362" customWidth="1"/>
    <col min="14354" max="14593" width="9.140625" style="1362"/>
    <col min="14594" max="14594" width="32.42578125" style="1362" customWidth="1"/>
    <col min="14595" max="14596" width="37.28515625" style="1362" customWidth="1"/>
    <col min="14597" max="14600" width="0" style="1362" hidden="1" customWidth="1"/>
    <col min="14601" max="14609" width="25.42578125" style="1362" customWidth="1"/>
    <col min="14610" max="14849" width="9.140625" style="1362"/>
    <col min="14850" max="14850" width="32.42578125" style="1362" customWidth="1"/>
    <col min="14851" max="14852" width="37.28515625" style="1362" customWidth="1"/>
    <col min="14853" max="14856" width="0" style="1362" hidden="1" customWidth="1"/>
    <col min="14857" max="14865" width="25.42578125" style="1362" customWidth="1"/>
    <col min="14866" max="15105" width="9.140625" style="1362"/>
    <col min="15106" max="15106" width="32.42578125" style="1362" customWidth="1"/>
    <col min="15107" max="15108" width="37.28515625" style="1362" customWidth="1"/>
    <col min="15109" max="15112" width="0" style="1362" hidden="1" customWidth="1"/>
    <col min="15113" max="15121" width="25.42578125" style="1362" customWidth="1"/>
    <col min="15122" max="15361" width="9.140625" style="1362"/>
    <col min="15362" max="15362" width="32.42578125" style="1362" customWidth="1"/>
    <col min="15363" max="15364" width="37.28515625" style="1362" customWidth="1"/>
    <col min="15365" max="15368" width="0" style="1362" hidden="1" customWidth="1"/>
    <col min="15369" max="15377" width="25.42578125" style="1362" customWidth="1"/>
    <col min="15378" max="15617" width="9.140625" style="1362"/>
    <col min="15618" max="15618" width="32.42578125" style="1362" customWidth="1"/>
    <col min="15619" max="15620" width="37.28515625" style="1362" customWidth="1"/>
    <col min="15621" max="15624" width="0" style="1362" hidden="1" customWidth="1"/>
    <col min="15625" max="15633" width="25.42578125" style="1362" customWidth="1"/>
    <col min="15634" max="15873" width="9.140625" style="1362"/>
    <col min="15874" max="15874" width="32.42578125" style="1362" customWidth="1"/>
    <col min="15875" max="15876" width="37.28515625" style="1362" customWidth="1"/>
    <col min="15877" max="15880" width="0" style="1362" hidden="1" customWidth="1"/>
    <col min="15881" max="15889" width="25.42578125" style="1362" customWidth="1"/>
    <col min="15890" max="16129" width="9.140625" style="1362"/>
    <col min="16130" max="16130" width="32.42578125" style="1362" customWidth="1"/>
    <col min="16131" max="16132" width="37.28515625" style="1362" customWidth="1"/>
    <col min="16133" max="16136" width="0" style="1362" hidden="1" customWidth="1"/>
    <col min="16137" max="16145" width="25.42578125" style="1362" customWidth="1"/>
    <col min="16146" max="16384" width="9.140625" style="1362"/>
  </cols>
  <sheetData>
    <row r="2" spans="2:17">
      <c r="B2" s="1361" t="s">
        <v>958</v>
      </c>
    </row>
    <row r="3" spans="2:17" ht="28.5" customHeight="1">
      <c r="B3" s="2551" t="s">
        <v>959</v>
      </c>
      <c r="C3" s="1363" t="s">
        <v>960</v>
      </c>
      <c r="D3" s="1364"/>
      <c r="E3" s="1364"/>
      <c r="F3" s="1365" t="s">
        <v>960</v>
      </c>
      <c r="G3" s="1366"/>
      <c r="H3" s="1366"/>
      <c r="I3" s="1364"/>
      <c r="J3" s="1364"/>
      <c r="K3" s="1364"/>
      <c r="L3" s="1364"/>
      <c r="M3" s="1364"/>
      <c r="N3" s="1364"/>
      <c r="O3" s="1364"/>
      <c r="P3" s="1364"/>
      <c r="Q3" s="1364"/>
    </row>
    <row r="4" spans="2:17">
      <c r="B4" s="2552"/>
      <c r="C4" s="1367" t="str">
        <f>IF('Project Info'!C7="","&lt;select climate zone on 'Project Info' tab&gt;","Climate Zone "&amp;'Project Info'!C7)</f>
        <v>Climate Zone 4</v>
      </c>
      <c r="D4" s="1368"/>
      <c r="E4" s="1368"/>
      <c r="F4" s="1369" t="s">
        <v>556</v>
      </c>
      <c r="G4" s="1369" t="s">
        <v>557</v>
      </c>
      <c r="H4" s="1369" t="s">
        <v>558</v>
      </c>
      <c r="I4" s="1364"/>
      <c r="J4" s="1364"/>
      <c r="K4" s="1364"/>
      <c r="L4" s="1364"/>
      <c r="M4" s="1364"/>
      <c r="N4" s="1364"/>
      <c r="O4" s="1364"/>
      <c r="P4" s="1364"/>
      <c r="Q4" s="1364"/>
    </row>
    <row r="5" spans="2:17" ht="22.5">
      <c r="B5" s="1370" t="s">
        <v>961</v>
      </c>
      <c r="C5" s="1371" t="str">
        <f>HLOOKUP($C$4,$F$4:$H$37,2,FALSE)</f>
        <v xml:space="preserve">ENERGY STAR qualified </v>
      </c>
      <c r="D5" s="1368"/>
      <c r="E5" s="1368"/>
      <c r="F5" s="1372" t="s">
        <v>962</v>
      </c>
      <c r="G5" s="1372" t="s">
        <v>962</v>
      </c>
      <c r="H5" s="1372" t="s">
        <v>962</v>
      </c>
      <c r="I5" s="1364"/>
      <c r="J5" s="1364"/>
      <c r="K5" s="1364"/>
      <c r="L5" s="1364"/>
      <c r="M5" s="1364"/>
      <c r="N5" s="1364"/>
      <c r="O5" s="1364"/>
      <c r="P5" s="1364"/>
      <c r="Q5" s="1364"/>
    </row>
    <row r="6" spans="2:17" ht="27.75" customHeight="1">
      <c r="B6" s="1370" t="s">
        <v>963</v>
      </c>
      <c r="C6" s="1373" t="str">
        <f>HLOOKUP($C$4,$F$4:$H$37,3,FALSE)</f>
        <v xml:space="preserve">ENERGY STAR qualified </v>
      </c>
      <c r="D6" s="1364"/>
      <c r="E6" s="1364"/>
      <c r="F6" s="1372" t="s">
        <v>962</v>
      </c>
      <c r="G6" s="1372" t="s">
        <v>962</v>
      </c>
      <c r="H6" s="1372" t="s">
        <v>962</v>
      </c>
      <c r="I6" s="1364"/>
      <c r="J6" s="1364"/>
      <c r="K6" s="1364"/>
      <c r="L6" s="1364"/>
      <c r="M6" s="1364"/>
      <c r="N6" s="1364"/>
      <c r="O6" s="1364"/>
      <c r="P6" s="1364"/>
      <c r="Q6" s="1364"/>
    </row>
    <row r="7" spans="2:17" ht="39" customHeight="1">
      <c r="B7" s="1370" t="s">
        <v>964</v>
      </c>
      <c r="C7" s="1373" t="str">
        <f>HLOOKUP($C$4,$F$4:$H$37,4,FALSE)</f>
        <v xml:space="preserve">ENERGY STAR qualified </v>
      </c>
      <c r="D7" s="1364"/>
      <c r="E7" s="1364"/>
      <c r="F7" s="1372" t="s">
        <v>962</v>
      </c>
      <c r="G7" s="1372" t="s">
        <v>962</v>
      </c>
      <c r="H7" s="1372" t="s">
        <v>962</v>
      </c>
      <c r="I7" s="1364"/>
      <c r="J7" s="1364"/>
      <c r="K7" s="1364"/>
      <c r="L7" s="1364"/>
      <c r="M7" s="1364"/>
      <c r="N7" s="1364"/>
      <c r="O7" s="1364"/>
      <c r="P7" s="1364"/>
      <c r="Q7" s="1364"/>
    </row>
    <row r="8" spans="2:17">
      <c r="B8" s="1370" t="s">
        <v>965</v>
      </c>
      <c r="C8" s="1373" t="str">
        <f>HLOOKUP($C$4,$F$4:$H$37,5,FALSE)</f>
        <v>11.5 EER/12.0 IEER</v>
      </c>
      <c r="D8" s="1364"/>
      <c r="E8" s="1364"/>
      <c r="F8" s="1374" t="s">
        <v>339</v>
      </c>
      <c r="G8" s="1374" t="s">
        <v>339</v>
      </c>
      <c r="H8" s="1374" t="s">
        <v>339</v>
      </c>
      <c r="I8" s="1364"/>
      <c r="J8" s="1364"/>
      <c r="K8" s="1364"/>
      <c r="L8" s="1364"/>
      <c r="M8" s="1364"/>
      <c r="N8" s="1364"/>
      <c r="O8" s="1364"/>
      <c r="P8" s="1364"/>
      <c r="Q8" s="1364"/>
    </row>
    <row r="9" spans="2:17">
      <c r="B9" s="1370" t="s">
        <v>966</v>
      </c>
      <c r="C9" s="1373" t="str">
        <f>HLOOKUP($C$4,$F$4:$H$37,6,FALSE)</f>
        <v>10.0 EER/10.5 IEER</v>
      </c>
      <c r="D9" s="1364"/>
      <c r="E9" s="1364"/>
      <c r="F9" s="1374" t="s">
        <v>340</v>
      </c>
      <c r="G9" s="1374" t="s">
        <v>340</v>
      </c>
      <c r="H9" s="1374" t="s">
        <v>340</v>
      </c>
      <c r="I9" s="1364"/>
      <c r="J9" s="1364"/>
      <c r="K9" s="1364"/>
      <c r="L9" s="1364"/>
      <c r="M9" s="1364"/>
      <c r="N9" s="1364"/>
      <c r="O9" s="1364"/>
      <c r="P9" s="1364"/>
      <c r="Q9" s="1364"/>
    </row>
    <row r="10" spans="2:17" ht="25.5">
      <c r="B10" s="1370" t="s">
        <v>967</v>
      </c>
      <c r="C10" s="1373" t="str">
        <f>HLOOKUP($C$4,$F$4:$H$37,7,FALSE)</f>
        <v xml:space="preserve">Not permitted in any space using this approach </v>
      </c>
      <c r="D10" s="1364"/>
      <c r="E10" s="1364"/>
      <c r="F10" s="1375" t="s">
        <v>968</v>
      </c>
      <c r="G10" s="1375" t="s">
        <v>968</v>
      </c>
      <c r="H10" s="1375" t="s">
        <v>968</v>
      </c>
      <c r="I10" s="1364"/>
      <c r="J10" s="1364"/>
      <c r="K10" s="1364"/>
      <c r="L10" s="1364"/>
      <c r="M10" s="1364"/>
      <c r="N10" s="1364"/>
      <c r="O10" s="1364"/>
      <c r="P10" s="1364"/>
      <c r="Q10" s="1364"/>
    </row>
    <row r="11" spans="2:17" ht="22.5">
      <c r="B11" s="1370" t="s">
        <v>969</v>
      </c>
      <c r="C11" s="1373" t="str">
        <f>HLOOKUP($C$4,$F$4:$H$37,8,FALSE)</f>
        <v xml:space="preserve">ENERGY STAR qualified </v>
      </c>
      <c r="D11" s="1364"/>
      <c r="E11" s="1364"/>
      <c r="F11" s="1372" t="s">
        <v>962</v>
      </c>
      <c r="G11" s="1372" t="s">
        <v>962</v>
      </c>
      <c r="H11" s="1372" t="s">
        <v>962</v>
      </c>
      <c r="I11" s="1364"/>
      <c r="J11" s="1364"/>
      <c r="K11" s="1364"/>
      <c r="L11" s="1364"/>
      <c r="M11" s="1364"/>
      <c r="N11" s="1364"/>
      <c r="O11" s="1364"/>
      <c r="P11" s="1364"/>
      <c r="Q11" s="1364"/>
    </row>
    <row r="12" spans="2:17" ht="25.5">
      <c r="B12" s="1370" t="s">
        <v>970</v>
      </c>
      <c r="C12" s="1373" t="str">
        <f>HLOOKUP($C$4,$F$4:$H$37,9,FALSE)</f>
        <v>80% Et (gas)    or 81% Et (oil)</v>
      </c>
      <c r="D12" s="1364"/>
      <c r="E12" s="1364"/>
      <c r="F12" s="1374" t="s">
        <v>971</v>
      </c>
      <c r="G12" s="1374" t="s">
        <v>971</v>
      </c>
      <c r="H12" s="1374" t="s">
        <v>971</v>
      </c>
      <c r="I12" s="1364"/>
      <c r="J12" s="1364"/>
      <c r="K12" s="1364"/>
      <c r="L12" s="1364"/>
      <c r="M12" s="1364"/>
      <c r="N12" s="1364"/>
      <c r="O12" s="1364"/>
      <c r="P12" s="1364"/>
      <c r="Q12" s="1364"/>
    </row>
    <row r="13" spans="2:17" ht="27.75" customHeight="1">
      <c r="B13" s="1370" t="s">
        <v>972</v>
      </c>
      <c r="C13" s="1373" t="str">
        <f>HLOOKUP($C$4,$F$4:$H$37,10,FALSE)</f>
        <v>13.8 – (0.300 X Cap/1000) EER</v>
      </c>
      <c r="D13" s="1364"/>
      <c r="E13" s="1364"/>
      <c r="F13" s="1374" t="s">
        <v>973</v>
      </c>
      <c r="G13" s="1374" t="s">
        <v>973</v>
      </c>
      <c r="H13" s="1374" t="s">
        <v>973</v>
      </c>
      <c r="I13" s="1364"/>
      <c r="J13" s="1364"/>
      <c r="K13" s="1364"/>
      <c r="L13" s="1364"/>
      <c r="M13" s="1364"/>
      <c r="N13" s="1364"/>
      <c r="O13" s="1364"/>
      <c r="P13" s="1364"/>
      <c r="Q13" s="1364"/>
    </row>
    <row r="14" spans="2:17" ht="51">
      <c r="B14" s="1370" t="s">
        <v>974</v>
      </c>
      <c r="C14" s="1373" t="str">
        <f>HLOOKUP($C$4,$F$4:$H$37,11,FALSE)</f>
        <v>Cooling: 14.0– (0.3 X Cap/1000) EER        Heating:  3.7– (0.052 X Cap/1000) COP</v>
      </c>
      <c r="D14" s="1364"/>
      <c r="E14" s="1364"/>
      <c r="F14" s="1374" t="s">
        <v>975</v>
      </c>
      <c r="G14" s="1374" t="s">
        <v>975</v>
      </c>
      <c r="H14" s="1374" t="s">
        <v>975</v>
      </c>
      <c r="I14" s="1364"/>
      <c r="J14" s="1364"/>
      <c r="K14" s="1364"/>
      <c r="L14" s="1364"/>
      <c r="M14" s="1364"/>
      <c r="N14" s="1364"/>
      <c r="O14" s="1364"/>
      <c r="P14" s="1364"/>
      <c r="Q14" s="1364"/>
    </row>
    <row r="15" spans="2:17" ht="25.5">
      <c r="B15" s="1370" t="s">
        <v>349</v>
      </c>
      <c r="C15" s="1373" t="str">
        <f>HLOOKUP($C$4,$F$4:$H$37,12,FALSE)</f>
        <v xml:space="preserve">ENERGY STAR qualified
8.5HSPF </v>
      </c>
      <c r="D15" s="1364"/>
      <c r="E15" s="1364"/>
      <c r="F15" s="1374" t="s">
        <v>976</v>
      </c>
      <c r="G15" s="1374" t="s">
        <v>977</v>
      </c>
      <c r="H15" s="1374" t="s">
        <v>978</v>
      </c>
      <c r="I15" s="1364"/>
      <c r="J15" s="1364"/>
      <c r="K15" s="1364"/>
      <c r="L15" s="1364"/>
      <c r="M15" s="1364"/>
      <c r="N15" s="1364"/>
      <c r="O15" s="1364"/>
      <c r="P15" s="1364"/>
      <c r="Q15" s="1364"/>
    </row>
    <row r="16" spans="2:17" ht="25.5" customHeight="1">
      <c r="B16" s="1370" t="s">
        <v>979</v>
      </c>
      <c r="C16" s="1373" t="str">
        <f>HLOOKUP($C$4,$F$4:$H$37,13,FALSE)</f>
        <v>Cooling: 11.1 EER/11.6 IEER                     Heating: 3.3 COP (@47°F DB)</v>
      </c>
      <c r="D16" s="1364"/>
      <c r="E16" s="1364"/>
      <c r="F16" s="1374" t="s">
        <v>980</v>
      </c>
      <c r="G16" s="1374" t="s">
        <v>980</v>
      </c>
      <c r="H16" s="1374" t="s">
        <v>980</v>
      </c>
      <c r="I16" s="1364"/>
      <c r="J16" s="1364"/>
      <c r="K16" s="1364"/>
      <c r="L16" s="1364"/>
      <c r="M16" s="1364"/>
      <c r="N16" s="1364"/>
      <c r="O16" s="1364"/>
      <c r="P16" s="1364"/>
      <c r="Q16" s="1364"/>
    </row>
    <row r="17" spans="2:17" ht="38.25">
      <c r="B17" s="1370" t="s">
        <v>350</v>
      </c>
      <c r="C17" s="1373" t="str">
        <f>HLOOKUP($C$4,$F$4:$H$37,14,FALSE)</f>
        <v>Cooling:   9.6 EER/9.6 IEER                      Heating: 3.2 COP (@47°F DB)</v>
      </c>
      <c r="D17" s="1364"/>
      <c r="E17" s="1364"/>
      <c r="F17" s="1374" t="s">
        <v>981</v>
      </c>
      <c r="G17" s="1374" t="s">
        <v>981</v>
      </c>
      <c r="H17" s="1374" t="s">
        <v>981</v>
      </c>
      <c r="I17" s="1364"/>
      <c r="J17" s="1364"/>
      <c r="K17" s="1364"/>
      <c r="L17" s="1364"/>
      <c r="M17" s="1364"/>
      <c r="N17" s="1364"/>
      <c r="O17" s="1364"/>
      <c r="P17" s="1364"/>
      <c r="Q17" s="1364"/>
    </row>
    <row r="18" spans="2:17" ht="38.25">
      <c r="B18" s="1370" t="s">
        <v>982</v>
      </c>
      <c r="C18" s="1373" t="str">
        <f>HLOOKUP($C$4,$F$4:$H$37,15,FALSE)</f>
        <v>Cooling: 14.0 EER(86°F entering water) Heating: 4.2 COP(68°F entering water)</v>
      </c>
      <c r="D18" s="1364"/>
      <c r="E18" s="1364"/>
      <c r="F18" s="1375" t="s">
        <v>983</v>
      </c>
      <c r="G18" s="1375" t="s">
        <v>983</v>
      </c>
      <c r="H18" s="1375" t="s">
        <v>983</v>
      </c>
      <c r="I18" s="1364"/>
      <c r="J18" s="1364"/>
      <c r="K18" s="1364"/>
      <c r="L18" s="1364"/>
      <c r="M18" s="1364"/>
      <c r="N18" s="1364"/>
      <c r="O18" s="1364"/>
      <c r="P18" s="1364"/>
      <c r="Q18" s="1364"/>
    </row>
    <row r="19" spans="2:17">
      <c r="B19" s="1370" t="s">
        <v>355</v>
      </c>
      <c r="C19" s="1373" t="str">
        <f>HLOOKUP($C$4,$F$4:$H$37,16,FALSE)</f>
        <v xml:space="preserve">ENERGY STAR qualified </v>
      </c>
      <c r="D19" s="1364"/>
      <c r="E19" s="1364"/>
      <c r="F19" s="1372" t="s">
        <v>962</v>
      </c>
      <c r="G19" s="1372" t="s">
        <v>962</v>
      </c>
      <c r="H19" s="1374" t="s">
        <v>984</v>
      </c>
      <c r="I19" s="1364"/>
      <c r="J19" s="1364"/>
      <c r="K19" s="1364"/>
      <c r="L19" s="1364"/>
      <c r="M19" s="1364"/>
      <c r="N19" s="1364"/>
      <c r="O19" s="1364"/>
      <c r="P19" s="1364"/>
      <c r="Q19" s="1364"/>
    </row>
    <row r="20" spans="2:17" ht="25.5">
      <c r="B20" s="1370" t="s">
        <v>985</v>
      </c>
      <c r="C20" s="1373" t="str">
        <f>HLOOKUP($C$4,$F$4:$H$37,17,FALSE)</f>
        <v>86% Et  (89% Et if using heat pumps)</v>
      </c>
      <c r="D20" s="1364"/>
      <c r="E20" s="1364"/>
      <c r="F20" s="1374" t="s">
        <v>986</v>
      </c>
      <c r="G20" s="1374" t="s">
        <v>986</v>
      </c>
      <c r="H20" s="1374" t="s">
        <v>986</v>
      </c>
      <c r="I20" s="1364"/>
      <c r="J20" s="1364"/>
      <c r="K20" s="1364"/>
      <c r="L20" s="1364"/>
      <c r="M20" s="1364"/>
      <c r="N20" s="1364"/>
      <c r="O20" s="1364"/>
      <c r="P20" s="1364"/>
      <c r="Q20" s="1364"/>
    </row>
    <row r="21" spans="2:17" ht="25.5">
      <c r="B21" s="1370" t="s">
        <v>357</v>
      </c>
      <c r="C21" s="1373" t="str">
        <f>HLOOKUP($C$4,$F$4:$H$37,18,FALSE)</f>
        <v>See Tables 6.8.1I and 6.8.1J of ASHRAE 90.1-2010</v>
      </c>
      <c r="D21" s="1364"/>
      <c r="E21" s="1364"/>
      <c r="F21" s="1374" t="s">
        <v>987</v>
      </c>
      <c r="G21" s="1374" t="s">
        <v>987</v>
      </c>
      <c r="H21" s="1374" t="s">
        <v>987</v>
      </c>
      <c r="I21" s="1364"/>
      <c r="J21" s="1364"/>
      <c r="K21" s="1364"/>
      <c r="L21" s="1364"/>
      <c r="M21" s="1364"/>
      <c r="N21" s="1364"/>
      <c r="O21" s="1364"/>
      <c r="P21" s="1364"/>
      <c r="Q21" s="1364"/>
    </row>
    <row r="22" spans="2:17" ht="22.5">
      <c r="B22" s="1370" t="s">
        <v>988</v>
      </c>
      <c r="C22" s="1373" t="str">
        <f>HLOOKUP($C$4,$F$4:$H$37,19,FALSE)</f>
        <v xml:space="preserve">10.0 EER / 12.5 IPLV </v>
      </c>
      <c r="D22" s="1364"/>
      <c r="E22" s="1364"/>
      <c r="F22" s="1375" t="s">
        <v>989</v>
      </c>
      <c r="G22" s="1375" t="s">
        <v>989</v>
      </c>
      <c r="H22" s="1375" t="s">
        <v>989</v>
      </c>
      <c r="I22" s="1364"/>
      <c r="J22" s="1364"/>
      <c r="K22" s="1364"/>
      <c r="L22" s="1364"/>
      <c r="M22" s="1364"/>
      <c r="N22" s="1364"/>
      <c r="O22" s="1364"/>
      <c r="P22" s="1364"/>
      <c r="Q22" s="1364"/>
    </row>
    <row r="23" spans="2:17" ht="25.5">
      <c r="B23" s="1370" t="s">
        <v>990</v>
      </c>
      <c r="C23" s="1373" t="str">
        <f>HLOOKUP($C$4,$F$4:$H$37,20,FALSE)</f>
        <v xml:space="preserve">0.780 kW/ton (Full load) /  0.630 kW/ton (IPLV) </v>
      </c>
      <c r="D23" s="1364"/>
      <c r="E23" s="1364"/>
      <c r="F23" s="1374" t="s">
        <v>991</v>
      </c>
      <c r="G23" s="1374" t="s">
        <v>991</v>
      </c>
      <c r="H23" s="1374" t="s">
        <v>991</v>
      </c>
      <c r="I23" s="1364"/>
      <c r="J23" s="1364"/>
      <c r="K23" s="1364"/>
      <c r="L23" s="1364"/>
      <c r="M23" s="1364"/>
      <c r="N23" s="1364"/>
      <c r="O23" s="1364"/>
      <c r="P23" s="1364"/>
      <c r="Q23" s="1364"/>
    </row>
    <row r="24" spans="2:17" ht="25.5">
      <c r="B24" s="1370" t="s">
        <v>992</v>
      </c>
      <c r="C24" s="1373" t="str">
        <f>HLOOKUP($C$4,$F$4:$H$37,21,FALSE)</f>
        <v xml:space="preserve">0.775 kW/ton (Full load) /  0.615 kW/ton (IPLV) </v>
      </c>
      <c r="D24" s="1364"/>
      <c r="E24" s="1364"/>
      <c r="F24" s="1374" t="s">
        <v>993</v>
      </c>
      <c r="G24" s="1374" t="s">
        <v>993</v>
      </c>
      <c r="H24" s="1374" t="s">
        <v>993</v>
      </c>
      <c r="I24" s="1364"/>
      <c r="J24" s="1364"/>
      <c r="K24" s="1364"/>
      <c r="L24" s="1364"/>
      <c r="M24" s="1364"/>
      <c r="N24" s="1364"/>
      <c r="O24" s="1364"/>
      <c r="P24" s="1364"/>
      <c r="Q24" s="1364"/>
    </row>
    <row r="25" spans="2:17" ht="25.5">
      <c r="B25" s="1370" t="s">
        <v>994</v>
      </c>
      <c r="C25" s="1373" t="str">
        <f>HLOOKUP($C$4,$F$4:$H$37,22,FALSE)</f>
        <v xml:space="preserve">0.680 kW/ton (Full load) /  0.580 kW/ton (IPLV) </v>
      </c>
      <c r="D25" s="1364"/>
      <c r="E25" s="1364"/>
      <c r="F25" s="1375" t="s">
        <v>995</v>
      </c>
      <c r="G25" s="1375" t="s">
        <v>995</v>
      </c>
      <c r="H25" s="1375" t="s">
        <v>995</v>
      </c>
      <c r="I25" s="1364"/>
      <c r="J25" s="1364"/>
      <c r="K25" s="1364"/>
      <c r="L25" s="1364"/>
      <c r="M25" s="1364"/>
      <c r="N25" s="1364"/>
      <c r="O25" s="1364"/>
      <c r="P25" s="1364"/>
      <c r="Q25" s="1364"/>
    </row>
    <row r="26" spans="2:17" ht="25.5">
      <c r="B26" s="1376" t="s">
        <v>996</v>
      </c>
      <c r="C26" s="1373" t="str">
        <f>HLOOKUP($C$4,$F$4:$H$37,23,FALSE)</f>
        <v xml:space="preserve">0.620 kW/ton (Full load) /  0.540 kW/ton (IPLV) </v>
      </c>
      <c r="D26" s="1364"/>
      <c r="E26" s="1364"/>
      <c r="F26" s="1375" t="s">
        <v>997</v>
      </c>
      <c r="G26" s="1375" t="s">
        <v>997</v>
      </c>
      <c r="H26" s="1375" t="s">
        <v>997</v>
      </c>
      <c r="I26" s="1364"/>
      <c r="J26" s="1364"/>
      <c r="K26" s="1364"/>
      <c r="L26" s="1364"/>
      <c r="M26" s="1364"/>
      <c r="N26" s="1364"/>
      <c r="O26" s="1364"/>
      <c r="P26" s="1364"/>
      <c r="Q26" s="1364"/>
    </row>
    <row r="27" spans="2:17" ht="25.5">
      <c r="B27" s="1377" t="s">
        <v>998</v>
      </c>
      <c r="C27" s="1373" t="str">
        <f>HLOOKUP($C$4,$F$4:$H$37,24,FALSE)</f>
        <v>0.634 kW/ton (Full load) /  0.596 kW/ton (IPLV)</v>
      </c>
      <c r="D27" s="1364"/>
      <c r="E27" s="1364"/>
      <c r="F27" s="1374" t="s">
        <v>999</v>
      </c>
      <c r="G27" s="1374" t="s">
        <v>999</v>
      </c>
      <c r="H27" s="1374" t="s">
        <v>999</v>
      </c>
      <c r="I27" s="1364"/>
      <c r="J27" s="1364"/>
      <c r="K27" s="1364"/>
      <c r="L27" s="1364"/>
      <c r="M27" s="1364"/>
      <c r="N27" s="1364"/>
      <c r="O27" s="1364"/>
      <c r="P27" s="1364"/>
      <c r="Q27" s="1364"/>
    </row>
    <row r="28" spans="2:17" ht="25.5">
      <c r="B28" s="1377" t="s">
        <v>1000</v>
      </c>
      <c r="C28" s="1373" t="str">
        <f>HLOOKUP($C$4,$F$4:$H$37,25,FALSE)</f>
        <v>0.576 kW/ton (Full load) /  0.549 kW/ton (IPLV)</v>
      </c>
      <c r="D28" s="1364"/>
      <c r="E28" s="1364"/>
      <c r="F28" s="1374" t="s">
        <v>1001</v>
      </c>
      <c r="G28" s="1374" t="s">
        <v>1001</v>
      </c>
      <c r="H28" s="1374" t="s">
        <v>1001</v>
      </c>
      <c r="I28" s="1364"/>
      <c r="J28" s="1364"/>
      <c r="K28" s="1364"/>
      <c r="L28" s="1364"/>
      <c r="M28" s="1364"/>
      <c r="N28" s="1364"/>
      <c r="O28" s="1364"/>
      <c r="P28" s="1364"/>
      <c r="Q28" s="1364"/>
    </row>
    <row r="29" spans="2:17" ht="25.5">
      <c r="B29" s="1377" t="s">
        <v>1002</v>
      </c>
      <c r="C29" s="1373" t="str">
        <f>HLOOKUP($C$4,$F$4:$H$37,26,FALSE)</f>
        <v>0.570 kW/ton (Full load) /  0.539 kW/ton (IPLV)</v>
      </c>
      <c r="D29" s="1364"/>
      <c r="E29" s="1364"/>
      <c r="F29" s="1374" t="s">
        <v>1003</v>
      </c>
      <c r="G29" s="1374" t="s">
        <v>1003</v>
      </c>
      <c r="H29" s="1374" t="s">
        <v>1003</v>
      </c>
      <c r="I29" s="1364"/>
      <c r="J29" s="1364"/>
      <c r="K29" s="1364"/>
      <c r="L29" s="1364"/>
      <c r="M29" s="1364"/>
      <c r="N29" s="1364"/>
      <c r="O29" s="1364"/>
      <c r="P29" s="1364"/>
      <c r="Q29" s="1364"/>
    </row>
    <row r="30" spans="2:17" ht="22.5">
      <c r="B30" s="1377" t="s">
        <v>1004</v>
      </c>
      <c r="C30" s="1373" t="str">
        <f>HLOOKUP($C$4,$F$4:$H$37,27,FALSE)</f>
        <v>0.6 COP</v>
      </c>
      <c r="D30" s="1364"/>
      <c r="E30" s="1364"/>
      <c r="F30" s="1374" t="s">
        <v>1005</v>
      </c>
      <c r="G30" s="1374" t="s">
        <v>1005</v>
      </c>
      <c r="H30" s="1374" t="s">
        <v>1005</v>
      </c>
      <c r="I30" s="1364"/>
      <c r="J30" s="1364"/>
      <c r="K30" s="1364"/>
      <c r="L30" s="1364"/>
      <c r="M30" s="1364"/>
      <c r="N30" s="1364"/>
      <c r="O30" s="1364"/>
      <c r="P30" s="1364"/>
      <c r="Q30" s="1364"/>
    </row>
    <row r="31" spans="2:17" ht="22.5">
      <c r="B31" s="1377" t="s">
        <v>1006</v>
      </c>
      <c r="C31" s="1373" t="str">
        <f>HLOOKUP($C$4,$F$4:$H$37,28,FALSE)</f>
        <v>0.70 COP</v>
      </c>
      <c r="D31" s="1364"/>
      <c r="E31" s="1364"/>
      <c r="F31" s="1374" t="s">
        <v>28</v>
      </c>
      <c r="G31" s="1374" t="s">
        <v>28</v>
      </c>
      <c r="H31" s="1374" t="s">
        <v>28</v>
      </c>
      <c r="I31" s="1364"/>
      <c r="J31" s="1364"/>
      <c r="K31" s="1364"/>
      <c r="L31" s="1364"/>
      <c r="M31" s="1364"/>
      <c r="N31" s="1364"/>
      <c r="O31" s="1364"/>
      <c r="P31" s="1364"/>
      <c r="Q31" s="1364"/>
    </row>
    <row r="32" spans="2:17" ht="22.5">
      <c r="B32" s="1377" t="s">
        <v>1007</v>
      </c>
      <c r="C32" s="1373" t="str">
        <f>HLOOKUP($C$4,$F$4:$H$37,29,FALSE)</f>
        <v>1.00 COP / 1.05 IPLV</v>
      </c>
      <c r="D32" s="1364"/>
      <c r="E32" s="1364"/>
      <c r="F32" s="1374" t="s">
        <v>26</v>
      </c>
      <c r="G32" s="1374" t="s">
        <v>26</v>
      </c>
      <c r="H32" s="1374" t="s">
        <v>26</v>
      </c>
      <c r="I32" s="1364"/>
      <c r="J32" s="1364"/>
      <c r="K32" s="1364"/>
      <c r="L32" s="1364"/>
      <c r="M32" s="1364"/>
      <c r="N32" s="1364"/>
      <c r="O32" s="1364"/>
      <c r="P32" s="1364"/>
      <c r="Q32" s="1364"/>
    </row>
    <row r="33" spans="2:17" ht="22.5">
      <c r="B33" s="1377" t="s">
        <v>1008</v>
      </c>
      <c r="C33" s="1373" t="str">
        <f>HLOOKUP($C$4,$F$4:$H$37,30,FALSE)</f>
        <v>1.00 COP / 1.00 IPLV</v>
      </c>
      <c r="D33" s="1364"/>
      <c r="E33" s="1364"/>
      <c r="F33" s="1374" t="s">
        <v>27</v>
      </c>
      <c r="G33" s="1374" t="s">
        <v>27</v>
      </c>
      <c r="H33" s="1374" t="s">
        <v>27</v>
      </c>
      <c r="I33" s="1364"/>
      <c r="J33" s="1364"/>
      <c r="K33" s="1364"/>
      <c r="L33" s="1364"/>
      <c r="M33" s="1364"/>
      <c r="N33" s="1364"/>
      <c r="O33" s="1364"/>
      <c r="P33" s="1364"/>
      <c r="Q33" s="1364"/>
    </row>
    <row r="34" spans="2:17" ht="38.25">
      <c r="B34" s="1377" t="s">
        <v>1009</v>
      </c>
      <c r="C34" s="1373" t="str">
        <f>HLOOKUP($C$4,$F$4:$H$37,31,FALSE)</f>
        <v>&gt;40 gpm/hp (@95°F entering water, 85°F leaving water, 75°F web entering air)</v>
      </c>
      <c r="D34" s="1364"/>
      <c r="E34" s="1364"/>
      <c r="F34" s="1374" t="s">
        <v>1010</v>
      </c>
      <c r="G34" s="1374" t="s">
        <v>1010</v>
      </c>
      <c r="H34" s="1374" t="s">
        <v>1010</v>
      </c>
      <c r="I34" s="1364"/>
      <c r="J34" s="1364"/>
      <c r="K34" s="1364"/>
      <c r="L34" s="1364"/>
      <c r="M34" s="1364"/>
      <c r="N34" s="1364"/>
      <c r="O34" s="1364"/>
      <c r="P34" s="1364"/>
      <c r="Q34" s="1364"/>
    </row>
    <row r="35" spans="2:17" ht="38.25">
      <c r="B35" s="1377" t="s">
        <v>1011</v>
      </c>
      <c r="C35" s="1373" t="str">
        <f>HLOOKUP($C$4,$F$4:$H$37,32,FALSE)</f>
        <v>&gt;15 gpm/hp (@102°F entering water, 90°F leaving water, 75°F wb entering air)</v>
      </c>
      <c r="D35" s="1364"/>
      <c r="E35" s="1364"/>
      <c r="F35" s="1374" t="s">
        <v>390</v>
      </c>
      <c r="G35" s="1374" t="s">
        <v>390</v>
      </c>
      <c r="H35" s="1374" t="s">
        <v>390</v>
      </c>
      <c r="I35" s="1364"/>
      <c r="J35" s="1364"/>
      <c r="K35" s="1364"/>
      <c r="L35" s="1364"/>
      <c r="M35" s="1364"/>
      <c r="N35" s="1364"/>
      <c r="O35" s="1364"/>
      <c r="P35" s="1364"/>
      <c r="Q35" s="1364"/>
    </row>
    <row r="36" spans="2:17" ht="49.5" customHeight="1">
      <c r="B36" s="1377" t="s">
        <v>1012</v>
      </c>
      <c r="C36" s="1373" t="str">
        <f>HLOOKUP($C$4,$F$4:$H$37,33,FALSE)</f>
        <v>&gt;22 gpm/hp (@95°F entering water, 85°F leaving water, 75°F wb entering air)</v>
      </c>
      <c r="D36" s="1364"/>
      <c r="E36" s="1364"/>
      <c r="F36" s="1374" t="s">
        <v>391</v>
      </c>
      <c r="G36" s="1374" t="s">
        <v>391</v>
      </c>
      <c r="H36" s="1374" t="s">
        <v>391</v>
      </c>
      <c r="I36" s="1364"/>
      <c r="J36" s="1364"/>
      <c r="K36" s="1364"/>
      <c r="L36" s="1364"/>
      <c r="M36" s="1364"/>
      <c r="N36" s="1364"/>
      <c r="O36" s="1364"/>
      <c r="P36" s="1364"/>
      <c r="Q36" s="1364"/>
    </row>
    <row r="37" spans="2:17" ht="38.25">
      <c r="B37" s="1377" t="s">
        <v>1013</v>
      </c>
      <c r="C37" s="1373" t="str">
        <f>HLOOKUP($C$4,$F$4:$H$37,34,FALSE)</f>
        <v>&gt;8 gpm/hp (@102°F entering water, 90°F leaving water, 75°F wb entering air)</v>
      </c>
      <c r="D37" s="1364"/>
      <c r="E37" s="1364"/>
      <c r="F37" s="1374" t="s">
        <v>392</v>
      </c>
      <c r="G37" s="1374" t="s">
        <v>392</v>
      </c>
      <c r="H37" s="1374" t="s">
        <v>392</v>
      </c>
      <c r="I37" s="1364"/>
      <c r="J37" s="1364"/>
      <c r="K37" s="1364"/>
      <c r="L37" s="1364"/>
      <c r="M37" s="1364"/>
      <c r="N37" s="1364"/>
      <c r="O37" s="1364"/>
      <c r="P37" s="1364"/>
      <c r="Q37" s="1364"/>
    </row>
    <row r="38" spans="2:17">
      <c r="B38" s="1321" t="s">
        <v>1014</v>
      </c>
      <c r="C38" s="1378"/>
      <c r="D38" s="1364"/>
      <c r="E38" s="1364"/>
      <c r="F38" s="1379"/>
      <c r="G38" s="1379"/>
      <c r="H38" s="1379"/>
      <c r="I38" s="1364"/>
      <c r="J38" s="1364"/>
      <c r="K38" s="1364"/>
      <c r="L38" s="1364"/>
      <c r="M38" s="1364"/>
      <c r="N38" s="1364"/>
      <c r="O38" s="1364"/>
      <c r="P38" s="1364"/>
      <c r="Q38" s="1364"/>
    </row>
    <row r="39" spans="2:17">
      <c r="B39" s="1321" t="s">
        <v>1015</v>
      </c>
      <c r="C39" s="1364"/>
      <c r="D39" s="1364"/>
      <c r="E39" s="1364"/>
      <c r="F39" s="1364"/>
      <c r="G39" s="1364"/>
      <c r="H39" s="1364"/>
      <c r="I39" s="1364"/>
      <c r="J39" s="1364"/>
      <c r="K39" s="1364"/>
      <c r="L39" s="1364"/>
      <c r="M39" s="1364"/>
      <c r="N39" s="1364"/>
      <c r="O39" s="1364"/>
      <c r="P39" s="1364"/>
      <c r="Q39" s="1364"/>
    </row>
    <row r="40" spans="2:17" ht="16.5" customHeight="1">
      <c r="B40" s="1321" t="s">
        <v>1016</v>
      </c>
      <c r="C40" s="1364"/>
      <c r="D40" s="1364"/>
      <c r="E40" s="1364"/>
      <c r="F40" s="1364"/>
      <c r="G40" s="1364"/>
      <c r="H40" s="1364"/>
      <c r="I40" s="1364"/>
      <c r="J40" s="1364"/>
      <c r="K40" s="1364"/>
      <c r="L40" s="1364"/>
      <c r="M40" s="1364"/>
      <c r="N40" s="1364"/>
      <c r="O40" s="1364"/>
      <c r="P40" s="1364"/>
      <c r="Q40" s="1364"/>
    </row>
    <row r="41" spans="2:17">
      <c r="B41" s="1364"/>
      <c r="C41" s="1364"/>
      <c r="D41" s="1364"/>
      <c r="E41" s="1364"/>
      <c r="F41" s="1364"/>
      <c r="G41" s="1364"/>
      <c r="H41" s="1364"/>
      <c r="I41" s="1364"/>
      <c r="J41" s="1364"/>
      <c r="K41" s="1364"/>
      <c r="L41" s="1364"/>
      <c r="M41" s="1364"/>
      <c r="N41" s="1364"/>
      <c r="O41" s="1364"/>
      <c r="P41" s="1364"/>
      <c r="Q41" s="1364"/>
    </row>
    <row r="42" spans="2:17">
      <c r="B42" s="1361" t="s">
        <v>1017</v>
      </c>
      <c r="C42" s="1364"/>
      <c r="D42" s="1364"/>
      <c r="E42" s="1364"/>
      <c r="F42" s="1364"/>
      <c r="G42" s="1364"/>
      <c r="H42" s="1364"/>
      <c r="I42" s="1364"/>
      <c r="J42" s="1364"/>
      <c r="K42" s="1364"/>
      <c r="L42" s="1364"/>
      <c r="M42" s="1364"/>
      <c r="N42" s="1364"/>
      <c r="O42" s="1364"/>
      <c r="P42" s="1364"/>
      <c r="Q42" s="1364"/>
    </row>
    <row r="43" spans="2:17">
      <c r="B43" s="2553" t="s">
        <v>1018</v>
      </c>
      <c r="C43" s="1380" t="s">
        <v>1019</v>
      </c>
      <c r="D43" s="1380" t="s">
        <v>1020</v>
      </c>
      <c r="E43" s="1381"/>
      <c r="F43" s="2554"/>
      <c r="G43" s="2554"/>
      <c r="H43" s="2554"/>
      <c r="I43" s="1364"/>
      <c r="J43" s="2555" t="s">
        <v>1020</v>
      </c>
      <c r="K43" s="2554"/>
      <c r="L43" s="2554"/>
      <c r="M43" s="2554"/>
      <c r="N43" s="2554"/>
      <c r="O43" s="2554"/>
      <c r="P43" s="2554"/>
      <c r="Q43" s="2556"/>
    </row>
    <row r="44" spans="2:17">
      <c r="B44" s="2553"/>
      <c r="C44" s="1382" t="s">
        <v>556</v>
      </c>
      <c r="D44" s="1382" t="s">
        <v>556</v>
      </c>
      <c r="E44" s="1381"/>
      <c r="F44" s="1369" t="s">
        <v>556</v>
      </c>
      <c r="G44" s="1369" t="s">
        <v>557</v>
      </c>
      <c r="H44" s="1369" t="s">
        <v>558</v>
      </c>
      <c r="I44" s="1381"/>
      <c r="J44" s="1383" t="s">
        <v>1021</v>
      </c>
      <c r="K44" s="1383" t="s">
        <v>1022</v>
      </c>
      <c r="L44" s="1383" t="s">
        <v>1023</v>
      </c>
      <c r="M44" s="1383" t="s">
        <v>556</v>
      </c>
      <c r="N44" s="1383" t="s">
        <v>557</v>
      </c>
      <c r="O44" s="1383" t="s">
        <v>558</v>
      </c>
      <c r="P44" s="1383" t="s">
        <v>1024</v>
      </c>
      <c r="Q44" s="1383" t="s">
        <v>1025</v>
      </c>
    </row>
    <row r="45" spans="2:17">
      <c r="B45" s="2550" t="s">
        <v>36</v>
      </c>
      <c r="C45" s="2550"/>
      <c r="D45" s="2550"/>
      <c r="E45" s="1381"/>
      <c r="F45" s="1384"/>
      <c r="G45" s="1384"/>
      <c r="H45" s="1384"/>
      <c r="I45" s="1381"/>
      <c r="J45" s="1385"/>
      <c r="K45" s="1384"/>
      <c r="L45" s="1384"/>
      <c r="M45" s="1384"/>
      <c r="N45" s="1384"/>
      <c r="O45" s="1384"/>
      <c r="P45" s="1384"/>
      <c r="Q45" s="1386"/>
    </row>
    <row r="46" spans="2:17">
      <c r="B46" s="1383" t="s">
        <v>1026</v>
      </c>
      <c r="C46" s="1382" t="str">
        <f>HLOOKUP($C$44,$F$44:$H$71,3,FALSE)</f>
        <v>R-25.0 continuous</v>
      </c>
      <c r="D46" s="1382" t="str">
        <f>HLOOKUP($D$44,$J$44:$Q$71,3,FALSE)</f>
        <v>U-0.039</v>
      </c>
      <c r="E46" s="1381"/>
      <c r="F46" s="1387" t="s">
        <v>1027</v>
      </c>
      <c r="G46" s="1387" t="s">
        <v>1027</v>
      </c>
      <c r="H46" s="1387" t="s">
        <v>1028</v>
      </c>
      <c r="I46" s="1381"/>
      <c r="J46" s="1383" t="s">
        <v>1029</v>
      </c>
      <c r="K46" s="1383" t="s">
        <v>1029</v>
      </c>
      <c r="L46" s="1383" t="s">
        <v>1029</v>
      </c>
      <c r="M46" s="1383" t="s">
        <v>1029</v>
      </c>
      <c r="N46" s="1383" t="s">
        <v>1029</v>
      </c>
      <c r="O46" s="1383" t="s">
        <v>1030</v>
      </c>
      <c r="P46" s="1383" t="s">
        <v>1031</v>
      </c>
      <c r="Q46" s="1383" t="s">
        <v>1031</v>
      </c>
    </row>
    <row r="47" spans="2:17">
      <c r="B47" s="1383" t="s">
        <v>66</v>
      </c>
      <c r="C47" s="1382" t="str">
        <f>HLOOKUP($C$44,$F$44:$H$71,4,FALSE)</f>
        <v>R-19.0 +    R-11.0 Ls</v>
      </c>
      <c r="D47" s="1382" t="str">
        <f>HLOOKUP($D$44,$J$44:$Q$71,4,FALSE)</f>
        <v>U-0.035</v>
      </c>
      <c r="E47" s="1381"/>
      <c r="F47" s="1383" t="s">
        <v>1032</v>
      </c>
      <c r="G47" s="1383" t="s">
        <v>1032</v>
      </c>
      <c r="H47" s="1383" t="s">
        <v>1033</v>
      </c>
      <c r="I47" s="1381"/>
      <c r="J47" s="1383" t="s">
        <v>1034</v>
      </c>
      <c r="K47" s="1383" t="s">
        <v>1034</v>
      </c>
      <c r="L47" s="1383" t="s">
        <v>1034</v>
      </c>
      <c r="M47" s="1383" t="s">
        <v>1034</v>
      </c>
      <c r="N47" s="1383" t="s">
        <v>1034</v>
      </c>
      <c r="O47" s="1383" t="s">
        <v>1035</v>
      </c>
      <c r="P47" s="1383" t="s">
        <v>1036</v>
      </c>
      <c r="Q47" s="1383" t="s">
        <v>1036</v>
      </c>
    </row>
    <row r="48" spans="2:17">
      <c r="B48" s="1383" t="s">
        <v>68</v>
      </c>
      <c r="C48" s="1382" t="str">
        <f>HLOOKUP($C$44,$F$44:$H$71,5,FALSE)</f>
        <v>R-49.0</v>
      </c>
      <c r="D48" s="1382" t="str">
        <f>HLOOKUP($D$44,$J$44:$Q$71,5,FALSE)</f>
        <v>U-0.021</v>
      </c>
      <c r="E48" s="1381"/>
      <c r="F48" s="1383" t="s">
        <v>69</v>
      </c>
      <c r="G48" s="1383" t="s">
        <v>69</v>
      </c>
      <c r="H48" s="1383" t="s">
        <v>69</v>
      </c>
      <c r="I48" s="1381"/>
      <c r="J48" s="1383" t="s">
        <v>1037</v>
      </c>
      <c r="K48" s="1383" t="s">
        <v>1037</v>
      </c>
      <c r="L48" s="1383" t="s">
        <v>1037</v>
      </c>
      <c r="M48" s="1383" t="s">
        <v>1037</v>
      </c>
      <c r="N48" s="1383" t="s">
        <v>1037</v>
      </c>
      <c r="O48" s="1383" t="s">
        <v>1037</v>
      </c>
      <c r="P48" s="1383" t="s">
        <v>1038</v>
      </c>
      <c r="Q48" s="1383" t="s">
        <v>1038</v>
      </c>
    </row>
    <row r="49" spans="2:17">
      <c r="B49" s="2550" t="s">
        <v>81</v>
      </c>
      <c r="C49" s="2550"/>
      <c r="D49" s="2550"/>
      <c r="E49" s="1381"/>
      <c r="F49" s="1384"/>
      <c r="G49" s="1384"/>
      <c r="H49" s="1384"/>
      <c r="I49" s="1381"/>
      <c r="J49" s="1388"/>
      <c r="K49" s="1389"/>
      <c r="L49" s="1389"/>
      <c r="M49" s="1389"/>
      <c r="N49" s="1389"/>
      <c r="O49" s="1389"/>
      <c r="P49" s="1389"/>
      <c r="Q49" s="1390"/>
    </row>
    <row r="50" spans="2:17">
      <c r="B50" s="1383" t="s">
        <v>1039</v>
      </c>
      <c r="C50" s="1382" t="str">
        <f>HLOOKUP($C$44,$F$44:$H$71,7,FALSE)</f>
        <v>R-13.3 continuous</v>
      </c>
      <c r="D50" s="1382" t="str">
        <f>HLOOKUP($D$44,$J$44:$Q$71,7,FALSE)</f>
        <v>U-0.080</v>
      </c>
      <c r="E50" s="1381"/>
      <c r="F50" s="1383" t="s">
        <v>1040</v>
      </c>
      <c r="G50" s="1383" t="s">
        <v>1041</v>
      </c>
      <c r="H50" s="1383" t="s">
        <v>1042</v>
      </c>
      <c r="I50" s="1381"/>
      <c r="J50" s="1391" t="s">
        <v>1043</v>
      </c>
      <c r="K50" s="1392" t="s">
        <v>1044</v>
      </c>
      <c r="L50" s="1392" t="s">
        <v>1045</v>
      </c>
      <c r="M50" s="1392" t="s">
        <v>1046</v>
      </c>
      <c r="N50" s="1392" t="s">
        <v>1047</v>
      </c>
      <c r="O50" s="1392" t="s">
        <v>1048</v>
      </c>
      <c r="P50" s="1392" t="s">
        <v>1048</v>
      </c>
      <c r="Q50" s="1391" t="s">
        <v>1049</v>
      </c>
    </row>
    <row r="51" spans="2:17">
      <c r="B51" s="1383" t="s">
        <v>66</v>
      </c>
      <c r="C51" s="1382" t="str">
        <f>HLOOKUP($C$44,$F$44:$H$71,8,FALSE)</f>
        <v>R-13.0 +  R-13.0 ci</v>
      </c>
      <c r="D51" s="1382" t="str">
        <f>HLOOKUP($D$44,$J$44:$Q$71,8,FALSE)</f>
        <v>U-0.052</v>
      </c>
      <c r="E51" s="1381"/>
      <c r="F51" s="1383" t="s">
        <v>1050</v>
      </c>
      <c r="G51" s="1383" t="s">
        <v>1050</v>
      </c>
      <c r="H51" s="1383" t="s">
        <v>1050</v>
      </c>
      <c r="I51" s="1381"/>
      <c r="J51" s="1391" t="s">
        <v>1051</v>
      </c>
      <c r="K51" s="1392" t="s">
        <v>1052</v>
      </c>
      <c r="L51" s="1392" t="s">
        <v>1052</v>
      </c>
      <c r="M51" s="1392" t="s">
        <v>1052</v>
      </c>
      <c r="N51" s="1392" t="s">
        <v>1052</v>
      </c>
      <c r="O51" s="1392" t="s">
        <v>1052</v>
      </c>
      <c r="P51" s="1392" t="s">
        <v>1029</v>
      </c>
      <c r="Q51" s="1391" t="s">
        <v>1035</v>
      </c>
    </row>
    <row r="52" spans="2:17">
      <c r="B52" s="1383" t="s">
        <v>1053</v>
      </c>
      <c r="C52" s="1382" t="str">
        <f>HLOOKUP($C$44,$F$44:$H$71,9,FALSE)</f>
        <v>R-13.0 + R-10.0 c.i.</v>
      </c>
      <c r="D52" s="1382" t="str">
        <f>HLOOKUP($D$44,$J$44:$Q$71,9,FALSE)</f>
        <v>U-0.055</v>
      </c>
      <c r="E52" s="1381"/>
      <c r="F52" s="1383" t="s">
        <v>1054</v>
      </c>
      <c r="G52" s="1383" t="s">
        <v>1054</v>
      </c>
      <c r="H52" s="1383" t="s">
        <v>1054</v>
      </c>
      <c r="I52" s="1381"/>
      <c r="J52" s="1391" t="s">
        <v>1055</v>
      </c>
      <c r="K52" s="1392" t="s">
        <v>1056</v>
      </c>
      <c r="L52" s="1392" t="s">
        <v>1056</v>
      </c>
      <c r="M52" s="1392" t="s">
        <v>1056</v>
      </c>
      <c r="N52" s="1392" t="s">
        <v>1056</v>
      </c>
      <c r="O52" s="1392" t="s">
        <v>1056</v>
      </c>
      <c r="P52" s="1392" t="s">
        <v>1057</v>
      </c>
      <c r="Q52" s="1391" t="s">
        <v>1058</v>
      </c>
    </row>
    <row r="53" spans="2:17">
      <c r="B53" s="1383" t="s">
        <v>98</v>
      </c>
      <c r="C53" s="1382" t="str">
        <f>HLOOKUP($C$44,$F$44:$H$71,10,FALSE)</f>
        <v>R-13.0 +  R-7.5 ci</v>
      </c>
      <c r="D53" s="1382" t="str">
        <f>HLOOKUP($D$44,$J$44:$Q$71,10,FALSE)</f>
        <v>U-0.051</v>
      </c>
      <c r="E53" s="1381"/>
      <c r="F53" s="1383" t="s">
        <v>1059</v>
      </c>
      <c r="G53" s="1383" t="s">
        <v>1054</v>
      </c>
      <c r="H53" s="1383" t="s">
        <v>1054</v>
      </c>
      <c r="I53" s="1381"/>
      <c r="J53" s="1391" t="s">
        <v>1060</v>
      </c>
      <c r="K53" s="1392" t="s">
        <v>1060</v>
      </c>
      <c r="L53" s="1392" t="s">
        <v>1060</v>
      </c>
      <c r="M53" s="1392" t="s">
        <v>1061</v>
      </c>
      <c r="N53" s="1392" t="s">
        <v>1062</v>
      </c>
      <c r="O53" s="1392" t="s">
        <v>1062</v>
      </c>
      <c r="P53" s="1392" t="s">
        <v>1062</v>
      </c>
      <c r="Q53" s="1391" t="s">
        <v>1030</v>
      </c>
    </row>
    <row r="54" spans="2:17">
      <c r="B54" s="2550" t="s">
        <v>82</v>
      </c>
      <c r="C54" s="2550"/>
      <c r="D54" s="2550"/>
      <c r="E54" s="1381"/>
      <c r="F54" s="1384"/>
      <c r="G54" s="1384"/>
      <c r="H54" s="1384"/>
      <c r="I54" s="1381"/>
      <c r="J54" s="1393"/>
      <c r="K54" s="1394"/>
      <c r="L54" s="1394"/>
      <c r="M54" s="1394"/>
      <c r="N54" s="1394"/>
      <c r="O54" s="1394"/>
      <c r="P54" s="1394"/>
      <c r="Q54" s="1395"/>
    </row>
    <row r="55" spans="2:17" ht="22.5">
      <c r="B55" s="1383" t="s">
        <v>1063</v>
      </c>
      <c r="C55" s="1382" t="str">
        <f>HLOOKUP($C$44,$F$44:$H$71,12,FALSE)</f>
        <v>R-10.0 continuous</v>
      </c>
      <c r="D55" s="1382" t="str">
        <f>HLOOKUP($D$44,$J$44:$Q$71,12,FALSE)</f>
        <v>U-0.092</v>
      </c>
      <c r="E55" s="1381"/>
      <c r="F55" s="1383" t="s">
        <v>1064</v>
      </c>
      <c r="G55" s="1383" t="s">
        <v>1065</v>
      </c>
      <c r="H55" s="1383" t="s">
        <v>1065</v>
      </c>
      <c r="I55" s="1381"/>
      <c r="J55" s="1383" t="s">
        <v>1066</v>
      </c>
      <c r="K55" s="1383" t="s">
        <v>1066</v>
      </c>
      <c r="L55" s="1383" t="s">
        <v>1066</v>
      </c>
      <c r="M55" s="1383" t="s">
        <v>1067</v>
      </c>
      <c r="N55" s="1383" t="s">
        <v>1067</v>
      </c>
      <c r="O55" s="1383" t="s">
        <v>1067</v>
      </c>
      <c r="P55" s="1383" t="s">
        <v>1068</v>
      </c>
      <c r="Q55" s="1383" t="s">
        <v>1069</v>
      </c>
    </row>
    <row r="56" spans="2:17">
      <c r="B56" s="1383" t="s">
        <v>6</v>
      </c>
      <c r="C56" s="1382" t="str">
        <f>HLOOKUP($C$44,$F$44:$H$71,13,FALSE)</f>
        <v>NR</v>
      </c>
      <c r="D56" s="1382" t="str">
        <f>HLOOKUP($D$44,$J$44:$Q$71,13,FALSE)</f>
        <v>NR</v>
      </c>
      <c r="E56" s="1381"/>
      <c r="F56" s="1383" t="s">
        <v>1066</v>
      </c>
      <c r="G56" s="1383" t="s">
        <v>1066</v>
      </c>
      <c r="H56" s="1383" t="s">
        <v>1066</v>
      </c>
      <c r="I56" s="1381"/>
      <c r="J56" s="1383" t="s">
        <v>1066</v>
      </c>
      <c r="K56" s="1383" t="s">
        <v>1066</v>
      </c>
      <c r="L56" s="1383" t="s">
        <v>1066</v>
      </c>
      <c r="M56" s="1383" t="s">
        <v>1066</v>
      </c>
      <c r="N56" s="1383" t="s">
        <v>1066</v>
      </c>
      <c r="O56" s="1383" t="s">
        <v>1066</v>
      </c>
      <c r="P56" s="1383" t="s">
        <v>1066</v>
      </c>
      <c r="Q56" s="1383" t="s">
        <v>1066</v>
      </c>
    </row>
    <row r="57" spans="2:17">
      <c r="B57" s="2550" t="s">
        <v>83</v>
      </c>
      <c r="C57" s="2550"/>
      <c r="D57" s="2550"/>
      <c r="E57" s="1381"/>
      <c r="F57" s="1389"/>
      <c r="G57" s="1389"/>
      <c r="H57" s="1389"/>
      <c r="I57" s="1381"/>
      <c r="J57" s="1388"/>
      <c r="K57" s="1389"/>
      <c r="L57" s="1389"/>
      <c r="M57" s="1389"/>
      <c r="N57" s="1389"/>
      <c r="O57" s="1389"/>
      <c r="P57" s="1389"/>
      <c r="Q57" s="1390"/>
    </row>
    <row r="58" spans="2:17">
      <c r="B58" s="1383" t="s">
        <v>1039</v>
      </c>
      <c r="C58" s="1382" t="str">
        <f>HLOOKUP($C$44,$F$44:$H$71,15,FALSE)</f>
        <v>R-12.5 ci</v>
      </c>
      <c r="D58" s="1382" t="str">
        <f>HLOOKUP($D$44,$J$44:$Q$71,15,FALSE)</f>
        <v>U-0.064</v>
      </c>
      <c r="E58" s="1381"/>
      <c r="F58" s="1392" t="s">
        <v>323</v>
      </c>
      <c r="G58" s="1392" t="s">
        <v>325</v>
      </c>
      <c r="H58" s="1392" t="s">
        <v>492</v>
      </c>
      <c r="I58" s="1381"/>
      <c r="J58" s="1392" t="s">
        <v>1070</v>
      </c>
      <c r="K58" s="1392" t="s">
        <v>1071</v>
      </c>
      <c r="L58" s="1392" t="s">
        <v>1071</v>
      </c>
      <c r="M58" s="1392" t="s">
        <v>1060</v>
      </c>
      <c r="N58" s="1392" t="s">
        <v>1072</v>
      </c>
      <c r="O58" s="1392" t="s">
        <v>1061</v>
      </c>
      <c r="P58" s="1392" t="s">
        <v>1049</v>
      </c>
      <c r="Q58" s="1391" t="s">
        <v>1049</v>
      </c>
    </row>
    <row r="59" spans="2:17">
      <c r="B59" s="1383" t="s">
        <v>87</v>
      </c>
      <c r="C59" s="1382" t="str">
        <f>HLOOKUP($C$44,$F$44:$H$71,16,FALSE)</f>
        <v>R-38.0</v>
      </c>
      <c r="D59" s="1382" t="str">
        <f>HLOOKUP($D$44,$J$44:$Q$71,16,FALSE)</f>
        <v>U-0.032</v>
      </c>
      <c r="E59" s="1381"/>
      <c r="F59" s="1392" t="s">
        <v>67</v>
      </c>
      <c r="G59" s="1392" t="s">
        <v>67</v>
      </c>
      <c r="H59" s="1392" t="s">
        <v>1073</v>
      </c>
      <c r="I59" s="1381"/>
      <c r="J59" s="1392" t="s">
        <v>1052</v>
      </c>
      <c r="K59" s="1392" t="s">
        <v>1074</v>
      </c>
      <c r="L59" s="1392" t="s">
        <v>1074</v>
      </c>
      <c r="M59" s="1392" t="s">
        <v>1030</v>
      </c>
      <c r="N59" s="1392" t="s">
        <v>1030</v>
      </c>
      <c r="O59" s="1392" t="s">
        <v>1075</v>
      </c>
      <c r="P59" s="1392" t="s">
        <v>1075</v>
      </c>
      <c r="Q59" s="1391" t="s">
        <v>1075</v>
      </c>
    </row>
    <row r="60" spans="2:17">
      <c r="B60" s="1383" t="s">
        <v>98</v>
      </c>
      <c r="C60" s="1382" t="str">
        <f>HLOOKUP($C$44,$F$44:$H$71,17,FALSE)</f>
        <v>R-30.0 +  R-7.5 ci</v>
      </c>
      <c r="D60" s="1382" t="str">
        <f>HLOOKUP($D$44,$J$44:$Q$71,17,FALSE)</f>
        <v>U-0.026</v>
      </c>
      <c r="E60" s="1381"/>
      <c r="F60" s="1392" t="s">
        <v>1076</v>
      </c>
      <c r="G60" s="1392" t="s">
        <v>1076</v>
      </c>
      <c r="H60" s="1392" t="s">
        <v>1076</v>
      </c>
      <c r="I60" s="1381"/>
      <c r="J60" s="1392" t="s">
        <v>1061</v>
      </c>
      <c r="K60" s="1392" t="s">
        <v>1077</v>
      </c>
      <c r="L60" s="1392" t="s">
        <v>1077</v>
      </c>
      <c r="M60" s="1392" t="s">
        <v>1077</v>
      </c>
      <c r="N60" s="1392" t="s">
        <v>1077</v>
      </c>
      <c r="O60" s="1392" t="s">
        <v>1077</v>
      </c>
      <c r="P60" s="1392" t="s">
        <v>1077</v>
      </c>
      <c r="Q60" s="1391" t="s">
        <v>1077</v>
      </c>
    </row>
    <row r="61" spans="2:17">
      <c r="B61" s="2550" t="s">
        <v>84</v>
      </c>
      <c r="C61" s="2550"/>
      <c r="D61" s="2550"/>
      <c r="E61" s="1381"/>
      <c r="F61" s="1394"/>
      <c r="G61" s="1394"/>
      <c r="H61" s="1394"/>
      <c r="I61" s="1381"/>
      <c r="J61" s="1393"/>
      <c r="K61" s="1394"/>
      <c r="L61" s="1394"/>
      <c r="M61" s="1394"/>
      <c r="N61" s="1394"/>
      <c r="O61" s="1394"/>
      <c r="P61" s="1394"/>
      <c r="Q61" s="1395"/>
    </row>
    <row r="62" spans="2:17" ht="22.5">
      <c r="B62" s="1383" t="s">
        <v>40</v>
      </c>
      <c r="C62" s="1382" t="str">
        <f>HLOOKUP($C$44,$F$44:$H$71,19,FALSE)</f>
        <v>R-15.0 for 24 in.</v>
      </c>
      <c r="D62" s="1382" t="str">
        <f>HLOOKUP($D$44,$J$44:$Q$71,19,FALSE)</f>
        <v>R-15.0 for 24 in.</v>
      </c>
      <c r="E62" s="1381"/>
      <c r="F62" s="1383" t="s">
        <v>328</v>
      </c>
      <c r="G62" s="1383" t="s">
        <v>32</v>
      </c>
      <c r="H62" s="1383" t="s">
        <v>72</v>
      </c>
      <c r="I62" s="1381"/>
      <c r="J62" s="1383" t="s">
        <v>1066</v>
      </c>
      <c r="K62" s="1383" t="s">
        <v>1066</v>
      </c>
      <c r="L62" s="1383" t="s">
        <v>1066</v>
      </c>
      <c r="M62" s="1383" t="s">
        <v>328</v>
      </c>
      <c r="N62" s="1383" t="s">
        <v>328</v>
      </c>
      <c r="O62" s="1383" t="s">
        <v>329</v>
      </c>
      <c r="P62" s="1383" t="s">
        <v>1078</v>
      </c>
      <c r="Q62" s="1383" t="s">
        <v>1078</v>
      </c>
    </row>
    <row r="63" spans="2:17">
      <c r="B63" s="1383" t="s">
        <v>34</v>
      </c>
      <c r="C63" s="1382" t="str">
        <f>HLOOKUP($C$44,$F$44:$H$71,20,FALSE)</f>
        <v>R-10.0 for 24 in. + R-5 ci  below</v>
      </c>
      <c r="D63" s="1382" t="str">
        <f>HLOOKUP($D$44,$J$44:$Q$71,20,FALSE)</f>
        <v>R-10.0 for 24 in. + R-5 ci below</v>
      </c>
      <c r="E63" s="1381"/>
      <c r="F63" s="1383" t="s">
        <v>1079</v>
      </c>
      <c r="G63" s="1383" t="s">
        <v>330</v>
      </c>
      <c r="H63" s="1383" t="s">
        <v>330</v>
      </c>
      <c r="I63" s="1381"/>
      <c r="J63" s="1383" t="s">
        <v>1080</v>
      </c>
      <c r="K63" s="1383" t="s">
        <v>1080</v>
      </c>
      <c r="L63" s="1383" t="s">
        <v>1080</v>
      </c>
      <c r="M63" s="1383" t="s">
        <v>491</v>
      </c>
      <c r="N63" s="1383" t="s">
        <v>330</v>
      </c>
      <c r="O63" s="1383" t="s">
        <v>330</v>
      </c>
      <c r="P63" s="1383" t="s">
        <v>1081</v>
      </c>
      <c r="Q63" s="1383" t="s">
        <v>1081</v>
      </c>
    </row>
    <row r="64" spans="2:17">
      <c r="B64" s="2550" t="s">
        <v>760</v>
      </c>
      <c r="C64" s="2550"/>
      <c r="D64" s="2550"/>
      <c r="E64" s="1381"/>
      <c r="F64" s="1384"/>
      <c r="G64" s="1384"/>
      <c r="H64" s="1384"/>
      <c r="I64" s="1381"/>
      <c r="J64" s="1385"/>
      <c r="K64" s="1384"/>
      <c r="L64" s="1384"/>
      <c r="M64" s="1384"/>
      <c r="N64" s="1384"/>
      <c r="O64" s="1384"/>
      <c r="P64" s="1384"/>
      <c r="Q64" s="1386"/>
    </row>
    <row r="65" spans="2:17">
      <c r="B65" s="1383" t="s">
        <v>1082</v>
      </c>
      <c r="C65" s="1382" t="str">
        <f>HLOOKUP($C$44,$F$44:$H$71,22,FALSE)</f>
        <v>-</v>
      </c>
      <c r="D65" s="1382" t="str">
        <f>HLOOKUP($D$44,$J$44:$Q$71,22,FALSE)</f>
        <v>U-0.6</v>
      </c>
      <c r="E65" s="1381"/>
      <c r="F65" s="1383" t="s">
        <v>826</v>
      </c>
      <c r="G65" s="1383" t="s">
        <v>826</v>
      </c>
      <c r="H65" s="1383" t="s">
        <v>826</v>
      </c>
      <c r="I65" s="1381"/>
      <c r="J65" s="1383" t="s">
        <v>1083</v>
      </c>
      <c r="K65" s="1383" t="s">
        <v>1083</v>
      </c>
      <c r="L65" s="1383" t="s">
        <v>1083</v>
      </c>
      <c r="M65" s="1383" t="s">
        <v>1083</v>
      </c>
      <c r="N65" s="1383" t="s">
        <v>1084</v>
      </c>
      <c r="O65" s="1383" t="s">
        <v>1084</v>
      </c>
      <c r="P65" s="1383" t="s">
        <v>1084</v>
      </c>
      <c r="Q65" s="1383" t="s">
        <v>1084</v>
      </c>
    </row>
    <row r="66" spans="2:17">
      <c r="B66" s="2550" t="s">
        <v>1085</v>
      </c>
      <c r="C66" s="2550"/>
      <c r="D66" s="2550"/>
      <c r="E66" s="1381"/>
      <c r="F66" s="1384"/>
      <c r="G66" s="1384"/>
      <c r="H66" s="1384"/>
      <c r="I66" s="1381"/>
      <c r="J66" s="1385"/>
      <c r="K66" s="1384"/>
      <c r="L66" s="1384"/>
      <c r="M66" s="1384"/>
      <c r="N66" s="1384"/>
      <c r="O66" s="1384"/>
      <c r="P66" s="1384"/>
      <c r="Q66" s="1386"/>
    </row>
    <row r="67" spans="2:17">
      <c r="B67" s="1383" t="s">
        <v>10</v>
      </c>
      <c r="C67" s="1382" t="str">
        <f>HLOOKUP($C$44,$F$44:$H$71,24,FALSE)</f>
        <v>ENERGY STAR</v>
      </c>
      <c r="D67" s="1382" t="str">
        <f>HLOOKUP($D$44,$J$44:$Q$71,24,FALSE)</f>
        <v>ENERGY STAR</v>
      </c>
      <c r="E67" s="1381"/>
      <c r="F67" s="1383" t="s">
        <v>4</v>
      </c>
      <c r="G67" s="1383" t="s">
        <v>4</v>
      </c>
      <c r="H67" s="1383" t="s">
        <v>4</v>
      </c>
      <c r="I67" s="1381"/>
      <c r="J67" s="1383" t="s">
        <v>4</v>
      </c>
      <c r="K67" s="1383" t="s">
        <v>4</v>
      </c>
      <c r="L67" s="1383" t="s">
        <v>4</v>
      </c>
      <c r="M67" s="1383" t="s">
        <v>4</v>
      </c>
      <c r="N67" s="1383" t="s">
        <v>4</v>
      </c>
      <c r="O67" s="1383" t="s">
        <v>4</v>
      </c>
      <c r="P67" s="1383" t="s">
        <v>4</v>
      </c>
      <c r="Q67" s="1383" t="s">
        <v>4</v>
      </c>
    </row>
    <row r="68" spans="2:17">
      <c r="B68" s="1396"/>
      <c r="C68" s="1397" t="s">
        <v>1086</v>
      </c>
      <c r="D68" s="1397" t="s">
        <v>1087</v>
      </c>
      <c r="E68" s="1381"/>
      <c r="F68" s="1389"/>
      <c r="G68" s="1389"/>
      <c r="H68" s="1389"/>
      <c r="I68" s="1381"/>
      <c r="J68" s="1385"/>
      <c r="K68" s="1384"/>
      <c r="L68" s="1384"/>
      <c r="M68" s="1384"/>
      <c r="N68" s="1384"/>
      <c r="O68" s="1384"/>
      <c r="P68" s="1384"/>
      <c r="Q68" s="1386"/>
    </row>
    <row r="69" spans="2:17">
      <c r="B69" s="1383" t="s">
        <v>1088</v>
      </c>
      <c r="C69" s="1382" t="str">
        <f>HLOOKUP($C$44,$F$44:$H$71,26,FALSE)</f>
        <v>U-0.40</v>
      </c>
      <c r="D69" s="1382" t="str">
        <f>HLOOKUP($D$44,$J$44:$Q$71,26,FALSE)</f>
        <v>SHGC-0.40</v>
      </c>
      <c r="E69" s="1381"/>
      <c r="F69" s="1392" t="s">
        <v>1089</v>
      </c>
      <c r="G69" s="1392" t="s">
        <v>1090</v>
      </c>
      <c r="H69" s="1392" t="s">
        <v>1090</v>
      </c>
      <c r="I69" s="1398"/>
      <c r="J69" s="1383" t="s">
        <v>1091</v>
      </c>
      <c r="K69" s="1383" t="s">
        <v>1091</v>
      </c>
      <c r="L69" s="1383" t="s">
        <v>1091</v>
      </c>
      <c r="M69" s="1383" t="s">
        <v>1092</v>
      </c>
      <c r="N69" s="1383" t="s">
        <v>1092</v>
      </c>
      <c r="O69" s="1383" t="s">
        <v>1092</v>
      </c>
      <c r="P69" s="1383" t="s">
        <v>1093</v>
      </c>
      <c r="Q69" s="1383" t="s">
        <v>1093</v>
      </c>
    </row>
    <row r="70" spans="2:17">
      <c r="B70" s="1383" t="s">
        <v>11</v>
      </c>
      <c r="C70" s="1382" t="str">
        <f>HLOOKUP($C$44,$F$44:$H$71,27,FALSE)</f>
        <v>U-0.75</v>
      </c>
      <c r="D70" s="1382" t="str">
        <f>HLOOKUP($D$44,$J$44:$Q$71,27,FALSE)</f>
        <v>SHGC-0.40</v>
      </c>
      <c r="E70" s="1381"/>
      <c r="F70" s="1392" t="s">
        <v>1094</v>
      </c>
      <c r="G70" s="1392" t="s">
        <v>1095</v>
      </c>
      <c r="H70" s="1392" t="s">
        <v>1095</v>
      </c>
      <c r="I70" s="1381"/>
      <c r="J70" s="1383" t="s">
        <v>1091</v>
      </c>
      <c r="K70" s="1383" t="s">
        <v>1091</v>
      </c>
      <c r="L70" s="1383" t="s">
        <v>1091</v>
      </c>
      <c r="M70" s="1383" t="s">
        <v>1092</v>
      </c>
      <c r="N70" s="1383" t="s">
        <v>1092</v>
      </c>
      <c r="O70" s="1383" t="s">
        <v>1092</v>
      </c>
      <c r="P70" s="1383" t="s">
        <v>1093</v>
      </c>
      <c r="Q70" s="1383" t="s">
        <v>1093</v>
      </c>
    </row>
    <row r="71" spans="2:17">
      <c r="B71" s="1383" t="s">
        <v>12</v>
      </c>
      <c r="C71" s="1382" t="str">
        <f>HLOOKUP($C$44,$F$44:$H$71,28,FALSE)</f>
        <v>U-0.45</v>
      </c>
      <c r="D71" s="1382" t="str">
        <f>HLOOKUP($D$44,$J$44:$Q$71,28,FALSE)</f>
        <v>SHGC-0.40</v>
      </c>
      <c r="E71" s="1381"/>
      <c r="F71" s="1392" t="s">
        <v>1096</v>
      </c>
      <c r="G71" s="1392" t="s">
        <v>1096</v>
      </c>
      <c r="H71" s="1392" t="s">
        <v>1096</v>
      </c>
      <c r="I71" s="1381"/>
      <c r="J71" s="1383" t="s">
        <v>1091</v>
      </c>
      <c r="K71" s="1383" t="s">
        <v>1091</v>
      </c>
      <c r="L71" s="1383" t="s">
        <v>1091</v>
      </c>
      <c r="M71" s="1383" t="s">
        <v>1092</v>
      </c>
      <c r="N71" s="1383" t="s">
        <v>1092</v>
      </c>
      <c r="O71" s="1383" t="s">
        <v>1092</v>
      </c>
      <c r="P71" s="1383" t="s">
        <v>1093</v>
      </c>
      <c r="Q71" s="1383" t="s">
        <v>1093</v>
      </c>
    </row>
    <row r="84" ht="35.25" customHeight="1"/>
    <row r="100" ht="98.25" customHeight="1"/>
    <row r="115" ht="25.5" customHeight="1"/>
    <row r="116" ht="27" customHeight="1"/>
    <row r="129" ht="15" customHeight="1"/>
  </sheetData>
  <sheetProtection sheet="1" objects="1" scenarios="1" formatCells="0" formatColumns="0" formatRows="0"/>
  <mergeCells count="11">
    <mergeCell ref="B49:D49"/>
    <mergeCell ref="B3:B4"/>
    <mergeCell ref="B43:B44"/>
    <mergeCell ref="F43:H43"/>
    <mergeCell ref="J43:Q43"/>
    <mergeCell ref="B45:D45"/>
    <mergeCell ref="B54:D54"/>
    <mergeCell ref="B57:D57"/>
    <mergeCell ref="B61:D61"/>
    <mergeCell ref="B64:D64"/>
    <mergeCell ref="B66:D66"/>
  </mergeCell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CCFF"/>
    <outlinePr summaryBelow="0" summaryRight="0"/>
  </sheetPr>
  <dimension ref="A1:AV1436"/>
  <sheetViews>
    <sheetView showGridLines="0" zoomScale="75" zoomScaleNormal="75" workbookViewId="0">
      <selection activeCell="B1" sqref="B1"/>
    </sheetView>
  </sheetViews>
  <sheetFormatPr defaultColWidth="8.85546875" defaultRowHeight="18"/>
  <cols>
    <col min="1" max="1" width="20" style="1399" customWidth="1"/>
    <col min="2" max="2" width="46.140625" style="1432" customWidth="1"/>
    <col min="3" max="3" width="22.28515625" style="1433" customWidth="1"/>
    <col min="4" max="4" width="66" style="1400" customWidth="1"/>
    <col min="5" max="5" width="8.42578125" style="1401" customWidth="1"/>
    <col min="6" max="6" width="14.7109375" style="1401" customWidth="1"/>
    <col min="7" max="7" width="47" style="1434" customWidth="1"/>
    <col min="8" max="8" width="8.42578125" style="1435" customWidth="1"/>
    <col min="9" max="9" width="14.7109375" style="1436" customWidth="1"/>
    <col min="10" max="10" width="50.7109375" style="1406" customWidth="1"/>
    <col min="11" max="40" width="9.140625" style="1406" customWidth="1"/>
    <col min="41" max="43" width="9.140625" style="1405" customWidth="1"/>
    <col min="44" max="44" width="8.85546875" style="1405" customWidth="1"/>
    <col min="45" max="256" width="8.85546875" style="1405"/>
    <col min="257" max="257" width="20" style="1405" customWidth="1"/>
    <col min="258" max="258" width="46.140625" style="1405" customWidth="1"/>
    <col min="259" max="259" width="22.28515625" style="1405" customWidth="1"/>
    <col min="260" max="260" width="66" style="1405" customWidth="1"/>
    <col min="261" max="261" width="8.42578125" style="1405" customWidth="1"/>
    <col min="262" max="262" width="14.7109375" style="1405" customWidth="1"/>
    <col min="263" max="263" width="47" style="1405" customWidth="1"/>
    <col min="264" max="264" width="8.42578125" style="1405" customWidth="1"/>
    <col min="265" max="265" width="14.7109375" style="1405" customWidth="1"/>
    <col min="266" max="266" width="50.7109375" style="1405" customWidth="1"/>
    <col min="267" max="299" width="9.140625" style="1405" customWidth="1"/>
    <col min="300" max="300" width="8.85546875" style="1405" customWidth="1"/>
    <col min="301" max="512" width="8.85546875" style="1405"/>
    <col min="513" max="513" width="20" style="1405" customWidth="1"/>
    <col min="514" max="514" width="46.140625" style="1405" customWidth="1"/>
    <col min="515" max="515" width="22.28515625" style="1405" customWidth="1"/>
    <col min="516" max="516" width="66" style="1405" customWidth="1"/>
    <col min="517" max="517" width="8.42578125" style="1405" customWidth="1"/>
    <col min="518" max="518" width="14.7109375" style="1405" customWidth="1"/>
    <col min="519" max="519" width="47" style="1405" customWidth="1"/>
    <col min="520" max="520" width="8.42578125" style="1405" customWidth="1"/>
    <col min="521" max="521" width="14.7109375" style="1405" customWidth="1"/>
    <col min="522" max="522" width="50.7109375" style="1405" customWidth="1"/>
    <col min="523" max="555" width="9.140625" style="1405" customWidth="1"/>
    <col min="556" max="556" width="8.85546875" style="1405" customWidth="1"/>
    <col min="557" max="768" width="8.85546875" style="1405"/>
    <col min="769" max="769" width="20" style="1405" customWidth="1"/>
    <col min="770" max="770" width="46.140625" style="1405" customWidth="1"/>
    <col min="771" max="771" width="22.28515625" style="1405" customWidth="1"/>
    <col min="772" max="772" width="66" style="1405" customWidth="1"/>
    <col min="773" max="773" width="8.42578125" style="1405" customWidth="1"/>
    <col min="774" max="774" width="14.7109375" style="1405" customWidth="1"/>
    <col min="775" max="775" width="47" style="1405" customWidth="1"/>
    <col min="776" max="776" width="8.42578125" style="1405" customWidth="1"/>
    <col min="777" max="777" width="14.7109375" style="1405" customWidth="1"/>
    <col min="778" max="778" width="50.7109375" style="1405" customWidth="1"/>
    <col min="779" max="811" width="9.140625" style="1405" customWidth="1"/>
    <col min="812" max="812" width="8.85546875" style="1405" customWidth="1"/>
    <col min="813" max="1024" width="8.85546875" style="1405"/>
    <col min="1025" max="1025" width="20" style="1405" customWidth="1"/>
    <col min="1026" max="1026" width="46.140625" style="1405" customWidth="1"/>
    <col min="1027" max="1027" width="22.28515625" style="1405" customWidth="1"/>
    <col min="1028" max="1028" width="66" style="1405" customWidth="1"/>
    <col min="1029" max="1029" width="8.42578125" style="1405" customWidth="1"/>
    <col min="1030" max="1030" width="14.7109375" style="1405" customWidth="1"/>
    <col min="1031" max="1031" width="47" style="1405" customWidth="1"/>
    <col min="1032" max="1032" width="8.42578125" style="1405" customWidth="1"/>
    <col min="1033" max="1033" width="14.7109375" style="1405" customWidth="1"/>
    <col min="1034" max="1034" width="50.7109375" style="1405" customWidth="1"/>
    <col min="1035" max="1067" width="9.140625" style="1405" customWidth="1"/>
    <col min="1068" max="1068" width="8.85546875" style="1405" customWidth="1"/>
    <col min="1069" max="1280" width="8.85546875" style="1405"/>
    <col min="1281" max="1281" width="20" style="1405" customWidth="1"/>
    <col min="1282" max="1282" width="46.140625" style="1405" customWidth="1"/>
    <col min="1283" max="1283" width="22.28515625" style="1405" customWidth="1"/>
    <col min="1284" max="1284" width="66" style="1405" customWidth="1"/>
    <col min="1285" max="1285" width="8.42578125" style="1405" customWidth="1"/>
    <col min="1286" max="1286" width="14.7109375" style="1405" customWidth="1"/>
    <col min="1287" max="1287" width="47" style="1405" customWidth="1"/>
    <col min="1288" max="1288" width="8.42578125" style="1405" customWidth="1"/>
    <col min="1289" max="1289" width="14.7109375" style="1405" customWidth="1"/>
    <col min="1290" max="1290" width="50.7109375" style="1405" customWidth="1"/>
    <col min="1291" max="1323" width="9.140625" style="1405" customWidth="1"/>
    <col min="1324" max="1324" width="8.85546875" style="1405" customWidth="1"/>
    <col min="1325" max="1536" width="8.85546875" style="1405"/>
    <col min="1537" max="1537" width="20" style="1405" customWidth="1"/>
    <col min="1538" max="1538" width="46.140625" style="1405" customWidth="1"/>
    <col min="1539" max="1539" width="22.28515625" style="1405" customWidth="1"/>
    <col min="1540" max="1540" width="66" style="1405" customWidth="1"/>
    <col min="1541" max="1541" width="8.42578125" style="1405" customWidth="1"/>
    <col min="1542" max="1542" width="14.7109375" style="1405" customWidth="1"/>
    <col min="1543" max="1543" width="47" style="1405" customWidth="1"/>
    <col min="1544" max="1544" width="8.42578125" style="1405" customWidth="1"/>
    <col min="1545" max="1545" width="14.7109375" style="1405" customWidth="1"/>
    <col min="1546" max="1546" width="50.7109375" style="1405" customWidth="1"/>
    <col min="1547" max="1579" width="9.140625" style="1405" customWidth="1"/>
    <col min="1580" max="1580" width="8.85546875" style="1405" customWidth="1"/>
    <col min="1581" max="1792" width="8.85546875" style="1405"/>
    <col min="1793" max="1793" width="20" style="1405" customWidth="1"/>
    <col min="1794" max="1794" width="46.140625" style="1405" customWidth="1"/>
    <col min="1795" max="1795" width="22.28515625" style="1405" customWidth="1"/>
    <col min="1796" max="1796" width="66" style="1405" customWidth="1"/>
    <col min="1797" max="1797" width="8.42578125" style="1405" customWidth="1"/>
    <col min="1798" max="1798" width="14.7109375" style="1405" customWidth="1"/>
    <col min="1799" max="1799" width="47" style="1405" customWidth="1"/>
    <col min="1800" max="1800" width="8.42578125" style="1405" customWidth="1"/>
    <col min="1801" max="1801" width="14.7109375" style="1405" customWidth="1"/>
    <col min="1802" max="1802" width="50.7109375" style="1405" customWidth="1"/>
    <col min="1803" max="1835" width="9.140625" style="1405" customWidth="1"/>
    <col min="1836" max="1836" width="8.85546875" style="1405" customWidth="1"/>
    <col min="1837" max="2048" width="8.85546875" style="1405"/>
    <col min="2049" max="2049" width="20" style="1405" customWidth="1"/>
    <col min="2050" max="2050" width="46.140625" style="1405" customWidth="1"/>
    <col min="2051" max="2051" width="22.28515625" style="1405" customWidth="1"/>
    <col min="2052" max="2052" width="66" style="1405" customWidth="1"/>
    <col min="2053" max="2053" width="8.42578125" style="1405" customWidth="1"/>
    <col min="2054" max="2054" width="14.7109375" style="1405" customWidth="1"/>
    <col min="2055" max="2055" width="47" style="1405" customWidth="1"/>
    <col min="2056" max="2056" width="8.42578125" style="1405" customWidth="1"/>
    <col min="2057" max="2057" width="14.7109375" style="1405" customWidth="1"/>
    <col min="2058" max="2058" width="50.7109375" style="1405" customWidth="1"/>
    <col min="2059" max="2091" width="9.140625" style="1405" customWidth="1"/>
    <col min="2092" max="2092" width="8.85546875" style="1405" customWidth="1"/>
    <col min="2093" max="2304" width="8.85546875" style="1405"/>
    <col min="2305" max="2305" width="20" style="1405" customWidth="1"/>
    <col min="2306" max="2306" width="46.140625" style="1405" customWidth="1"/>
    <col min="2307" max="2307" width="22.28515625" style="1405" customWidth="1"/>
    <col min="2308" max="2308" width="66" style="1405" customWidth="1"/>
    <col min="2309" max="2309" width="8.42578125" style="1405" customWidth="1"/>
    <col min="2310" max="2310" width="14.7109375" style="1405" customWidth="1"/>
    <col min="2311" max="2311" width="47" style="1405" customWidth="1"/>
    <col min="2312" max="2312" width="8.42578125" style="1405" customWidth="1"/>
    <col min="2313" max="2313" width="14.7109375" style="1405" customWidth="1"/>
    <col min="2314" max="2314" width="50.7109375" style="1405" customWidth="1"/>
    <col min="2315" max="2347" width="9.140625" style="1405" customWidth="1"/>
    <col min="2348" max="2348" width="8.85546875" style="1405" customWidth="1"/>
    <col min="2349" max="2560" width="8.85546875" style="1405"/>
    <col min="2561" max="2561" width="20" style="1405" customWidth="1"/>
    <col min="2562" max="2562" width="46.140625" style="1405" customWidth="1"/>
    <col min="2563" max="2563" width="22.28515625" style="1405" customWidth="1"/>
    <col min="2564" max="2564" width="66" style="1405" customWidth="1"/>
    <col min="2565" max="2565" width="8.42578125" style="1405" customWidth="1"/>
    <col min="2566" max="2566" width="14.7109375" style="1405" customWidth="1"/>
    <col min="2567" max="2567" width="47" style="1405" customWidth="1"/>
    <col min="2568" max="2568" width="8.42578125" style="1405" customWidth="1"/>
    <col min="2569" max="2569" width="14.7109375" style="1405" customWidth="1"/>
    <col min="2570" max="2570" width="50.7109375" style="1405" customWidth="1"/>
    <col min="2571" max="2603" width="9.140625" style="1405" customWidth="1"/>
    <col min="2604" max="2604" width="8.85546875" style="1405" customWidth="1"/>
    <col min="2605" max="2816" width="8.85546875" style="1405"/>
    <col min="2817" max="2817" width="20" style="1405" customWidth="1"/>
    <col min="2818" max="2818" width="46.140625" style="1405" customWidth="1"/>
    <col min="2819" max="2819" width="22.28515625" style="1405" customWidth="1"/>
    <col min="2820" max="2820" width="66" style="1405" customWidth="1"/>
    <col min="2821" max="2821" width="8.42578125" style="1405" customWidth="1"/>
    <col min="2822" max="2822" width="14.7109375" style="1405" customWidth="1"/>
    <col min="2823" max="2823" width="47" style="1405" customWidth="1"/>
    <col min="2824" max="2824" width="8.42578125" style="1405" customWidth="1"/>
    <col min="2825" max="2825" width="14.7109375" style="1405" customWidth="1"/>
    <col min="2826" max="2826" width="50.7109375" style="1405" customWidth="1"/>
    <col min="2827" max="2859" width="9.140625" style="1405" customWidth="1"/>
    <col min="2860" max="2860" width="8.85546875" style="1405" customWidth="1"/>
    <col min="2861" max="3072" width="8.85546875" style="1405"/>
    <col min="3073" max="3073" width="20" style="1405" customWidth="1"/>
    <col min="3074" max="3074" width="46.140625" style="1405" customWidth="1"/>
    <col min="3075" max="3075" width="22.28515625" style="1405" customWidth="1"/>
    <col min="3076" max="3076" width="66" style="1405" customWidth="1"/>
    <col min="3077" max="3077" width="8.42578125" style="1405" customWidth="1"/>
    <col min="3078" max="3078" width="14.7109375" style="1405" customWidth="1"/>
    <col min="3079" max="3079" width="47" style="1405" customWidth="1"/>
    <col min="3080" max="3080" width="8.42578125" style="1405" customWidth="1"/>
    <col min="3081" max="3081" width="14.7109375" style="1405" customWidth="1"/>
    <col min="3082" max="3082" width="50.7109375" style="1405" customWidth="1"/>
    <col min="3083" max="3115" width="9.140625" style="1405" customWidth="1"/>
    <col min="3116" max="3116" width="8.85546875" style="1405" customWidth="1"/>
    <col min="3117" max="3328" width="8.85546875" style="1405"/>
    <col min="3329" max="3329" width="20" style="1405" customWidth="1"/>
    <col min="3330" max="3330" width="46.140625" style="1405" customWidth="1"/>
    <col min="3331" max="3331" width="22.28515625" style="1405" customWidth="1"/>
    <col min="3332" max="3332" width="66" style="1405" customWidth="1"/>
    <col min="3333" max="3333" width="8.42578125" style="1405" customWidth="1"/>
    <col min="3334" max="3334" width="14.7109375" style="1405" customWidth="1"/>
    <col min="3335" max="3335" width="47" style="1405" customWidth="1"/>
    <col min="3336" max="3336" width="8.42578125" style="1405" customWidth="1"/>
    <col min="3337" max="3337" width="14.7109375" style="1405" customWidth="1"/>
    <col min="3338" max="3338" width="50.7109375" style="1405" customWidth="1"/>
    <col min="3339" max="3371" width="9.140625" style="1405" customWidth="1"/>
    <col min="3372" max="3372" width="8.85546875" style="1405" customWidth="1"/>
    <col min="3373" max="3584" width="8.85546875" style="1405"/>
    <col min="3585" max="3585" width="20" style="1405" customWidth="1"/>
    <col min="3586" max="3586" width="46.140625" style="1405" customWidth="1"/>
    <col min="3587" max="3587" width="22.28515625" style="1405" customWidth="1"/>
    <col min="3588" max="3588" width="66" style="1405" customWidth="1"/>
    <col min="3589" max="3589" width="8.42578125" style="1405" customWidth="1"/>
    <col min="3590" max="3590" width="14.7109375" style="1405" customWidth="1"/>
    <col min="3591" max="3591" width="47" style="1405" customWidth="1"/>
    <col min="3592" max="3592" width="8.42578125" style="1405" customWidth="1"/>
    <col min="3593" max="3593" width="14.7109375" style="1405" customWidth="1"/>
    <col min="3594" max="3594" width="50.7109375" style="1405" customWidth="1"/>
    <col min="3595" max="3627" width="9.140625" style="1405" customWidth="1"/>
    <col min="3628" max="3628" width="8.85546875" style="1405" customWidth="1"/>
    <col min="3629" max="3840" width="8.85546875" style="1405"/>
    <col min="3841" max="3841" width="20" style="1405" customWidth="1"/>
    <col min="3842" max="3842" width="46.140625" style="1405" customWidth="1"/>
    <col min="3843" max="3843" width="22.28515625" style="1405" customWidth="1"/>
    <col min="3844" max="3844" width="66" style="1405" customWidth="1"/>
    <col min="3845" max="3845" width="8.42578125" style="1405" customWidth="1"/>
    <col min="3846" max="3846" width="14.7109375" style="1405" customWidth="1"/>
    <col min="3847" max="3847" width="47" style="1405" customWidth="1"/>
    <col min="3848" max="3848" width="8.42578125" style="1405" customWidth="1"/>
    <col min="3849" max="3849" width="14.7109375" style="1405" customWidth="1"/>
    <col min="3850" max="3850" width="50.7109375" style="1405" customWidth="1"/>
    <col min="3851" max="3883" width="9.140625" style="1405" customWidth="1"/>
    <col min="3884" max="3884" width="8.85546875" style="1405" customWidth="1"/>
    <col min="3885" max="4096" width="8.85546875" style="1405"/>
    <col min="4097" max="4097" width="20" style="1405" customWidth="1"/>
    <col min="4098" max="4098" width="46.140625" style="1405" customWidth="1"/>
    <col min="4099" max="4099" width="22.28515625" style="1405" customWidth="1"/>
    <col min="4100" max="4100" width="66" style="1405" customWidth="1"/>
    <col min="4101" max="4101" width="8.42578125" style="1405" customWidth="1"/>
    <col min="4102" max="4102" width="14.7109375" style="1405" customWidth="1"/>
    <col min="4103" max="4103" width="47" style="1405" customWidth="1"/>
    <col min="4104" max="4104" width="8.42578125" style="1405" customWidth="1"/>
    <col min="4105" max="4105" width="14.7109375" style="1405" customWidth="1"/>
    <col min="4106" max="4106" width="50.7109375" style="1405" customWidth="1"/>
    <col min="4107" max="4139" width="9.140625" style="1405" customWidth="1"/>
    <col min="4140" max="4140" width="8.85546875" style="1405" customWidth="1"/>
    <col min="4141" max="4352" width="8.85546875" style="1405"/>
    <col min="4353" max="4353" width="20" style="1405" customWidth="1"/>
    <col min="4354" max="4354" width="46.140625" style="1405" customWidth="1"/>
    <col min="4355" max="4355" width="22.28515625" style="1405" customWidth="1"/>
    <col min="4356" max="4356" width="66" style="1405" customWidth="1"/>
    <col min="4357" max="4357" width="8.42578125" style="1405" customWidth="1"/>
    <col min="4358" max="4358" width="14.7109375" style="1405" customWidth="1"/>
    <col min="4359" max="4359" width="47" style="1405" customWidth="1"/>
    <col min="4360" max="4360" width="8.42578125" style="1405" customWidth="1"/>
    <col min="4361" max="4361" width="14.7109375" style="1405" customWidth="1"/>
    <col min="4362" max="4362" width="50.7109375" style="1405" customWidth="1"/>
    <col min="4363" max="4395" width="9.140625" style="1405" customWidth="1"/>
    <col min="4396" max="4396" width="8.85546875" style="1405" customWidth="1"/>
    <col min="4397" max="4608" width="8.85546875" style="1405"/>
    <col min="4609" max="4609" width="20" style="1405" customWidth="1"/>
    <col min="4610" max="4610" width="46.140625" style="1405" customWidth="1"/>
    <col min="4611" max="4611" width="22.28515625" style="1405" customWidth="1"/>
    <col min="4612" max="4612" width="66" style="1405" customWidth="1"/>
    <col min="4613" max="4613" width="8.42578125" style="1405" customWidth="1"/>
    <col min="4614" max="4614" width="14.7109375" style="1405" customWidth="1"/>
    <col min="4615" max="4615" width="47" style="1405" customWidth="1"/>
    <col min="4616" max="4616" width="8.42578125" style="1405" customWidth="1"/>
    <col min="4617" max="4617" width="14.7109375" style="1405" customWidth="1"/>
    <col min="4618" max="4618" width="50.7109375" style="1405" customWidth="1"/>
    <col min="4619" max="4651" width="9.140625" style="1405" customWidth="1"/>
    <col min="4652" max="4652" width="8.85546875" style="1405" customWidth="1"/>
    <col min="4653" max="4864" width="8.85546875" style="1405"/>
    <col min="4865" max="4865" width="20" style="1405" customWidth="1"/>
    <col min="4866" max="4866" width="46.140625" style="1405" customWidth="1"/>
    <col min="4867" max="4867" width="22.28515625" style="1405" customWidth="1"/>
    <col min="4868" max="4868" width="66" style="1405" customWidth="1"/>
    <col min="4869" max="4869" width="8.42578125" style="1405" customWidth="1"/>
    <col min="4870" max="4870" width="14.7109375" style="1405" customWidth="1"/>
    <col min="4871" max="4871" width="47" style="1405" customWidth="1"/>
    <col min="4872" max="4872" width="8.42578125" style="1405" customWidth="1"/>
    <col min="4873" max="4873" width="14.7109375" style="1405" customWidth="1"/>
    <col min="4874" max="4874" width="50.7109375" style="1405" customWidth="1"/>
    <col min="4875" max="4907" width="9.140625" style="1405" customWidth="1"/>
    <col min="4908" max="4908" width="8.85546875" style="1405" customWidth="1"/>
    <col min="4909" max="5120" width="8.85546875" style="1405"/>
    <col min="5121" max="5121" width="20" style="1405" customWidth="1"/>
    <col min="5122" max="5122" width="46.140625" style="1405" customWidth="1"/>
    <col min="5123" max="5123" width="22.28515625" style="1405" customWidth="1"/>
    <col min="5124" max="5124" width="66" style="1405" customWidth="1"/>
    <col min="5125" max="5125" width="8.42578125" style="1405" customWidth="1"/>
    <col min="5126" max="5126" width="14.7109375" style="1405" customWidth="1"/>
    <col min="5127" max="5127" width="47" style="1405" customWidth="1"/>
    <col min="5128" max="5128" width="8.42578125" style="1405" customWidth="1"/>
    <col min="5129" max="5129" width="14.7109375" style="1405" customWidth="1"/>
    <col min="5130" max="5130" width="50.7109375" style="1405" customWidth="1"/>
    <col min="5131" max="5163" width="9.140625" style="1405" customWidth="1"/>
    <col min="5164" max="5164" width="8.85546875" style="1405" customWidth="1"/>
    <col min="5165" max="5376" width="8.85546875" style="1405"/>
    <col min="5377" max="5377" width="20" style="1405" customWidth="1"/>
    <col min="5378" max="5378" width="46.140625" style="1405" customWidth="1"/>
    <col min="5379" max="5379" width="22.28515625" style="1405" customWidth="1"/>
    <col min="5380" max="5380" width="66" style="1405" customWidth="1"/>
    <col min="5381" max="5381" width="8.42578125" style="1405" customWidth="1"/>
    <col min="5382" max="5382" width="14.7109375" style="1405" customWidth="1"/>
    <col min="5383" max="5383" width="47" style="1405" customWidth="1"/>
    <col min="5384" max="5384" width="8.42578125" style="1405" customWidth="1"/>
    <col min="5385" max="5385" width="14.7109375" style="1405" customWidth="1"/>
    <col min="5386" max="5386" width="50.7109375" style="1405" customWidth="1"/>
    <col min="5387" max="5419" width="9.140625" style="1405" customWidth="1"/>
    <col min="5420" max="5420" width="8.85546875" style="1405" customWidth="1"/>
    <col min="5421" max="5632" width="8.85546875" style="1405"/>
    <col min="5633" max="5633" width="20" style="1405" customWidth="1"/>
    <col min="5634" max="5634" width="46.140625" style="1405" customWidth="1"/>
    <col min="5635" max="5635" width="22.28515625" style="1405" customWidth="1"/>
    <col min="5636" max="5636" width="66" style="1405" customWidth="1"/>
    <col min="5637" max="5637" width="8.42578125" style="1405" customWidth="1"/>
    <col min="5638" max="5638" width="14.7109375" style="1405" customWidth="1"/>
    <col min="5639" max="5639" width="47" style="1405" customWidth="1"/>
    <col min="5640" max="5640" width="8.42578125" style="1405" customWidth="1"/>
    <col min="5641" max="5641" width="14.7109375" style="1405" customWidth="1"/>
    <col min="5642" max="5642" width="50.7109375" style="1405" customWidth="1"/>
    <col min="5643" max="5675" width="9.140625" style="1405" customWidth="1"/>
    <col min="5676" max="5676" width="8.85546875" style="1405" customWidth="1"/>
    <col min="5677" max="5888" width="8.85546875" style="1405"/>
    <col min="5889" max="5889" width="20" style="1405" customWidth="1"/>
    <col min="5890" max="5890" width="46.140625" style="1405" customWidth="1"/>
    <col min="5891" max="5891" width="22.28515625" style="1405" customWidth="1"/>
    <col min="5892" max="5892" width="66" style="1405" customWidth="1"/>
    <col min="5893" max="5893" width="8.42578125" style="1405" customWidth="1"/>
    <col min="5894" max="5894" width="14.7109375" style="1405" customWidth="1"/>
    <col min="5895" max="5895" width="47" style="1405" customWidth="1"/>
    <col min="5896" max="5896" width="8.42578125" style="1405" customWidth="1"/>
    <col min="5897" max="5897" width="14.7109375" style="1405" customWidth="1"/>
    <col min="5898" max="5898" width="50.7109375" style="1405" customWidth="1"/>
    <col min="5899" max="5931" width="9.140625" style="1405" customWidth="1"/>
    <col min="5932" max="5932" width="8.85546875" style="1405" customWidth="1"/>
    <col min="5933" max="6144" width="8.85546875" style="1405"/>
    <col min="6145" max="6145" width="20" style="1405" customWidth="1"/>
    <col min="6146" max="6146" width="46.140625" style="1405" customWidth="1"/>
    <col min="6147" max="6147" width="22.28515625" style="1405" customWidth="1"/>
    <col min="6148" max="6148" width="66" style="1405" customWidth="1"/>
    <col min="6149" max="6149" width="8.42578125" style="1405" customWidth="1"/>
    <col min="6150" max="6150" width="14.7109375" style="1405" customWidth="1"/>
    <col min="6151" max="6151" width="47" style="1405" customWidth="1"/>
    <col min="6152" max="6152" width="8.42578125" style="1405" customWidth="1"/>
    <col min="6153" max="6153" width="14.7109375" style="1405" customWidth="1"/>
    <col min="6154" max="6154" width="50.7109375" style="1405" customWidth="1"/>
    <col min="6155" max="6187" width="9.140625" style="1405" customWidth="1"/>
    <col min="6188" max="6188" width="8.85546875" style="1405" customWidth="1"/>
    <col min="6189" max="6400" width="8.85546875" style="1405"/>
    <col min="6401" max="6401" width="20" style="1405" customWidth="1"/>
    <col min="6402" max="6402" width="46.140625" style="1405" customWidth="1"/>
    <col min="6403" max="6403" width="22.28515625" style="1405" customWidth="1"/>
    <col min="6404" max="6404" width="66" style="1405" customWidth="1"/>
    <col min="6405" max="6405" width="8.42578125" style="1405" customWidth="1"/>
    <col min="6406" max="6406" width="14.7109375" style="1405" customWidth="1"/>
    <col min="6407" max="6407" width="47" style="1405" customWidth="1"/>
    <col min="6408" max="6408" width="8.42578125" style="1405" customWidth="1"/>
    <col min="6409" max="6409" width="14.7109375" style="1405" customWidth="1"/>
    <col min="6410" max="6410" width="50.7109375" style="1405" customWidth="1"/>
    <col min="6411" max="6443" width="9.140625" style="1405" customWidth="1"/>
    <col min="6444" max="6444" width="8.85546875" style="1405" customWidth="1"/>
    <col min="6445" max="6656" width="8.85546875" style="1405"/>
    <col min="6657" max="6657" width="20" style="1405" customWidth="1"/>
    <col min="6658" max="6658" width="46.140625" style="1405" customWidth="1"/>
    <col min="6659" max="6659" width="22.28515625" style="1405" customWidth="1"/>
    <col min="6660" max="6660" width="66" style="1405" customWidth="1"/>
    <col min="6661" max="6661" width="8.42578125" style="1405" customWidth="1"/>
    <col min="6662" max="6662" width="14.7109375" style="1405" customWidth="1"/>
    <col min="6663" max="6663" width="47" style="1405" customWidth="1"/>
    <col min="6664" max="6664" width="8.42578125" style="1405" customWidth="1"/>
    <col min="6665" max="6665" width="14.7109375" style="1405" customWidth="1"/>
    <col min="6666" max="6666" width="50.7109375" style="1405" customWidth="1"/>
    <col min="6667" max="6699" width="9.140625" style="1405" customWidth="1"/>
    <col min="6700" max="6700" width="8.85546875" style="1405" customWidth="1"/>
    <col min="6701" max="6912" width="8.85546875" style="1405"/>
    <col min="6913" max="6913" width="20" style="1405" customWidth="1"/>
    <col min="6914" max="6914" width="46.140625" style="1405" customWidth="1"/>
    <col min="6915" max="6915" width="22.28515625" style="1405" customWidth="1"/>
    <col min="6916" max="6916" width="66" style="1405" customWidth="1"/>
    <col min="6917" max="6917" width="8.42578125" style="1405" customWidth="1"/>
    <col min="6918" max="6918" width="14.7109375" style="1405" customWidth="1"/>
    <col min="6919" max="6919" width="47" style="1405" customWidth="1"/>
    <col min="6920" max="6920" width="8.42578125" style="1405" customWidth="1"/>
    <col min="6921" max="6921" width="14.7109375" style="1405" customWidth="1"/>
    <col min="6922" max="6922" width="50.7109375" style="1405" customWidth="1"/>
    <col min="6923" max="6955" width="9.140625" style="1405" customWidth="1"/>
    <col min="6956" max="6956" width="8.85546875" style="1405" customWidth="1"/>
    <col min="6957" max="7168" width="8.85546875" style="1405"/>
    <col min="7169" max="7169" width="20" style="1405" customWidth="1"/>
    <col min="7170" max="7170" width="46.140625" style="1405" customWidth="1"/>
    <col min="7171" max="7171" width="22.28515625" style="1405" customWidth="1"/>
    <col min="7172" max="7172" width="66" style="1405" customWidth="1"/>
    <col min="7173" max="7173" width="8.42578125" style="1405" customWidth="1"/>
    <col min="7174" max="7174" width="14.7109375" style="1405" customWidth="1"/>
    <col min="7175" max="7175" width="47" style="1405" customWidth="1"/>
    <col min="7176" max="7176" width="8.42578125" style="1405" customWidth="1"/>
    <col min="7177" max="7177" width="14.7109375" style="1405" customWidth="1"/>
    <col min="7178" max="7178" width="50.7109375" style="1405" customWidth="1"/>
    <col min="7179" max="7211" width="9.140625" style="1405" customWidth="1"/>
    <col min="7212" max="7212" width="8.85546875" style="1405" customWidth="1"/>
    <col min="7213" max="7424" width="8.85546875" style="1405"/>
    <col min="7425" max="7425" width="20" style="1405" customWidth="1"/>
    <col min="7426" max="7426" width="46.140625" style="1405" customWidth="1"/>
    <col min="7427" max="7427" width="22.28515625" style="1405" customWidth="1"/>
    <col min="7428" max="7428" width="66" style="1405" customWidth="1"/>
    <col min="7429" max="7429" width="8.42578125" style="1405" customWidth="1"/>
    <col min="7430" max="7430" width="14.7109375" style="1405" customWidth="1"/>
    <col min="7431" max="7431" width="47" style="1405" customWidth="1"/>
    <col min="7432" max="7432" width="8.42578125" style="1405" customWidth="1"/>
    <col min="7433" max="7433" width="14.7109375" style="1405" customWidth="1"/>
    <col min="7434" max="7434" width="50.7109375" style="1405" customWidth="1"/>
    <col min="7435" max="7467" width="9.140625" style="1405" customWidth="1"/>
    <col min="7468" max="7468" width="8.85546875" style="1405" customWidth="1"/>
    <col min="7469" max="7680" width="8.85546875" style="1405"/>
    <col min="7681" max="7681" width="20" style="1405" customWidth="1"/>
    <col min="7682" max="7682" width="46.140625" style="1405" customWidth="1"/>
    <col min="7683" max="7683" width="22.28515625" style="1405" customWidth="1"/>
    <col min="7684" max="7684" width="66" style="1405" customWidth="1"/>
    <col min="7685" max="7685" width="8.42578125" style="1405" customWidth="1"/>
    <col min="7686" max="7686" width="14.7109375" style="1405" customWidth="1"/>
    <col min="7687" max="7687" width="47" style="1405" customWidth="1"/>
    <col min="7688" max="7688" width="8.42578125" style="1405" customWidth="1"/>
    <col min="7689" max="7689" width="14.7109375" style="1405" customWidth="1"/>
    <col min="7690" max="7690" width="50.7109375" style="1405" customWidth="1"/>
    <col min="7691" max="7723" width="9.140625" style="1405" customWidth="1"/>
    <col min="7724" max="7724" width="8.85546875" style="1405" customWidth="1"/>
    <col min="7725" max="7936" width="8.85546875" style="1405"/>
    <col min="7937" max="7937" width="20" style="1405" customWidth="1"/>
    <col min="7938" max="7938" width="46.140625" style="1405" customWidth="1"/>
    <col min="7939" max="7939" width="22.28515625" style="1405" customWidth="1"/>
    <col min="7940" max="7940" width="66" style="1405" customWidth="1"/>
    <col min="7941" max="7941" width="8.42578125" style="1405" customWidth="1"/>
    <col min="7942" max="7942" width="14.7109375" style="1405" customWidth="1"/>
    <col min="7943" max="7943" width="47" style="1405" customWidth="1"/>
    <col min="7944" max="7944" width="8.42578125" style="1405" customWidth="1"/>
    <col min="7945" max="7945" width="14.7109375" style="1405" customWidth="1"/>
    <col min="7946" max="7946" width="50.7109375" style="1405" customWidth="1"/>
    <col min="7947" max="7979" width="9.140625" style="1405" customWidth="1"/>
    <col min="7980" max="7980" width="8.85546875" style="1405" customWidth="1"/>
    <col min="7981" max="8192" width="8.85546875" style="1405"/>
    <col min="8193" max="8193" width="20" style="1405" customWidth="1"/>
    <col min="8194" max="8194" width="46.140625" style="1405" customWidth="1"/>
    <col min="8195" max="8195" width="22.28515625" style="1405" customWidth="1"/>
    <col min="8196" max="8196" width="66" style="1405" customWidth="1"/>
    <col min="8197" max="8197" width="8.42578125" style="1405" customWidth="1"/>
    <col min="8198" max="8198" width="14.7109375" style="1405" customWidth="1"/>
    <col min="8199" max="8199" width="47" style="1405" customWidth="1"/>
    <col min="8200" max="8200" width="8.42578125" style="1405" customWidth="1"/>
    <col min="8201" max="8201" width="14.7109375" style="1405" customWidth="1"/>
    <col min="8202" max="8202" width="50.7109375" style="1405" customWidth="1"/>
    <col min="8203" max="8235" width="9.140625" style="1405" customWidth="1"/>
    <col min="8236" max="8236" width="8.85546875" style="1405" customWidth="1"/>
    <col min="8237" max="8448" width="8.85546875" style="1405"/>
    <col min="8449" max="8449" width="20" style="1405" customWidth="1"/>
    <col min="8450" max="8450" width="46.140625" style="1405" customWidth="1"/>
    <col min="8451" max="8451" width="22.28515625" style="1405" customWidth="1"/>
    <col min="8452" max="8452" width="66" style="1405" customWidth="1"/>
    <col min="8453" max="8453" width="8.42578125" style="1405" customWidth="1"/>
    <col min="8454" max="8454" width="14.7109375" style="1405" customWidth="1"/>
    <col min="8455" max="8455" width="47" style="1405" customWidth="1"/>
    <col min="8456" max="8456" width="8.42578125" style="1405" customWidth="1"/>
    <col min="8457" max="8457" width="14.7109375" style="1405" customWidth="1"/>
    <col min="8458" max="8458" width="50.7109375" style="1405" customWidth="1"/>
    <col min="8459" max="8491" width="9.140625" style="1405" customWidth="1"/>
    <col min="8492" max="8492" width="8.85546875" style="1405" customWidth="1"/>
    <col min="8493" max="8704" width="8.85546875" style="1405"/>
    <col min="8705" max="8705" width="20" style="1405" customWidth="1"/>
    <col min="8706" max="8706" width="46.140625" style="1405" customWidth="1"/>
    <col min="8707" max="8707" width="22.28515625" style="1405" customWidth="1"/>
    <col min="8708" max="8708" width="66" style="1405" customWidth="1"/>
    <col min="8709" max="8709" width="8.42578125" style="1405" customWidth="1"/>
    <col min="8710" max="8710" width="14.7109375" style="1405" customWidth="1"/>
    <col min="8711" max="8711" width="47" style="1405" customWidth="1"/>
    <col min="8712" max="8712" width="8.42578125" style="1405" customWidth="1"/>
    <col min="8713" max="8713" width="14.7109375" style="1405" customWidth="1"/>
    <col min="8714" max="8714" width="50.7109375" style="1405" customWidth="1"/>
    <col min="8715" max="8747" width="9.140625" style="1405" customWidth="1"/>
    <col min="8748" max="8748" width="8.85546875" style="1405" customWidth="1"/>
    <col min="8749" max="8960" width="8.85546875" style="1405"/>
    <col min="8961" max="8961" width="20" style="1405" customWidth="1"/>
    <col min="8962" max="8962" width="46.140625" style="1405" customWidth="1"/>
    <col min="8963" max="8963" width="22.28515625" style="1405" customWidth="1"/>
    <col min="8964" max="8964" width="66" style="1405" customWidth="1"/>
    <col min="8965" max="8965" width="8.42578125" style="1405" customWidth="1"/>
    <col min="8966" max="8966" width="14.7109375" style="1405" customWidth="1"/>
    <col min="8967" max="8967" width="47" style="1405" customWidth="1"/>
    <col min="8968" max="8968" width="8.42578125" style="1405" customWidth="1"/>
    <col min="8969" max="8969" width="14.7109375" style="1405" customWidth="1"/>
    <col min="8970" max="8970" width="50.7109375" style="1405" customWidth="1"/>
    <col min="8971" max="9003" width="9.140625" style="1405" customWidth="1"/>
    <col min="9004" max="9004" width="8.85546875" style="1405" customWidth="1"/>
    <col min="9005" max="9216" width="8.85546875" style="1405"/>
    <col min="9217" max="9217" width="20" style="1405" customWidth="1"/>
    <col min="9218" max="9218" width="46.140625" style="1405" customWidth="1"/>
    <col min="9219" max="9219" width="22.28515625" style="1405" customWidth="1"/>
    <col min="9220" max="9220" width="66" style="1405" customWidth="1"/>
    <col min="9221" max="9221" width="8.42578125" style="1405" customWidth="1"/>
    <col min="9222" max="9222" width="14.7109375" style="1405" customWidth="1"/>
    <col min="9223" max="9223" width="47" style="1405" customWidth="1"/>
    <col min="9224" max="9224" width="8.42578125" style="1405" customWidth="1"/>
    <col min="9225" max="9225" width="14.7109375" style="1405" customWidth="1"/>
    <col min="9226" max="9226" width="50.7109375" style="1405" customWidth="1"/>
    <col min="9227" max="9259" width="9.140625" style="1405" customWidth="1"/>
    <col min="9260" max="9260" width="8.85546875" style="1405" customWidth="1"/>
    <col min="9261" max="9472" width="8.85546875" style="1405"/>
    <col min="9473" max="9473" width="20" style="1405" customWidth="1"/>
    <col min="9474" max="9474" width="46.140625" style="1405" customWidth="1"/>
    <col min="9475" max="9475" width="22.28515625" style="1405" customWidth="1"/>
    <col min="9476" max="9476" width="66" style="1405" customWidth="1"/>
    <col min="9477" max="9477" width="8.42578125" style="1405" customWidth="1"/>
    <col min="9478" max="9478" width="14.7109375" style="1405" customWidth="1"/>
    <col min="9479" max="9479" width="47" style="1405" customWidth="1"/>
    <col min="9480" max="9480" width="8.42578125" style="1405" customWidth="1"/>
    <col min="9481" max="9481" width="14.7109375" style="1405" customWidth="1"/>
    <col min="9482" max="9482" width="50.7109375" style="1405" customWidth="1"/>
    <col min="9483" max="9515" width="9.140625" style="1405" customWidth="1"/>
    <col min="9516" max="9516" width="8.85546875" style="1405" customWidth="1"/>
    <col min="9517" max="9728" width="8.85546875" style="1405"/>
    <col min="9729" max="9729" width="20" style="1405" customWidth="1"/>
    <col min="9730" max="9730" width="46.140625" style="1405" customWidth="1"/>
    <col min="9731" max="9731" width="22.28515625" style="1405" customWidth="1"/>
    <col min="9732" max="9732" width="66" style="1405" customWidth="1"/>
    <col min="9733" max="9733" width="8.42578125" style="1405" customWidth="1"/>
    <col min="9734" max="9734" width="14.7109375" style="1405" customWidth="1"/>
    <col min="9735" max="9735" width="47" style="1405" customWidth="1"/>
    <col min="9736" max="9736" width="8.42578125" style="1405" customWidth="1"/>
    <col min="9737" max="9737" width="14.7109375" style="1405" customWidth="1"/>
    <col min="9738" max="9738" width="50.7109375" style="1405" customWidth="1"/>
    <col min="9739" max="9771" width="9.140625" style="1405" customWidth="1"/>
    <col min="9772" max="9772" width="8.85546875" style="1405" customWidth="1"/>
    <col min="9773" max="9984" width="8.85546875" style="1405"/>
    <col min="9985" max="9985" width="20" style="1405" customWidth="1"/>
    <col min="9986" max="9986" width="46.140625" style="1405" customWidth="1"/>
    <col min="9987" max="9987" width="22.28515625" style="1405" customWidth="1"/>
    <col min="9988" max="9988" width="66" style="1405" customWidth="1"/>
    <col min="9989" max="9989" width="8.42578125" style="1405" customWidth="1"/>
    <col min="9990" max="9990" width="14.7109375" style="1405" customWidth="1"/>
    <col min="9991" max="9991" width="47" style="1405" customWidth="1"/>
    <col min="9992" max="9992" width="8.42578125" style="1405" customWidth="1"/>
    <col min="9993" max="9993" width="14.7109375" style="1405" customWidth="1"/>
    <col min="9994" max="9994" width="50.7109375" style="1405" customWidth="1"/>
    <col min="9995" max="10027" width="9.140625" style="1405" customWidth="1"/>
    <col min="10028" max="10028" width="8.85546875" style="1405" customWidth="1"/>
    <col min="10029" max="10240" width="8.85546875" style="1405"/>
    <col min="10241" max="10241" width="20" style="1405" customWidth="1"/>
    <col min="10242" max="10242" width="46.140625" style="1405" customWidth="1"/>
    <col min="10243" max="10243" width="22.28515625" style="1405" customWidth="1"/>
    <col min="10244" max="10244" width="66" style="1405" customWidth="1"/>
    <col min="10245" max="10245" width="8.42578125" style="1405" customWidth="1"/>
    <col min="10246" max="10246" width="14.7109375" style="1405" customWidth="1"/>
    <col min="10247" max="10247" width="47" style="1405" customWidth="1"/>
    <col min="10248" max="10248" width="8.42578125" style="1405" customWidth="1"/>
    <col min="10249" max="10249" width="14.7109375" style="1405" customWidth="1"/>
    <col min="10250" max="10250" width="50.7109375" style="1405" customWidth="1"/>
    <col min="10251" max="10283" width="9.140625" style="1405" customWidth="1"/>
    <col min="10284" max="10284" width="8.85546875" style="1405" customWidth="1"/>
    <col min="10285" max="10496" width="8.85546875" style="1405"/>
    <col min="10497" max="10497" width="20" style="1405" customWidth="1"/>
    <col min="10498" max="10498" width="46.140625" style="1405" customWidth="1"/>
    <col min="10499" max="10499" width="22.28515625" style="1405" customWidth="1"/>
    <col min="10500" max="10500" width="66" style="1405" customWidth="1"/>
    <col min="10501" max="10501" width="8.42578125" style="1405" customWidth="1"/>
    <col min="10502" max="10502" width="14.7109375" style="1405" customWidth="1"/>
    <col min="10503" max="10503" width="47" style="1405" customWidth="1"/>
    <col min="10504" max="10504" width="8.42578125" style="1405" customWidth="1"/>
    <col min="10505" max="10505" width="14.7109375" style="1405" customWidth="1"/>
    <col min="10506" max="10506" width="50.7109375" style="1405" customWidth="1"/>
    <col min="10507" max="10539" width="9.140625" style="1405" customWidth="1"/>
    <col min="10540" max="10540" width="8.85546875" style="1405" customWidth="1"/>
    <col min="10541" max="10752" width="8.85546875" style="1405"/>
    <col min="10753" max="10753" width="20" style="1405" customWidth="1"/>
    <col min="10754" max="10754" width="46.140625" style="1405" customWidth="1"/>
    <col min="10755" max="10755" width="22.28515625" style="1405" customWidth="1"/>
    <col min="10756" max="10756" width="66" style="1405" customWidth="1"/>
    <col min="10757" max="10757" width="8.42578125" style="1405" customWidth="1"/>
    <col min="10758" max="10758" width="14.7109375" style="1405" customWidth="1"/>
    <col min="10759" max="10759" width="47" style="1405" customWidth="1"/>
    <col min="10760" max="10760" width="8.42578125" style="1405" customWidth="1"/>
    <col min="10761" max="10761" width="14.7109375" style="1405" customWidth="1"/>
    <col min="10762" max="10762" width="50.7109375" style="1405" customWidth="1"/>
    <col min="10763" max="10795" width="9.140625" style="1405" customWidth="1"/>
    <col min="10796" max="10796" width="8.85546875" style="1405" customWidth="1"/>
    <col min="10797" max="11008" width="8.85546875" style="1405"/>
    <col min="11009" max="11009" width="20" style="1405" customWidth="1"/>
    <col min="11010" max="11010" width="46.140625" style="1405" customWidth="1"/>
    <col min="11011" max="11011" width="22.28515625" style="1405" customWidth="1"/>
    <col min="11012" max="11012" width="66" style="1405" customWidth="1"/>
    <col min="11013" max="11013" width="8.42578125" style="1405" customWidth="1"/>
    <col min="11014" max="11014" width="14.7109375" style="1405" customWidth="1"/>
    <col min="11015" max="11015" width="47" style="1405" customWidth="1"/>
    <col min="11016" max="11016" width="8.42578125" style="1405" customWidth="1"/>
    <col min="11017" max="11017" width="14.7109375" style="1405" customWidth="1"/>
    <col min="11018" max="11018" width="50.7109375" style="1405" customWidth="1"/>
    <col min="11019" max="11051" width="9.140625" style="1405" customWidth="1"/>
    <col min="11052" max="11052" width="8.85546875" style="1405" customWidth="1"/>
    <col min="11053" max="11264" width="8.85546875" style="1405"/>
    <col min="11265" max="11265" width="20" style="1405" customWidth="1"/>
    <col min="11266" max="11266" width="46.140625" style="1405" customWidth="1"/>
    <col min="11267" max="11267" width="22.28515625" style="1405" customWidth="1"/>
    <col min="11268" max="11268" width="66" style="1405" customWidth="1"/>
    <col min="11269" max="11269" width="8.42578125" style="1405" customWidth="1"/>
    <col min="11270" max="11270" width="14.7109375" style="1405" customWidth="1"/>
    <col min="11271" max="11271" width="47" style="1405" customWidth="1"/>
    <col min="11272" max="11272" width="8.42578125" style="1405" customWidth="1"/>
    <col min="11273" max="11273" width="14.7109375" style="1405" customWidth="1"/>
    <col min="11274" max="11274" width="50.7109375" style="1405" customWidth="1"/>
    <col min="11275" max="11307" width="9.140625" style="1405" customWidth="1"/>
    <col min="11308" max="11308" width="8.85546875" style="1405" customWidth="1"/>
    <col min="11309" max="11520" width="8.85546875" style="1405"/>
    <col min="11521" max="11521" width="20" style="1405" customWidth="1"/>
    <col min="11522" max="11522" width="46.140625" style="1405" customWidth="1"/>
    <col min="11523" max="11523" width="22.28515625" style="1405" customWidth="1"/>
    <col min="11524" max="11524" width="66" style="1405" customWidth="1"/>
    <col min="11525" max="11525" width="8.42578125" style="1405" customWidth="1"/>
    <col min="11526" max="11526" width="14.7109375" style="1405" customWidth="1"/>
    <col min="11527" max="11527" width="47" style="1405" customWidth="1"/>
    <col min="11528" max="11528" width="8.42578125" style="1405" customWidth="1"/>
    <col min="11529" max="11529" width="14.7109375" style="1405" customWidth="1"/>
    <col min="11530" max="11530" width="50.7109375" style="1405" customWidth="1"/>
    <col min="11531" max="11563" width="9.140625" style="1405" customWidth="1"/>
    <col min="11564" max="11564" width="8.85546875" style="1405" customWidth="1"/>
    <col min="11565" max="11776" width="8.85546875" style="1405"/>
    <col min="11777" max="11777" width="20" style="1405" customWidth="1"/>
    <col min="11778" max="11778" width="46.140625" style="1405" customWidth="1"/>
    <col min="11779" max="11779" width="22.28515625" style="1405" customWidth="1"/>
    <col min="11780" max="11780" width="66" style="1405" customWidth="1"/>
    <col min="11781" max="11781" width="8.42578125" style="1405" customWidth="1"/>
    <col min="11782" max="11782" width="14.7109375" style="1405" customWidth="1"/>
    <col min="11783" max="11783" width="47" style="1405" customWidth="1"/>
    <col min="11784" max="11784" width="8.42578125" style="1405" customWidth="1"/>
    <col min="11785" max="11785" width="14.7109375" style="1405" customWidth="1"/>
    <col min="11786" max="11786" width="50.7109375" style="1405" customWidth="1"/>
    <col min="11787" max="11819" width="9.140625" style="1405" customWidth="1"/>
    <col min="11820" max="11820" width="8.85546875" style="1405" customWidth="1"/>
    <col min="11821" max="12032" width="8.85546875" style="1405"/>
    <col min="12033" max="12033" width="20" style="1405" customWidth="1"/>
    <col min="12034" max="12034" width="46.140625" style="1405" customWidth="1"/>
    <col min="12035" max="12035" width="22.28515625" style="1405" customWidth="1"/>
    <col min="12036" max="12036" width="66" style="1405" customWidth="1"/>
    <col min="12037" max="12037" width="8.42578125" style="1405" customWidth="1"/>
    <col min="12038" max="12038" width="14.7109375" style="1405" customWidth="1"/>
    <col min="12039" max="12039" width="47" style="1405" customWidth="1"/>
    <col min="12040" max="12040" width="8.42578125" style="1405" customWidth="1"/>
    <col min="12041" max="12041" width="14.7109375" style="1405" customWidth="1"/>
    <col min="12042" max="12042" width="50.7109375" style="1405" customWidth="1"/>
    <col min="12043" max="12075" width="9.140625" style="1405" customWidth="1"/>
    <col min="12076" max="12076" width="8.85546875" style="1405" customWidth="1"/>
    <col min="12077" max="12288" width="8.85546875" style="1405"/>
    <col min="12289" max="12289" width="20" style="1405" customWidth="1"/>
    <col min="12290" max="12290" width="46.140625" style="1405" customWidth="1"/>
    <col min="12291" max="12291" width="22.28515625" style="1405" customWidth="1"/>
    <col min="12292" max="12292" width="66" style="1405" customWidth="1"/>
    <col min="12293" max="12293" width="8.42578125" style="1405" customWidth="1"/>
    <col min="12294" max="12294" width="14.7109375" style="1405" customWidth="1"/>
    <col min="12295" max="12295" width="47" style="1405" customWidth="1"/>
    <col min="12296" max="12296" width="8.42578125" style="1405" customWidth="1"/>
    <col min="12297" max="12297" width="14.7109375" style="1405" customWidth="1"/>
    <col min="12298" max="12298" width="50.7109375" style="1405" customWidth="1"/>
    <col min="12299" max="12331" width="9.140625" style="1405" customWidth="1"/>
    <col min="12332" max="12332" width="8.85546875" style="1405" customWidth="1"/>
    <col min="12333" max="12544" width="8.85546875" style="1405"/>
    <col min="12545" max="12545" width="20" style="1405" customWidth="1"/>
    <col min="12546" max="12546" width="46.140625" style="1405" customWidth="1"/>
    <col min="12547" max="12547" width="22.28515625" style="1405" customWidth="1"/>
    <col min="12548" max="12548" width="66" style="1405" customWidth="1"/>
    <col min="12549" max="12549" width="8.42578125" style="1405" customWidth="1"/>
    <col min="12550" max="12550" width="14.7109375" style="1405" customWidth="1"/>
    <col min="12551" max="12551" width="47" style="1405" customWidth="1"/>
    <col min="12552" max="12552" width="8.42578125" style="1405" customWidth="1"/>
    <col min="12553" max="12553" width="14.7109375" style="1405" customWidth="1"/>
    <col min="12554" max="12554" width="50.7109375" style="1405" customWidth="1"/>
    <col min="12555" max="12587" width="9.140625" style="1405" customWidth="1"/>
    <col min="12588" max="12588" width="8.85546875" style="1405" customWidth="1"/>
    <col min="12589" max="12800" width="8.85546875" style="1405"/>
    <col min="12801" max="12801" width="20" style="1405" customWidth="1"/>
    <col min="12802" max="12802" width="46.140625" style="1405" customWidth="1"/>
    <col min="12803" max="12803" width="22.28515625" style="1405" customWidth="1"/>
    <col min="12804" max="12804" width="66" style="1405" customWidth="1"/>
    <col min="12805" max="12805" width="8.42578125" style="1405" customWidth="1"/>
    <col min="12806" max="12806" width="14.7109375" style="1405" customWidth="1"/>
    <col min="12807" max="12807" width="47" style="1405" customWidth="1"/>
    <col min="12808" max="12808" width="8.42578125" style="1405" customWidth="1"/>
    <col min="12809" max="12809" width="14.7109375" style="1405" customWidth="1"/>
    <col min="12810" max="12810" width="50.7109375" style="1405" customWidth="1"/>
    <col min="12811" max="12843" width="9.140625" style="1405" customWidth="1"/>
    <col min="12844" max="12844" width="8.85546875" style="1405" customWidth="1"/>
    <col min="12845" max="13056" width="8.85546875" style="1405"/>
    <col min="13057" max="13057" width="20" style="1405" customWidth="1"/>
    <col min="13058" max="13058" width="46.140625" style="1405" customWidth="1"/>
    <col min="13059" max="13059" width="22.28515625" style="1405" customWidth="1"/>
    <col min="13060" max="13060" width="66" style="1405" customWidth="1"/>
    <col min="13061" max="13061" width="8.42578125" style="1405" customWidth="1"/>
    <col min="13062" max="13062" width="14.7109375" style="1405" customWidth="1"/>
    <col min="13063" max="13063" width="47" style="1405" customWidth="1"/>
    <col min="13064" max="13064" width="8.42578125" style="1405" customWidth="1"/>
    <col min="13065" max="13065" width="14.7109375" style="1405" customWidth="1"/>
    <col min="13066" max="13066" width="50.7109375" style="1405" customWidth="1"/>
    <col min="13067" max="13099" width="9.140625" style="1405" customWidth="1"/>
    <col min="13100" max="13100" width="8.85546875" style="1405" customWidth="1"/>
    <col min="13101" max="13312" width="8.85546875" style="1405"/>
    <col min="13313" max="13313" width="20" style="1405" customWidth="1"/>
    <col min="13314" max="13314" width="46.140625" style="1405" customWidth="1"/>
    <col min="13315" max="13315" width="22.28515625" style="1405" customWidth="1"/>
    <col min="13316" max="13316" width="66" style="1405" customWidth="1"/>
    <col min="13317" max="13317" width="8.42578125" style="1405" customWidth="1"/>
    <col min="13318" max="13318" width="14.7109375" style="1405" customWidth="1"/>
    <col min="13319" max="13319" width="47" style="1405" customWidth="1"/>
    <col min="13320" max="13320" width="8.42578125" style="1405" customWidth="1"/>
    <col min="13321" max="13321" width="14.7109375" style="1405" customWidth="1"/>
    <col min="13322" max="13322" width="50.7109375" style="1405" customWidth="1"/>
    <col min="13323" max="13355" width="9.140625" style="1405" customWidth="1"/>
    <col min="13356" max="13356" width="8.85546875" style="1405" customWidth="1"/>
    <col min="13357" max="13568" width="8.85546875" style="1405"/>
    <col min="13569" max="13569" width="20" style="1405" customWidth="1"/>
    <col min="13570" max="13570" width="46.140625" style="1405" customWidth="1"/>
    <col min="13571" max="13571" width="22.28515625" style="1405" customWidth="1"/>
    <col min="13572" max="13572" width="66" style="1405" customWidth="1"/>
    <col min="13573" max="13573" width="8.42578125" style="1405" customWidth="1"/>
    <col min="13574" max="13574" width="14.7109375" style="1405" customWidth="1"/>
    <col min="13575" max="13575" width="47" style="1405" customWidth="1"/>
    <col min="13576" max="13576" width="8.42578125" style="1405" customWidth="1"/>
    <col min="13577" max="13577" width="14.7109375" style="1405" customWidth="1"/>
    <col min="13578" max="13578" width="50.7109375" style="1405" customWidth="1"/>
    <col min="13579" max="13611" width="9.140625" style="1405" customWidth="1"/>
    <col min="13612" max="13612" width="8.85546875" style="1405" customWidth="1"/>
    <col min="13613" max="13824" width="8.85546875" style="1405"/>
    <col min="13825" max="13825" width="20" style="1405" customWidth="1"/>
    <col min="13826" max="13826" width="46.140625" style="1405" customWidth="1"/>
    <col min="13827" max="13827" width="22.28515625" style="1405" customWidth="1"/>
    <col min="13828" max="13828" width="66" style="1405" customWidth="1"/>
    <col min="13829" max="13829" width="8.42578125" style="1405" customWidth="1"/>
    <col min="13830" max="13830" width="14.7109375" style="1405" customWidth="1"/>
    <col min="13831" max="13831" width="47" style="1405" customWidth="1"/>
    <col min="13832" max="13832" width="8.42578125" style="1405" customWidth="1"/>
    <col min="13833" max="13833" width="14.7109375" style="1405" customWidth="1"/>
    <col min="13834" max="13834" width="50.7109375" style="1405" customWidth="1"/>
    <col min="13835" max="13867" width="9.140625" style="1405" customWidth="1"/>
    <col min="13868" max="13868" width="8.85546875" style="1405" customWidth="1"/>
    <col min="13869" max="14080" width="8.85546875" style="1405"/>
    <col min="14081" max="14081" width="20" style="1405" customWidth="1"/>
    <col min="14082" max="14082" width="46.140625" style="1405" customWidth="1"/>
    <col min="14083" max="14083" width="22.28515625" style="1405" customWidth="1"/>
    <col min="14084" max="14084" width="66" style="1405" customWidth="1"/>
    <col min="14085" max="14085" width="8.42578125" style="1405" customWidth="1"/>
    <col min="14086" max="14086" width="14.7109375" style="1405" customWidth="1"/>
    <col min="14087" max="14087" width="47" style="1405" customWidth="1"/>
    <col min="14088" max="14088" width="8.42578125" style="1405" customWidth="1"/>
    <col min="14089" max="14089" width="14.7109375" style="1405" customWidth="1"/>
    <col min="14090" max="14090" width="50.7109375" style="1405" customWidth="1"/>
    <col min="14091" max="14123" width="9.140625" style="1405" customWidth="1"/>
    <col min="14124" max="14124" width="8.85546875" style="1405" customWidth="1"/>
    <col min="14125" max="14336" width="8.85546875" style="1405"/>
    <col min="14337" max="14337" width="20" style="1405" customWidth="1"/>
    <col min="14338" max="14338" width="46.140625" style="1405" customWidth="1"/>
    <col min="14339" max="14339" width="22.28515625" style="1405" customWidth="1"/>
    <col min="14340" max="14340" width="66" style="1405" customWidth="1"/>
    <col min="14341" max="14341" width="8.42578125" style="1405" customWidth="1"/>
    <col min="14342" max="14342" width="14.7109375" style="1405" customWidth="1"/>
    <col min="14343" max="14343" width="47" style="1405" customWidth="1"/>
    <col min="14344" max="14344" width="8.42578125" style="1405" customWidth="1"/>
    <col min="14345" max="14345" width="14.7109375" style="1405" customWidth="1"/>
    <col min="14346" max="14346" width="50.7109375" style="1405" customWidth="1"/>
    <col min="14347" max="14379" width="9.140625" style="1405" customWidth="1"/>
    <col min="14380" max="14380" width="8.85546875" style="1405" customWidth="1"/>
    <col min="14381" max="14592" width="8.85546875" style="1405"/>
    <col min="14593" max="14593" width="20" style="1405" customWidth="1"/>
    <col min="14594" max="14594" width="46.140625" style="1405" customWidth="1"/>
    <col min="14595" max="14595" width="22.28515625" style="1405" customWidth="1"/>
    <col min="14596" max="14596" width="66" style="1405" customWidth="1"/>
    <col min="14597" max="14597" width="8.42578125" style="1405" customWidth="1"/>
    <col min="14598" max="14598" width="14.7109375" style="1405" customWidth="1"/>
    <col min="14599" max="14599" width="47" style="1405" customWidth="1"/>
    <col min="14600" max="14600" width="8.42578125" style="1405" customWidth="1"/>
    <col min="14601" max="14601" width="14.7109375" style="1405" customWidth="1"/>
    <col min="14602" max="14602" width="50.7109375" style="1405" customWidth="1"/>
    <col min="14603" max="14635" width="9.140625" style="1405" customWidth="1"/>
    <col min="14636" max="14636" width="8.85546875" style="1405" customWidth="1"/>
    <col min="14637" max="14848" width="8.85546875" style="1405"/>
    <col min="14849" max="14849" width="20" style="1405" customWidth="1"/>
    <col min="14850" max="14850" width="46.140625" style="1405" customWidth="1"/>
    <col min="14851" max="14851" width="22.28515625" style="1405" customWidth="1"/>
    <col min="14852" max="14852" width="66" style="1405" customWidth="1"/>
    <col min="14853" max="14853" width="8.42578125" style="1405" customWidth="1"/>
    <col min="14854" max="14854" width="14.7109375" style="1405" customWidth="1"/>
    <col min="14855" max="14855" width="47" style="1405" customWidth="1"/>
    <col min="14856" max="14856" width="8.42578125" style="1405" customWidth="1"/>
    <col min="14857" max="14857" width="14.7109375" style="1405" customWidth="1"/>
    <col min="14858" max="14858" width="50.7109375" style="1405" customWidth="1"/>
    <col min="14859" max="14891" width="9.140625" style="1405" customWidth="1"/>
    <col min="14892" max="14892" width="8.85546875" style="1405" customWidth="1"/>
    <col min="14893" max="15104" width="8.85546875" style="1405"/>
    <col min="15105" max="15105" width="20" style="1405" customWidth="1"/>
    <col min="15106" max="15106" width="46.140625" style="1405" customWidth="1"/>
    <col min="15107" max="15107" width="22.28515625" style="1405" customWidth="1"/>
    <col min="15108" max="15108" width="66" style="1405" customWidth="1"/>
    <col min="15109" max="15109" width="8.42578125" style="1405" customWidth="1"/>
    <col min="15110" max="15110" width="14.7109375" style="1405" customWidth="1"/>
    <col min="15111" max="15111" width="47" style="1405" customWidth="1"/>
    <col min="15112" max="15112" width="8.42578125" style="1405" customWidth="1"/>
    <col min="15113" max="15113" width="14.7109375" style="1405" customWidth="1"/>
    <col min="15114" max="15114" width="50.7109375" style="1405" customWidth="1"/>
    <col min="15115" max="15147" width="9.140625" style="1405" customWidth="1"/>
    <col min="15148" max="15148" width="8.85546875" style="1405" customWidth="1"/>
    <col min="15149" max="15360" width="8.85546875" style="1405"/>
    <col min="15361" max="15361" width="20" style="1405" customWidth="1"/>
    <col min="15362" max="15362" width="46.140625" style="1405" customWidth="1"/>
    <col min="15363" max="15363" width="22.28515625" style="1405" customWidth="1"/>
    <col min="15364" max="15364" width="66" style="1405" customWidth="1"/>
    <col min="15365" max="15365" width="8.42578125" style="1405" customWidth="1"/>
    <col min="15366" max="15366" width="14.7109375" style="1405" customWidth="1"/>
    <col min="15367" max="15367" width="47" style="1405" customWidth="1"/>
    <col min="15368" max="15368" width="8.42578125" style="1405" customWidth="1"/>
    <col min="15369" max="15369" width="14.7109375" style="1405" customWidth="1"/>
    <col min="15370" max="15370" width="50.7109375" style="1405" customWidth="1"/>
    <col min="15371" max="15403" width="9.140625" style="1405" customWidth="1"/>
    <col min="15404" max="15404" width="8.85546875" style="1405" customWidth="1"/>
    <col min="15405" max="15616" width="8.85546875" style="1405"/>
    <col min="15617" max="15617" width="20" style="1405" customWidth="1"/>
    <col min="15618" max="15618" width="46.140625" style="1405" customWidth="1"/>
    <col min="15619" max="15619" width="22.28515625" style="1405" customWidth="1"/>
    <col min="15620" max="15620" width="66" style="1405" customWidth="1"/>
    <col min="15621" max="15621" width="8.42578125" style="1405" customWidth="1"/>
    <col min="15622" max="15622" width="14.7109375" style="1405" customWidth="1"/>
    <col min="15623" max="15623" width="47" style="1405" customWidth="1"/>
    <col min="15624" max="15624" width="8.42578125" style="1405" customWidth="1"/>
    <col min="15625" max="15625" width="14.7109375" style="1405" customWidth="1"/>
    <col min="15626" max="15626" width="50.7109375" style="1405" customWidth="1"/>
    <col min="15627" max="15659" width="9.140625" style="1405" customWidth="1"/>
    <col min="15660" max="15660" width="8.85546875" style="1405" customWidth="1"/>
    <col min="15661" max="15872" width="8.85546875" style="1405"/>
    <col min="15873" max="15873" width="20" style="1405" customWidth="1"/>
    <col min="15874" max="15874" width="46.140625" style="1405" customWidth="1"/>
    <col min="15875" max="15875" width="22.28515625" style="1405" customWidth="1"/>
    <col min="15876" max="15876" width="66" style="1405" customWidth="1"/>
    <col min="15877" max="15877" width="8.42578125" style="1405" customWidth="1"/>
    <col min="15878" max="15878" width="14.7109375" style="1405" customWidth="1"/>
    <col min="15879" max="15879" width="47" style="1405" customWidth="1"/>
    <col min="15880" max="15880" width="8.42578125" style="1405" customWidth="1"/>
    <col min="15881" max="15881" width="14.7109375" style="1405" customWidth="1"/>
    <col min="15882" max="15882" width="50.7109375" style="1405" customWidth="1"/>
    <col min="15883" max="15915" width="9.140625" style="1405" customWidth="1"/>
    <col min="15916" max="15916" width="8.85546875" style="1405" customWidth="1"/>
    <col min="15917" max="16128" width="8.85546875" style="1405"/>
    <col min="16129" max="16129" width="20" style="1405" customWidth="1"/>
    <col min="16130" max="16130" width="46.140625" style="1405" customWidth="1"/>
    <col min="16131" max="16131" width="22.28515625" style="1405" customWidth="1"/>
    <col min="16132" max="16132" width="66" style="1405" customWidth="1"/>
    <col min="16133" max="16133" width="8.42578125" style="1405" customWidth="1"/>
    <col min="16134" max="16134" width="14.7109375" style="1405" customWidth="1"/>
    <col min="16135" max="16135" width="47" style="1405" customWidth="1"/>
    <col min="16136" max="16136" width="8.42578125" style="1405" customWidth="1"/>
    <col min="16137" max="16137" width="14.7109375" style="1405" customWidth="1"/>
    <col min="16138" max="16138" width="50.7109375" style="1405" customWidth="1"/>
    <col min="16139" max="16171" width="9.140625" style="1405" customWidth="1"/>
    <col min="16172" max="16172" width="8.85546875" style="1405" customWidth="1"/>
    <col min="16173" max="16384" width="8.85546875" style="1405"/>
  </cols>
  <sheetData>
    <row r="1" spans="1:40" ht="23.25">
      <c r="B1" s="1327" t="s">
        <v>608</v>
      </c>
      <c r="C1" s="1328"/>
      <c r="G1" s="1402"/>
      <c r="H1" s="1403"/>
      <c r="I1" s="1404"/>
      <c r="J1" s="1405"/>
      <c r="K1" s="1405"/>
      <c r="L1" s="1405"/>
    </row>
    <row r="2" spans="1:40" ht="18" customHeight="1">
      <c r="B2" s="2557" t="s">
        <v>1097</v>
      </c>
      <c r="C2" s="2557"/>
      <c r="D2" s="2557"/>
      <c r="E2" s="2557"/>
      <c r="F2" s="2557"/>
      <c r="G2" s="1402"/>
      <c r="H2" s="1403"/>
      <c r="I2" s="1404"/>
      <c r="J2" s="1405"/>
      <c r="K2" s="1405"/>
      <c r="L2" s="1405"/>
    </row>
    <row r="3" spans="1:40" ht="18" customHeight="1">
      <c r="B3" s="2557" t="s">
        <v>1098</v>
      </c>
      <c r="C3" s="2557"/>
      <c r="D3" s="2557"/>
      <c r="E3" s="2557"/>
      <c r="F3" s="2557"/>
      <c r="G3" s="1402"/>
      <c r="H3" s="1403"/>
      <c r="I3" s="1404"/>
      <c r="J3" s="1405"/>
      <c r="K3" s="1405"/>
      <c r="L3" s="1405"/>
    </row>
    <row r="4" spans="1:40" ht="18" customHeight="1">
      <c r="B4" s="2557" t="s">
        <v>1099</v>
      </c>
      <c r="C4" s="2557"/>
      <c r="D4" s="2557"/>
      <c r="E4" s="2557"/>
      <c r="F4" s="2557"/>
      <c r="G4" s="1402"/>
      <c r="H4" s="1403"/>
      <c r="I4" s="1404"/>
      <c r="J4" s="1405"/>
      <c r="K4" s="1405"/>
      <c r="L4" s="1405"/>
    </row>
    <row r="5" spans="1:40">
      <c r="B5" s="1407"/>
      <c r="C5" s="1408"/>
      <c r="G5" s="1402"/>
      <c r="H5" s="1403"/>
      <c r="I5" s="1404"/>
      <c r="J5" s="1405"/>
      <c r="K5" s="1405"/>
      <c r="L5" s="1405"/>
    </row>
    <row r="6" spans="1:40" s="1333" customFormat="1" ht="26.25" customHeight="1">
      <c r="B6" s="1409" t="s">
        <v>409</v>
      </c>
      <c r="D6" s="1410">
        <f>'Project Info'!C3</f>
        <v>0</v>
      </c>
      <c r="E6" s="1326"/>
      <c r="F6" s="1326"/>
      <c r="M6" s="2558"/>
      <c r="N6" s="2558"/>
      <c r="O6" s="2558"/>
      <c r="P6" s="2558"/>
      <c r="AM6" s="1326"/>
      <c r="AN6" s="1326"/>
    </row>
    <row r="7" spans="1:40" s="1333" customFormat="1" ht="26.25" customHeight="1">
      <c r="B7" s="1409" t="s">
        <v>1100</v>
      </c>
      <c r="D7" s="1410" t="e">
        <f>'Project Info'!#REF!</f>
        <v>#REF!</v>
      </c>
      <c r="E7" s="1326"/>
      <c r="F7" s="1326"/>
      <c r="M7" s="2558"/>
      <c r="N7" s="2558"/>
      <c r="O7" s="2558"/>
      <c r="P7" s="2558"/>
      <c r="AM7" s="1326"/>
      <c r="AN7" s="1326"/>
    </row>
    <row r="8" spans="1:40" s="1333" customFormat="1" ht="26.25" customHeight="1">
      <c r="B8" s="1409" t="s">
        <v>647</v>
      </c>
      <c r="D8" s="1410">
        <f>'Project Info'!C5</f>
        <v>0</v>
      </c>
      <c r="E8" s="1326"/>
      <c r="F8" s="1326"/>
      <c r="M8" s="2558"/>
      <c r="N8" s="2558"/>
      <c r="O8" s="2558"/>
      <c r="P8" s="2558"/>
      <c r="AM8" s="1326"/>
      <c r="AN8" s="1326"/>
    </row>
    <row r="9" spans="1:40" s="1333" customFormat="1" ht="26.25" customHeight="1">
      <c r="B9" s="1409" t="s">
        <v>648</v>
      </c>
      <c r="D9" s="1410">
        <f>'Project Info'!C6</f>
        <v>0</v>
      </c>
      <c r="E9" s="1326"/>
      <c r="F9" s="1326"/>
      <c r="M9" s="2558"/>
      <c r="N9" s="2558"/>
      <c r="O9" s="2558"/>
      <c r="P9" s="2558"/>
      <c r="AM9" s="1326"/>
      <c r="AN9" s="1326"/>
    </row>
    <row r="10" spans="1:40" s="1333" customFormat="1" ht="26.25" customHeight="1">
      <c r="B10" s="1409" t="s">
        <v>664</v>
      </c>
      <c r="D10" s="1410">
        <f>'Project Info'!C7</f>
        <v>4</v>
      </c>
      <c r="E10" s="1326"/>
      <c r="F10" s="1326"/>
      <c r="M10" s="2558"/>
      <c r="N10" s="2558"/>
      <c r="O10" s="2558"/>
      <c r="P10" s="2558"/>
      <c r="AM10" s="1326"/>
      <c r="AN10" s="1326"/>
    </row>
    <row r="11" spans="1:40" ht="42" customHeight="1">
      <c r="A11" s="1411"/>
      <c r="B11" s="1412"/>
      <c r="C11" s="1413"/>
      <c r="D11" s="1414"/>
      <c r="E11" s="1414"/>
      <c r="F11" s="1415"/>
      <c r="G11" s="1416"/>
      <c r="H11" s="1404"/>
      <c r="I11" s="1404"/>
    </row>
    <row r="12" spans="1:40" s="1418" customFormat="1" ht="95.25" customHeight="1">
      <c r="A12" s="2559" t="s">
        <v>1101</v>
      </c>
      <c r="B12" s="2561" t="s">
        <v>1102</v>
      </c>
      <c r="C12" s="2563" t="s">
        <v>1103</v>
      </c>
      <c r="D12" s="2564"/>
      <c r="E12" s="2564"/>
      <c r="F12" s="2565"/>
      <c r="G12" s="2566" t="s">
        <v>1104</v>
      </c>
      <c r="H12" s="2567"/>
      <c r="I12" s="2567"/>
      <c r="J12" s="1417"/>
      <c r="M12" s="1419"/>
      <c r="N12" s="1419"/>
      <c r="O12" s="1419"/>
      <c r="P12" s="1419"/>
      <c r="Q12" s="1419"/>
      <c r="R12" s="1419"/>
      <c r="S12" s="1419"/>
      <c r="T12" s="1419"/>
      <c r="U12" s="1419"/>
      <c r="V12" s="1419"/>
      <c r="W12" s="1419"/>
      <c r="X12" s="1419"/>
      <c r="Y12" s="1419"/>
      <c r="Z12" s="1419"/>
      <c r="AA12" s="1419"/>
      <c r="AB12" s="1419"/>
      <c r="AC12" s="1419"/>
      <c r="AD12" s="1419"/>
      <c r="AE12" s="1419"/>
      <c r="AF12" s="1419"/>
      <c r="AG12" s="1419"/>
      <c r="AH12" s="1419"/>
      <c r="AI12" s="1419"/>
      <c r="AJ12" s="1419"/>
      <c r="AK12" s="1419"/>
      <c r="AL12" s="1419"/>
      <c r="AM12" s="1419"/>
      <c r="AN12" s="1419"/>
    </row>
    <row r="13" spans="1:40" s="1424" customFormat="1" ht="95.25" customHeight="1">
      <c r="A13" s="2560"/>
      <c r="B13" s="2562"/>
      <c r="C13" s="1420" t="s">
        <v>1105</v>
      </c>
      <c r="D13" s="1421" t="s">
        <v>738</v>
      </c>
      <c r="E13" s="1421" t="s">
        <v>1106</v>
      </c>
      <c r="F13" s="1421" t="s">
        <v>1107</v>
      </c>
      <c r="G13" s="1422" t="s">
        <v>740</v>
      </c>
      <c r="H13" s="1422" t="s">
        <v>1106</v>
      </c>
      <c r="I13" s="1422" t="s">
        <v>1107</v>
      </c>
      <c r="J13" s="1423" t="s">
        <v>1108</v>
      </c>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c r="AK13" s="1425"/>
      <c r="AL13" s="1425"/>
      <c r="AM13" s="1425"/>
      <c r="AN13" s="1425"/>
    </row>
    <row r="14" spans="1:40" s="1424" customFormat="1" ht="45.75" customHeight="1">
      <c r="A14" s="1054">
        <v>1</v>
      </c>
      <c r="B14" s="1055" t="s">
        <v>1109</v>
      </c>
      <c r="C14" s="1055"/>
      <c r="D14" s="1055"/>
      <c r="E14" s="1055"/>
      <c r="F14" s="1055"/>
      <c r="G14" s="1055"/>
      <c r="H14" s="1055"/>
      <c r="I14" s="1055"/>
      <c r="J14" s="1056"/>
      <c r="M14" s="1425"/>
      <c r="N14" s="1425"/>
      <c r="O14" s="1425"/>
      <c r="P14" s="1425"/>
      <c r="Q14" s="1425"/>
      <c r="R14" s="1425"/>
      <c r="S14" s="1425"/>
      <c r="T14" s="1425"/>
      <c r="U14" s="1425"/>
      <c r="V14" s="1425"/>
      <c r="W14" s="1425"/>
      <c r="X14" s="1425"/>
      <c r="Y14" s="1425"/>
      <c r="Z14" s="1425"/>
      <c r="AA14" s="1425"/>
      <c r="AB14" s="1425"/>
      <c r="AC14" s="1425"/>
      <c r="AD14" s="1425"/>
      <c r="AE14" s="1425"/>
      <c r="AF14" s="1425"/>
      <c r="AG14" s="1425"/>
      <c r="AH14" s="1425"/>
      <c r="AI14" s="1425"/>
      <c r="AJ14" s="1425"/>
      <c r="AK14" s="1425"/>
      <c r="AL14" s="1425"/>
      <c r="AM14" s="1425"/>
      <c r="AN14" s="1425"/>
    </row>
    <row r="15" spans="1:40" s="1426" customFormat="1" ht="106.5" customHeight="1">
      <c r="A15" s="1057" t="s">
        <v>1110</v>
      </c>
      <c r="B15" s="1058" t="str">
        <f>'1.1 - APPLIANCES'!D26</f>
        <v>Refrigerators</v>
      </c>
      <c r="C15" s="1059">
        <f>'1.1 - APPLIANCES'!E26</f>
        <v>0</v>
      </c>
      <c r="D15" s="1060">
        <f>'1.1 - APPLIANCES'!K26</f>
        <v>0</v>
      </c>
      <c r="E15" s="1060">
        <f>'1.1 - APPLIANCES'!L26</f>
        <v>0</v>
      </c>
      <c r="F15" s="1060">
        <f>'1.1 - APPLIANCES'!M26</f>
        <v>0</v>
      </c>
      <c r="G15" s="1061">
        <f>'1.1 - APPLIANCES'!O26</f>
        <v>0</v>
      </c>
      <c r="H15" s="1061">
        <f>'1.1 - APPLIANCES'!L26</f>
        <v>0</v>
      </c>
      <c r="I15" s="1061">
        <f>'1.1 - APPLIANCES'!N26</f>
        <v>0</v>
      </c>
      <c r="J15" s="1062"/>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c r="AK15" s="1427"/>
      <c r="AL15" s="1427"/>
      <c r="AM15" s="1427"/>
      <c r="AN15" s="1427"/>
    </row>
    <row r="16" spans="1:40" s="1426" customFormat="1" ht="49.5" customHeight="1">
      <c r="A16" s="1057" t="s">
        <v>1111</v>
      </c>
      <c r="B16" s="1063" t="str">
        <f>'1.1 - APPLIANCES'!D27</f>
        <v>Dishwashers</v>
      </c>
      <c r="C16" s="1064">
        <f>'1.1 - APPLIANCES'!E27</f>
        <v>0</v>
      </c>
      <c r="D16" s="1060">
        <f>'1.1 - APPLIANCES'!K27</f>
        <v>0</v>
      </c>
      <c r="E16" s="1060">
        <f>'1.1 - APPLIANCES'!L27</f>
        <v>0</v>
      </c>
      <c r="F16" s="1060">
        <f>'1.1 - APPLIANCES'!M27</f>
        <v>0</v>
      </c>
      <c r="G16" s="1065">
        <f>'1.1 - APPLIANCES'!O27</f>
        <v>0</v>
      </c>
      <c r="H16" s="1065">
        <f>'1.1 - APPLIANCES'!L27</f>
        <v>0</v>
      </c>
      <c r="I16" s="1065">
        <f>'1.1 - APPLIANCES'!N27</f>
        <v>0</v>
      </c>
      <c r="J16" s="1062"/>
      <c r="M16" s="1427"/>
      <c r="N16" s="1427"/>
      <c r="O16" s="1427"/>
      <c r="P16" s="1427"/>
      <c r="Q16" s="1427"/>
      <c r="R16" s="1427"/>
      <c r="S16" s="1427"/>
      <c r="T16" s="1427"/>
      <c r="U16" s="1427"/>
      <c r="V16" s="1427"/>
      <c r="W16" s="1427"/>
      <c r="X16" s="1427"/>
      <c r="Y16" s="1427"/>
      <c r="Z16" s="1427"/>
      <c r="AA16" s="1427"/>
      <c r="AB16" s="1427"/>
      <c r="AC16" s="1427"/>
      <c r="AD16" s="1427"/>
      <c r="AE16" s="1427"/>
      <c r="AF16" s="1427"/>
      <c r="AG16" s="1427"/>
      <c r="AH16" s="1427"/>
      <c r="AI16" s="1427"/>
      <c r="AJ16" s="1427"/>
      <c r="AK16" s="1427"/>
      <c r="AL16" s="1427"/>
      <c r="AM16" s="1427"/>
      <c r="AN16" s="1427"/>
    </row>
    <row r="17" spans="1:40" s="1426" customFormat="1" ht="49.5" customHeight="1">
      <c r="A17" s="1057" t="s">
        <v>1112</v>
      </c>
      <c r="B17" s="1063" t="str">
        <f>'1.1 - APPLIANCES'!D28</f>
        <v>Clothes Washers</v>
      </c>
      <c r="C17" s="1064">
        <f>'1.1 - APPLIANCES'!E28</f>
        <v>0</v>
      </c>
      <c r="D17" s="1060">
        <f>'1.1 - APPLIANCES'!K28</f>
        <v>0</v>
      </c>
      <c r="E17" s="1060">
        <f>'1.1 - APPLIANCES'!L28</f>
        <v>0</v>
      </c>
      <c r="F17" s="1060">
        <f>'1.1 - APPLIANCES'!M28</f>
        <v>0</v>
      </c>
      <c r="G17" s="1065">
        <f>'1.1 - APPLIANCES'!O28</f>
        <v>0</v>
      </c>
      <c r="H17" s="1065">
        <f>'1.1 - APPLIANCES'!L28</f>
        <v>0</v>
      </c>
      <c r="I17" s="1065">
        <f>'1.1 - APPLIANCES'!N28</f>
        <v>0</v>
      </c>
      <c r="J17" s="1062"/>
      <c r="M17" s="1427"/>
      <c r="N17" s="1427"/>
      <c r="O17" s="1427"/>
      <c r="P17" s="1427"/>
      <c r="Q17" s="1427"/>
      <c r="R17" s="1427"/>
      <c r="S17" s="1427"/>
      <c r="T17" s="1427"/>
      <c r="U17" s="1427"/>
      <c r="V17" s="1427"/>
      <c r="W17" s="1427"/>
      <c r="X17" s="1427"/>
      <c r="Y17" s="1427"/>
      <c r="Z17" s="1427"/>
      <c r="AA17" s="1427"/>
      <c r="AB17" s="1427"/>
      <c r="AC17" s="1427"/>
      <c r="AD17" s="1427"/>
      <c r="AE17" s="1427"/>
      <c r="AF17" s="1427"/>
      <c r="AG17" s="1427"/>
      <c r="AH17" s="1427"/>
      <c r="AI17" s="1427"/>
      <c r="AJ17" s="1427"/>
      <c r="AK17" s="1427"/>
      <c r="AL17" s="1427"/>
      <c r="AM17" s="1427"/>
      <c r="AN17" s="1427"/>
    </row>
    <row r="18" spans="1:40" s="1426" customFormat="1" ht="49.5" customHeight="1">
      <c r="A18" s="1057" t="s">
        <v>1113</v>
      </c>
      <c r="B18" s="1063" t="str">
        <f>'1.1 - APPLIANCES'!D29</f>
        <v>Ceiling Fans</v>
      </c>
      <c r="C18" s="1064">
        <f>'1.1 - APPLIANCES'!E29</f>
        <v>0</v>
      </c>
      <c r="D18" s="1060">
        <f>'1.1 - APPLIANCES'!K29</f>
        <v>0</v>
      </c>
      <c r="E18" s="1060">
        <f>'1.1 - APPLIANCES'!L29</f>
        <v>0</v>
      </c>
      <c r="F18" s="1060">
        <f>'1.1 - APPLIANCES'!M29</f>
        <v>0</v>
      </c>
      <c r="G18" s="1065">
        <f>'1.1 - APPLIANCES'!O29</f>
        <v>0</v>
      </c>
      <c r="H18" s="1065">
        <f>'1.1 - APPLIANCES'!L29</f>
        <v>0</v>
      </c>
      <c r="I18" s="1065">
        <f>'1.1 - APPLIANCES'!N29</f>
        <v>0</v>
      </c>
      <c r="J18" s="1062"/>
      <c r="M18" s="1427"/>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AK18" s="1427"/>
      <c r="AL18" s="1427"/>
      <c r="AM18" s="1427"/>
      <c r="AN18" s="1427"/>
    </row>
    <row r="19" spans="1:40" s="1426" customFormat="1" ht="63" customHeight="1">
      <c r="A19" s="1057" t="s">
        <v>1114</v>
      </c>
      <c r="B19" s="1063" t="str">
        <f>'1.1 - APPLIANCES'!D30</f>
        <v>Vending Machines</v>
      </c>
      <c r="C19" s="1064">
        <f>'1.1 - APPLIANCES'!E30</f>
        <v>0</v>
      </c>
      <c r="D19" s="1060">
        <f>'1.1 - APPLIANCES'!K30</f>
        <v>0</v>
      </c>
      <c r="E19" s="1060">
        <f>'1.1 - APPLIANCES'!L30</f>
        <v>0</v>
      </c>
      <c r="F19" s="1060">
        <f>'1.1 - APPLIANCES'!M30</f>
        <v>0</v>
      </c>
      <c r="G19" s="1065">
        <f>'1.1 - APPLIANCES'!O30</f>
        <v>0</v>
      </c>
      <c r="H19" s="1065">
        <f>'1.1 - APPLIANCES'!L30</f>
        <v>0</v>
      </c>
      <c r="I19" s="1065">
        <f>'1.1 - APPLIANCES'!N30</f>
        <v>0</v>
      </c>
      <c r="J19" s="1062"/>
      <c r="M19" s="1427"/>
      <c r="N19" s="1427"/>
      <c r="O19" s="1427"/>
      <c r="P19" s="1427"/>
      <c r="Q19" s="1427"/>
      <c r="R19" s="1427"/>
      <c r="S19" s="1427"/>
      <c r="T19" s="1427"/>
      <c r="U19" s="1427"/>
      <c r="V19" s="1427"/>
      <c r="W19" s="1427"/>
      <c r="X19" s="1427"/>
      <c r="Y19" s="1427"/>
      <c r="Z19" s="1427"/>
      <c r="AA19" s="1427"/>
      <c r="AB19" s="1427"/>
      <c r="AC19" s="1427"/>
      <c r="AD19" s="1427"/>
      <c r="AE19" s="1427"/>
      <c r="AF19" s="1427"/>
      <c r="AG19" s="1427"/>
      <c r="AH19" s="1427"/>
      <c r="AI19" s="1427"/>
      <c r="AJ19" s="1427"/>
      <c r="AK19" s="1427"/>
      <c r="AL19" s="1427"/>
      <c r="AM19" s="1427"/>
      <c r="AN19" s="1427"/>
    </row>
    <row r="20" spans="1:40" s="1426" customFormat="1" ht="49.5" customHeight="1">
      <c r="A20" s="1057" t="s">
        <v>1115</v>
      </c>
      <c r="B20" s="1063" t="s">
        <v>1116</v>
      </c>
      <c r="C20" s="1064">
        <f>'1.1 - APPLIANCES'!E32</f>
        <v>0</v>
      </c>
      <c r="D20" s="1066">
        <f>'1.1 - APPLIANCES'!F32</f>
        <v>0</v>
      </c>
      <c r="E20" s="1066">
        <f>'1.1 - APPLIANCES'!L32</f>
        <v>0</v>
      </c>
      <c r="F20" s="1066">
        <f>'1.1 - APPLIANCES'!M32</f>
        <v>0</v>
      </c>
      <c r="G20" s="1065">
        <f>'1.1 - APPLIANCES'!O32</f>
        <v>0</v>
      </c>
      <c r="H20" s="1065">
        <f>'1.1 - APPLIANCES'!L32</f>
        <v>0</v>
      </c>
      <c r="I20" s="1065">
        <f>'1.1 - APPLIANCES'!N32</f>
        <v>0</v>
      </c>
      <c r="J20" s="1062"/>
      <c r="M20" s="1427"/>
      <c r="N20" s="1427"/>
      <c r="O20" s="1427"/>
      <c r="P20" s="1427"/>
      <c r="Q20" s="1427"/>
      <c r="R20" s="1427"/>
      <c r="S20" s="1427"/>
      <c r="T20" s="1427"/>
      <c r="U20" s="1427"/>
      <c r="V20" s="1427"/>
      <c r="W20" s="1427"/>
      <c r="X20" s="1427"/>
      <c r="Y20" s="1427"/>
      <c r="Z20" s="1427"/>
      <c r="AA20" s="1427"/>
      <c r="AB20" s="1427"/>
      <c r="AC20" s="1427"/>
      <c r="AD20" s="1427"/>
      <c r="AE20" s="1427"/>
      <c r="AF20" s="1427"/>
      <c r="AG20" s="1427"/>
      <c r="AH20" s="1427"/>
      <c r="AI20" s="1427"/>
      <c r="AJ20" s="1427"/>
      <c r="AK20" s="1427"/>
      <c r="AL20" s="1427"/>
      <c r="AM20" s="1427"/>
      <c r="AN20" s="1427"/>
    </row>
    <row r="21" spans="1:40" s="1426" customFormat="1" ht="49.5" customHeight="1">
      <c r="A21" s="1057" t="s">
        <v>1117</v>
      </c>
      <c r="B21" s="1063" t="s">
        <v>1118</v>
      </c>
      <c r="C21" s="1064" t="s">
        <v>1119</v>
      </c>
      <c r="D21" s="1066" t="s">
        <v>1119</v>
      </c>
      <c r="E21" s="1066" t="s">
        <v>1119</v>
      </c>
      <c r="F21" s="1066" t="s">
        <v>1119</v>
      </c>
      <c r="G21" s="1065">
        <f>'1.1 - APPLIANCES'!O33</f>
        <v>0</v>
      </c>
      <c r="H21" s="1065" t="s">
        <v>1119</v>
      </c>
      <c r="I21" s="1065">
        <f>'1.1 - APPLIANCES'!N33</f>
        <v>0</v>
      </c>
      <c r="J21" s="1062"/>
      <c r="M21" s="1427"/>
      <c r="N21" s="1427"/>
      <c r="O21" s="1427"/>
      <c r="P21" s="1427"/>
      <c r="Q21" s="1427"/>
      <c r="R21" s="1427"/>
      <c r="S21" s="1427"/>
      <c r="T21" s="1427"/>
      <c r="U21" s="1427"/>
      <c r="V21" s="1427"/>
      <c r="W21" s="1427"/>
      <c r="X21" s="1427"/>
      <c r="Y21" s="1427"/>
      <c r="Z21" s="1427"/>
      <c r="AA21" s="1427"/>
      <c r="AB21" s="1427"/>
      <c r="AC21" s="1427"/>
      <c r="AD21" s="1427"/>
      <c r="AE21" s="1427"/>
      <c r="AF21" s="1427"/>
      <c r="AG21" s="1427"/>
      <c r="AH21" s="1427"/>
      <c r="AI21" s="1427"/>
      <c r="AJ21" s="1427"/>
      <c r="AK21" s="1427"/>
      <c r="AL21" s="1427"/>
      <c r="AM21" s="1427"/>
      <c r="AN21" s="1427"/>
    </row>
    <row r="22" spans="1:40" s="1424" customFormat="1" ht="45.75" customHeight="1">
      <c r="A22" s="1067">
        <v>2</v>
      </c>
      <c r="B22" s="1068" t="s">
        <v>1120</v>
      </c>
      <c r="C22" s="1069"/>
      <c r="D22" s="1069"/>
      <c r="E22" s="1069"/>
      <c r="F22" s="1069"/>
      <c r="G22" s="1069"/>
      <c r="H22" s="1069"/>
      <c r="I22" s="1070"/>
      <c r="J22" s="1071"/>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1425"/>
      <c r="AJ22" s="1425"/>
      <c r="AK22" s="1425"/>
      <c r="AL22" s="1425"/>
      <c r="AM22" s="1425"/>
      <c r="AN22" s="1425"/>
    </row>
    <row r="23" spans="1:40">
      <c r="A23" s="1072" t="s">
        <v>1121</v>
      </c>
      <c r="B23" s="1073" t="s">
        <v>1122</v>
      </c>
      <c r="C23" s="1074" t="str">
        <f>'2.1-2.2 - DOMESTIC HOT WATER'!F46</f>
        <v>See below</v>
      </c>
      <c r="D23" s="1075">
        <f>'2.1-2.2 - DOMESTIC HOT WATER'!H46</f>
        <v>0</v>
      </c>
      <c r="E23" s="1075">
        <f>'2.1-2.2 - DOMESTIC HOT WATER'!M46</f>
        <v>0</v>
      </c>
      <c r="F23" s="1075">
        <f>'2.1-2.2 - DOMESTIC HOT WATER'!N46</f>
        <v>0</v>
      </c>
      <c r="G23" s="1076">
        <f>'2.1-2.2 - DOMESTIC HOT WATER'!P46</f>
        <v>0</v>
      </c>
      <c r="H23" s="1076">
        <f>'2.1-2.2 - DOMESTIC HOT WATER'!M46</f>
        <v>0</v>
      </c>
      <c r="I23" s="1076">
        <f>'2.1-2.2 - DOMESTIC HOT WATER'!O46</f>
        <v>0</v>
      </c>
      <c r="J23" s="1077"/>
      <c r="K23" s="1405"/>
      <c r="L23" s="1405"/>
    </row>
    <row r="24" spans="1:40" ht="77.25" customHeight="1">
      <c r="A24" s="1078"/>
      <c r="B24" s="1079" t="s">
        <v>1123</v>
      </c>
      <c r="C24" s="1079"/>
      <c r="D24" s="1079"/>
      <c r="E24" s="1079"/>
      <c r="F24" s="1079"/>
      <c r="G24" s="1079"/>
      <c r="H24" s="1079"/>
      <c r="I24" s="1079"/>
      <c r="J24" s="1080"/>
      <c r="K24" s="1405"/>
      <c r="L24" s="1405"/>
    </row>
    <row r="25" spans="1:40">
      <c r="A25" s="1081" t="s">
        <v>1124</v>
      </c>
      <c r="B25" s="1082" t="s">
        <v>1125</v>
      </c>
      <c r="C25" s="1074">
        <f>'2.1-2.2 - DOMESTIC HOT WATER'!F48</f>
        <v>0</v>
      </c>
      <c r="D25" s="1075">
        <f>'2.1-2.2 - DOMESTIC HOT WATER'!H48</f>
        <v>0</v>
      </c>
      <c r="E25" s="1075">
        <f>'2.1-2.2 - DOMESTIC HOT WATER'!M48</f>
        <v>0</v>
      </c>
      <c r="F25" s="1075">
        <f>'2.1-2.2 - DOMESTIC HOT WATER'!N48</f>
        <v>0</v>
      </c>
      <c r="G25" s="1076">
        <f>'2.1-2.2 - DOMESTIC HOT WATER'!P48</f>
        <v>0</v>
      </c>
      <c r="H25" s="1076">
        <f>'2.1-2.2 - DOMESTIC HOT WATER'!M48</f>
        <v>0</v>
      </c>
      <c r="I25" s="1076">
        <f>'2.1-2.2 - DOMESTIC HOT WATER'!O48</f>
        <v>0</v>
      </c>
      <c r="J25" s="1083"/>
      <c r="K25" s="1405"/>
      <c r="L25" s="1405"/>
    </row>
    <row r="26" spans="1:40" s="1406" customFormat="1">
      <c r="A26" s="1081" t="s">
        <v>1126</v>
      </c>
      <c r="B26" s="1082" t="s">
        <v>1127</v>
      </c>
      <c r="C26" s="1074">
        <f>'2.1-2.2 - DOMESTIC HOT WATER'!F49</f>
        <v>0</v>
      </c>
      <c r="D26" s="1075">
        <f>'2.1-2.2 - DOMESTIC HOT WATER'!H49</f>
        <v>0</v>
      </c>
      <c r="E26" s="1075">
        <f>'2.1-2.2 - DOMESTIC HOT WATER'!M49</f>
        <v>0</v>
      </c>
      <c r="F26" s="1075">
        <f>'2.1-2.2 - DOMESTIC HOT WATER'!N49</f>
        <v>0</v>
      </c>
      <c r="G26" s="1076">
        <f>'2.1-2.2 - DOMESTIC HOT WATER'!P49</f>
        <v>0</v>
      </c>
      <c r="H26" s="1076">
        <f>'2.1-2.2 - DOMESTIC HOT WATER'!M49</f>
        <v>0</v>
      </c>
      <c r="I26" s="1076">
        <f>'2.1-2.2 - DOMESTIC HOT WATER'!O49</f>
        <v>0</v>
      </c>
      <c r="J26" s="1083"/>
      <c r="K26" s="1405"/>
      <c r="L26" s="1405"/>
    </row>
    <row r="27" spans="1:40" s="1406" customFormat="1">
      <c r="A27" s="1081" t="s">
        <v>1128</v>
      </c>
      <c r="B27" s="1082" t="s">
        <v>1129</v>
      </c>
      <c r="C27" s="1074">
        <f>'2.1-2.2 - DOMESTIC HOT WATER'!F50</f>
        <v>0</v>
      </c>
      <c r="D27" s="1075">
        <f>'2.1-2.2 - DOMESTIC HOT WATER'!H50</f>
        <v>0</v>
      </c>
      <c r="E27" s="1075">
        <f>'2.1-2.2 - DOMESTIC HOT WATER'!M50</f>
        <v>0</v>
      </c>
      <c r="F27" s="1075">
        <f>'2.1-2.2 - DOMESTIC HOT WATER'!N50</f>
        <v>0</v>
      </c>
      <c r="G27" s="1076">
        <f>'2.1-2.2 - DOMESTIC HOT WATER'!P50</f>
        <v>0</v>
      </c>
      <c r="H27" s="1076">
        <f>'2.1-2.2 - DOMESTIC HOT WATER'!M50</f>
        <v>0</v>
      </c>
      <c r="I27" s="1076">
        <f>'2.1-2.2 - DOMESTIC HOT WATER'!O50</f>
        <v>0</v>
      </c>
      <c r="J27" s="1083"/>
      <c r="K27" s="1405"/>
      <c r="L27" s="1405"/>
    </row>
    <row r="28" spans="1:40" s="1406" customFormat="1" ht="18" customHeight="1">
      <c r="A28" s="1084"/>
      <c r="B28" s="1085" t="s">
        <v>1130</v>
      </c>
      <c r="C28" s="1086"/>
      <c r="D28" s="1086"/>
      <c r="E28" s="1086"/>
      <c r="F28" s="1086"/>
      <c r="G28" s="1086"/>
      <c r="H28" s="1086"/>
      <c r="I28" s="1086"/>
      <c r="J28" s="1087"/>
      <c r="K28" s="1405"/>
      <c r="L28" s="1405"/>
    </row>
    <row r="29" spans="1:40" s="1406" customFormat="1" ht="36">
      <c r="A29" s="1081" t="s">
        <v>1131</v>
      </c>
      <c r="B29" s="1082" t="s">
        <v>1132</v>
      </c>
      <c r="C29" s="1074" t="s">
        <v>1119</v>
      </c>
      <c r="D29" s="1075">
        <f>'2.1-2.2 - DOMESTIC HOT WATER'!H52</f>
        <v>0</v>
      </c>
      <c r="E29" s="1075">
        <f>'2.1-2.2 - DOMESTIC HOT WATER'!M52</f>
        <v>0</v>
      </c>
      <c r="F29" s="1075">
        <f>'2.1-2.2 - DOMESTIC HOT WATER'!N52</f>
        <v>0</v>
      </c>
      <c r="G29" s="1076">
        <f>'2.1-2.2 - DOMESTIC HOT WATER'!P52</f>
        <v>0</v>
      </c>
      <c r="H29" s="1076">
        <f>'2.1-2.2 - DOMESTIC HOT WATER'!M52</f>
        <v>0</v>
      </c>
      <c r="I29" s="1076">
        <f>'2.1-2.2 - DOMESTIC HOT WATER'!O52</f>
        <v>0</v>
      </c>
      <c r="J29" s="1083"/>
      <c r="K29" s="1405"/>
      <c r="L29" s="1405"/>
    </row>
    <row r="30" spans="1:40" s="1406" customFormat="1">
      <c r="A30" s="1081" t="s">
        <v>1133</v>
      </c>
      <c r="B30" s="1082" t="s">
        <v>1134</v>
      </c>
      <c r="C30" s="1074" t="s">
        <v>1119</v>
      </c>
      <c r="D30" s="1075">
        <f>'2.1-2.2 - DOMESTIC HOT WATER'!H53</f>
        <v>0</v>
      </c>
      <c r="E30" s="1075">
        <f>'2.1-2.2 - DOMESTIC HOT WATER'!M53</f>
        <v>0</v>
      </c>
      <c r="F30" s="1075">
        <f>'2.1-2.2 - DOMESTIC HOT WATER'!N53</f>
        <v>0</v>
      </c>
      <c r="G30" s="1076">
        <f>'2.1-2.2 - DOMESTIC HOT WATER'!P53</f>
        <v>0</v>
      </c>
      <c r="H30" s="1076">
        <f>'2.1-2.2 - DOMESTIC HOT WATER'!M53</f>
        <v>0</v>
      </c>
      <c r="I30" s="1076">
        <f>'2.1-2.2 - DOMESTIC HOT WATER'!O53</f>
        <v>0</v>
      </c>
      <c r="J30" s="1083"/>
      <c r="K30" s="1405"/>
      <c r="L30" s="1405"/>
    </row>
    <row r="31" spans="1:40" s="1406" customFormat="1">
      <c r="A31" s="1081" t="s">
        <v>1135</v>
      </c>
      <c r="B31" s="1082" t="s">
        <v>1136</v>
      </c>
      <c r="C31" s="1074" t="s">
        <v>1119</v>
      </c>
      <c r="D31" s="1075">
        <f>'2.1-2.2 - DOMESTIC HOT WATER'!H54</f>
        <v>0</v>
      </c>
      <c r="E31" s="1075">
        <f>'2.1-2.2 - DOMESTIC HOT WATER'!M54</f>
        <v>0</v>
      </c>
      <c r="F31" s="1075">
        <f>'2.1-2.2 - DOMESTIC HOT WATER'!N54</f>
        <v>0</v>
      </c>
      <c r="G31" s="1076">
        <f>'2.1-2.2 - DOMESTIC HOT WATER'!P54</f>
        <v>0</v>
      </c>
      <c r="H31" s="1076">
        <f>'2.1-2.2 - DOMESTIC HOT WATER'!M54</f>
        <v>0</v>
      </c>
      <c r="I31" s="1076">
        <f>'2.1-2.2 - DOMESTIC HOT WATER'!O54</f>
        <v>0</v>
      </c>
      <c r="J31" s="1083"/>
      <c r="K31" s="1405"/>
      <c r="L31" s="1405"/>
    </row>
    <row r="32" spans="1:40" s="1406" customFormat="1">
      <c r="A32" s="1081" t="s">
        <v>1137</v>
      </c>
      <c r="B32" s="1082" t="s">
        <v>1138</v>
      </c>
      <c r="C32" s="1074" t="s">
        <v>1119</v>
      </c>
      <c r="D32" s="1075">
        <f>'2.1-2.2 - DOMESTIC HOT WATER'!H55</f>
        <v>0</v>
      </c>
      <c r="E32" s="1075">
        <f>'2.1-2.2 - DOMESTIC HOT WATER'!M55</f>
        <v>0</v>
      </c>
      <c r="F32" s="1075">
        <f>'2.1-2.2 - DOMESTIC HOT WATER'!N55</f>
        <v>0</v>
      </c>
      <c r="G32" s="1076">
        <f>'2.1-2.2 - DOMESTIC HOT WATER'!P55</f>
        <v>0</v>
      </c>
      <c r="H32" s="1076">
        <f>'2.1-2.2 - DOMESTIC HOT WATER'!M55</f>
        <v>0</v>
      </c>
      <c r="I32" s="1076">
        <f>'2.1-2.2 - DOMESTIC HOT WATER'!O55</f>
        <v>0</v>
      </c>
      <c r="J32" s="1083"/>
      <c r="K32" s="1405"/>
      <c r="L32" s="1405"/>
    </row>
    <row r="33" spans="1:48">
      <c r="A33" s="1081" t="s">
        <v>1139</v>
      </c>
      <c r="B33" s="1082" t="s">
        <v>1140</v>
      </c>
      <c r="C33" s="1074" t="s">
        <v>1119</v>
      </c>
      <c r="D33" s="1075" t="s">
        <v>1119</v>
      </c>
      <c r="E33" s="1075" t="s">
        <v>1119</v>
      </c>
      <c r="F33" s="1075" t="s">
        <v>1119</v>
      </c>
      <c r="G33" s="1076">
        <f>'2.1-2.2 - DOMESTIC HOT WATER'!P56</f>
        <v>0</v>
      </c>
      <c r="H33" s="1076">
        <f>'2.1-2.2 - DOMESTIC HOT WATER'!M56</f>
        <v>0</v>
      </c>
      <c r="I33" s="1076">
        <f>'2.1-2.2 - DOMESTIC HOT WATER'!O56</f>
        <v>0</v>
      </c>
      <c r="J33" s="1083"/>
      <c r="K33" s="1405"/>
      <c r="L33" s="1405"/>
    </row>
    <row r="34" spans="1:48" ht="42.75" customHeight="1">
      <c r="A34" s="1081" t="s">
        <v>1141</v>
      </c>
      <c r="B34" s="1082" t="s">
        <v>1142</v>
      </c>
      <c r="C34" s="1074" t="s">
        <v>1119</v>
      </c>
      <c r="D34" s="1075" t="s">
        <v>1119</v>
      </c>
      <c r="E34" s="1075" t="s">
        <v>1119</v>
      </c>
      <c r="F34" s="1075" t="s">
        <v>1119</v>
      </c>
      <c r="G34" s="1076">
        <f>'2.1-2.2 - DOMESTIC HOT WATER'!P57</f>
        <v>0</v>
      </c>
      <c r="H34" s="1076">
        <f>'2.1-2.2 - DOMESTIC HOT WATER'!M57</f>
        <v>0</v>
      </c>
      <c r="I34" s="1076">
        <f>'2.1-2.2 - DOMESTIC HOT WATER'!O57</f>
        <v>0</v>
      </c>
      <c r="J34" s="1083"/>
      <c r="K34" s="1405"/>
      <c r="L34" s="1405"/>
    </row>
    <row r="35" spans="1:48" ht="42.75" customHeight="1">
      <c r="A35" s="1081" t="s">
        <v>1143</v>
      </c>
      <c r="B35" s="1082" t="s">
        <v>1144</v>
      </c>
      <c r="C35" s="1074" t="s">
        <v>1119</v>
      </c>
      <c r="D35" s="1075" t="s">
        <v>1119</v>
      </c>
      <c r="E35" s="1075" t="s">
        <v>1119</v>
      </c>
      <c r="F35" s="1075" t="s">
        <v>1119</v>
      </c>
      <c r="G35" s="1076">
        <f>'2.1-2.2 - DOMESTIC HOT WATER'!P58</f>
        <v>0</v>
      </c>
      <c r="H35" s="1076">
        <f>'2.1-2.2 - DOMESTIC HOT WATER'!M58</f>
        <v>0</v>
      </c>
      <c r="I35" s="1076">
        <f>'2.1-2.2 - DOMESTIC HOT WATER'!O58</f>
        <v>0</v>
      </c>
      <c r="J35" s="1083"/>
      <c r="K35" s="1405"/>
      <c r="L35" s="1405"/>
    </row>
    <row r="36" spans="1:48" s="1424" customFormat="1" ht="45.75" customHeight="1">
      <c r="A36" s="1067">
        <v>3</v>
      </c>
      <c r="B36" s="1068" t="s">
        <v>752</v>
      </c>
      <c r="C36" s="1069"/>
      <c r="D36" s="1069"/>
      <c r="E36" s="1069"/>
      <c r="F36" s="1069"/>
      <c r="G36" s="1069"/>
      <c r="H36" s="1069"/>
      <c r="I36" s="1070"/>
      <c r="J36" s="1071"/>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c r="AK36" s="1425"/>
      <c r="AL36" s="1425"/>
      <c r="AM36" s="1425"/>
      <c r="AN36" s="1425"/>
    </row>
    <row r="37" spans="1:48" ht="18" customHeight="1">
      <c r="A37" s="1084"/>
      <c r="B37" s="1086" t="s">
        <v>1145</v>
      </c>
      <c r="C37" s="1086"/>
      <c r="D37" s="1086"/>
      <c r="E37" s="1086"/>
      <c r="F37" s="1086"/>
      <c r="G37" s="1086"/>
      <c r="H37" s="1086"/>
      <c r="I37" s="1086"/>
      <c r="J37" s="1087"/>
      <c r="K37" s="1405"/>
      <c r="L37" s="1405"/>
    </row>
    <row r="38" spans="1:48" s="1406" customFormat="1" ht="36">
      <c r="A38" s="1081" t="s">
        <v>1146</v>
      </c>
      <c r="B38" s="1063" t="s">
        <v>1147</v>
      </c>
      <c r="C38" s="1064" t="s">
        <v>1119</v>
      </c>
      <c r="D38" s="1066">
        <f>'3.1 - ENV_BELOW GRADE WALLS'!$F$27</f>
        <v>0</v>
      </c>
      <c r="E38" s="1066">
        <f>'3.1 - ENV_BELOW GRADE WALLS'!$G$27</f>
        <v>0</v>
      </c>
      <c r="F38" s="1066">
        <f>'3.1 - ENV_BELOW GRADE WALLS'!$H$27</f>
        <v>0</v>
      </c>
      <c r="G38" s="1065" t="s">
        <v>1119</v>
      </c>
      <c r="H38" s="1065" t="s">
        <v>1119</v>
      </c>
      <c r="I38" s="1065" t="s">
        <v>1119</v>
      </c>
      <c r="J38" s="1083"/>
      <c r="K38" s="1405"/>
      <c r="L38" s="1405"/>
      <c r="AO38" s="1405"/>
      <c r="AP38" s="1405"/>
      <c r="AQ38" s="1405"/>
      <c r="AR38" s="1405"/>
      <c r="AS38" s="1405"/>
      <c r="AT38" s="1405"/>
      <c r="AU38" s="1405"/>
      <c r="AV38" s="1405"/>
    </row>
    <row r="39" spans="1:48" s="1406" customFormat="1" ht="59.25" customHeight="1">
      <c r="A39" s="1081" t="s">
        <v>1148</v>
      </c>
      <c r="B39" s="1063" t="s">
        <v>1149</v>
      </c>
      <c r="C39" s="1064">
        <f>'3.1 - ENV_BELOW GRADE WALLS'!D45</f>
        <v>0</v>
      </c>
      <c r="D39" s="1066">
        <f>'3.1 - ENV_BELOW GRADE WALLS'!F45</f>
        <v>0</v>
      </c>
      <c r="E39" s="1066">
        <f>'3.1 - ENV_BELOW GRADE WALLS'!G45</f>
        <v>0</v>
      </c>
      <c r="F39" s="1066">
        <f>'3.1 - ENV_BELOW GRADE WALLS'!H45</f>
        <v>0</v>
      </c>
      <c r="G39" s="1066">
        <f>'3.1 - ENV_BELOW GRADE WALLS'!J45</f>
        <v>0</v>
      </c>
      <c r="H39" s="1066">
        <f>'3.1 - ENV_BELOW GRADE WALLS'!G45</f>
        <v>0</v>
      </c>
      <c r="I39" s="1066">
        <f>'3.1 - ENV_BELOW GRADE WALLS'!I45</f>
        <v>0</v>
      </c>
      <c r="J39" s="1083"/>
      <c r="K39" s="1405"/>
      <c r="L39" s="1405"/>
      <c r="AO39" s="1405"/>
      <c r="AP39" s="1405"/>
      <c r="AQ39" s="1405"/>
      <c r="AR39" s="1405"/>
      <c r="AS39" s="1405"/>
      <c r="AT39" s="1405"/>
      <c r="AU39" s="1405"/>
      <c r="AV39" s="1405"/>
    </row>
    <row r="40" spans="1:48" s="1406" customFormat="1" ht="59.25" customHeight="1">
      <c r="A40" s="1081" t="s">
        <v>1150</v>
      </c>
      <c r="B40" s="1063" t="s">
        <v>1151</v>
      </c>
      <c r="C40" s="1064" t="s">
        <v>1119</v>
      </c>
      <c r="D40" s="1066">
        <f>'3.1 - ENV_BELOW GRADE WALLS'!F49</f>
        <v>0</v>
      </c>
      <c r="E40" s="1066">
        <f>'3.1 - ENV_BELOW GRADE WALLS'!G49</f>
        <v>0</v>
      </c>
      <c r="F40" s="1066">
        <f>'3.1 - ENV_BELOW GRADE WALLS'!H49</f>
        <v>0</v>
      </c>
      <c r="G40" s="1065">
        <f>'3.1 - ENV_BELOW GRADE WALLS'!J49</f>
        <v>0</v>
      </c>
      <c r="H40" s="1065">
        <f>'3.1 - ENV_BELOW GRADE WALLS'!G49</f>
        <v>0</v>
      </c>
      <c r="I40" s="1065">
        <f>'3.1 - ENV_BELOW GRADE WALLS'!I49</f>
        <v>0</v>
      </c>
      <c r="J40" s="1083"/>
      <c r="K40" s="1405"/>
      <c r="L40" s="1405"/>
      <c r="AO40" s="1405"/>
      <c r="AP40" s="1405"/>
      <c r="AQ40" s="1405"/>
      <c r="AR40" s="1405"/>
      <c r="AS40" s="1405"/>
      <c r="AT40" s="1405"/>
      <c r="AU40" s="1405"/>
      <c r="AV40" s="1405"/>
    </row>
    <row r="41" spans="1:48" s="1406" customFormat="1" ht="36">
      <c r="A41" s="1081" t="s">
        <v>1152</v>
      </c>
      <c r="B41" s="1088" t="s">
        <v>1153</v>
      </c>
      <c r="C41" s="1064" t="s">
        <v>1119</v>
      </c>
      <c r="D41" s="1066">
        <f>'3.1 - ENV_BELOW GRADE WALLS'!F50</f>
        <v>0</v>
      </c>
      <c r="E41" s="1066">
        <f>'3.1 - ENV_BELOW GRADE WALLS'!G50</f>
        <v>0</v>
      </c>
      <c r="F41" s="1066">
        <f>'3.1 - ENV_BELOW GRADE WALLS'!H50</f>
        <v>0</v>
      </c>
      <c r="G41" s="1065">
        <f>'3.1 - ENV_BELOW GRADE WALLS'!J50</f>
        <v>0</v>
      </c>
      <c r="H41" s="1065">
        <f>'3.1 - ENV_BELOW GRADE WALLS'!G50</f>
        <v>0</v>
      </c>
      <c r="I41" s="1065">
        <f>'3.1 - ENV_BELOW GRADE WALLS'!I50</f>
        <v>0</v>
      </c>
      <c r="J41" s="1083"/>
      <c r="K41" s="1405"/>
      <c r="L41" s="1405"/>
      <c r="AO41" s="1405"/>
      <c r="AP41" s="1405"/>
      <c r="AQ41" s="1405"/>
      <c r="AR41" s="1405"/>
      <c r="AS41" s="1405"/>
      <c r="AT41" s="1405"/>
      <c r="AU41" s="1405"/>
      <c r="AV41" s="1405"/>
    </row>
    <row r="42" spans="1:48" s="1406" customFormat="1" ht="36">
      <c r="A42" s="1081" t="s">
        <v>1154</v>
      </c>
      <c r="B42" s="1088" t="s">
        <v>1155</v>
      </c>
      <c r="C42" s="1064" t="s">
        <v>1119</v>
      </c>
      <c r="D42" s="1066" t="s">
        <v>1119</v>
      </c>
      <c r="E42" s="1066" t="s">
        <v>1119</v>
      </c>
      <c r="F42" s="1066" t="s">
        <v>1119</v>
      </c>
      <c r="G42" s="1065">
        <f>'3.1 - ENV_BELOW GRADE WALLS'!J51</f>
        <v>0</v>
      </c>
      <c r="H42" s="1065" t="s">
        <v>1119</v>
      </c>
      <c r="I42" s="1065">
        <f>'3.1 - ENV_BELOW GRADE WALLS'!I51</f>
        <v>0</v>
      </c>
      <c r="J42" s="1083"/>
      <c r="K42" s="1405"/>
      <c r="L42" s="1405"/>
      <c r="AO42" s="1405"/>
      <c r="AP42" s="1405"/>
      <c r="AQ42" s="1405"/>
      <c r="AR42" s="1405"/>
      <c r="AS42" s="1405"/>
      <c r="AT42" s="1405"/>
      <c r="AU42" s="1405"/>
      <c r="AV42" s="1405"/>
    </row>
    <row r="43" spans="1:48" s="1406" customFormat="1" ht="36">
      <c r="A43" s="1081" t="s">
        <v>1156</v>
      </c>
      <c r="B43" s="1088" t="s">
        <v>1157</v>
      </c>
      <c r="C43" s="1064" t="s">
        <v>1119</v>
      </c>
      <c r="D43" s="1066" t="s">
        <v>1119</v>
      </c>
      <c r="E43" s="1066" t="s">
        <v>1119</v>
      </c>
      <c r="F43" s="1066" t="s">
        <v>1119</v>
      </c>
      <c r="G43" s="1065">
        <f>'3.1 - ENV_BELOW GRADE WALLS'!J52</f>
        <v>0</v>
      </c>
      <c r="H43" s="1065" t="s">
        <v>1119</v>
      </c>
      <c r="I43" s="1065">
        <f>'3.1 - ENV_BELOW GRADE WALLS'!I52</f>
        <v>0</v>
      </c>
      <c r="J43" s="1083"/>
      <c r="K43" s="1405"/>
      <c r="L43" s="1405"/>
      <c r="AO43" s="1405"/>
      <c r="AP43" s="1405"/>
      <c r="AQ43" s="1405"/>
      <c r="AR43" s="1405"/>
      <c r="AS43" s="1405"/>
      <c r="AT43" s="1405"/>
      <c r="AU43" s="1405"/>
      <c r="AV43" s="1405"/>
    </row>
    <row r="44" spans="1:48" s="1406" customFormat="1" ht="18" customHeight="1">
      <c r="A44" s="1084"/>
      <c r="B44" s="1086" t="s">
        <v>1158</v>
      </c>
      <c r="C44" s="1086"/>
      <c r="D44" s="1086"/>
      <c r="E44" s="1086"/>
      <c r="F44" s="1086"/>
      <c r="G44" s="1086"/>
      <c r="H44" s="1086"/>
      <c r="I44" s="1086"/>
      <c r="J44" s="1087"/>
      <c r="K44" s="1405"/>
      <c r="L44" s="1405"/>
      <c r="AO44" s="1405"/>
      <c r="AP44" s="1405"/>
      <c r="AQ44" s="1405"/>
      <c r="AR44" s="1405"/>
      <c r="AS44" s="1405"/>
      <c r="AT44" s="1405"/>
      <c r="AU44" s="1405"/>
      <c r="AV44" s="1405"/>
    </row>
    <row r="45" spans="1:48" s="1406" customFormat="1" ht="36">
      <c r="A45" s="1081" t="s">
        <v>1159</v>
      </c>
      <c r="B45" s="1063" t="s">
        <v>1160</v>
      </c>
      <c r="C45" s="1064" t="s">
        <v>1119</v>
      </c>
      <c r="D45" s="1066">
        <f>'3.1 - ENV_ABOVE GRADE WALLS'!$F$26</f>
        <v>0</v>
      </c>
      <c r="E45" s="1066">
        <f>'3.1 - ENV_ABOVE GRADE WALLS'!$G$26</f>
        <v>0</v>
      </c>
      <c r="F45" s="1066">
        <f>'3.1 - ENV_ABOVE GRADE WALLS'!$H$26</f>
        <v>0</v>
      </c>
      <c r="G45" s="1065" t="s">
        <v>1119</v>
      </c>
      <c r="H45" s="1065" t="s">
        <v>1119</v>
      </c>
      <c r="I45" s="1065" t="s">
        <v>1119</v>
      </c>
      <c r="J45" s="1083"/>
      <c r="K45" s="1405"/>
      <c r="L45" s="1405"/>
      <c r="AO45" s="1405"/>
      <c r="AP45" s="1405"/>
      <c r="AQ45" s="1405"/>
      <c r="AR45" s="1405"/>
      <c r="AS45" s="1405"/>
      <c r="AT45" s="1405"/>
      <c r="AU45" s="1405"/>
      <c r="AV45" s="1405"/>
    </row>
    <row r="46" spans="1:48" s="1406" customFormat="1" ht="36">
      <c r="A46" s="1081" t="s">
        <v>1161</v>
      </c>
      <c r="B46" s="1063" t="s">
        <v>1162</v>
      </c>
      <c r="C46" s="1064">
        <f>'3.1 - ENV_ABOVE GRADE WALLS'!E46</f>
        <v>0</v>
      </c>
      <c r="D46" s="1066">
        <f>'3.1 - ENV_ABOVE GRADE WALLS'!F46</f>
        <v>0</v>
      </c>
      <c r="E46" s="1066">
        <f>'3.1 - ENV_ABOVE GRADE WALLS'!G46</f>
        <v>0</v>
      </c>
      <c r="F46" s="1066">
        <f>'3.1 - ENV_ABOVE GRADE WALLS'!H46</f>
        <v>0</v>
      </c>
      <c r="G46" s="1065">
        <f>'3.1 - ENV_ABOVE GRADE WALLS'!J46</f>
        <v>0</v>
      </c>
      <c r="H46" s="1065">
        <f>'3.1 - ENV_ABOVE GRADE WALLS'!G46</f>
        <v>0</v>
      </c>
      <c r="I46" s="1065">
        <f>'3.1 - ENV_ABOVE GRADE WALLS'!I46</f>
        <v>0</v>
      </c>
      <c r="J46" s="1083"/>
      <c r="K46" s="1405"/>
      <c r="L46" s="1405"/>
      <c r="AO46" s="1405"/>
      <c r="AP46" s="1405"/>
      <c r="AQ46" s="1405"/>
      <c r="AR46" s="1405"/>
      <c r="AS46" s="1405"/>
      <c r="AT46" s="1405"/>
      <c r="AU46" s="1405"/>
      <c r="AV46" s="1405"/>
    </row>
    <row r="47" spans="1:48" s="1406" customFormat="1" ht="36">
      <c r="A47" s="1081" t="s">
        <v>1163</v>
      </c>
      <c r="B47" s="1063" t="s">
        <v>1164</v>
      </c>
      <c r="C47" s="1064">
        <f>'3.1 - ENV_ABOVE GRADE WALLS'!E60</f>
        <v>0</v>
      </c>
      <c r="D47" s="1066">
        <f>'3.1 - ENV_ABOVE GRADE WALLS'!F60</f>
        <v>0</v>
      </c>
      <c r="E47" s="1066">
        <f>'3.1 - ENV_ABOVE GRADE WALLS'!G60</f>
        <v>0</v>
      </c>
      <c r="F47" s="1066">
        <f>'3.1 - ENV_ABOVE GRADE WALLS'!H60</f>
        <v>0</v>
      </c>
      <c r="G47" s="1065">
        <f>'3.1 - ENV_ABOVE GRADE WALLS'!J60</f>
        <v>0</v>
      </c>
      <c r="H47" s="1065">
        <f>'3.1 - ENV_ABOVE GRADE WALLS'!G46</f>
        <v>0</v>
      </c>
      <c r="I47" s="1065">
        <f>'3.1 - ENV_ABOVE GRADE WALLS'!I60</f>
        <v>0</v>
      </c>
      <c r="J47" s="1083"/>
      <c r="K47" s="1405"/>
      <c r="L47" s="1405"/>
      <c r="AO47" s="1405"/>
      <c r="AP47" s="1405"/>
      <c r="AQ47" s="1405"/>
      <c r="AR47" s="1405"/>
      <c r="AS47" s="1405"/>
      <c r="AT47" s="1405"/>
      <c r="AU47" s="1405"/>
      <c r="AV47" s="1405"/>
    </row>
    <row r="48" spans="1:48" s="1406" customFormat="1" ht="195" customHeight="1">
      <c r="A48" s="1081" t="s">
        <v>1165</v>
      </c>
      <c r="B48" s="1088" t="s">
        <v>1166</v>
      </c>
      <c r="C48" s="1064" t="s">
        <v>1119</v>
      </c>
      <c r="D48" s="1066">
        <f>'3.1 - ENV_ABOVE GRADE WALLS'!F62</f>
        <v>0</v>
      </c>
      <c r="E48" s="1066">
        <f>'3.1 - ENV_ABOVE GRADE WALLS'!G62</f>
        <v>0</v>
      </c>
      <c r="F48" s="1066">
        <f>'3.1 - ENV_ABOVE GRADE WALLS'!H62</f>
        <v>0</v>
      </c>
      <c r="G48" s="1065">
        <f>'3.1 - ENV_ABOVE GRADE WALLS'!J62</f>
        <v>0</v>
      </c>
      <c r="H48" s="1065">
        <f>'3.1 - ENV_ABOVE GRADE WALLS'!G62</f>
        <v>0</v>
      </c>
      <c r="I48" s="1065">
        <f>'3.1 - ENV_ABOVE GRADE WALLS'!I62</f>
        <v>0</v>
      </c>
      <c r="J48" s="1083"/>
      <c r="K48" s="1405"/>
      <c r="L48" s="1405"/>
      <c r="AO48" s="1405"/>
      <c r="AP48" s="1405"/>
      <c r="AQ48" s="1405"/>
      <c r="AR48" s="1405"/>
      <c r="AS48" s="1405"/>
      <c r="AT48" s="1405"/>
      <c r="AU48" s="1405"/>
      <c r="AV48" s="1405"/>
    </row>
    <row r="49" spans="1:48" s="1406" customFormat="1" ht="36">
      <c r="A49" s="1081" t="s">
        <v>1167</v>
      </c>
      <c r="B49" s="1088" t="s">
        <v>1168</v>
      </c>
      <c r="C49" s="1064" t="s">
        <v>1119</v>
      </c>
      <c r="D49" s="1066">
        <f>'3.1 - ENV_ABOVE GRADE WALLS'!F63</f>
        <v>0</v>
      </c>
      <c r="E49" s="1066">
        <f>'3.1 - ENV_ABOVE GRADE WALLS'!G63</f>
        <v>0</v>
      </c>
      <c r="F49" s="1066">
        <f>'3.1 - ENV_ABOVE GRADE WALLS'!H63</f>
        <v>0</v>
      </c>
      <c r="G49" s="1065">
        <f>'3.1 - ENV_ABOVE GRADE WALLS'!J63</f>
        <v>0</v>
      </c>
      <c r="H49" s="1065">
        <f>'3.1 - ENV_ABOVE GRADE WALLS'!G63</f>
        <v>0</v>
      </c>
      <c r="I49" s="1065">
        <f>'3.1 - ENV_ABOVE GRADE WALLS'!I63</f>
        <v>0</v>
      </c>
      <c r="J49" s="1083"/>
      <c r="K49" s="1405"/>
      <c r="L49" s="1405"/>
      <c r="AO49" s="1405"/>
      <c r="AP49" s="1405"/>
      <c r="AQ49" s="1405"/>
      <c r="AR49" s="1405"/>
      <c r="AS49" s="1405"/>
      <c r="AT49" s="1405"/>
      <c r="AU49" s="1405"/>
      <c r="AV49" s="1405"/>
    </row>
    <row r="50" spans="1:48" s="1406" customFormat="1" ht="72">
      <c r="A50" s="1081" t="s">
        <v>1169</v>
      </c>
      <c r="B50" s="1088" t="s">
        <v>1170</v>
      </c>
      <c r="C50" s="1064" t="s">
        <v>1119</v>
      </c>
      <c r="D50" s="1066">
        <f>'3.1 - ENV_ABOVE GRADE WALLS'!F64</f>
        <v>0</v>
      </c>
      <c r="E50" s="1066">
        <f>'3.1 - ENV_ABOVE GRADE WALLS'!G64</f>
        <v>0</v>
      </c>
      <c r="F50" s="1066">
        <f>'3.1 - ENV_ABOVE GRADE WALLS'!H64</f>
        <v>0</v>
      </c>
      <c r="G50" s="1065">
        <f>'3.1 - ENV_ABOVE GRADE WALLS'!J64</f>
        <v>0</v>
      </c>
      <c r="H50" s="1065">
        <f>'3.1 - ENV_ABOVE GRADE WALLS'!G64</f>
        <v>0</v>
      </c>
      <c r="I50" s="1065">
        <f>'3.1 - ENV_ABOVE GRADE WALLS'!I64</f>
        <v>0</v>
      </c>
      <c r="J50" s="1083"/>
      <c r="K50" s="1405"/>
      <c r="L50" s="1405"/>
      <c r="AO50" s="1405"/>
      <c r="AP50" s="1405"/>
      <c r="AQ50" s="1405"/>
      <c r="AR50" s="1405"/>
      <c r="AS50" s="1405"/>
      <c r="AT50" s="1405"/>
      <c r="AU50" s="1405"/>
      <c r="AV50" s="1405"/>
    </row>
    <row r="51" spans="1:48" s="1406" customFormat="1" ht="36">
      <c r="A51" s="1081" t="s">
        <v>1171</v>
      </c>
      <c r="B51" s="1088" t="s">
        <v>1172</v>
      </c>
      <c r="C51" s="1064" t="s">
        <v>1119</v>
      </c>
      <c r="D51" s="1066">
        <f>'3.1 - ENV_ABOVE GRADE WALLS'!F65</f>
        <v>0</v>
      </c>
      <c r="E51" s="1066">
        <f>'3.1 - ENV_ABOVE GRADE WALLS'!G65</f>
        <v>0</v>
      </c>
      <c r="F51" s="1066">
        <f>'3.1 - ENV_ABOVE GRADE WALLS'!H65</f>
        <v>0</v>
      </c>
      <c r="G51" s="1065">
        <f>'3.1 - ENV_ABOVE GRADE WALLS'!J65</f>
        <v>0</v>
      </c>
      <c r="H51" s="1065">
        <f>'3.1 - ENV_ABOVE GRADE WALLS'!G65</f>
        <v>0</v>
      </c>
      <c r="I51" s="1065">
        <f>'3.1 - ENV_ABOVE GRADE WALLS'!I65</f>
        <v>0</v>
      </c>
      <c r="J51" s="1083"/>
      <c r="K51" s="1405"/>
      <c r="L51" s="1405"/>
      <c r="AO51" s="1405"/>
      <c r="AP51" s="1405"/>
      <c r="AQ51" s="1405"/>
      <c r="AR51" s="1405"/>
      <c r="AS51" s="1405"/>
      <c r="AT51" s="1405"/>
      <c r="AU51" s="1405"/>
      <c r="AV51" s="1405"/>
    </row>
    <row r="52" spans="1:48" s="1406" customFormat="1" ht="36">
      <c r="A52" s="1081" t="s">
        <v>1173</v>
      </c>
      <c r="B52" s="1088" t="s">
        <v>1174</v>
      </c>
      <c r="C52" s="1064" t="s">
        <v>1119</v>
      </c>
      <c r="D52" s="1066" t="s">
        <v>1119</v>
      </c>
      <c r="E52" s="1066" t="s">
        <v>1119</v>
      </c>
      <c r="F52" s="1066" t="s">
        <v>1119</v>
      </c>
      <c r="G52" s="1065">
        <f>'3.1 - ENV_ABOVE GRADE WALLS'!J66</f>
        <v>0</v>
      </c>
      <c r="H52" s="1065" t="s">
        <v>1119</v>
      </c>
      <c r="I52" s="1065">
        <f>'3.1 - ENV_ABOVE GRADE WALLS'!I66</f>
        <v>0</v>
      </c>
      <c r="J52" s="1083"/>
      <c r="K52" s="1405"/>
      <c r="L52" s="1405"/>
      <c r="AO52" s="1405"/>
      <c r="AP52" s="1405"/>
      <c r="AQ52" s="1405"/>
      <c r="AR52" s="1405"/>
      <c r="AS52" s="1405"/>
      <c r="AT52" s="1405"/>
      <c r="AU52" s="1405"/>
      <c r="AV52" s="1405"/>
    </row>
    <row r="53" spans="1:48" s="1406" customFormat="1" ht="36">
      <c r="A53" s="1081" t="s">
        <v>1175</v>
      </c>
      <c r="B53" s="1088" t="s">
        <v>1176</v>
      </c>
      <c r="C53" s="1064" t="s">
        <v>1119</v>
      </c>
      <c r="D53" s="1066" t="s">
        <v>1119</v>
      </c>
      <c r="E53" s="1066" t="s">
        <v>1119</v>
      </c>
      <c r="F53" s="1066" t="s">
        <v>1119</v>
      </c>
      <c r="G53" s="1065">
        <f>'3.1 - ENV_ABOVE GRADE WALLS'!J67</f>
        <v>0</v>
      </c>
      <c r="H53" s="1065" t="s">
        <v>1119</v>
      </c>
      <c r="I53" s="1065">
        <f>'3.1 - ENV_ABOVE GRADE WALLS'!I67</f>
        <v>0</v>
      </c>
      <c r="J53" s="1083"/>
      <c r="K53" s="1405"/>
      <c r="L53" s="1405"/>
      <c r="AO53" s="1405"/>
      <c r="AP53" s="1405"/>
      <c r="AQ53" s="1405"/>
      <c r="AR53" s="1405"/>
      <c r="AS53" s="1405"/>
      <c r="AT53" s="1405"/>
      <c r="AU53" s="1405"/>
      <c r="AV53" s="1405"/>
    </row>
    <row r="54" spans="1:48" s="1406" customFormat="1" ht="18" customHeight="1">
      <c r="A54" s="1084"/>
      <c r="B54" s="1086" t="s">
        <v>1177</v>
      </c>
      <c r="C54" s="1086"/>
      <c r="D54" s="1086"/>
      <c r="E54" s="1086"/>
      <c r="F54" s="1086"/>
      <c r="G54" s="1086"/>
      <c r="H54" s="1086"/>
      <c r="I54" s="1086"/>
      <c r="J54" s="1087"/>
      <c r="K54" s="1405"/>
      <c r="L54" s="1405"/>
      <c r="AO54" s="1405"/>
      <c r="AP54" s="1405"/>
      <c r="AQ54" s="1405"/>
      <c r="AR54" s="1405"/>
      <c r="AS54" s="1405"/>
      <c r="AT54" s="1405"/>
      <c r="AU54" s="1405"/>
      <c r="AV54" s="1405"/>
    </row>
    <row r="55" spans="1:48" s="1406" customFormat="1" ht="36">
      <c r="A55" s="1081" t="s">
        <v>1178</v>
      </c>
      <c r="B55" s="1063" t="s">
        <v>1179</v>
      </c>
      <c r="C55" s="1064" t="s">
        <v>1119</v>
      </c>
      <c r="D55" s="1066">
        <f>'3.2 - ENV_ROOF'!$F$26</f>
        <v>0</v>
      </c>
      <c r="E55" s="1066">
        <f>'3.2 - ENV_ROOF'!$G$26</f>
        <v>0</v>
      </c>
      <c r="F55" s="1066">
        <f>'3.2 - ENV_ROOF'!$H$26</f>
        <v>0</v>
      </c>
      <c r="G55" s="1065" t="s">
        <v>1119</v>
      </c>
      <c r="H55" s="1065" t="s">
        <v>1119</v>
      </c>
      <c r="I55" s="1065" t="s">
        <v>1119</v>
      </c>
      <c r="J55" s="1083"/>
      <c r="K55" s="1405"/>
      <c r="L55" s="1405"/>
      <c r="AO55" s="1405"/>
      <c r="AP55" s="1405"/>
      <c r="AQ55" s="1405"/>
      <c r="AR55" s="1405"/>
      <c r="AS55" s="1405"/>
      <c r="AT55" s="1405"/>
      <c r="AU55" s="1405"/>
      <c r="AV55" s="1405"/>
    </row>
    <row r="56" spans="1:48" s="1406" customFormat="1" ht="409.5" customHeight="1">
      <c r="A56" s="1081" t="s">
        <v>1180</v>
      </c>
      <c r="B56" s="1088" t="s">
        <v>1181</v>
      </c>
      <c r="C56" s="1064">
        <f>'3.2 - ENV_ROOF'!D46</f>
        <v>0</v>
      </c>
      <c r="D56" s="1066">
        <f>'3.2 - ENV_ROOF'!F46</f>
        <v>0</v>
      </c>
      <c r="E56" s="1066">
        <f>'3.2 - ENV_ROOF'!G46</f>
        <v>0</v>
      </c>
      <c r="F56" s="1066">
        <f>'3.2 - ENV_ROOF'!H46</f>
        <v>0</v>
      </c>
      <c r="G56" s="1065">
        <f>'3.2 - ENV_ROOF'!J46</f>
        <v>0</v>
      </c>
      <c r="H56" s="1065">
        <f>'3.2 - ENV_ROOF'!G46</f>
        <v>0</v>
      </c>
      <c r="I56" s="1065">
        <f>'3.2 - ENV_ROOF'!I46</f>
        <v>0</v>
      </c>
      <c r="J56" s="1083"/>
      <c r="K56" s="1405"/>
      <c r="L56" s="1405"/>
      <c r="AO56" s="1405"/>
      <c r="AP56" s="1405"/>
      <c r="AQ56" s="1405"/>
      <c r="AR56" s="1405"/>
      <c r="AS56" s="1405"/>
      <c r="AT56" s="1405"/>
      <c r="AU56" s="1405"/>
      <c r="AV56" s="1405"/>
    </row>
    <row r="57" spans="1:48" s="1406" customFormat="1">
      <c r="A57" s="1081" t="s">
        <v>1182</v>
      </c>
      <c r="B57" s="1088" t="s">
        <v>1183</v>
      </c>
      <c r="C57" s="1064" t="s">
        <v>1119</v>
      </c>
      <c r="D57" s="1066">
        <f>'3.2 - ENV_ROOF'!F48</f>
        <v>0</v>
      </c>
      <c r="E57" s="1066">
        <f>'3.2 - ENV_ROOF'!G48</f>
        <v>0</v>
      </c>
      <c r="F57" s="1066">
        <f>'3.2 - ENV_ROOF'!H48</f>
        <v>0</v>
      </c>
      <c r="G57" s="1065">
        <f>'3.2 - ENV_ROOF'!J48</f>
        <v>0</v>
      </c>
      <c r="H57" s="1065">
        <f>'3.2 - ENV_ROOF'!G48</f>
        <v>0</v>
      </c>
      <c r="I57" s="1065">
        <f>'3.2 - ENV_ROOF'!I48</f>
        <v>0</v>
      </c>
      <c r="J57" s="1083"/>
      <c r="K57" s="1405"/>
      <c r="L57" s="1405"/>
      <c r="AO57" s="1405"/>
      <c r="AP57" s="1405"/>
      <c r="AQ57" s="1405"/>
      <c r="AR57" s="1405"/>
      <c r="AS57" s="1405"/>
      <c r="AT57" s="1405"/>
      <c r="AU57" s="1405"/>
      <c r="AV57" s="1405"/>
    </row>
    <row r="58" spans="1:48" s="1406" customFormat="1" ht="36">
      <c r="A58" s="1081" t="s">
        <v>1184</v>
      </c>
      <c r="B58" s="1088" t="s">
        <v>1185</v>
      </c>
      <c r="C58" s="1064" t="s">
        <v>1119</v>
      </c>
      <c r="D58" s="1066">
        <f>'3.2 - ENV_ROOF'!F49</f>
        <v>0</v>
      </c>
      <c r="E58" s="1066">
        <f>'3.2 - ENV_ROOF'!G49</f>
        <v>0</v>
      </c>
      <c r="F58" s="1066">
        <f>'3.2 - ENV_ROOF'!H49</f>
        <v>0</v>
      </c>
      <c r="G58" s="1065">
        <f>'3.2 - ENV_ROOF'!J49</f>
        <v>0</v>
      </c>
      <c r="H58" s="1065">
        <f>'3.2 - ENV_ROOF'!G49</f>
        <v>0</v>
      </c>
      <c r="I58" s="1065">
        <f>'3.2 - ENV_ROOF'!I49</f>
        <v>0</v>
      </c>
      <c r="J58" s="1083"/>
      <c r="K58" s="1405"/>
      <c r="L58" s="1405"/>
      <c r="AO58" s="1405"/>
      <c r="AP58" s="1405"/>
      <c r="AQ58" s="1405"/>
      <c r="AR58" s="1405"/>
      <c r="AS58" s="1405"/>
      <c r="AT58" s="1405"/>
      <c r="AU58" s="1405"/>
      <c r="AV58" s="1405"/>
    </row>
    <row r="59" spans="1:48" s="1406" customFormat="1">
      <c r="A59" s="1081" t="s">
        <v>1186</v>
      </c>
      <c r="B59" s="1088" t="s">
        <v>1187</v>
      </c>
      <c r="C59" s="1064" t="s">
        <v>1119</v>
      </c>
      <c r="D59" s="1066" t="s">
        <v>1119</v>
      </c>
      <c r="E59" s="1066" t="s">
        <v>1119</v>
      </c>
      <c r="F59" s="1066" t="s">
        <v>1119</v>
      </c>
      <c r="G59" s="1065">
        <f>'3.2 - ENV_ROOF'!J50</f>
        <v>0</v>
      </c>
      <c r="H59" s="1065" t="s">
        <v>1119</v>
      </c>
      <c r="I59" s="1065">
        <f>'3.2 - ENV_ROOF'!I50</f>
        <v>0</v>
      </c>
      <c r="J59" s="1083"/>
      <c r="K59" s="1405"/>
      <c r="L59" s="1405"/>
      <c r="AO59" s="1405"/>
      <c r="AP59" s="1405"/>
      <c r="AQ59" s="1405"/>
      <c r="AR59" s="1405"/>
      <c r="AS59" s="1405"/>
      <c r="AT59" s="1405"/>
      <c r="AU59" s="1405"/>
      <c r="AV59" s="1405"/>
    </row>
    <row r="60" spans="1:48" s="1406" customFormat="1">
      <c r="A60" s="1081" t="s">
        <v>1188</v>
      </c>
      <c r="B60" s="1088" t="s">
        <v>945</v>
      </c>
      <c r="C60" s="1064" t="s">
        <v>1119</v>
      </c>
      <c r="D60" s="1066" t="s">
        <v>1119</v>
      </c>
      <c r="E60" s="1066" t="s">
        <v>1119</v>
      </c>
      <c r="F60" s="1066" t="s">
        <v>1119</v>
      </c>
      <c r="G60" s="1065">
        <f>'3.2 - ENV_ROOF'!J51</f>
        <v>0</v>
      </c>
      <c r="H60" s="1065" t="s">
        <v>1119</v>
      </c>
      <c r="I60" s="1065">
        <f>'3.2 - ENV_ROOF'!I51</f>
        <v>0</v>
      </c>
      <c r="J60" s="1083"/>
      <c r="K60" s="1405"/>
      <c r="L60" s="1405"/>
      <c r="AO60" s="1405"/>
      <c r="AP60" s="1405"/>
      <c r="AQ60" s="1405"/>
      <c r="AR60" s="1405"/>
      <c r="AS60" s="1405"/>
      <c r="AT60" s="1405"/>
      <c r="AU60" s="1405"/>
      <c r="AV60" s="1405"/>
    </row>
    <row r="61" spans="1:48" s="1406" customFormat="1" ht="18" customHeight="1">
      <c r="A61" s="1084"/>
      <c r="B61" s="1086" t="s">
        <v>1189</v>
      </c>
      <c r="C61" s="1086"/>
      <c r="D61" s="1086"/>
      <c r="E61" s="1086"/>
      <c r="F61" s="1086"/>
      <c r="G61" s="1086"/>
      <c r="H61" s="1086"/>
      <c r="I61" s="1086"/>
      <c r="J61" s="1087"/>
      <c r="K61" s="1405"/>
      <c r="L61" s="1405"/>
      <c r="AO61" s="1405"/>
      <c r="AP61" s="1405"/>
      <c r="AQ61" s="1405"/>
      <c r="AR61" s="1405"/>
      <c r="AS61" s="1405"/>
      <c r="AT61" s="1405"/>
      <c r="AU61" s="1405"/>
      <c r="AV61" s="1405"/>
    </row>
    <row r="62" spans="1:48" s="1406" customFormat="1" ht="36">
      <c r="A62" s="1081" t="s">
        <v>1190</v>
      </c>
      <c r="B62" s="1063" t="s">
        <v>1191</v>
      </c>
      <c r="C62" s="1064" t="s">
        <v>1119</v>
      </c>
      <c r="D62" s="1066">
        <f>'3.3 - ENV_FLOORS'!$F$24</f>
        <v>0</v>
      </c>
      <c r="E62" s="1066">
        <f>'3.3 - ENV_FLOORS'!$G$24</f>
        <v>0</v>
      </c>
      <c r="F62" s="1066">
        <f>'3.3 - ENV_FLOORS'!$H$24</f>
        <v>0</v>
      </c>
      <c r="G62" s="1065" t="s">
        <v>1119</v>
      </c>
      <c r="H62" s="1065" t="s">
        <v>1119</v>
      </c>
      <c r="I62" s="1065" t="s">
        <v>1119</v>
      </c>
      <c r="J62" s="1083"/>
      <c r="K62" s="1405"/>
      <c r="L62" s="1405"/>
      <c r="AO62" s="1405"/>
      <c r="AP62" s="1405"/>
      <c r="AQ62" s="1405"/>
      <c r="AR62" s="1405"/>
      <c r="AS62" s="1405"/>
      <c r="AT62" s="1405"/>
      <c r="AU62" s="1405"/>
      <c r="AV62" s="1405"/>
    </row>
    <row r="63" spans="1:48" s="1406" customFormat="1" ht="36">
      <c r="A63" s="1081" t="s">
        <v>1192</v>
      </c>
      <c r="B63" s="1088" t="s">
        <v>1193</v>
      </c>
      <c r="C63" s="1064">
        <f>'3.3 - ENV_FLOORS'!D34</f>
        <v>0</v>
      </c>
      <c r="D63" s="1066">
        <f>'3.3 - ENV_FLOORS'!F34</f>
        <v>0</v>
      </c>
      <c r="E63" s="1066">
        <f>'3.3 - ENV_FLOORS'!G34</f>
        <v>0</v>
      </c>
      <c r="F63" s="1066">
        <f>'3.3 - ENV_FLOORS'!H34</f>
        <v>0</v>
      </c>
      <c r="G63" s="1065">
        <f>'3.3 - ENV_FLOORS'!J34</f>
        <v>0</v>
      </c>
      <c r="H63" s="1065">
        <f>'3.3 - ENV_FLOORS'!G34</f>
        <v>0</v>
      </c>
      <c r="I63" s="1065">
        <f>'3.3 - ENV_FLOORS'!I34</f>
        <v>0</v>
      </c>
      <c r="J63" s="1083"/>
      <c r="K63" s="1405"/>
      <c r="L63" s="1405"/>
      <c r="AO63" s="1405"/>
      <c r="AP63" s="1405"/>
      <c r="AQ63" s="1405"/>
      <c r="AR63" s="1405"/>
      <c r="AS63" s="1405"/>
      <c r="AT63" s="1405"/>
      <c r="AU63" s="1405"/>
      <c r="AV63" s="1405"/>
    </row>
    <row r="64" spans="1:48" s="1406" customFormat="1" ht="36">
      <c r="A64" s="1081" t="s">
        <v>1194</v>
      </c>
      <c r="B64" s="1088" t="s">
        <v>1195</v>
      </c>
      <c r="C64" s="1064">
        <f>'3.3 - ENV_FLOORS'!D44</f>
        <v>0</v>
      </c>
      <c r="D64" s="1066">
        <f>'3.3 - ENV_FLOORS'!F44</f>
        <v>0</v>
      </c>
      <c r="E64" s="1066">
        <f>'3.3 - ENV_FLOORS'!G44</f>
        <v>0</v>
      </c>
      <c r="F64" s="1066">
        <f>'3.3 - ENV_FLOORS'!H44</f>
        <v>0</v>
      </c>
      <c r="G64" s="1065">
        <f>'3.3 - ENV_FLOORS'!J44</f>
        <v>0</v>
      </c>
      <c r="H64" s="1065">
        <f>'3.3 - ENV_FLOORS'!G44</f>
        <v>0</v>
      </c>
      <c r="I64" s="1065">
        <f>'3.3 - ENV_FLOORS'!I44</f>
        <v>0</v>
      </c>
      <c r="J64" s="1083"/>
      <c r="K64" s="1405"/>
      <c r="L64" s="1405"/>
      <c r="AO64" s="1405"/>
      <c r="AP64" s="1405"/>
      <c r="AQ64" s="1405"/>
      <c r="AR64" s="1405"/>
      <c r="AS64" s="1405"/>
      <c r="AT64" s="1405"/>
      <c r="AU64" s="1405"/>
      <c r="AV64" s="1405"/>
    </row>
    <row r="65" spans="1:48" s="1406" customFormat="1" ht="409.5" customHeight="1">
      <c r="A65" s="1081" t="s">
        <v>1196</v>
      </c>
      <c r="B65" s="1088" t="s">
        <v>1197</v>
      </c>
      <c r="C65" s="1064">
        <f>'3.3 - ENV_FLOORS'!D54</f>
        <v>0</v>
      </c>
      <c r="D65" s="1066">
        <f>'3.3 - ENV_FLOORS'!F54</f>
        <v>0</v>
      </c>
      <c r="E65" s="1066">
        <f>'3.3 - ENV_FLOORS'!G54</f>
        <v>0</v>
      </c>
      <c r="F65" s="1066">
        <f>'3.3 - ENV_FLOORS'!H54</f>
        <v>0</v>
      </c>
      <c r="G65" s="1065">
        <f>'3.3 - ENV_FLOORS'!J54</f>
        <v>0</v>
      </c>
      <c r="H65" s="1065">
        <f>'3.3 - ENV_FLOORS'!G54</f>
        <v>0</v>
      </c>
      <c r="I65" s="1065">
        <f>'3.3 - ENV_FLOORS'!I54</f>
        <v>0</v>
      </c>
      <c r="J65" s="1083"/>
      <c r="K65" s="1405"/>
      <c r="L65" s="1405"/>
      <c r="AO65" s="1405"/>
      <c r="AP65" s="1405"/>
      <c r="AQ65" s="1405"/>
      <c r="AR65" s="1405"/>
      <c r="AS65" s="1405"/>
      <c r="AT65" s="1405"/>
      <c r="AU65" s="1405"/>
      <c r="AV65" s="1405"/>
    </row>
    <row r="66" spans="1:48" s="1406" customFormat="1" ht="36">
      <c r="A66" s="1081" t="s">
        <v>1198</v>
      </c>
      <c r="B66" s="1088" t="s">
        <v>1199</v>
      </c>
      <c r="C66" s="1064">
        <f>'3.3 - ENV_FLOORS'!D64</f>
        <v>0</v>
      </c>
      <c r="D66" s="1066">
        <f>'3.3 - ENV_FLOORS'!F64</f>
        <v>0</v>
      </c>
      <c r="E66" s="1066">
        <f>'3.3 - ENV_FLOORS'!G64</f>
        <v>0</v>
      </c>
      <c r="F66" s="1066">
        <f>'3.3 - ENV_FLOORS'!H64</f>
        <v>0</v>
      </c>
      <c r="G66" s="1065">
        <f>'3.3 - ENV_FLOORS'!J64</f>
        <v>0</v>
      </c>
      <c r="H66" s="1065">
        <f>'3.3 - ENV_FLOORS'!G64</f>
        <v>0</v>
      </c>
      <c r="I66" s="1065">
        <f>'3.3 - ENV_FLOORS'!I64</f>
        <v>0</v>
      </c>
      <c r="J66" s="1083"/>
      <c r="K66" s="1405"/>
      <c r="L66" s="1405"/>
      <c r="AO66" s="1405"/>
      <c r="AP66" s="1405"/>
      <c r="AQ66" s="1405"/>
      <c r="AR66" s="1405"/>
      <c r="AS66" s="1405"/>
      <c r="AT66" s="1405"/>
      <c r="AU66" s="1405"/>
      <c r="AV66" s="1405"/>
    </row>
    <row r="67" spans="1:48" s="1406" customFormat="1">
      <c r="A67" s="1081" t="s">
        <v>1200</v>
      </c>
      <c r="B67" s="1088" t="s">
        <v>1201</v>
      </c>
      <c r="C67" s="1064" t="s">
        <v>1119</v>
      </c>
      <c r="D67" s="1066">
        <f>'3.3 - ENV_FLOORS'!F67</f>
        <v>0</v>
      </c>
      <c r="E67" s="1066">
        <f>'3.3 - ENV_FLOORS'!G67</f>
        <v>0</v>
      </c>
      <c r="F67" s="1066">
        <f>'3.3 - ENV_FLOORS'!H67</f>
        <v>0</v>
      </c>
      <c r="G67" s="1065">
        <f>'3.3 - ENV_FLOORS'!J67</f>
        <v>0</v>
      </c>
      <c r="H67" s="1065">
        <f>'3.3 - ENV_FLOORS'!G67</f>
        <v>0</v>
      </c>
      <c r="I67" s="1065">
        <f>'3.3 - ENV_FLOORS'!I67</f>
        <v>0</v>
      </c>
      <c r="J67" s="1083"/>
      <c r="K67" s="1405"/>
      <c r="L67" s="1405"/>
      <c r="AO67" s="1405"/>
      <c r="AP67" s="1405"/>
      <c r="AQ67" s="1405"/>
      <c r="AR67" s="1405"/>
      <c r="AS67" s="1405"/>
      <c r="AT67" s="1405"/>
      <c r="AU67" s="1405"/>
      <c r="AV67" s="1405"/>
    </row>
    <row r="68" spans="1:48" s="1406" customFormat="1" ht="72">
      <c r="A68" s="1081" t="s">
        <v>1202</v>
      </c>
      <c r="B68" s="1088" t="s">
        <v>1203</v>
      </c>
      <c r="C68" s="1064" t="s">
        <v>1119</v>
      </c>
      <c r="D68" s="1066">
        <f>'3.3 - ENV_FLOORS'!F68</f>
        <v>0</v>
      </c>
      <c r="E68" s="1066">
        <f>'3.3 - ENV_FLOORS'!G68</f>
        <v>0</v>
      </c>
      <c r="F68" s="1066">
        <f>'3.3 - ENV_FLOORS'!H68</f>
        <v>0</v>
      </c>
      <c r="G68" s="1065">
        <f>'3.3 - ENV_FLOORS'!J68</f>
        <v>0</v>
      </c>
      <c r="H68" s="1065">
        <f>'3.3 - ENV_FLOORS'!G68</f>
        <v>0</v>
      </c>
      <c r="I68" s="1065">
        <f>'3.3 - ENV_FLOORS'!I68</f>
        <v>0</v>
      </c>
      <c r="J68" s="1083"/>
      <c r="K68" s="1405"/>
      <c r="L68" s="1405"/>
      <c r="AO68" s="1405"/>
      <c r="AP68" s="1405"/>
      <c r="AQ68" s="1405"/>
      <c r="AR68" s="1405"/>
      <c r="AS68" s="1405"/>
      <c r="AT68" s="1405"/>
      <c r="AU68" s="1405"/>
      <c r="AV68" s="1405"/>
    </row>
    <row r="69" spans="1:48" s="1406" customFormat="1" ht="36">
      <c r="A69" s="1081" t="s">
        <v>1204</v>
      </c>
      <c r="B69" s="1088" t="s">
        <v>1205</v>
      </c>
      <c r="C69" s="1064" t="s">
        <v>1119</v>
      </c>
      <c r="D69" s="1066">
        <f>'3.3 - ENV_FLOORS'!F69</f>
        <v>0</v>
      </c>
      <c r="E69" s="1066">
        <f>'3.3 - ENV_FLOORS'!G69</f>
        <v>0</v>
      </c>
      <c r="F69" s="1066">
        <f>'3.3 - ENV_FLOORS'!H69</f>
        <v>0</v>
      </c>
      <c r="G69" s="1065">
        <f>'3.3 - ENV_FLOORS'!J69</f>
        <v>0</v>
      </c>
      <c r="H69" s="1065">
        <f>'3.3 - ENV_FLOORS'!G69</f>
        <v>0</v>
      </c>
      <c r="I69" s="1065">
        <f>'3.3 - ENV_FLOORS'!I69</f>
        <v>0</v>
      </c>
      <c r="J69" s="1083"/>
      <c r="K69" s="1405"/>
      <c r="L69" s="1405"/>
      <c r="AO69" s="1405"/>
      <c r="AP69" s="1405"/>
      <c r="AQ69" s="1405"/>
      <c r="AR69" s="1405"/>
      <c r="AS69" s="1405"/>
      <c r="AT69" s="1405"/>
      <c r="AU69" s="1405"/>
      <c r="AV69" s="1405"/>
    </row>
    <row r="70" spans="1:48" s="1406" customFormat="1" ht="36">
      <c r="A70" s="1081" t="s">
        <v>1206</v>
      </c>
      <c r="B70" s="1088" t="s">
        <v>1207</v>
      </c>
      <c r="C70" s="1064" t="s">
        <v>1119</v>
      </c>
      <c r="D70" s="1066">
        <f>'3.3 - ENV_FLOORS'!F70</f>
        <v>0</v>
      </c>
      <c r="E70" s="1066">
        <f>'3.3 - ENV_FLOORS'!G70</f>
        <v>0</v>
      </c>
      <c r="F70" s="1066">
        <f>'3.3 - ENV_FLOORS'!H70</f>
        <v>0</v>
      </c>
      <c r="G70" s="1065">
        <f>'3.3 - ENV_FLOORS'!J70</f>
        <v>0</v>
      </c>
      <c r="H70" s="1065">
        <f>'3.3 - ENV_FLOORS'!G70</f>
        <v>0</v>
      </c>
      <c r="I70" s="1065">
        <f>'3.3 - ENV_FLOORS'!I70</f>
        <v>0</v>
      </c>
      <c r="J70" s="1083"/>
      <c r="K70" s="1405"/>
      <c r="L70" s="1405"/>
      <c r="AO70" s="1405"/>
      <c r="AP70" s="1405"/>
      <c r="AQ70" s="1405"/>
      <c r="AR70" s="1405"/>
      <c r="AS70" s="1405"/>
      <c r="AT70" s="1405"/>
      <c r="AU70" s="1405"/>
      <c r="AV70" s="1405"/>
    </row>
    <row r="71" spans="1:48" s="1406" customFormat="1" ht="54">
      <c r="A71" s="1081" t="s">
        <v>1208</v>
      </c>
      <c r="B71" s="1088" t="s">
        <v>1209</v>
      </c>
      <c r="C71" s="1064" t="s">
        <v>1119</v>
      </c>
      <c r="D71" s="1066">
        <f>'3.3 - ENV_FLOORS'!F71</f>
        <v>0</v>
      </c>
      <c r="E71" s="1066">
        <f>'3.3 - ENV_FLOORS'!G71</f>
        <v>0</v>
      </c>
      <c r="F71" s="1066">
        <f>'3.3 - ENV_FLOORS'!H71</f>
        <v>0</v>
      </c>
      <c r="G71" s="1065">
        <f>'3.3 - ENV_FLOORS'!J71</f>
        <v>0</v>
      </c>
      <c r="H71" s="1065">
        <f>'3.3 - ENV_FLOORS'!G71</f>
        <v>0</v>
      </c>
      <c r="I71" s="1065">
        <f>'3.3 - ENV_FLOORS'!I71</f>
        <v>0</v>
      </c>
      <c r="J71" s="1083"/>
      <c r="K71" s="1405"/>
      <c r="L71" s="1405"/>
      <c r="AO71" s="1405"/>
      <c r="AP71" s="1405"/>
      <c r="AQ71" s="1405"/>
      <c r="AR71" s="1405"/>
      <c r="AS71" s="1405"/>
      <c r="AT71" s="1405"/>
      <c r="AU71" s="1405"/>
      <c r="AV71" s="1405"/>
    </row>
    <row r="72" spans="1:48" s="1406" customFormat="1">
      <c r="A72" s="1081" t="s">
        <v>1210</v>
      </c>
      <c r="B72" s="1088" t="s">
        <v>1187</v>
      </c>
      <c r="C72" s="1064" t="s">
        <v>1119</v>
      </c>
      <c r="D72" s="1066" t="s">
        <v>1119</v>
      </c>
      <c r="E72" s="1066" t="s">
        <v>1119</v>
      </c>
      <c r="F72" s="1066" t="s">
        <v>1119</v>
      </c>
      <c r="G72" s="1065">
        <f>'3.3 - ENV_FLOORS'!J72</f>
        <v>0</v>
      </c>
      <c r="H72" s="1065" t="s">
        <v>1119</v>
      </c>
      <c r="I72" s="1065">
        <f>'3.3 - ENV_FLOORS'!I72</f>
        <v>0</v>
      </c>
      <c r="J72" s="1083"/>
      <c r="K72" s="1405"/>
      <c r="L72" s="1405"/>
      <c r="AO72" s="1405"/>
      <c r="AP72" s="1405"/>
      <c r="AQ72" s="1405"/>
      <c r="AR72" s="1405"/>
      <c r="AS72" s="1405"/>
      <c r="AT72" s="1405"/>
      <c r="AU72" s="1405"/>
      <c r="AV72" s="1405"/>
    </row>
    <row r="73" spans="1:48" s="1406" customFormat="1">
      <c r="A73" s="1081" t="s">
        <v>1211</v>
      </c>
      <c r="B73" s="1088" t="s">
        <v>945</v>
      </c>
      <c r="C73" s="1064" t="s">
        <v>1119</v>
      </c>
      <c r="D73" s="1066" t="s">
        <v>1119</v>
      </c>
      <c r="E73" s="1066" t="s">
        <v>1119</v>
      </c>
      <c r="F73" s="1066" t="s">
        <v>1119</v>
      </c>
      <c r="G73" s="1065">
        <f>'3.3 - ENV_FLOORS'!J73</f>
        <v>0</v>
      </c>
      <c r="H73" s="1065" t="s">
        <v>1119</v>
      </c>
      <c r="I73" s="1065">
        <f>'3.3 - ENV_FLOORS'!I73</f>
        <v>0</v>
      </c>
      <c r="J73" s="1083"/>
      <c r="K73" s="1405"/>
      <c r="L73" s="1405"/>
      <c r="AO73" s="1405"/>
      <c r="AP73" s="1405"/>
      <c r="AQ73" s="1405"/>
      <c r="AR73" s="1405"/>
      <c r="AS73" s="1405"/>
      <c r="AT73" s="1405"/>
      <c r="AU73" s="1405"/>
      <c r="AV73" s="1405"/>
    </row>
    <row r="74" spans="1:48" s="1406" customFormat="1" ht="18" customHeight="1">
      <c r="A74" s="1084"/>
      <c r="B74" s="1086" t="s">
        <v>1212</v>
      </c>
      <c r="C74" s="1086"/>
      <c r="D74" s="1086"/>
      <c r="E74" s="1086"/>
      <c r="F74" s="1086"/>
      <c r="G74" s="1086"/>
      <c r="H74" s="1086"/>
      <c r="I74" s="1086"/>
      <c r="J74" s="1087"/>
      <c r="K74" s="1405"/>
      <c r="L74" s="1405"/>
      <c r="AO74" s="1405"/>
      <c r="AP74" s="1405"/>
      <c r="AQ74" s="1405"/>
      <c r="AR74" s="1405"/>
      <c r="AS74" s="1405"/>
      <c r="AT74" s="1405"/>
      <c r="AU74" s="1405"/>
      <c r="AV74" s="1405"/>
    </row>
    <row r="75" spans="1:48" s="1406" customFormat="1" ht="36">
      <c r="A75" s="1081" t="s">
        <v>1213</v>
      </c>
      <c r="B75" s="1063" t="s">
        <v>1214</v>
      </c>
      <c r="C75" s="1064" t="s">
        <v>1119</v>
      </c>
      <c r="D75" s="1066">
        <f>'3.4 - ENV_WINDOWS'!$G$27</f>
        <v>0</v>
      </c>
      <c r="E75" s="1066">
        <f>'3.4 - ENV_WINDOWS'!$M$27</f>
        <v>0</v>
      </c>
      <c r="F75" s="1066">
        <f>'3.4 - ENV_WINDOWS'!$N$27</f>
        <v>0</v>
      </c>
      <c r="G75" s="1065" t="s">
        <v>1119</v>
      </c>
      <c r="H75" s="1065" t="s">
        <v>1119</v>
      </c>
      <c r="I75" s="1065" t="s">
        <v>1119</v>
      </c>
      <c r="J75" s="1083"/>
      <c r="K75" s="1405"/>
      <c r="L75" s="1405"/>
      <c r="AO75" s="1405"/>
      <c r="AP75" s="1405"/>
      <c r="AQ75" s="1405"/>
      <c r="AR75" s="1405"/>
      <c r="AS75" s="1405"/>
      <c r="AT75" s="1405"/>
      <c r="AU75" s="1405"/>
      <c r="AV75" s="1405"/>
    </row>
    <row r="76" spans="1:48" s="1406" customFormat="1" ht="36">
      <c r="A76" s="1081" t="s">
        <v>1215</v>
      </c>
      <c r="B76" s="1089" t="s">
        <v>1216</v>
      </c>
      <c r="C76" s="1064">
        <f>'3.4 - ENV_WINDOWS'!E39</f>
        <v>0</v>
      </c>
      <c r="D76" s="1066">
        <f>'3.4 - ENV_WINDOWS'!G39</f>
        <v>0</v>
      </c>
      <c r="E76" s="1066">
        <f>'3.4 - ENV_WINDOWS'!M39</f>
        <v>0</v>
      </c>
      <c r="F76" s="1066">
        <f>'3.4 - ENV_WINDOWS'!N39</f>
        <v>0</v>
      </c>
      <c r="G76" s="1065">
        <f>'3.4 - ENV_WINDOWS'!P39</f>
        <v>0</v>
      </c>
      <c r="H76" s="1065">
        <f>'3.4 - ENV_WINDOWS'!M39</f>
        <v>0</v>
      </c>
      <c r="I76" s="1065">
        <f>'3.4 - ENV_WINDOWS'!O39</f>
        <v>0</v>
      </c>
      <c r="J76" s="1083"/>
      <c r="K76" s="1405"/>
      <c r="L76" s="1405"/>
      <c r="AO76" s="1405"/>
      <c r="AP76" s="1405"/>
      <c r="AQ76" s="1405"/>
      <c r="AR76" s="1405"/>
      <c r="AS76" s="1405"/>
      <c r="AT76" s="1405"/>
      <c r="AU76" s="1405"/>
      <c r="AV76" s="1405"/>
    </row>
    <row r="77" spans="1:48" s="1406" customFormat="1">
      <c r="A77" s="1081" t="s">
        <v>1217</v>
      </c>
      <c r="B77" s="1088" t="s">
        <v>1218</v>
      </c>
      <c r="C77" s="1064" t="s">
        <v>1119</v>
      </c>
      <c r="D77" s="1066">
        <f>'3.4 - ENV_WINDOWS'!G40</f>
        <v>0</v>
      </c>
      <c r="E77" s="1066">
        <f>'3.4 - ENV_WINDOWS'!M40</f>
        <v>0</v>
      </c>
      <c r="F77" s="1066">
        <f>'3.4 - ENV_WINDOWS'!N40</f>
        <v>0</v>
      </c>
      <c r="G77" s="1065">
        <f>'3.4 - ENV_WINDOWS'!P40</f>
        <v>0</v>
      </c>
      <c r="H77" s="1065">
        <f>'3.4 - ENV_WINDOWS'!M40</f>
        <v>0</v>
      </c>
      <c r="I77" s="1065">
        <f>'3.4 - ENV_WINDOWS'!O40</f>
        <v>0</v>
      </c>
      <c r="J77" s="1083"/>
      <c r="K77" s="1405"/>
      <c r="L77" s="1405"/>
      <c r="AO77" s="1405"/>
      <c r="AP77" s="1405"/>
      <c r="AQ77" s="1405"/>
      <c r="AR77" s="1405"/>
      <c r="AS77" s="1405"/>
      <c r="AT77" s="1405"/>
      <c r="AU77" s="1405"/>
      <c r="AV77" s="1405"/>
    </row>
    <row r="78" spans="1:48" s="1406" customFormat="1">
      <c r="A78" s="1081" t="s">
        <v>1219</v>
      </c>
      <c r="B78" s="1088" t="s">
        <v>1220</v>
      </c>
      <c r="C78" s="1064" t="s">
        <v>1119</v>
      </c>
      <c r="D78" s="1066" t="s">
        <v>1119</v>
      </c>
      <c r="E78" s="1066" t="s">
        <v>1119</v>
      </c>
      <c r="F78" s="1066" t="s">
        <v>1119</v>
      </c>
      <c r="G78" s="1065">
        <f>'3.4 - ENV_WINDOWS'!P41</f>
        <v>0</v>
      </c>
      <c r="H78" s="1065" t="s">
        <v>1119</v>
      </c>
      <c r="I78" s="1065">
        <f>'3.4 - ENV_WINDOWS'!O41</f>
        <v>0</v>
      </c>
      <c r="J78" s="1083"/>
      <c r="K78" s="1405"/>
      <c r="L78" s="1405"/>
      <c r="AO78" s="1405"/>
      <c r="AP78" s="1405"/>
      <c r="AQ78" s="1405"/>
      <c r="AR78" s="1405"/>
      <c r="AS78" s="1405"/>
      <c r="AT78" s="1405"/>
      <c r="AU78" s="1405"/>
      <c r="AV78" s="1405"/>
    </row>
    <row r="79" spans="1:48" s="1406" customFormat="1">
      <c r="A79" s="1081" t="s">
        <v>1221</v>
      </c>
      <c r="B79" s="1088" t="s">
        <v>1222</v>
      </c>
      <c r="C79" s="1064" t="s">
        <v>1119</v>
      </c>
      <c r="D79" s="1066" t="s">
        <v>1119</v>
      </c>
      <c r="E79" s="1066" t="s">
        <v>1119</v>
      </c>
      <c r="F79" s="1066" t="s">
        <v>1119</v>
      </c>
      <c r="G79" s="1065">
        <f>'3.4 - ENV_WINDOWS'!P42</f>
        <v>0</v>
      </c>
      <c r="H79" s="1065" t="s">
        <v>1119</v>
      </c>
      <c r="I79" s="1065">
        <f>'3.4 - ENV_WINDOWS'!O42</f>
        <v>0</v>
      </c>
      <c r="J79" s="1083"/>
      <c r="K79" s="1405"/>
      <c r="L79" s="1405"/>
      <c r="AO79" s="1405"/>
      <c r="AP79" s="1405"/>
      <c r="AQ79" s="1405"/>
      <c r="AR79" s="1405"/>
      <c r="AS79" s="1405"/>
      <c r="AT79" s="1405"/>
      <c r="AU79" s="1405"/>
      <c r="AV79" s="1405"/>
    </row>
    <row r="80" spans="1:48" s="1406" customFormat="1">
      <c r="A80" s="1081" t="s">
        <v>1223</v>
      </c>
      <c r="B80" s="1088" t="s">
        <v>1224</v>
      </c>
      <c r="C80" s="1064" t="s">
        <v>1119</v>
      </c>
      <c r="D80" s="1066" t="s">
        <v>1119</v>
      </c>
      <c r="E80" s="1066" t="s">
        <v>1119</v>
      </c>
      <c r="F80" s="1066" t="s">
        <v>1119</v>
      </c>
      <c r="G80" s="1065">
        <f>'3.4 - ENV_WINDOWS'!P43</f>
        <v>0</v>
      </c>
      <c r="H80" s="1065" t="s">
        <v>1119</v>
      </c>
      <c r="I80" s="1065">
        <f>'3.4 - ENV_WINDOWS'!O43</f>
        <v>0</v>
      </c>
      <c r="J80" s="1083"/>
      <c r="K80" s="1405"/>
      <c r="L80" s="1405"/>
      <c r="AO80" s="1405"/>
      <c r="AP80" s="1405"/>
      <c r="AQ80" s="1405"/>
      <c r="AR80" s="1405"/>
      <c r="AS80" s="1405"/>
      <c r="AT80" s="1405"/>
      <c r="AU80" s="1405"/>
      <c r="AV80" s="1405"/>
    </row>
    <row r="81" spans="1:48" s="1406" customFormat="1">
      <c r="A81" s="1081" t="s">
        <v>1225</v>
      </c>
      <c r="B81" s="1088" t="s">
        <v>1226</v>
      </c>
      <c r="C81" s="1064" t="s">
        <v>1119</v>
      </c>
      <c r="D81" s="1066" t="s">
        <v>1119</v>
      </c>
      <c r="E81" s="1066" t="s">
        <v>1119</v>
      </c>
      <c r="F81" s="1066" t="s">
        <v>1119</v>
      </c>
      <c r="G81" s="1065">
        <f>'3.4 - ENV_WINDOWS'!P44</f>
        <v>0</v>
      </c>
      <c r="H81" s="1065" t="s">
        <v>1119</v>
      </c>
      <c r="I81" s="1065">
        <f>'3.4 - ENV_WINDOWS'!O44</f>
        <v>0</v>
      </c>
      <c r="J81" s="1083"/>
      <c r="K81" s="1405"/>
      <c r="L81" s="1405"/>
      <c r="AO81" s="1405"/>
      <c r="AP81" s="1405"/>
      <c r="AQ81" s="1405"/>
      <c r="AR81" s="1405"/>
      <c r="AS81" s="1405"/>
      <c r="AT81" s="1405"/>
      <c r="AU81" s="1405"/>
      <c r="AV81" s="1405"/>
    </row>
    <row r="82" spans="1:48" s="1406" customFormat="1" ht="36">
      <c r="A82" s="1081" t="s">
        <v>1227</v>
      </c>
      <c r="B82" s="1088" t="s">
        <v>1228</v>
      </c>
      <c r="C82" s="1064" t="s">
        <v>1119</v>
      </c>
      <c r="D82" s="1066" t="s">
        <v>1119</v>
      </c>
      <c r="E82" s="1066" t="s">
        <v>1119</v>
      </c>
      <c r="F82" s="1066" t="s">
        <v>1119</v>
      </c>
      <c r="G82" s="1065">
        <f>'3.4 - ENV_WINDOWS'!P45</f>
        <v>0</v>
      </c>
      <c r="H82" s="1065" t="s">
        <v>1119</v>
      </c>
      <c r="I82" s="1065">
        <f>'3.4 - ENV_WINDOWS'!O45</f>
        <v>0</v>
      </c>
      <c r="J82" s="1083"/>
      <c r="K82" s="1405"/>
      <c r="L82" s="1405"/>
      <c r="AO82" s="1405"/>
      <c r="AP82" s="1405"/>
      <c r="AQ82" s="1405"/>
      <c r="AR82" s="1405"/>
      <c r="AS82" s="1405"/>
      <c r="AT82" s="1405"/>
      <c r="AU82" s="1405"/>
      <c r="AV82" s="1405"/>
    </row>
    <row r="83" spans="1:48" s="1406" customFormat="1" ht="36">
      <c r="A83" s="1081" t="s">
        <v>1229</v>
      </c>
      <c r="B83" s="1088" t="s">
        <v>1118</v>
      </c>
      <c r="C83" s="1064" t="s">
        <v>1119</v>
      </c>
      <c r="D83" s="1066" t="s">
        <v>1119</v>
      </c>
      <c r="E83" s="1066" t="s">
        <v>1119</v>
      </c>
      <c r="F83" s="1066" t="s">
        <v>1119</v>
      </c>
      <c r="G83" s="1065">
        <f>'3.4 - ENV_WINDOWS'!P46</f>
        <v>0</v>
      </c>
      <c r="H83" s="1065" t="s">
        <v>1119</v>
      </c>
      <c r="I83" s="1065">
        <f>'3.4 - ENV_WINDOWS'!O46</f>
        <v>0</v>
      </c>
      <c r="J83" s="1083"/>
      <c r="K83" s="1405"/>
      <c r="L83" s="1405"/>
      <c r="AO83" s="1405"/>
      <c r="AP83" s="1405"/>
      <c r="AQ83" s="1405"/>
      <c r="AR83" s="1405"/>
      <c r="AS83" s="1405"/>
      <c r="AT83" s="1405"/>
      <c r="AU83" s="1405"/>
      <c r="AV83" s="1405"/>
    </row>
    <row r="84" spans="1:48" s="1406" customFormat="1" ht="18" customHeight="1">
      <c r="A84" s="1084"/>
      <c r="B84" s="1086" t="s">
        <v>1230</v>
      </c>
      <c r="C84" s="1086"/>
      <c r="D84" s="1086"/>
      <c r="E84" s="1086"/>
      <c r="F84" s="1086"/>
      <c r="G84" s="1086"/>
      <c r="H84" s="1086"/>
      <c r="I84" s="1086"/>
      <c r="J84" s="1087"/>
      <c r="K84" s="1405"/>
      <c r="L84" s="1405"/>
      <c r="AO84" s="1405"/>
      <c r="AP84" s="1405"/>
      <c r="AQ84" s="1405"/>
      <c r="AR84" s="1405"/>
      <c r="AS84" s="1405"/>
      <c r="AT84" s="1405"/>
      <c r="AU84" s="1405"/>
      <c r="AV84" s="1405"/>
    </row>
    <row r="85" spans="1:48" s="1406" customFormat="1" ht="36">
      <c r="A85" s="1081" t="s">
        <v>1231</v>
      </c>
      <c r="B85" s="1063" t="s">
        <v>1232</v>
      </c>
      <c r="C85" s="1064" t="s">
        <v>1119</v>
      </c>
      <c r="D85" s="1066">
        <f>'3.5 - ENV_EXTERIOR DOORS'!$G$25</f>
        <v>0</v>
      </c>
      <c r="E85" s="1066">
        <f>'3.5 - ENV_EXTERIOR DOORS'!$J$25</f>
        <v>0</v>
      </c>
      <c r="F85" s="1066">
        <f>'3.5 - ENV_EXTERIOR DOORS'!$K$25</f>
        <v>0</v>
      </c>
      <c r="G85" s="1065" t="s">
        <v>1119</v>
      </c>
      <c r="H85" s="1065" t="s">
        <v>1119</v>
      </c>
      <c r="I85" s="1065" t="s">
        <v>1119</v>
      </c>
      <c r="J85" s="1083"/>
      <c r="K85" s="1405"/>
      <c r="L85" s="1405"/>
      <c r="AO85" s="1405"/>
      <c r="AP85" s="1405"/>
      <c r="AQ85" s="1405"/>
      <c r="AR85" s="1405"/>
      <c r="AS85" s="1405"/>
      <c r="AT85" s="1405"/>
      <c r="AU85" s="1405"/>
      <c r="AV85" s="1405"/>
    </row>
    <row r="86" spans="1:48" ht="36">
      <c r="A86" s="1081" t="s">
        <v>1233</v>
      </c>
      <c r="B86" s="1088" t="s">
        <v>1234</v>
      </c>
      <c r="C86" s="1064">
        <f>'3.5 - ENV_EXTERIOR DOORS'!E35</f>
        <v>0</v>
      </c>
      <c r="D86" s="1066">
        <f>'3.5 - ENV_EXTERIOR DOORS'!G35</f>
        <v>0</v>
      </c>
      <c r="E86" s="1066">
        <f>'3.5 - ENV_EXTERIOR DOORS'!J35</f>
        <v>0</v>
      </c>
      <c r="F86" s="1066">
        <f>'3.5 - ENV_EXTERIOR DOORS'!K35</f>
        <v>0</v>
      </c>
      <c r="G86" s="1065">
        <f>'3.5 - ENV_EXTERIOR DOORS'!M35</f>
        <v>0</v>
      </c>
      <c r="H86" s="1065">
        <f>'3.5 - ENV_EXTERIOR DOORS'!J35</f>
        <v>0</v>
      </c>
      <c r="I86" s="1065">
        <f>'3.5 - ENV_EXTERIOR DOORS'!L35</f>
        <v>0</v>
      </c>
      <c r="J86" s="1083"/>
      <c r="K86" s="1405"/>
      <c r="L86" s="1405"/>
    </row>
    <row r="87" spans="1:48">
      <c r="A87" s="1081" t="s">
        <v>1235</v>
      </c>
      <c r="B87" s="1088" t="s">
        <v>1236</v>
      </c>
      <c r="C87" s="1064" t="s">
        <v>1119</v>
      </c>
      <c r="D87" s="1066" t="s">
        <v>1119</v>
      </c>
      <c r="E87" s="1066" t="s">
        <v>1119</v>
      </c>
      <c r="F87" s="1066" t="s">
        <v>1119</v>
      </c>
      <c r="G87" s="1065">
        <f>'3.5 - ENV_EXTERIOR DOORS'!M36</f>
        <v>0</v>
      </c>
      <c r="H87" s="1065" t="s">
        <v>1119</v>
      </c>
      <c r="I87" s="1065">
        <f>'3.5 - ENV_EXTERIOR DOORS'!L36</f>
        <v>0</v>
      </c>
      <c r="J87" s="1083"/>
      <c r="K87" s="1405"/>
      <c r="L87" s="1405"/>
    </row>
    <row r="88" spans="1:48">
      <c r="A88" s="1081" t="s">
        <v>1237</v>
      </c>
      <c r="B88" s="1088" t="s">
        <v>1238</v>
      </c>
      <c r="C88" s="1064" t="s">
        <v>1119</v>
      </c>
      <c r="D88" s="1066" t="s">
        <v>1119</v>
      </c>
      <c r="E88" s="1066" t="s">
        <v>1119</v>
      </c>
      <c r="F88" s="1066" t="s">
        <v>1119</v>
      </c>
      <c r="G88" s="1065">
        <f>'3.5 - ENV_EXTERIOR DOORS'!M37</f>
        <v>0</v>
      </c>
      <c r="H88" s="1065" t="s">
        <v>1119</v>
      </c>
      <c r="I88" s="1065">
        <f>'3.5 - ENV_EXTERIOR DOORS'!L37</f>
        <v>0</v>
      </c>
      <c r="J88" s="1083"/>
      <c r="K88" s="1405"/>
      <c r="L88" s="1405"/>
    </row>
    <row r="89" spans="1:48">
      <c r="A89" s="1081" t="s">
        <v>1239</v>
      </c>
      <c r="B89" s="1088" t="s">
        <v>1240</v>
      </c>
      <c r="C89" s="1064" t="s">
        <v>1119</v>
      </c>
      <c r="D89" s="1066" t="s">
        <v>1119</v>
      </c>
      <c r="E89" s="1066" t="s">
        <v>1119</v>
      </c>
      <c r="F89" s="1066" t="s">
        <v>1119</v>
      </c>
      <c r="G89" s="1065">
        <f>'3.5 - ENV_EXTERIOR DOORS'!M38</f>
        <v>0</v>
      </c>
      <c r="H89" s="1065" t="s">
        <v>1119</v>
      </c>
      <c r="I89" s="1065">
        <f>'3.5 - ENV_EXTERIOR DOORS'!L38</f>
        <v>0</v>
      </c>
      <c r="J89" s="1083"/>
      <c r="K89" s="1405"/>
      <c r="L89" s="1405"/>
    </row>
    <row r="90" spans="1:48">
      <c r="A90" s="1081" t="s">
        <v>1241</v>
      </c>
      <c r="B90" s="1088" t="s">
        <v>1242</v>
      </c>
      <c r="C90" s="1064" t="s">
        <v>1119</v>
      </c>
      <c r="D90" s="1066" t="s">
        <v>1119</v>
      </c>
      <c r="E90" s="1066" t="s">
        <v>1119</v>
      </c>
      <c r="F90" s="1066" t="s">
        <v>1119</v>
      </c>
      <c r="G90" s="1065">
        <f>'3.5 - ENV_EXTERIOR DOORS'!M39</f>
        <v>0</v>
      </c>
      <c r="H90" s="1065" t="s">
        <v>1119</v>
      </c>
      <c r="I90" s="1065">
        <f>'3.5 - ENV_EXTERIOR DOORS'!L39</f>
        <v>0</v>
      </c>
      <c r="J90" s="1083"/>
      <c r="K90" s="1405"/>
      <c r="L90" s="1405"/>
    </row>
    <row r="91" spans="1:48" ht="270" customHeight="1">
      <c r="A91" s="1081" t="s">
        <v>1243</v>
      </c>
      <c r="B91" s="1088" t="s">
        <v>1118</v>
      </c>
      <c r="C91" s="1064" t="s">
        <v>1119</v>
      </c>
      <c r="D91" s="1066" t="s">
        <v>1119</v>
      </c>
      <c r="E91" s="1066" t="s">
        <v>1119</v>
      </c>
      <c r="F91" s="1066" t="s">
        <v>1119</v>
      </c>
      <c r="G91" s="1065">
        <f>'3.5 - ENV_EXTERIOR DOORS'!M40</f>
        <v>0</v>
      </c>
      <c r="H91" s="1065" t="s">
        <v>1119</v>
      </c>
      <c r="I91" s="1065">
        <f>'3.5 - ENV_EXTERIOR DOORS'!L40</f>
        <v>0</v>
      </c>
      <c r="J91" s="1083"/>
      <c r="K91" s="1405"/>
      <c r="L91" s="1405"/>
    </row>
    <row r="92" spans="1:48" s="1424" customFormat="1" ht="45.75" customHeight="1">
      <c r="A92" s="1067">
        <v>4</v>
      </c>
      <c r="B92" s="1068" t="s">
        <v>1244</v>
      </c>
      <c r="C92" s="1069"/>
      <c r="D92" s="1069"/>
      <c r="E92" s="1069"/>
      <c r="F92" s="1069"/>
      <c r="G92" s="1069"/>
      <c r="H92" s="1069"/>
      <c r="I92" s="1070"/>
      <c r="J92" s="1071"/>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c r="AI92" s="1425"/>
      <c r="AJ92" s="1425"/>
      <c r="AK92" s="1425"/>
      <c r="AL92" s="1425"/>
      <c r="AM92" s="1425"/>
      <c r="AN92" s="1425"/>
    </row>
    <row r="93" spans="1:48" ht="54">
      <c r="A93" s="1081" t="s">
        <v>1245</v>
      </c>
      <c r="B93" s="1063" t="s">
        <v>1246</v>
      </c>
      <c r="C93" s="1064" t="s">
        <v>1119</v>
      </c>
      <c r="D93" s="1066">
        <f>'4.1 - GARAGES_CMPTZ &amp; HEATING '!$F$21</f>
        <v>0</v>
      </c>
      <c r="E93" s="1066">
        <f>'4.1 - GARAGES_CMPTZ &amp; HEATING '!$G$21</f>
        <v>0</v>
      </c>
      <c r="F93" s="1066">
        <f>'4.1 - GARAGES_CMPTZ &amp; HEATING '!$H$21</f>
        <v>0</v>
      </c>
      <c r="G93" s="1065" t="s">
        <v>1119</v>
      </c>
      <c r="H93" s="1065" t="s">
        <v>1119</v>
      </c>
      <c r="I93" s="1065" t="s">
        <v>1119</v>
      </c>
      <c r="J93" s="1083"/>
      <c r="K93" s="1405"/>
      <c r="L93" s="1405"/>
    </row>
    <row r="94" spans="1:48">
      <c r="A94" s="1081" t="s">
        <v>1247</v>
      </c>
      <c r="B94" s="1063" t="s">
        <v>1248</v>
      </c>
      <c r="C94" s="1074" t="s">
        <v>1119</v>
      </c>
      <c r="D94" s="1090">
        <f>'4.1 - GARAGES_CMPTZ &amp; HEATING '!F23</f>
        <v>0</v>
      </c>
      <c r="E94" s="1090">
        <f>'4.1 - GARAGES_CMPTZ &amp; HEATING '!G23</f>
        <v>0</v>
      </c>
      <c r="F94" s="1090">
        <f>'4.1 - GARAGES_CMPTZ &amp; HEATING '!H23</f>
        <v>0</v>
      </c>
      <c r="G94" s="1091">
        <f>'4.1 - GARAGES_CMPTZ &amp; HEATING '!J23</f>
        <v>0</v>
      </c>
      <c r="H94" s="1091">
        <f>'4.1 - GARAGES_CMPTZ &amp; HEATING '!G23</f>
        <v>0</v>
      </c>
      <c r="I94" s="1091">
        <f>'4.1 - GARAGES_CMPTZ &amp; HEATING '!I23</f>
        <v>0</v>
      </c>
      <c r="J94" s="1083"/>
      <c r="K94" s="1405"/>
      <c r="L94" s="1405"/>
    </row>
    <row r="95" spans="1:48">
      <c r="A95" s="1081" t="s">
        <v>1247</v>
      </c>
      <c r="B95" s="1063" t="s">
        <v>1249</v>
      </c>
      <c r="C95" s="1074" t="s">
        <v>1119</v>
      </c>
      <c r="D95" s="1090">
        <f>'4.1 - GARAGES_CMPTZ &amp; HEATING '!F24</f>
        <v>0</v>
      </c>
      <c r="E95" s="1090">
        <f>'4.1 - GARAGES_CMPTZ &amp; HEATING '!G24</f>
        <v>0</v>
      </c>
      <c r="F95" s="1090">
        <f>'4.1 - GARAGES_CMPTZ &amp; HEATING '!H24</f>
        <v>0</v>
      </c>
      <c r="G95" s="1091">
        <f>'4.1 - GARAGES_CMPTZ &amp; HEATING '!J24</f>
        <v>0</v>
      </c>
      <c r="H95" s="1091">
        <f>'4.1 - GARAGES_CMPTZ &amp; HEATING '!G24</f>
        <v>0</v>
      </c>
      <c r="I95" s="1091">
        <f>'4.1 - GARAGES_CMPTZ &amp; HEATING '!I24</f>
        <v>0</v>
      </c>
      <c r="J95" s="1083"/>
      <c r="K95" s="1405"/>
      <c r="L95" s="1405"/>
    </row>
    <row r="96" spans="1:48">
      <c r="A96" s="1081" t="s">
        <v>1250</v>
      </c>
      <c r="B96" s="1063" t="s">
        <v>1251</v>
      </c>
      <c r="C96" s="1074" t="s">
        <v>1119</v>
      </c>
      <c r="D96" s="1090">
        <f>'4.1 - GARAGES_CMPTZ &amp; HEATING '!F25</f>
        <v>0</v>
      </c>
      <c r="E96" s="1090">
        <f>'4.1 - GARAGES_CMPTZ &amp; HEATING '!G25</f>
        <v>0</v>
      </c>
      <c r="F96" s="1090">
        <f>'4.1 - GARAGES_CMPTZ &amp; HEATING '!H25</f>
        <v>0</v>
      </c>
      <c r="G96" s="1091">
        <f>'4.1 - GARAGES_CMPTZ &amp; HEATING '!J25</f>
        <v>0</v>
      </c>
      <c r="H96" s="1091">
        <f>'4.1 - GARAGES_CMPTZ &amp; HEATING '!G25</f>
        <v>0</v>
      </c>
      <c r="I96" s="1091">
        <f>'4.1 - GARAGES_CMPTZ &amp; HEATING '!I25</f>
        <v>0</v>
      </c>
      <c r="J96" s="1083"/>
      <c r="K96" s="1405"/>
      <c r="L96" s="1405"/>
    </row>
    <row r="97" spans="1:40">
      <c r="A97" s="1081" t="s">
        <v>1252</v>
      </c>
      <c r="B97" s="1063" t="s">
        <v>1187</v>
      </c>
      <c r="C97" s="1074" t="s">
        <v>1119</v>
      </c>
      <c r="D97" s="1090" t="s">
        <v>1119</v>
      </c>
      <c r="E97" s="1090" t="s">
        <v>1119</v>
      </c>
      <c r="F97" s="1090" t="s">
        <v>1119</v>
      </c>
      <c r="G97" s="1091">
        <f>'4.1 - GARAGES_CMPTZ &amp; HEATING '!J26</f>
        <v>0</v>
      </c>
      <c r="H97" s="1091" t="s">
        <v>1119</v>
      </c>
      <c r="I97" s="1091">
        <f>'4.1 - GARAGES_CMPTZ &amp; HEATING '!I26</f>
        <v>0</v>
      </c>
      <c r="J97" s="1083"/>
      <c r="K97" s="1405"/>
      <c r="L97" s="1405"/>
    </row>
    <row r="98" spans="1:40" ht="36">
      <c r="A98" s="1081" t="s">
        <v>1253</v>
      </c>
      <c r="B98" s="1063" t="s">
        <v>1254</v>
      </c>
      <c r="C98" s="1074" t="s">
        <v>1119</v>
      </c>
      <c r="D98" s="1090" t="s">
        <v>1119</v>
      </c>
      <c r="E98" s="1090" t="s">
        <v>1119</v>
      </c>
      <c r="F98" s="1090" t="s">
        <v>1119</v>
      </c>
      <c r="G98" s="1091">
        <f>'4.1 - GARAGES_CMPTZ &amp; HEATING '!J27</f>
        <v>0</v>
      </c>
      <c r="H98" s="1091" t="s">
        <v>1119</v>
      </c>
      <c r="I98" s="1091">
        <f>'4.1 - GARAGES_CMPTZ &amp; HEATING '!I27</f>
        <v>0</v>
      </c>
      <c r="J98" s="1083"/>
      <c r="K98" s="1405"/>
      <c r="L98" s="1405"/>
    </row>
    <row r="99" spans="1:40" s="1424" customFormat="1" ht="45.75" customHeight="1">
      <c r="A99" s="1067">
        <v>5</v>
      </c>
      <c r="B99" s="1068" t="s">
        <v>1255</v>
      </c>
      <c r="C99" s="1069"/>
      <c r="D99" s="1069"/>
      <c r="E99" s="1069"/>
      <c r="F99" s="1069"/>
      <c r="G99" s="1069"/>
      <c r="H99" s="1069"/>
      <c r="I99" s="1070"/>
      <c r="J99" s="1071"/>
      <c r="M99" s="1425"/>
      <c r="N99" s="1425"/>
      <c r="O99" s="1425"/>
      <c r="P99" s="1425"/>
      <c r="Q99" s="1425"/>
      <c r="R99" s="1425"/>
      <c r="S99" s="1425"/>
      <c r="T99" s="1425"/>
      <c r="U99" s="1425"/>
      <c r="V99" s="1425"/>
      <c r="W99" s="1425"/>
      <c r="X99" s="1425"/>
      <c r="Y99" s="1425"/>
      <c r="Z99" s="1425"/>
      <c r="AA99" s="1425"/>
      <c r="AB99" s="1425"/>
      <c r="AC99" s="1425"/>
      <c r="AD99" s="1425"/>
      <c r="AE99" s="1425"/>
      <c r="AF99" s="1425"/>
      <c r="AG99" s="1425"/>
      <c r="AH99" s="1425"/>
      <c r="AI99" s="1425"/>
      <c r="AJ99" s="1425"/>
      <c r="AK99" s="1425"/>
      <c r="AL99" s="1425"/>
      <c r="AM99" s="1425"/>
      <c r="AN99" s="1425"/>
    </row>
    <row r="100" spans="1:40">
      <c r="A100" s="1072" t="s">
        <v>1256</v>
      </c>
      <c r="B100" s="1073" t="s">
        <v>1122</v>
      </c>
      <c r="C100" s="1092" t="str">
        <f>'5.1, 5.3 - HEATING'!F44</f>
        <v>See below</v>
      </c>
      <c r="D100" s="1075">
        <f>'5.1, 5.3 - HEATING'!H44</f>
        <v>0</v>
      </c>
      <c r="E100" s="1075">
        <f>'5.1, 5.3 - HEATING'!M44</f>
        <v>0</v>
      </c>
      <c r="F100" s="1075">
        <f>'5.1, 5.3 - HEATING'!N44</f>
        <v>0</v>
      </c>
      <c r="G100" s="1076">
        <f>'5.1, 5.3 - HEATING'!P44</f>
        <v>0</v>
      </c>
      <c r="H100" s="1076">
        <f>'5.1, 5.3 - HEATING'!M44</f>
        <v>0</v>
      </c>
      <c r="I100" s="1076">
        <f>'5.1, 5.3 - HEATING'!O44</f>
        <v>0</v>
      </c>
      <c r="J100" s="1077"/>
      <c r="K100" s="1405"/>
      <c r="L100" s="1405"/>
    </row>
    <row r="101" spans="1:40" ht="18" customHeight="1">
      <c r="A101" s="1084"/>
      <c r="B101" s="1086" t="s">
        <v>1123</v>
      </c>
      <c r="C101" s="1086"/>
      <c r="D101" s="1086"/>
      <c r="E101" s="1086"/>
      <c r="F101" s="1086"/>
      <c r="G101" s="1086"/>
      <c r="H101" s="1086"/>
      <c r="I101" s="1086"/>
      <c r="J101" s="1087"/>
      <c r="K101" s="1405"/>
      <c r="L101" s="1405"/>
    </row>
    <row r="102" spans="1:40">
      <c r="A102" s="1093" t="s">
        <v>1257</v>
      </c>
      <c r="B102" s="1082" t="s">
        <v>767</v>
      </c>
      <c r="C102" s="1092">
        <f>'5.1, 5.3 - HEATING'!F46</f>
        <v>0</v>
      </c>
      <c r="D102" s="1075">
        <f>'5.1, 5.3 - HEATING'!H46</f>
        <v>0</v>
      </c>
      <c r="E102" s="1075">
        <f>'5.1, 5.3 - HEATING'!M46</f>
        <v>0</v>
      </c>
      <c r="F102" s="1075">
        <f>'5.1, 5.3 - HEATING'!N46</f>
        <v>0</v>
      </c>
      <c r="G102" s="1076">
        <f>'5.1, 5.3 - HEATING'!P46</f>
        <v>0</v>
      </c>
      <c r="H102" s="1076">
        <f>'5.1, 5.3 - HEATING'!M46</f>
        <v>0</v>
      </c>
      <c r="I102" s="1076">
        <f>'5.1, 5.3 - HEATING'!O46</f>
        <v>0</v>
      </c>
      <c r="J102" s="1083"/>
      <c r="K102" s="1405"/>
      <c r="L102" s="1405"/>
    </row>
    <row r="103" spans="1:40" ht="222" customHeight="1">
      <c r="A103" s="1093" t="s">
        <v>1258</v>
      </c>
      <c r="B103" s="1094" t="s">
        <v>763</v>
      </c>
      <c r="C103" s="1092">
        <f>'5.1, 5.3 - HEATING'!F47</f>
        <v>0</v>
      </c>
      <c r="D103" s="1075">
        <f>'5.1, 5.3 - HEATING'!H47</f>
        <v>0</v>
      </c>
      <c r="E103" s="1075">
        <f>'5.1, 5.3 - HEATING'!M47</f>
        <v>0</v>
      </c>
      <c r="F103" s="1075">
        <f>'5.1, 5.3 - HEATING'!N47</f>
        <v>0</v>
      </c>
      <c r="G103" s="1076">
        <f>'5.1, 5.3 - HEATING'!P47</f>
        <v>0</v>
      </c>
      <c r="H103" s="1076">
        <f>'5.1, 5.3 - HEATING'!M47</f>
        <v>0</v>
      </c>
      <c r="I103" s="1076">
        <f>'5.1, 5.3 - HEATING'!O47</f>
        <v>0</v>
      </c>
      <c r="J103" s="1095"/>
      <c r="K103" s="1405"/>
      <c r="L103" s="1405"/>
    </row>
    <row r="104" spans="1:40" ht="36">
      <c r="A104" s="1093" t="s">
        <v>1259</v>
      </c>
      <c r="B104" s="1082" t="s">
        <v>1260</v>
      </c>
      <c r="C104" s="1092">
        <f>'5.1, 5.3 - HEATING'!F48</f>
        <v>0</v>
      </c>
      <c r="D104" s="1075">
        <f>'5.1, 5.3 - HEATING'!H48</f>
        <v>0</v>
      </c>
      <c r="E104" s="1075">
        <f>'5.1, 5.3 - HEATING'!M48</f>
        <v>0</v>
      </c>
      <c r="F104" s="1075">
        <f>'5.1, 5.3 - HEATING'!N48</f>
        <v>0</v>
      </c>
      <c r="G104" s="1076">
        <f>'5.1, 5.3 - HEATING'!P48</f>
        <v>0</v>
      </c>
      <c r="H104" s="1076">
        <f>'5.1, 5.3 - HEATING'!M48</f>
        <v>0</v>
      </c>
      <c r="I104" s="1076">
        <f>'5.1, 5.3 - HEATING'!O48</f>
        <v>0</v>
      </c>
      <c r="J104" s="1083"/>
      <c r="K104" s="1405"/>
      <c r="L104" s="1405"/>
    </row>
    <row r="105" spans="1:40" ht="117" customHeight="1">
      <c r="A105" s="1093" t="s">
        <v>1261</v>
      </c>
      <c r="B105" s="1082" t="s">
        <v>769</v>
      </c>
      <c r="C105" s="1092">
        <f>'5.1, 5.3 - HEATING'!F49</f>
        <v>0</v>
      </c>
      <c r="D105" s="1075">
        <f>'5.1, 5.3 - HEATING'!H49</f>
        <v>0</v>
      </c>
      <c r="E105" s="1075">
        <f>'5.1, 5.3 - HEATING'!M49</f>
        <v>0</v>
      </c>
      <c r="F105" s="1075">
        <f>'5.1, 5.3 - HEATING'!N49</f>
        <v>0</v>
      </c>
      <c r="G105" s="1076">
        <f>'5.1, 5.3 - HEATING'!P49</f>
        <v>0</v>
      </c>
      <c r="H105" s="1076">
        <f>'5.1, 5.3 - HEATING'!M49</f>
        <v>0</v>
      </c>
      <c r="I105" s="1076">
        <f>'5.1, 5.3 - HEATING'!O49</f>
        <v>0</v>
      </c>
      <c r="J105" s="1083"/>
      <c r="K105" s="1405"/>
      <c r="L105" s="1405"/>
    </row>
    <row r="106" spans="1:40">
      <c r="A106" s="1093" t="s">
        <v>1262</v>
      </c>
      <c r="B106" s="1082" t="s">
        <v>771</v>
      </c>
      <c r="C106" s="1092">
        <f>'5.1, 5.3 - HEATING'!F50</f>
        <v>0</v>
      </c>
      <c r="D106" s="1075">
        <f>'5.1, 5.3 - HEATING'!H50</f>
        <v>0</v>
      </c>
      <c r="E106" s="1075">
        <f>'5.1, 5.3 - HEATING'!M50</f>
        <v>0</v>
      </c>
      <c r="F106" s="1075">
        <f>'5.1, 5.3 - HEATING'!N50</f>
        <v>0</v>
      </c>
      <c r="G106" s="1076">
        <f>'5.1, 5.3 - HEATING'!P50</f>
        <v>0</v>
      </c>
      <c r="H106" s="1076">
        <f>'5.1, 5.3 - HEATING'!M50</f>
        <v>0</v>
      </c>
      <c r="I106" s="1076">
        <f>'5.1, 5.3 - HEATING'!O50</f>
        <v>0</v>
      </c>
      <c r="J106" s="1083"/>
      <c r="K106" s="1405"/>
      <c r="L106" s="1405"/>
    </row>
    <row r="107" spans="1:40" s="1406" customFormat="1" ht="18" customHeight="1">
      <c r="A107" s="1084"/>
      <c r="B107" s="1085" t="s">
        <v>1263</v>
      </c>
      <c r="C107" s="1086"/>
      <c r="D107" s="1086"/>
      <c r="E107" s="1086"/>
      <c r="F107" s="1086"/>
      <c r="G107" s="1086"/>
      <c r="H107" s="1086"/>
      <c r="I107" s="1086"/>
      <c r="J107" s="1087"/>
      <c r="K107" s="1405"/>
      <c r="L107" s="1405"/>
    </row>
    <row r="108" spans="1:40" s="1406" customFormat="1" ht="36">
      <c r="A108" s="1081" t="s">
        <v>1264</v>
      </c>
      <c r="B108" s="1082" t="s">
        <v>1265</v>
      </c>
      <c r="C108" s="1074" t="s">
        <v>1119</v>
      </c>
      <c r="D108" s="1075">
        <f>'5.1, 5.3 - HEATING'!H52</f>
        <v>0</v>
      </c>
      <c r="E108" s="1075">
        <f>'5.1, 5.3 - HEATING'!M52</f>
        <v>0</v>
      </c>
      <c r="F108" s="1075">
        <f>'5.1, 5.3 - HEATING'!N52</f>
        <v>0</v>
      </c>
      <c r="G108" s="1076">
        <f>'5.1, 5.3 - HEATING'!P52</f>
        <v>0</v>
      </c>
      <c r="H108" s="1076">
        <f>'5.1, 5.3 - HEATING'!M52</f>
        <v>0</v>
      </c>
      <c r="I108" s="1076">
        <f>'5.1, 5.3 - HEATING'!O52</f>
        <v>0</v>
      </c>
      <c r="J108" s="1083"/>
      <c r="K108" s="1405"/>
      <c r="L108" s="1405"/>
    </row>
    <row r="109" spans="1:40" s="1406" customFormat="1" ht="36">
      <c r="A109" s="1081" t="s">
        <v>1266</v>
      </c>
      <c r="B109" s="1082" t="s">
        <v>1267</v>
      </c>
      <c r="C109" s="1074" t="s">
        <v>1119</v>
      </c>
      <c r="D109" s="1075">
        <f>'5.1, 5.3 - HEATING'!H53</f>
        <v>0</v>
      </c>
      <c r="E109" s="1075">
        <f>'5.1, 5.3 - HEATING'!M53</f>
        <v>0</v>
      </c>
      <c r="F109" s="1075">
        <f>'5.1, 5.3 - HEATING'!N53</f>
        <v>0</v>
      </c>
      <c r="G109" s="1076">
        <f>'5.1, 5.3 - HEATING'!P53</f>
        <v>0</v>
      </c>
      <c r="H109" s="1076">
        <f>'5.1, 5.3 - HEATING'!M53</f>
        <v>0</v>
      </c>
      <c r="I109" s="1076">
        <f>'5.1, 5.3 - HEATING'!O53</f>
        <v>0</v>
      </c>
      <c r="J109" s="1083"/>
      <c r="K109" s="1405"/>
      <c r="L109" s="1405"/>
    </row>
    <row r="110" spans="1:40" s="1406" customFormat="1" ht="36">
      <c r="A110" s="1081" t="s">
        <v>1268</v>
      </c>
      <c r="B110" s="1082" t="s">
        <v>1269</v>
      </c>
      <c r="C110" s="1074" t="s">
        <v>1119</v>
      </c>
      <c r="D110" s="1075">
        <f>'5.1, 5.3 - HEATING'!H54</f>
        <v>0</v>
      </c>
      <c r="E110" s="1075">
        <f>'5.1, 5.3 - HEATING'!M54</f>
        <v>0</v>
      </c>
      <c r="F110" s="1075">
        <f>'5.1, 5.3 - HEATING'!N54</f>
        <v>0</v>
      </c>
      <c r="G110" s="1076">
        <f>'5.1, 5.3 - HEATING'!P54</f>
        <v>0</v>
      </c>
      <c r="H110" s="1076">
        <f>'5.1, 5.3 - HEATING'!M54</f>
        <v>0</v>
      </c>
      <c r="I110" s="1076">
        <f>'5.1, 5.3 - HEATING'!O54</f>
        <v>0</v>
      </c>
      <c r="J110" s="1083"/>
      <c r="K110" s="1405"/>
      <c r="L110" s="1405"/>
    </row>
    <row r="111" spans="1:40" s="1406" customFormat="1" ht="36">
      <c r="A111" s="1081" t="s">
        <v>1270</v>
      </c>
      <c r="B111" s="1082" t="s">
        <v>1271</v>
      </c>
      <c r="C111" s="1074" t="s">
        <v>1119</v>
      </c>
      <c r="D111" s="1075">
        <f>'5.1, 5.3 - HEATING'!H55</f>
        <v>0</v>
      </c>
      <c r="E111" s="1075">
        <f>'5.1, 5.3 - HEATING'!M55</f>
        <v>0</v>
      </c>
      <c r="F111" s="1075">
        <f>'5.1, 5.3 - HEATING'!N55</f>
        <v>0</v>
      </c>
      <c r="G111" s="1076">
        <f>'5.1, 5.3 - HEATING'!P55</f>
        <v>0</v>
      </c>
      <c r="H111" s="1076">
        <f>'5.1, 5.3 - HEATING'!M55</f>
        <v>0</v>
      </c>
      <c r="I111" s="1076">
        <f>'5.1, 5.3 - HEATING'!O55</f>
        <v>0</v>
      </c>
      <c r="J111" s="1083"/>
      <c r="K111" s="1405"/>
      <c r="L111" s="1405"/>
    </row>
    <row r="112" spans="1:40" s="1406" customFormat="1" ht="36">
      <c r="A112" s="1081" t="s">
        <v>1272</v>
      </c>
      <c r="B112" s="1082" t="s">
        <v>1273</v>
      </c>
      <c r="C112" s="1074" t="s">
        <v>1119</v>
      </c>
      <c r="D112" s="1075">
        <f>'5.1, 5.3 - HEATING'!H56</f>
        <v>0</v>
      </c>
      <c r="E112" s="1075">
        <f>'5.1, 5.3 - HEATING'!M56</f>
        <v>0</v>
      </c>
      <c r="F112" s="1075">
        <f>'5.1, 5.3 - HEATING'!N56</f>
        <v>0</v>
      </c>
      <c r="G112" s="1076">
        <f>'5.1, 5.3 - HEATING'!P56</f>
        <v>0</v>
      </c>
      <c r="H112" s="1076">
        <f>'5.1, 5.3 - HEATING'!M56</f>
        <v>0</v>
      </c>
      <c r="I112" s="1076">
        <f>'5.1, 5.3 - HEATING'!O56</f>
        <v>0</v>
      </c>
      <c r="J112" s="1083"/>
      <c r="K112" s="1405"/>
      <c r="L112" s="1405"/>
    </row>
    <row r="113" spans="1:12" s="1406" customFormat="1" ht="36">
      <c r="A113" s="1081" t="s">
        <v>1274</v>
      </c>
      <c r="B113" s="1082" t="s">
        <v>1275</v>
      </c>
      <c r="C113" s="1074" t="s">
        <v>1119</v>
      </c>
      <c r="D113" s="1075">
        <f>'5.1, 5.3 - HEATING'!H57</f>
        <v>0</v>
      </c>
      <c r="E113" s="1075">
        <f>'5.1, 5.3 - HEATING'!M57</f>
        <v>0</v>
      </c>
      <c r="F113" s="1075">
        <f>'5.1, 5.3 - HEATING'!N57</f>
        <v>0</v>
      </c>
      <c r="G113" s="1076">
        <f>'5.1, 5.3 - HEATING'!P57</f>
        <v>0</v>
      </c>
      <c r="H113" s="1076">
        <f>'5.1, 5.3 - HEATING'!M57</f>
        <v>0</v>
      </c>
      <c r="I113" s="1076">
        <f>'5.1, 5.3 - HEATING'!O57</f>
        <v>0</v>
      </c>
      <c r="J113" s="1083"/>
      <c r="K113" s="1405"/>
      <c r="L113" s="1405"/>
    </row>
    <row r="114" spans="1:12" s="1406" customFormat="1" ht="18" customHeight="1">
      <c r="A114" s="1084"/>
      <c r="B114" s="1086" t="s">
        <v>1276</v>
      </c>
      <c r="C114" s="1086"/>
      <c r="D114" s="1086"/>
      <c r="E114" s="1086"/>
      <c r="F114" s="1086"/>
      <c r="G114" s="1086"/>
      <c r="H114" s="1086"/>
      <c r="I114" s="1086"/>
      <c r="J114" s="1087"/>
      <c r="K114" s="1405"/>
      <c r="L114" s="1405"/>
    </row>
    <row r="115" spans="1:12" s="1406" customFormat="1" ht="36">
      <c r="A115" s="1081" t="s">
        <v>1277</v>
      </c>
      <c r="B115" s="1082" t="s">
        <v>1278</v>
      </c>
      <c r="C115" s="1074" t="s">
        <v>1119</v>
      </c>
      <c r="D115" s="1075">
        <f>'5.1, 5.3 - HEATING'!H59</f>
        <v>0</v>
      </c>
      <c r="E115" s="1075">
        <f>'5.1, 5.3 - HEATING'!M59</f>
        <v>0</v>
      </c>
      <c r="F115" s="1075">
        <f>'5.1, 5.3 - HEATING'!N59</f>
        <v>0</v>
      </c>
      <c r="G115" s="1076">
        <f>'5.1, 5.3 - HEATING'!P59</f>
        <v>0</v>
      </c>
      <c r="H115" s="1076">
        <f>'5.1, 5.3 - HEATING'!M59</f>
        <v>0</v>
      </c>
      <c r="I115" s="1076">
        <f>'5.1, 5.3 - HEATING'!O59</f>
        <v>0</v>
      </c>
      <c r="J115" s="1083"/>
      <c r="K115" s="1405"/>
      <c r="L115" s="1405"/>
    </row>
    <row r="116" spans="1:12" s="1406" customFormat="1" ht="36">
      <c r="A116" s="1081" t="s">
        <v>1279</v>
      </c>
      <c r="B116" s="1082" t="s">
        <v>1280</v>
      </c>
      <c r="C116" s="1074" t="s">
        <v>1119</v>
      </c>
      <c r="D116" s="1075">
        <f>'5.1, 5.3 - HEATING'!H60</f>
        <v>0</v>
      </c>
      <c r="E116" s="1075">
        <f>'5.1, 5.3 - HEATING'!M60</f>
        <v>0</v>
      </c>
      <c r="F116" s="1075">
        <f>'5.1, 5.3 - HEATING'!N60</f>
        <v>0</v>
      </c>
      <c r="G116" s="1076">
        <f>'5.1, 5.3 - HEATING'!P60</f>
        <v>0</v>
      </c>
      <c r="H116" s="1076">
        <f>'5.1, 5.3 - HEATING'!M60</f>
        <v>0</v>
      </c>
      <c r="I116" s="1076">
        <f>'5.1, 5.3 - HEATING'!O60</f>
        <v>0</v>
      </c>
      <c r="J116" s="1083"/>
      <c r="K116" s="1405"/>
      <c r="L116" s="1405"/>
    </row>
    <row r="117" spans="1:12" ht="36">
      <c r="A117" s="1081" t="s">
        <v>1281</v>
      </c>
      <c r="B117" s="1082" t="s">
        <v>1282</v>
      </c>
      <c r="C117" s="1074" t="s">
        <v>1119</v>
      </c>
      <c r="D117" s="1075">
        <f>'5.1, 5.3 - HEATING'!H61</f>
        <v>0</v>
      </c>
      <c r="E117" s="1075">
        <f>'5.1, 5.3 - HEATING'!M61</f>
        <v>0</v>
      </c>
      <c r="F117" s="1075">
        <f>'5.1, 5.3 - HEATING'!N61</f>
        <v>0</v>
      </c>
      <c r="G117" s="1076">
        <f>'5.1, 5.3 - HEATING'!P61</f>
        <v>0</v>
      </c>
      <c r="H117" s="1076">
        <f>'5.1, 5.3 - HEATING'!M61</f>
        <v>0</v>
      </c>
      <c r="I117" s="1076">
        <f>'5.1, 5.3 - HEATING'!O61</f>
        <v>0</v>
      </c>
      <c r="J117" s="1083"/>
      <c r="K117" s="1405"/>
      <c r="L117" s="1405"/>
    </row>
    <row r="118" spans="1:12" ht="36">
      <c r="A118" s="1081" t="s">
        <v>1283</v>
      </c>
      <c r="B118" s="1082" t="s">
        <v>1284</v>
      </c>
      <c r="C118" s="1074" t="s">
        <v>1119</v>
      </c>
      <c r="D118" s="1075">
        <f>'5.1, 5.3 - HEATING'!H62</f>
        <v>0</v>
      </c>
      <c r="E118" s="1075">
        <f>'5.1, 5.3 - HEATING'!M62</f>
        <v>0</v>
      </c>
      <c r="F118" s="1075">
        <f>'5.1, 5.3 - HEATING'!N62</f>
        <v>0</v>
      </c>
      <c r="G118" s="1076">
        <f>'5.1, 5.3 - HEATING'!P62</f>
        <v>0</v>
      </c>
      <c r="H118" s="1076">
        <f>'5.1, 5.3 - HEATING'!M62</f>
        <v>0</v>
      </c>
      <c r="I118" s="1076">
        <f>'5.1, 5.3 - HEATING'!O62</f>
        <v>0</v>
      </c>
      <c r="J118" s="1083"/>
      <c r="K118" s="1405"/>
      <c r="L118" s="1405"/>
    </row>
    <row r="119" spans="1:12" ht="36">
      <c r="A119" s="1081" t="s">
        <v>1285</v>
      </c>
      <c r="B119" s="1082" t="s">
        <v>1286</v>
      </c>
      <c r="C119" s="1074" t="s">
        <v>1119</v>
      </c>
      <c r="D119" s="1075" t="s">
        <v>1119</v>
      </c>
      <c r="E119" s="1075" t="s">
        <v>1119</v>
      </c>
      <c r="F119" s="1075" t="s">
        <v>1119</v>
      </c>
      <c r="G119" s="1076">
        <f>'5.1, 5.3 - HEATING'!P63</f>
        <v>0</v>
      </c>
      <c r="H119" s="1076">
        <f>'5.1, 5.3 - HEATING'!M63</f>
        <v>0</v>
      </c>
      <c r="I119" s="1076">
        <f>'5.1, 5.3 - HEATING'!O63</f>
        <v>0</v>
      </c>
      <c r="J119" s="1083"/>
      <c r="K119" s="1405"/>
      <c r="L119" s="1405"/>
    </row>
    <row r="120" spans="1:12" ht="54">
      <c r="A120" s="1081" t="s">
        <v>1287</v>
      </c>
      <c r="B120" s="1082" t="s">
        <v>1288</v>
      </c>
      <c r="C120" s="1074" t="s">
        <v>1119</v>
      </c>
      <c r="D120" s="1075" t="s">
        <v>1119</v>
      </c>
      <c r="E120" s="1075" t="s">
        <v>1119</v>
      </c>
      <c r="F120" s="1075" t="s">
        <v>1119</v>
      </c>
      <c r="G120" s="1076">
        <f>'5.1, 5.3 - HEATING'!P64</f>
        <v>0</v>
      </c>
      <c r="H120" s="1076">
        <f>'5.1, 5.3 - HEATING'!M64</f>
        <v>0</v>
      </c>
      <c r="I120" s="1076">
        <f>'5.1, 5.3 - HEATING'!O64</f>
        <v>0</v>
      </c>
      <c r="J120" s="1083"/>
      <c r="K120" s="1405"/>
      <c r="L120" s="1405"/>
    </row>
    <row r="121" spans="1:12" ht="18" customHeight="1">
      <c r="A121" s="1084"/>
      <c r="B121" s="1086" t="s">
        <v>1289</v>
      </c>
      <c r="C121" s="1086"/>
      <c r="D121" s="1086"/>
      <c r="E121" s="1086"/>
      <c r="F121" s="1086"/>
      <c r="G121" s="1086"/>
      <c r="H121" s="1086"/>
      <c r="I121" s="1086"/>
      <c r="J121" s="1087"/>
      <c r="K121" s="1405"/>
      <c r="L121" s="1405"/>
    </row>
    <row r="122" spans="1:12" ht="36">
      <c r="A122" s="1081" t="s">
        <v>1290</v>
      </c>
      <c r="B122" s="1082" t="s">
        <v>1291</v>
      </c>
      <c r="C122" s="1074" t="s">
        <v>1119</v>
      </c>
      <c r="D122" s="1075">
        <f>'5.1, 5.3 - HEATING'!H66</f>
        <v>0</v>
      </c>
      <c r="E122" s="1075">
        <f>'5.1, 5.3 - HEATING'!M66</f>
        <v>0</v>
      </c>
      <c r="F122" s="1075">
        <f>'5.1, 5.3 - HEATING'!N66</f>
        <v>0</v>
      </c>
      <c r="G122" s="1076">
        <f>'5.1, 5.3 - HEATING'!P66</f>
        <v>0</v>
      </c>
      <c r="H122" s="1076">
        <f>'5.1, 5.3 - HEATING'!M66</f>
        <v>0</v>
      </c>
      <c r="I122" s="1076">
        <f>'5.1, 5.3 - HEATING'!O66</f>
        <v>0</v>
      </c>
      <c r="J122" s="1083"/>
      <c r="K122" s="1405"/>
      <c r="L122" s="1405"/>
    </row>
    <row r="123" spans="1:12" ht="36">
      <c r="A123" s="1081" t="s">
        <v>1292</v>
      </c>
      <c r="B123" s="1082" t="s">
        <v>1293</v>
      </c>
      <c r="C123" s="1074" t="s">
        <v>1119</v>
      </c>
      <c r="D123" s="1075">
        <f>'5.1, 5.3 - HEATING'!H67</f>
        <v>0</v>
      </c>
      <c r="E123" s="1075">
        <f>'5.1, 5.3 - HEATING'!M67</f>
        <v>0</v>
      </c>
      <c r="F123" s="1075">
        <f>'5.1, 5.3 - HEATING'!N67</f>
        <v>0</v>
      </c>
      <c r="G123" s="1076">
        <f>'5.1, 5.3 - HEATING'!P67</f>
        <v>0</v>
      </c>
      <c r="H123" s="1076">
        <f>'5.1, 5.3 - HEATING'!M67</f>
        <v>0</v>
      </c>
      <c r="I123" s="1076">
        <f>'5.1, 5.3 - HEATING'!O67</f>
        <v>0</v>
      </c>
      <c r="J123" s="1083"/>
      <c r="K123" s="1405"/>
      <c r="L123" s="1405"/>
    </row>
    <row r="124" spans="1:12" ht="36">
      <c r="A124" s="1081" t="s">
        <v>1294</v>
      </c>
      <c r="B124" s="1082" t="s">
        <v>1295</v>
      </c>
      <c r="C124" s="1074" t="s">
        <v>1119</v>
      </c>
      <c r="D124" s="1075">
        <f>'5.1, 5.3 - HEATING'!H68</f>
        <v>0</v>
      </c>
      <c r="E124" s="1075">
        <f>'5.1, 5.3 - HEATING'!M68</f>
        <v>0</v>
      </c>
      <c r="F124" s="1075">
        <f>'5.1, 5.3 - HEATING'!N68</f>
        <v>0</v>
      </c>
      <c r="G124" s="1076">
        <f>'5.1, 5.3 - HEATING'!P68</f>
        <v>0</v>
      </c>
      <c r="H124" s="1076">
        <f>'5.1, 5.3 - HEATING'!M68</f>
        <v>0</v>
      </c>
      <c r="I124" s="1076">
        <f>'5.1, 5.3 - HEATING'!O68</f>
        <v>0</v>
      </c>
      <c r="J124" s="1083"/>
      <c r="K124" s="1405"/>
      <c r="L124" s="1405"/>
    </row>
    <row r="125" spans="1:12" ht="36">
      <c r="A125" s="1081" t="s">
        <v>1296</v>
      </c>
      <c r="B125" s="1082" t="s">
        <v>1297</v>
      </c>
      <c r="C125" s="1074" t="s">
        <v>1119</v>
      </c>
      <c r="D125" s="1075" t="s">
        <v>1119</v>
      </c>
      <c r="E125" s="1075" t="s">
        <v>1119</v>
      </c>
      <c r="F125" s="1075" t="s">
        <v>1119</v>
      </c>
      <c r="G125" s="1076">
        <f>'5.1, 5.3 - HEATING'!P69</f>
        <v>0</v>
      </c>
      <c r="H125" s="1076">
        <f>'5.1, 5.3 - HEATING'!M69</f>
        <v>0</v>
      </c>
      <c r="I125" s="1076">
        <f>'5.1, 5.3 - HEATING'!O69</f>
        <v>0</v>
      </c>
      <c r="J125" s="1083"/>
      <c r="K125" s="1405"/>
      <c r="L125" s="1405"/>
    </row>
    <row r="126" spans="1:12" ht="18" customHeight="1">
      <c r="A126" s="1084"/>
      <c r="B126" s="1086" t="s">
        <v>1298</v>
      </c>
      <c r="C126" s="1086"/>
      <c r="D126" s="1086"/>
      <c r="E126" s="1086"/>
      <c r="F126" s="1086"/>
      <c r="G126" s="1086"/>
      <c r="H126" s="1086"/>
      <c r="I126" s="1086"/>
      <c r="J126" s="1087"/>
      <c r="K126" s="1405"/>
      <c r="L126" s="1405"/>
    </row>
    <row r="127" spans="1:12" ht="36">
      <c r="A127" s="1081" t="s">
        <v>1299</v>
      </c>
      <c r="B127" s="1082" t="s">
        <v>1300</v>
      </c>
      <c r="C127" s="1074" t="s">
        <v>1119</v>
      </c>
      <c r="D127" s="1075">
        <f>'5.1, 5.3 - HEATING'!H71</f>
        <v>0</v>
      </c>
      <c r="E127" s="1075">
        <f>'5.1, 5.3 - HEATING'!M71</f>
        <v>0</v>
      </c>
      <c r="F127" s="1075">
        <f>'5.1, 5.3 - HEATING'!N71</f>
        <v>0</v>
      </c>
      <c r="G127" s="1076">
        <f>'5.1, 5.3 - HEATING'!P71</f>
        <v>0</v>
      </c>
      <c r="H127" s="1076">
        <f>'5.1, 5.3 - HEATING'!M71</f>
        <v>0</v>
      </c>
      <c r="I127" s="1076">
        <f>'5.1, 5.3 - HEATING'!O71</f>
        <v>0</v>
      </c>
      <c r="J127" s="1083"/>
      <c r="K127" s="1405"/>
      <c r="L127" s="1405"/>
    </row>
    <row r="128" spans="1:12" ht="36">
      <c r="A128" s="1081" t="s">
        <v>1301</v>
      </c>
      <c r="B128" s="1082" t="s">
        <v>1302</v>
      </c>
      <c r="C128" s="1074" t="s">
        <v>1119</v>
      </c>
      <c r="D128" s="1075" t="s">
        <v>1119</v>
      </c>
      <c r="E128" s="1075" t="s">
        <v>1119</v>
      </c>
      <c r="F128" s="1075" t="s">
        <v>1119</v>
      </c>
      <c r="G128" s="1076">
        <f>'5.1, 5.3 - HEATING'!P72</f>
        <v>0</v>
      </c>
      <c r="H128" s="1076">
        <f>'5.1, 5.3 - HEATING'!M72</f>
        <v>0</v>
      </c>
      <c r="I128" s="1076">
        <f>'5.1, 5.3 - HEATING'!O72</f>
        <v>0</v>
      </c>
      <c r="J128" s="1083"/>
      <c r="K128" s="1405"/>
      <c r="L128" s="1405"/>
    </row>
    <row r="129" spans="1:48" ht="42.75" customHeight="1">
      <c r="A129" s="1081" t="s">
        <v>1303</v>
      </c>
      <c r="B129" s="1082" t="s">
        <v>1304</v>
      </c>
      <c r="C129" s="1074" t="s">
        <v>1119</v>
      </c>
      <c r="D129" s="1075" t="s">
        <v>1119</v>
      </c>
      <c r="E129" s="1075" t="s">
        <v>1119</v>
      </c>
      <c r="F129" s="1075" t="s">
        <v>1119</v>
      </c>
      <c r="G129" s="1076">
        <f>'5.1, 5.3 - HEATING'!P73</f>
        <v>0</v>
      </c>
      <c r="H129" s="1076">
        <f>'5.1, 5.3 - HEATING'!M73</f>
        <v>0</v>
      </c>
      <c r="I129" s="1076">
        <f>'5.1, 5.3 - HEATING'!O73</f>
        <v>0</v>
      </c>
      <c r="J129" s="1083"/>
      <c r="K129" s="1405"/>
      <c r="L129" s="1405"/>
    </row>
    <row r="130" spans="1:48" ht="42.75" customHeight="1">
      <c r="A130" s="1081" t="s">
        <v>1305</v>
      </c>
      <c r="B130" s="1082" t="s">
        <v>1144</v>
      </c>
      <c r="C130" s="1074" t="s">
        <v>1119</v>
      </c>
      <c r="D130" s="1075" t="s">
        <v>1119</v>
      </c>
      <c r="E130" s="1075" t="s">
        <v>1119</v>
      </c>
      <c r="F130" s="1075" t="s">
        <v>1119</v>
      </c>
      <c r="G130" s="1076">
        <f>'5.1, 5.3 - HEATING'!P74</f>
        <v>0</v>
      </c>
      <c r="H130" s="1076">
        <f>'5.1, 5.3 - HEATING'!M74</f>
        <v>0</v>
      </c>
      <c r="I130" s="1076">
        <f>'5.1, 5.3 - HEATING'!O74</f>
        <v>0</v>
      </c>
      <c r="J130" s="1083"/>
      <c r="K130" s="1405"/>
      <c r="L130" s="1405"/>
    </row>
    <row r="131" spans="1:48" s="1424" customFormat="1" ht="45.75" customHeight="1">
      <c r="A131" s="1067">
        <v>5.6</v>
      </c>
      <c r="B131" s="1068" t="s">
        <v>1306</v>
      </c>
      <c r="C131" s="1069"/>
      <c r="D131" s="1069"/>
      <c r="E131" s="1069"/>
      <c r="F131" s="1069"/>
      <c r="G131" s="1069"/>
      <c r="H131" s="1069"/>
      <c r="I131" s="1070"/>
      <c r="J131" s="1071"/>
      <c r="M131" s="1425"/>
      <c r="N131" s="1425"/>
      <c r="O131" s="1425"/>
      <c r="P131" s="1425"/>
      <c r="Q131" s="1425"/>
      <c r="R131" s="1425"/>
      <c r="S131" s="1425"/>
      <c r="T131" s="1425"/>
      <c r="U131" s="1425"/>
      <c r="V131" s="1425"/>
      <c r="W131" s="1425"/>
      <c r="X131" s="1425"/>
      <c r="Y131" s="1425"/>
      <c r="Z131" s="1425"/>
      <c r="AA131" s="1425"/>
      <c r="AB131" s="1425"/>
      <c r="AC131" s="1425"/>
      <c r="AD131" s="1425"/>
      <c r="AE131" s="1425"/>
      <c r="AF131" s="1425"/>
      <c r="AG131" s="1425"/>
      <c r="AH131" s="1425"/>
      <c r="AI131" s="1425"/>
      <c r="AJ131" s="1425"/>
      <c r="AK131" s="1425"/>
      <c r="AL131" s="1425"/>
      <c r="AM131" s="1425"/>
      <c r="AN131" s="1425"/>
    </row>
    <row r="132" spans="1:48">
      <c r="A132" s="1081" t="s">
        <v>1307</v>
      </c>
      <c r="B132" s="1063" t="s">
        <v>1122</v>
      </c>
      <c r="C132" s="1074" t="str">
        <f>'5.2, 5.4 - COOLING'!E33</f>
        <v>see below</v>
      </c>
      <c r="D132" s="1090">
        <f>'5.2, 5.4 - COOLING'!G33</f>
        <v>0</v>
      </c>
      <c r="E132" s="1090">
        <f>'5.2, 5.4 - COOLING'!N33</f>
        <v>0</v>
      </c>
      <c r="F132" s="1090">
        <f>'5.2, 5.4 - COOLING'!O33</f>
        <v>0</v>
      </c>
      <c r="G132" s="1091">
        <f>'5.2, 5.4 - COOLING'!Q33</f>
        <v>0</v>
      </c>
      <c r="H132" s="1091">
        <f>'5.2, 5.4 - COOLING'!N33</f>
        <v>0</v>
      </c>
      <c r="I132" s="1091">
        <f>'5.2, 5.4 - COOLING'!P33</f>
        <v>0</v>
      </c>
      <c r="J132" s="1083"/>
      <c r="K132" s="1405"/>
      <c r="L132" s="1405"/>
    </row>
    <row r="133" spans="1:48" ht="18" customHeight="1">
      <c r="A133" s="1084"/>
      <c r="B133" s="1086" t="s">
        <v>1123</v>
      </c>
      <c r="C133" s="1086"/>
      <c r="D133" s="1086"/>
      <c r="E133" s="1086"/>
      <c r="F133" s="1086"/>
      <c r="G133" s="1086"/>
      <c r="H133" s="1086"/>
      <c r="I133" s="1086"/>
      <c r="J133" s="1087"/>
      <c r="K133" s="1405"/>
      <c r="L133" s="1405"/>
    </row>
    <row r="134" spans="1:48">
      <c r="A134" s="1081" t="s">
        <v>1308</v>
      </c>
      <c r="B134" s="1063" t="s">
        <v>1309</v>
      </c>
      <c r="C134" s="1074">
        <f>'5.2, 5.4 - COOLING'!E35</f>
        <v>0</v>
      </c>
      <c r="D134" s="1090">
        <f>'5.2, 5.4 - COOLING'!G35</f>
        <v>0</v>
      </c>
      <c r="E134" s="1090">
        <f>'5.2, 5.4 - COOLING'!N35</f>
        <v>0</v>
      </c>
      <c r="F134" s="1090">
        <f>'5.2, 5.4 - COOLING'!O35</f>
        <v>0</v>
      </c>
      <c r="G134" s="1091">
        <f>'5.2, 5.4 - COOLING'!Q35</f>
        <v>0</v>
      </c>
      <c r="H134" s="1091">
        <f>'5.2, 5.4 - COOLING'!N35</f>
        <v>0</v>
      </c>
      <c r="I134" s="1091">
        <f>'5.2, 5.4 - COOLING'!P35</f>
        <v>0</v>
      </c>
      <c r="J134" s="1083"/>
      <c r="K134" s="1405"/>
      <c r="L134" s="1405"/>
    </row>
    <row r="135" spans="1:48" s="1406" customFormat="1" ht="36">
      <c r="A135" s="1081" t="s">
        <v>1310</v>
      </c>
      <c r="B135" s="1063" t="s">
        <v>1311</v>
      </c>
      <c r="C135" s="1074">
        <f>'5.2, 5.4 - COOLING'!E36</f>
        <v>0</v>
      </c>
      <c r="D135" s="1090">
        <f>'5.2, 5.4 - COOLING'!G36</f>
        <v>0</v>
      </c>
      <c r="E135" s="1090">
        <f>'5.2, 5.4 - COOLING'!N36</f>
        <v>0</v>
      </c>
      <c r="F135" s="1090">
        <f>'5.2, 5.4 - COOLING'!O36</f>
        <v>0</v>
      </c>
      <c r="G135" s="1091">
        <f>'5.2, 5.4 - COOLING'!Q36</f>
        <v>0</v>
      </c>
      <c r="H135" s="1091">
        <f>'5.2, 5.4 - COOLING'!N36</f>
        <v>0</v>
      </c>
      <c r="I135" s="1091">
        <f>'5.2, 5.4 - COOLING'!P36</f>
        <v>0</v>
      </c>
      <c r="J135" s="1083"/>
      <c r="K135" s="1405"/>
      <c r="L135" s="1405"/>
      <c r="AO135" s="1405"/>
      <c r="AP135" s="1405"/>
      <c r="AQ135" s="1405"/>
      <c r="AR135" s="1405"/>
      <c r="AS135" s="1405"/>
      <c r="AT135" s="1405"/>
      <c r="AU135" s="1405"/>
      <c r="AV135" s="1405"/>
    </row>
    <row r="136" spans="1:48" s="1406" customFormat="1">
      <c r="A136" s="1081" t="s">
        <v>1312</v>
      </c>
      <c r="B136" s="1063" t="s">
        <v>1313</v>
      </c>
      <c r="C136" s="1074">
        <f>'5.2, 5.4 - COOLING'!E37</f>
        <v>0</v>
      </c>
      <c r="D136" s="1090">
        <f>'5.2, 5.4 - COOLING'!G37</f>
        <v>0</v>
      </c>
      <c r="E136" s="1090">
        <f>'5.2, 5.4 - COOLING'!N37</f>
        <v>0</v>
      </c>
      <c r="F136" s="1090">
        <f>'5.2, 5.4 - COOLING'!O37</f>
        <v>0</v>
      </c>
      <c r="G136" s="1091">
        <f>'5.2, 5.4 - COOLING'!Q37</f>
        <v>0</v>
      </c>
      <c r="H136" s="1091">
        <f>'5.2, 5.4 - COOLING'!N37</f>
        <v>0</v>
      </c>
      <c r="I136" s="1091">
        <f>'5.2, 5.4 - COOLING'!P37</f>
        <v>0</v>
      </c>
      <c r="J136" s="1083"/>
      <c r="K136" s="1405"/>
      <c r="L136" s="1405"/>
      <c r="AO136" s="1405"/>
      <c r="AP136" s="1405"/>
      <c r="AQ136" s="1405"/>
      <c r="AR136" s="1405"/>
      <c r="AS136" s="1405"/>
      <c r="AT136" s="1405"/>
      <c r="AU136" s="1405"/>
      <c r="AV136" s="1405"/>
    </row>
    <row r="137" spans="1:48" s="1406" customFormat="1" ht="18" customHeight="1">
      <c r="A137" s="1084"/>
      <c r="B137" s="1086" t="s">
        <v>1314</v>
      </c>
      <c r="C137" s="1086"/>
      <c r="D137" s="1086"/>
      <c r="E137" s="1086"/>
      <c r="F137" s="1086"/>
      <c r="G137" s="1086"/>
      <c r="H137" s="1086"/>
      <c r="I137" s="1086"/>
      <c r="J137" s="1087"/>
      <c r="K137" s="1405"/>
      <c r="L137" s="1405"/>
      <c r="AO137" s="1405"/>
      <c r="AP137" s="1405"/>
      <c r="AQ137" s="1405"/>
      <c r="AR137" s="1405"/>
      <c r="AS137" s="1405"/>
      <c r="AT137" s="1405"/>
      <c r="AU137" s="1405"/>
      <c r="AV137" s="1405"/>
    </row>
    <row r="138" spans="1:48" s="1406" customFormat="1" ht="36">
      <c r="A138" s="1081" t="s">
        <v>1315</v>
      </c>
      <c r="B138" s="1063" t="s">
        <v>1316</v>
      </c>
      <c r="C138" s="1074" t="s">
        <v>1119</v>
      </c>
      <c r="D138" s="1090">
        <f>'5.2, 5.4 - COOLING'!G39</f>
        <v>0</v>
      </c>
      <c r="E138" s="1090">
        <f>'5.2, 5.4 - COOLING'!N39</f>
        <v>0</v>
      </c>
      <c r="F138" s="1090">
        <f>'5.2, 5.4 - COOLING'!O39</f>
        <v>0</v>
      </c>
      <c r="G138" s="1091">
        <f>'5.2, 5.4 - COOLING'!Q39</f>
        <v>0</v>
      </c>
      <c r="H138" s="1091">
        <f>'5.2, 5.4 - COOLING'!N39</f>
        <v>0</v>
      </c>
      <c r="I138" s="1091">
        <f>'5.2, 5.4 - COOLING'!P39</f>
        <v>0</v>
      </c>
      <c r="J138" s="1083"/>
      <c r="K138" s="1405"/>
      <c r="L138" s="1405"/>
      <c r="AO138" s="1405"/>
      <c r="AP138" s="1405"/>
      <c r="AQ138" s="1405"/>
      <c r="AR138" s="1405"/>
      <c r="AS138" s="1405"/>
      <c r="AT138" s="1405"/>
      <c r="AU138" s="1405"/>
      <c r="AV138" s="1405"/>
    </row>
    <row r="139" spans="1:48" s="1406" customFormat="1" ht="36">
      <c r="A139" s="1081" t="s">
        <v>1317</v>
      </c>
      <c r="B139" s="1063" t="s">
        <v>1318</v>
      </c>
      <c r="C139" s="1074" t="s">
        <v>1119</v>
      </c>
      <c r="D139" s="1090">
        <f>'5.2, 5.4 - COOLING'!G40</f>
        <v>0</v>
      </c>
      <c r="E139" s="1090">
        <f>'5.2, 5.4 - COOLING'!N40</f>
        <v>0</v>
      </c>
      <c r="F139" s="1090">
        <f>'5.2, 5.4 - COOLING'!O40</f>
        <v>0</v>
      </c>
      <c r="G139" s="1091">
        <f>'5.2, 5.4 - COOLING'!Q40</f>
        <v>0</v>
      </c>
      <c r="H139" s="1091">
        <f>'5.2, 5.4 - COOLING'!N40</f>
        <v>0</v>
      </c>
      <c r="I139" s="1091">
        <f>'5.2, 5.4 - COOLING'!P40</f>
        <v>0</v>
      </c>
      <c r="J139" s="1083"/>
      <c r="K139" s="1405"/>
      <c r="L139" s="1405"/>
      <c r="AO139" s="1405"/>
      <c r="AP139" s="1405"/>
      <c r="AQ139" s="1405"/>
      <c r="AR139" s="1405"/>
      <c r="AS139" s="1405"/>
      <c r="AT139" s="1405"/>
      <c r="AU139" s="1405"/>
      <c r="AV139" s="1405"/>
    </row>
    <row r="140" spans="1:48" s="1406" customFormat="1" ht="36">
      <c r="A140" s="1081" t="s">
        <v>1319</v>
      </c>
      <c r="B140" s="1063" t="s">
        <v>1320</v>
      </c>
      <c r="C140" s="1074" t="s">
        <v>1119</v>
      </c>
      <c r="D140" s="1090">
        <f>'5.2, 5.4 - COOLING'!G41</f>
        <v>0</v>
      </c>
      <c r="E140" s="1090">
        <f>'5.2, 5.4 - COOLING'!N41</f>
        <v>0</v>
      </c>
      <c r="F140" s="1090">
        <f>'5.2, 5.4 - COOLING'!O41</f>
        <v>0</v>
      </c>
      <c r="G140" s="1091">
        <f>'5.2, 5.4 - COOLING'!Q41</f>
        <v>0</v>
      </c>
      <c r="H140" s="1091">
        <f>'5.2, 5.4 - COOLING'!N41</f>
        <v>0</v>
      </c>
      <c r="I140" s="1091">
        <f>'5.2, 5.4 - COOLING'!P41</f>
        <v>0</v>
      </c>
      <c r="J140" s="1083"/>
      <c r="K140" s="1405"/>
      <c r="L140" s="1405"/>
      <c r="AO140" s="1405"/>
      <c r="AP140" s="1405"/>
      <c r="AQ140" s="1405"/>
      <c r="AR140" s="1405"/>
      <c r="AS140" s="1405"/>
      <c r="AT140" s="1405"/>
      <c r="AU140" s="1405"/>
      <c r="AV140" s="1405"/>
    </row>
    <row r="141" spans="1:48" s="1406" customFormat="1" ht="36">
      <c r="A141" s="1081" t="s">
        <v>1321</v>
      </c>
      <c r="B141" s="1063" t="s">
        <v>1322</v>
      </c>
      <c r="C141" s="1074" t="s">
        <v>1119</v>
      </c>
      <c r="D141" s="1090">
        <f>'5.2, 5.4 - COOLING'!G42</f>
        <v>0</v>
      </c>
      <c r="E141" s="1090">
        <f>'5.2, 5.4 - COOLING'!N42</f>
        <v>0</v>
      </c>
      <c r="F141" s="1090">
        <f>'5.2, 5.4 - COOLING'!O42</f>
        <v>0</v>
      </c>
      <c r="G141" s="1091">
        <f>'5.2, 5.4 - COOLING'!Q42</f>
        <v>0</v>
      </c>
      <c r="H141" s="1091">
        <f>'5.2, 5.4 - COOLING'!N42</f>
        <v>0</v>
      </c>
      <c r="I141" s="1091">
        <f>'5.2, 5.4 - COOLING'!P42</f>
        <v>0</v>
      </c>
      <c r="J141" s="1083"/>
      <c r="K141" s="1405"/>
      <c r="L141" s="1405"/>
      <c r="AO141" s="1405"/>
      <c r="AP141" s="1405"/>
      <c r="AQ141" s="1405"/>
      <c r="AR141" s="1405"/>
      <c r="AS141" s="1405"/>
      <c r="AT141" s="1405"/>
      <c r="AU141" s="1405"/>
      <c r="AV141" s="1405"/>
    </row>
    <row r="142" spans="1:48" s="1406" customFormat="1" ht="198" customHeight="1">
      <c r="A142" s="1081" t="s">
        <v>1323</v>
      </c>
      <c r="B142" s="1063" t="s">
        <v>1324</v>
      </c>
      <c r="C142" s="1074" t="s">
        <v>1119</v>
      </c>
      <c r="D142" s="1090">
        <f>'5.2, 5.4 - COOLING'!G43</f>
        <v>0</v>
      </c>
      <c r="E142" s="1090">
        <f>'5.2, 5.4 - COOLING'!N43</f>
        <v>0</v>
      </c>
      <c r="F142" s="1090">
        <f>'5.2, 5.4 - COOLING'!O43</f>
        <v>0</v>
      </c>
      <c r="G142" s="1091">
        <f>'5.2, 5.4 - COOLING'!Q43</f>
        <v>0</v>
      </c>
      <c r="H142" s="1091">
        <f>'5.2, 5.4 - COOLING'!N43</f>
        <v>0</v>
      </c>
      <c r="I142" s="1091">
        <f>'5.2, 5.4 - COOLING'!P43</f>
        <v>0</v>
      </c>
      <c r="J142" s="1083"/>
      <c r="K142" s="1405"/>
      <c r="L142" s="1405"/>
      <c r="AO142" s="1405"/>
      <c r="AP142" s="1405"/>
      <c r="AQ142" s="1405"/>
      <c r="AR142" s="1405"/>
      <c r="AS142" s="1405"/>
      <c r="AT142" s="1405"/>
      <c r="AU142" s="1405"/>
      <c r="AV142" s="1405"/>
    </row>
    <row r="143" spans="1:48" s="1406" customFormat="1" ht="36">
      <c r="A143" s="1081" t="s">
        <v>1325</v>
      </c>
      <c r="B143" s="1063" t="s">
        <v>1326</v>
      </c>
      <c r="C143" s="1074" t="s">
        <v>1119</v>
      </c>
      <c r="D143" s="1090" t="s">
        <v>1119</v>
      </c>
      <c r="E143" s="1090" t="s">
        <v>1119</v>
      </c>
      <c r="F143" s="1090" t="s">
        <v>1119</v>
      </c>
      <c r="G143" s="1091">
        <f>'5.2, 5.4 - COOLING'!Q44</f>
        <v>0</v>
      </c>
      <c r="H143" s="1091" t="s">
        <v>1119</v>
      </c>
      <c r="I143" s="1091">
        <f>'5.2, 5.4 - COOLING'!P44</f>
        <v>0</v>
      </c>
      <c r="J143" s="1083"/>
      <c r="K143" s="1405"/>
      <c r="L143" s="1405"/>
      <c r="AO143" s="1405"/>
      <c r="AP143" s="1405"/>
      <c r="AQ143" s="1405"/>
      <c r="AR143" s="1405"/>
      <c r="AS143" s="1405"/>
      <c r="AT143" s="1405"/>
      <c r="AU143" s="1405"/>
      <c r="AV143" s="1405"/>
    </row>
    <row r="144" spans="1:48" s="1406" customFormat="1" ht="345" customHeight="1">
      <c r="A144" s="1078"/>
      <c r="B144" s="1079" t="s">
        <v>1327</v>
      </c>
      <c r="C144" s="1079"/>
      <c r="D144" s="1079"/>
      <c r="E144" s="1079"/>
      <c r="F144" s="1079"/>
      <c r="G144" s="1079"/>
      <c r="H144" s="1079"/>
      <c r="I144" s="1079"/>
      <c r="J144" s="1080"/>
      <c r="K144" s="1405"/>
      <c r="L144" s="1405"/>
      <c r="AO144" s="1405"/>
      <c r="AP144" s="1405"/>
      <c r="AQ144" s="1405"/>
      <c r="AR144" s="1405"/>
      <c r="AS144" s="1405"/>
      <c r="AT144" s="1405"/>
      <c r="AU144" s="1405"/>
      <c r="AV144" s="1405"/>
    </row>
    <row r="145" spans="1:48" s="1406" customFormat="1" ht="36">
      <c r="A145" s="1081" t="s">
        <v>1328</v>
      </c>
      <c r="B145" s="1063" t="s">
        <v>1329</v>
      </c>
      <c r="C145" s="1074" t="s">
        <v>1119</v>
      </c>
      <c r="D145" s="1090">
        <f>'5.2, 5.4 - COOLING'!G46</f>
        <v>0</v>
      </c>
      <c r="E145" s="1090">
        <f>'5.2, 5.4 - COOLING'!N46</f>
        <v>0</v>
      </c>
      <c r="F145" s="1090">
        <f>'5.2, 5.4 - COOLING'!O46</f>
        <v>0</v>
      </c>
      <c r="G145" s="1091">
        <f>'5.2, 5.4 - COOLING'!Q46</f>
        <v>0</v>
      </c>
      <c r="H145" s="1091">
        <f>'5.2, 5.4 - COOLING'!N46</f>
        <v>0</v>
      </c>
      <c r="I145" s="1091">
        <f>'5.2, 5.4 - COOLING'!P46</f>
        <v>0</v>
      </c>
      <c r="J145" s="1083"/>
      <c r="K145" s="1405"/>
      <c r="L145" s="1405"/>
      <c r="AO145" s="1405"/>
      <c r="AP145" s="1405"/>
      <c r="AQ145" s="1405"/>
      <c r="AR145" s="1405"/>
      <c r="AS145" s="1405"/>
      <c r="AT145" s="1405"/>
      <c r="AU145" s="1405"/>
      <c r="AV145" s="1405"/>
    </row>
    <row r="146" spans="1:48" s="1406" customFormat="1" ht="198" customHeight="1">
      <c r="A146" s="1081" t="s">
        <v>1330</v>
      </c>
      <c r="B146" s="1063" t="s">
        <v>1331</v>
      </c>
      <c r="C146" s="1074" t="s">
        <v>1119</v>
      </c>
      <c r="D146" s="1090">
        <f>'5.2, 5.4 - COOLING'!G47</f>
        <v>0</v>
      </c>
      <c r="E146" s="1090">
        <f>'5.2, 5.4 - COOLING'!N47</f>
        <v>0</v>
      </c>
      <c r="F146" s="1090">
        <f>'5.2, 5.4 - COOLING'!O47</f>
        <v>0</v>
      </c>
      <c r="G146" s="1091">
        <f>'5.2, 5.4 - COOLING'!Q47</f>
        <v>0</v>
      </c>
      <c r="H146" s="1091">
        <f>'5.2, 5.4 - COOLING'!N47</f>
        <v>0</v>
      </c>
      <c r="I146" s="1091">
        <f>'5.2, 5.4 - COOLING'!P47</f>
        <v>0</v>
      </c>
      <c r="J146" s="1083"/>
      <c r="K146" s="1405"/>
      <c r="L146" s="1405"/>
      <c r="AO146" s="1405"/>
      <c r="AP146" s="1405"/>
      <c r="AQ146" s="1405"/>
      <c r="AR146" s="1405"/>
      <c r="AS146" s="1405"/>
      <c r="AT146" s="1405"/>
      <c r="AU146" s="1405"/>
      <c r="AV146" s="1405"/>
    </row>
    <row r="147" spans="1:48" s="1406" customFormat="1" ht="36">
      <c r="A147" s="1081" t="s">
        <v>1332</v>
      </c>
      <c r="B147" s="1063" t="s">
        <v>1333</v>
      </c>
      <c r="C147" s="1074" t="s">
        <v>1119</v>
      </c>
      <c r="D147" s="1090">
        <f>'5.2, 5.4 - COOLING'!G48</f>
        <v>0</v>
      </c>
      <c r="E147" s="1090">
        <f>'5.2, 5.4 - COOLING'!N48</f>
        <v>0</v>
      </c>
      <c r="F147" s="1090">
        <f>'5.2, 5.4 - COOLING'!O48</f>
        <v>0</v>
      </c>
      <c r="G147" s="1091">
        <f>'5.2, 5.4 - COOLING'!Q48</f>
        <v>0</v>
      </c>
      <c r="H147" s="1091">
        <f>'5.2, 5.4 - COOLING'!N48</f>
        <v>0</v>
      </c>
      <c r="I147" s="1091">
        <f>'5.2, 5.4 - COOLING'!P48</f>
        <v>0</v>
      </c>
      <c r="J147" s="1083"/>
      <c r="K147" s="1405"/>
      <c r="L147" s="1405"/>
      <c r="AO147" s="1405"/>
      <c r="AP147" s="1405"/>
      <c r="AQ147" s="1405"/>
      <c r="AR147" s="1405"/>
      <c r="AS147" s="1405"/>
      <c r="AT147" s="1405"/>
      <c r="AU147" s="1405"/>
      <c r="AV147" s="1405"/>
    </row>
    <row r="148" spans="1:48" ht="36">
      <c r="A148" s="1081" t="s">
        <v>1334</v>
      </c>
      <c r="B148" s="1063" t="s">
        <v>1335</v>
      </c>
      <c r="C148" s="1074" t="s">
        <v>1119</v>
      </c>
      <c r="D148" s="1090">
        <f>'5.2, 5.4 - COOLING'!G49</f>
        <v>0</v>
      </c>
      <c r="E148" s="1090">
        <f>'5.2, 5.4 - COOLING'!N49</f>
        <v>0</v>
      </c>
      <c r="F148" s="1090">
        <f>'5.2, 5.4 - COOLING'!O49</f>
        <v>0</v>
      </c>
      <c r="G148" s="1091">
        <f>'5.2, 5.4 - COOLING'!Q49</f>
        <v>0</v>
      </c>
      <c r="H148" s="1091">
        <f>'5.2, 5.4 - COOLING'!N49</f>
        <v>0</v>
      </c>
      <c r="I148" s="1091">
        <f>'5.2, 5.4 - COOLING'!P49</f>
        <v>0</v>
      </c>
      <c r="J148" s="1083"/>
      <c r="K148" s="1405"/>
      <c r="L148" s="1405"/>
    </row>
    <row r="149" spans="1:48" ht="198" customHeight="1">
      <c r="A149" s="1081" t="s">
        <v>1336</v>
      </c>
      <c r="B149" s="1063" t="s">
        <v>1337</v>
      </c>
      <c r="C149" s="1074" t="s">
        <v>1119</v>
      </c>
      <c r="D149" s="1090">
        <f>'5.2, 5.4 - COOLING'!G50</f>
        <v>0</v>
      </c>
      <c r="E149" s="1090">
        <f>'5.2, 5.4 - COOLING'!N50</f>
        <v>0</v>
      </c>
      <c r="F149" s="1090">
        <f>'5.2, 5.4 - COOLING'!O50</f>
        <v>0</v>
      </c>
      <c r="G149" s="1091">
        <f>'5.2, 5.4 - COOLING'!Q50</f>
        <v>0</v>
      </c>
      <c r="H149" s="1091">
        <f>'5.2, 5.4 - COOLING'!N50</f>
        <v>0</v>
      </c>
      <c r="I149" s="1091">
        <f>'5.2, 5.4 - COOLING'!P50</f>
        <v>0</v>
      </c>
      <c r="J149" s="1083"/>
      <c r="K149" s="1405"/>
      <c r="L149" s="1405"/>
    </row>
    <row r="150" spans="1:48" ht="36">
      <c r="A150" s="1081" t="s">
        <v>1338</v>
      </c>
      <c r="B150" s="1063" t="s">
        <v>1339</v>
      </c>
      <c r="C150" s="1074" t="s">
        <v>1119</v>
      </c>
      <c r="D150" s="1090">
        <f>'5.2, 5.4 - COOLING'!G51</f>
        <v>0</v>
      </c>
      <c r="E150" s="1090">
        <f>'5.2, 5.4 - COOLING'!N51</f>
        <v>0</v>
      </c>
      <c r="F150" s="1090">
        <f>'5.2, 5.4 - COOLING'!O51</f>
        <v>0</v>
      </c>
      <c r="G150" s="1091">
        <f>'5.2, 5.4 - COOLING'!Q51</f>
        <v>0</v>
      </c>
      <c r="H150" s="1091">
        <f>'5.2, 5.4 - COOLING'!N51</f>
        <v>0</v>
      </c>
      <c r="I150" s="1091">
        <f>'5.2, 5.4 - COOLING'!P51</f>
        <v>0</v>
      </c>
      <c r="J150" s="1083"/>
      <c r="K150" s="1405"/>
      <c r="L150" s="1405"/>
    </row>
    <row r="151" spans="1:48" ht="272.25" customHeight="1">
      <c r="A151" s="1081" t="s">
        <v>1340</v>
      </c>
      <c r="B151" s="1063" t="s">
        <v>1341</v>
      </c>
      <c r="C151" s="1074" t="s">
        <v>1119</v>
      </c>
      <c r="D151" s="1090">
        <f>'5.2, 5.4 - COOLING'!G56</f>
        <v>0</v>
      </c>
      <c r="E151" s="1090">
        <f>'5.2, 5.4 - COOLING'!N56</f>
        <v>0</v>
      </c>
      <c r="F151" s="1090">
        <f>'5.2, 5.4 - COOLING'!O56</f>
        <v>0</v>
      </c>
      <c r="G151" s="1091">
        <f>'5.2, 5.4 - COOLING'!Q52</f>
        <v>0</v>
      </c>
      <c r="H151" s="1091" t="s">
        <v>1119</v>
      </c>
      <c r="I151" s="1091">
        <f>'5.2, 5.4 - COOLING'!P52</f>
        <v>0</v>
      </c>
      <c r="J151" s="1083"/>
      <c r="K151" s="1405"/>
      <c r="L151" s="1405"/>
    </row>
    <row r="152" spans="1:48" s="1424" customFormat="1" ht="45.75" customHeight="1">
      <c r="A152" s="1081" t="s">
        <v>1342</v>
      </c>
      <c r="B152" s="1096" t="s">
        <v>1343</v>
      </c>
      <c r="C152" s="1097" t="s">
        <v>1119</v>
      </c>
      <c r="D152" s="1098" t="s">
        <v>1119</v>
      </c>
      <c r="E152" s="1098" t="s">
        <v>1119</v>
      </c>
      <c r="F152" s="1098" t="s">
        <v>1119</v>
      </c>
      <c r="G152" s="1099">
        <f>'5.2, 5.4 - COOLING'!Q53</f>
        <v>0</v>
      </c>
      <c r="H152" s="1099" t="s">
        <v>1119</v>
      </c>
      <c r="I152" s="1100">
        <f>'5.2, 5.4 - COOLING'!P53</f>
        <v>0</v>
      </c>
      <c r="J152" s="1101"/>
      <c r="M152" s="1425"/>
      <c r="N152" s="1425"/>
      <c r="O152" s="1425"/>
      <c r="P152" s="1425"/>
      <c r="Q152" s="1425"/>
      <c r="R152" s="1425"/>
      <c r="S152" s="1425"/>
      <c r="T152" s="1425"/>
      <c r="U152" s="1425"/>
      <c r="V152" s="1425"/>
      <c r="W152" s="1425"/>
      <c r="X152" s="1425"/>
      <c r="Y152" s="1425"/>
      <c r="Z152" s="1425"/>
      <c r="AA152" s="1425"/>
      <c r="AB152" s="1425"/>
      <c r="AC152" s="1425"/>
      <c r="AD152" s="1425"/>
      <c r="AE152" s="1425"/>
      <c r="AF152" s="1425"/>
      <c r="AG152" s="1425"/>
      <c r="AH152" s="1425"/>
      <c r="AI152" s="1425"/>
      <c r="AJ152" s="1425"/>
      <c r="AK152" s="1425"/>
      <c r="AL152" s="1425"/>
      <c r="AM152" s="1425"/>
      <c r="AN152" s="1425"/>
    </row>
    <row r="153" spans="1:48" s="1406" customFormat="1" ht="54">
      <c r="A153" s="1102" t="s">
        <v>1344</v>
      </c>
      <c r="B153" s="1063" t="s">
        <v>1345</v>
      </c>
      <c r="C153" s="1074" t="s">
        <v>1119</v>
      </c>
      <c r="D153" s="1090" t="s">
        <v>1119</v>
      </c>
      <c r="E153" s="1090" t="s">
        <v>1119</v>
      </c>
      <c r="F153" s="1090" t="s">
        <v>1119</v>
      </c>
      <c r="G153" s="1091">
        <f>'5.2, 5.4 - COOLING'!Q54</f>
        <v>0</v>
      </c>
      <c r="H153" s="1091" t="s">
        <v>1119</v>
      </c>
      <c r="I153" s="1091">
        <f>'5.2, 5.4 - COOLING'!P54</f>
        <v>0</v>
      </c>
      <c r="J153" s="1083"/>
      <c r="K153" s="1405"/>
      <c r="L153" s="1405"/>
      <c r="AO153" s="1405"/>
      <c r="AP153" s="1405"/>
      <c r="AQ153" s="1405"/>
      <c r="AR153" s="1405"/>
      <c r="AS153" s="1405"/>
      <c r="AT153" s="1405"/>
      <c r="AU153" s="1405"/>
      <c r="AV153" s="1405"/>
    </row>
    <row r="154" spans="1:48" ht="54">
      <c r="A154" s="1078" t="s">
        <v>1346</v>
      </c>
      <c r="B154" s="1079"/>
      <c r="C154" s="1079"/>
      <c r="D154" s="1079"/>
      <c r="E154" s="1079"/>
      <c r="F154" s="1079"/>
      <c r="G154" s="1079"/>
      <c r="H154" s="1079"/>
      <c r="I154" s="1079"/>
      <c r="J154" s="1080"/>
      <c r="K154" s="1405"/>
      <c r="L154" s="1405"/>
    </row>
    <row r="155" spans="1:48">
      <c r="A155" s="1081" t="s">
        <v>1347</v>
      </c>
      <c r="B155" s="1063" t="s">
        <v>1348</v>
      </c>
      <c r="C155" s="1074" t="s">
        <v>1119</v>
      </c>
      <c r="D155" s="1090">
        <f>'5.2, 5.4 - COOLING'!G56</f>
        <v>0</v>
      </c>
      <c r="E155" s="1090">
        <f>'5.2, 5.4 - COOLING'!N56</f>
        <v>0</v>
      </c>
      <c r="F155" s="1090">
        <f>'5.2, 5.4 - COOLING'!O56</f>
        <v>0</v>
      </c>
      <c r="G155" s="1091">
        <f>'5.2, 5.4 - COOLING'!Q56</f>
        <v>0</v>
      </c>
      <c r="H155" s="1091">
        <f>'5.2, 5.4 - COOLING'!N56</f>
        <v>0</v>
      </c>
      <c r="I155" s="1091">
        <f>'5.2, 5.4 - COOLING'!P56</f>
        <v>0</v>
      </c>
      <c r="J155" s="1083"/>
      <c r="K155" s="1405"/>
      <c r="L155" s="1405"/>
    </row>
    <row r="156" spans="1:48" ht="36">
      <c r="A156" s="1081" t="s">
        <v>1349</v>
      </c>
      <c r="B156" s="1063" t="s">
        <v>1350</v>
      </c>
      <c r="C156" s="1074" t="s">
        <v>1119</v>
      </c>
      <c r="D156" s="1090">
        <f>'5.2, 5.4 - COOLING'!G57</f>
        <v>0</v>
      </c>
      <c r="E156" s="1090">
        <f>'5.2, 5.4 - COOLING'!N57</f>
        <v>0</v>
      </c>
      <c r="F156" s="1090">
        <f>'5.2, 5.4 - COOLING'!O57</f>
        <v>0</v>
      </c>
      <c r="G156" s="1091">
        <f>'5.2, 5.4 - COOLING'!Q57</f>
        <v>0</v>
      </c>
      <c r="H156" s="1091">
        <f>'5.2, 5.4 - COOLING'!N57</f>
        <v>0</v>
      </c>
      <c r="I156" s="1091">
        <f>'5.2, 5.4 - COOLING'!P57</f>
        <v>0</v>
      </c>
      <c r="J156" s="1083"/>
      <c r="K156" s="1405"/>
      <c r="L156" s="1405"/>
    </row>
    <row r="157" spans="1:48" s="1406" customFormat="1" ht="396" customHeight="1">
      <c r="A157" s="1081" t="s">
        <v>1351</v>
      </c>
      <c r="B157" s="1063" t="s">
        <v>1352</v>
      </c>
      <c r="C157" s="1074" t="s">
        <v>1119</v>
      </c>
      <c r="D157" s="1090" t="s">
        <v>1119</v>
      </c>
      <c r="E157" s="1090" t="s">
        <v>1119</v>
      </c>
      <c r="F157" s="1090" t="s">
        <v>1119</v>
      </c>
      <c r="G157" s="1091">
        <f>'5.2, 5.4 - COOLING'!Q58</f>
        <v>0</v>
      </c>
      <c r="H157" s="1091" t="s">
        <v>1119</v>
      </c>
      <c r="I157" s="1091">
        <f>'5.2, 5.4 - COOLING'!P58</f>
        <v>0</v>
      </c>
      <c r="J157" s="1083"/>
      <c r="K157" s="1405"/>
      <c r="L157" s="1405"/>
      <c r="AO157" s="1405"/>
      <c r="AP157" s="1405"/>
      <c r="AQ157" s="1405"/>
      <c r="AR157" s="1405"/>
      <c r="AS157" s="1405"/>
      <c r="AT157" s="1405"/>
      <c r="AU157" s="1405"/>
      <c r="AV157" s="1405"/>
    </row>
    <row r="158" spans="1:48" s="1406" customFormat="1" ht="36">
      <c r="A158" s="1081" t="s">
        <v>1353</v>
      </c>
      <c r="B158" s="1063" t="s">
        <v>1354</v>
      </c>
      <c r="C158" s="1074" t="s">
        <v>1119</v>
      </c>
      <c r="D158" s="1090" t="s">
        <v>1119</v>
      </c>
      <c r="E158" s="1090" t="s">
        <v>1119</v>
      </c>
      <c r="F158" s="1090" t="s">
        <v>1119</v>
      </c>
      <c r="G158" s="1091">
        <f>'5.2, 5.4 - COOLING'!Q59</f>
        <v>0</v>
      </c>
      <c r="H158" s="1091" t="s">
        <v>1119</v>
      </c>
      <c r="I158" s="1091">
        <f>'5.2, 5.4 - COOLING'!P59</f>
        <v>0</v>
      </c>
      <c r="J158" s="1083"/>
      <c r="K158" s="1405"/>
      <c r="L158" s="1405"/>
      <c r="AO158" s="1405"/>
      <c r="AP158" s="1405"/>
      <c r="AQ158" s="1405"/>
      <c r="AR158" s="1405"/>
      <c r="AS158" s="1405"/>
      <c r="AT158" s="1405"/>
      <c r="AU158" s="1405"/>
      <c r="AV158" s="1405"/>
    </row>
    <row r="159" spans="1:48" ht="36">
      <c r="A159" s="1081" t="s">
        <v>1355</v>
      </c>
      <c r="B159" s="1082" t="s">
        <v>1144</v>
      </c>
      <c r="C159" s="1074" t="s">
        <v>1119</v>
      </c>
      <c r="D159" s="1090" t="s">
        <v>1119</v>
      </c>
      <c r="E159" s="1090" t="s">
        <v>1119</v>
      </c>
      <c r="F159" s="1090" t="s">
        <v>1119</v>
      </c>
      <c r="G159" s="1091">
        <f>'5.2, 5.4 - COOLING'!Q60</f>
        <v>0</v>
      </c>
      <c r="H159" s="1091" t="s">
        <v>1119</v>
      </c>
      <c r="I159" s="1091">
        <f>'5.2, 5.4 - COOLING'!P60</f>
        <v>0</v>
      </c>
      <c r="J159" s="1083"/>
      <c r="K159" s="1405"/>
      <c r="L159" s="1405"/>
    </row>
    <row r="160" spans="1:48">
      <c r="A160" s="1054">
        <v>6</v>
      </c>
      <c r="B160" s="1055" t="s">
        <v>1356</v>
      </c>
      <c r="C160" s="1055"/>
      <c r="D160" s="1055"/>
      <c r="E160" s="1055"/>
      <c r="F160" s="1055"/>
      <c r="G160" s="1055"/>
      <c r="H160" s="1055"/>
      <c r="I160" s="1055"/>
      <c r="J160" s="1056"/>
      <c r="K160" s="1405"/>
      <c r="L160" s="1405"/>
    </row>
    <row r="161" spans="1:12" ht="54">
      <c r="A161" s="1081" t="s">
        <v>1357</v>
      </c>
      <c r="B161" s="1063" t="s">
        <v>1358</v>
      </c>
      <c r="C161" s="1064" t="s">
        <v>1119</v>
      </c>
      <c r="D161" s="1066">
        <f>'6.1, 6.2, 6.3 - LIGHTING'!$J$27</f>
        <v>0</v>
      </c>
      <c r="E161" s="1066">
        <f>'6.1, 6.2, 6.3 - LIGHTING'!$K$27</f>
        <v>0</v>
      </c>
      <c r="F161" s="1066">
        <f>'6.1, 6.2, 6.3 - LIGHTING'!$L$27</f>
        <v>0</v>
      </c>
      <c r="G161" s="1065" t="s">
        <v>1119</v>
      </c>
      <c r="H161" s="1065" t="s">
        <v>1119</v>
      </c>
      <c r="I161" s="1065" t="s">
        <v>1119</v>
      </c>
      <c r="J161" s="1083"/>
      <c r="K161" s="1405"/>
      <c r="L161" s="1405"/>
    </row>
    <row r="162" spans="1:12" ht="18" customHeight="1">
      <c r="A162" s="1102" t="s">
        <v>1359</v>
      </c>
      <c r="B162" s="1103" t="s">
        <v>1360</v>
      </c>
      <c r="C162" s="1104" t="s">
        <v>1119</v>
      </c>
      <c r="D162" s="1105">
        <f>'6.1, 6.2, 6.3 - LIGHTING'!$J$28</f>
        <v>0</v>
      </c>
      <c r="E162" s="1105">
        <f>'6.1, 6.2, 6.3 - LIGHTING'!$K$28</f>
        <v>0</v>
      </c>
      <c r="F162" s="1105">
        <f>'6.1, 6.2, 6.3 - LIGHTING'!$L$28</f>
        <v>0</v>
      </c>
      <c r="G162" s="1106" t="s">
        <v>1119</v>
      </c>
      <c r="H162" s="1106" t="s">
        <v>1119</v>
      </c>
      <c r="I162" s="1106" t="s">
        <v>1119</v>
      </c>
      <c r="J162" s="1101"/>
      <c r="K162" s="1405"/>
      <c r="L162" s="1405"/>
    </row>
    <row r="163" spans="1:12" ht="36">
      <c r="A163" s="1081" t="s">
        <v>1361</v>
      </c>
      <c r="B163" s="1063" t="s">
        <v>1362</v>
      </c>
      <c r="C163" s="1064" t="s">
        <v>1119</v>
      </c>
      <c r="D163" s="1066">
        <f>'6.1, 6.2, 6.3 - LIGHTING'!$J$29</f>
        <v>0</v>
      </c>
      <c r="E163" s="1066">
        <f>'6.1, 6.2, 6.3 - LIGHTING'!$K$29</f>
        <v>0</v>
      </c>
      <c r="F163" s="1066">
        <f>'6.1, 6.2, 6.3 - LIGHTING'!$L$29</f>
        <v>0</v>
      </c>
      <c r="G163" s="1065" t="s">
        <v>1119</v>
      </c>
      <c r="H163" s="1065" t="s">
        <v>1119</v>
      </c>
      <c r="I163" s="1065" t="s">
        <v>1119</v>
      </c>
      <c r="J163" s="1083"/>
      <c r="K163" s="1405"/>
      <c r="L163" s="1405"/>
    </row>
    <row r="164" spans="1:12">
      <c r="A164" s="1081" t="s">
        <v>1363</v>
      </c>
      <c r="B164" s="1063" t="s">
        <v>1122</v>
      </c>
      <c r="C164" s="1074" t="s">
        <v>1119</v>
      </c>
      <c r="D164" s="1090">
        <f>'6.1, 6.2, 6.3 - LIGHTING'!J81</f>
        <v>0</v>
      </c>
      <c r="E164" s="1090">
        <f>'6.1, 6.2, 6.3 - LIGHTING'!K81</f>
        <v>0</v>
      </c>
      <c r="F164" s="1090">
        <f>'6.1, 6.2, 6.3 - LIGHTING'!L81</f>
        <v>0</v>
      </c>
      <c r="G164" s="1091">
        <f>'6.1, 6.2, 6.3 - LIGHTING'!N81</f>
        <v>0</v>
      </c>
      <c r="H164" s="1091">
        <f>'6.1, 6.2, 6.3 - LIGHTING'!K81</f>
        <v>0</v>
      </c>
      <c r="I164" s="1091">
        <f>'6.1, 6.2, 6.3 - LIGHTING'!M81</f>
        <v>0</v>
      </c>
      <c r="J164" s="1083"/>
      <c r="K164" s="1405"/>
      <c r="L164" s="1405"/>
    </row>
    <row r="165" spans="1:12" ht="409.5" customHeight="1">
      <c r="A165" s="1081" t="s">
        <v>1364</v>
      </c>
      <c r="B165" s="1082" t="s">
        <v>1365</v>
      </c>
      <c r="C165" s="1074" t="s">
        <v>1119</v>
      </c>
      <c r="D165" s="1090">
        <f>'6.1, 6.2, 6.3 - LIGHTING'!J82</f>
        <v>0</v>
      </c>
      <c r="E165" s="1090">
        <f>'6.1, 6.2, 6.3 - LIGHTING'!K82</f>
        <v>0</v>
      </c>
      <c r="F165" s="1090">
        <f>'6.1, 6.2, 6.3 - LIGHTING'!L82</f>
        <v>0</v>
      </c>
      <c r="G165" s="1091">
        <f>'6.1, 6.2, 6.3 - LIGHTING'!N82</f>
        <v>0</v>
      </c>
      <c r="H165" s="1091">
        <f>'6.1, 6.2, 6.3 - LIGHTING'!K82</f>
        <v>0</v>
      </c>
      <c r="I165" s="1091">
        <f>'6.1, 6.2, 6.3 - LIGHTING'!M82</f>
        <v>0</v>
      </c>
      <c r="J165" s="1083"/>
      <c r="K165" s="1405"/>
      <c r="L165" s="1405"/>
    </row>
    <row r="166" spans="1:12">
      <c r="A166" s="1081" t="s">
        <v>1366</v>
      </c>
      <c r="B166" s="1082" t="s">
        <v>1367</v>
      </c>
      <c r="C166" s="1074">
        <f>'6.1, 6.2, 6.3 - LIGHTING'!F84</f>
        <v>0</v>
      </c>
      <c r="D166" s="1090">
        <f>'6.1, 6.2, 6.3 - LIGHTING'!J84</f>
        <v>0</v>
      </c>
      <c r="E166" s="1090">
        <f>'6.1, 6.2, 6.3 - LIGHTING'!K84</f>
        <v>0</v>
      </c>
      <c r="F166" s="1090">
        <f>'6.1, 6.2, 6.3 - LIGHTING'!L84</f>
        <v>0</v>
      </c>
      <c r="G166" s="1091">
        <f>'6.1, 6.2, 6.3 - LIGHTING'!N84</f>
        <v>0</v>
      </c>
      <c r="H166" s="1091">
        <f>'6.1, 6.2, 6.3 - LIGHTING'!K84</f>
        <v>0</v>
      </c>
      <c r="I166" s="1091">
        <f>'6.1, 6.2, 6.3 - LIGHTING'!M84</f>
        <v>0</v>
      </c>
      <c r="J166" s="1083"/>
      <c r="K166" s="1405"/>
      <c r="L166" s="1405"/>
    </row>
    <row r="167" spans="1:12" ht="36">
      <c r="A167" s="1081" t="s">
        <v>1368</v>
      </c>
      <c r="B167" s="1082" t="s">
        <v>1369</v>
      </c>
      <c r="C167" s="1074">
        <f>'6.1, 6.2, 6.3 - LIGHTING'!F85</f>
        <v>0</v>
      </c>
      <c r="D167" s="1090">
        <f>'6.1, 6.2, 6.3 - LIGHTING'!J85</f>
        <v>0</v>
      </c>
      <c r="E167" s="1090">
        <f>'6.1, 6.2, 6.3 - LIGHTING'!K85</f>
        <v>0</v>
      </c>
      <c r="F167" s="1090">
        <f>'6.1, 6.2, 6.3 - LIGHTING'!L85</f>
        <v>0</v>
      </c>
      <c r="G167" s="1091">
        <f>'6.1, 6.2, 6.3 - LIGHTING'!N85</f>
        <v>0</v>
      </c>
      <c r="H167" s="1091">
        <f>'6.1, 6.2, 6.3 - LIGHTING'!K85</f>
        <v>0</v>
      </c>
      <c r="I167" s="1091">
        <f>'6.1, 6.2, 6.3 - LIGHTING'!M85</f>
        <v>0</v>
      </c>
      <c r="J167" s="1083"/>
      <c r="K167" s="1405"/>
      <c r="L167" s="1405"/>
    </row>
    <row r="168" spans="1:12">
      <c r="A168" s="1081" t="s">
        <v>1370</v>
      </c>
      <c r="B168" s="1082" t="s">
        <v>1371</v>
      </c>
      <c r="C168" s="1074">
        <f>'6.1, 6.2, 6.3 - LIGHTING'!F85</f>
        <v>0</v>
      </c>
      <c r="D168" s="1090">
        <f>'6.1, 6.2, 6.3 - LIGHTING'!J86</f>
        <v>0</v>
      </c>
      <c r="E168" s="1090">
        <f>'6.1, 6.2, 6.3 - LIGHTING'!K86</f>
        <v>0</v>
      </c>
      <c r="F168" s="1090">
        <f>'6.1, 6.2, 6.3 - LIGHTING'!L86</f>
        <v>0</v>
      </c>
      <c r="G168" s="1091">
        <f>'6.1, 6.2, 6.3 - LIGHTING'!N86</f>
        <v>0</v>
      </c>
      <c r="H168" s="1091">
        <f>'6.1, 6.2, 6.3 - LIGHTING'!K86</f>
        <v>0</v>
      </c>
      <c r="I168" s="1091">
        <f>'6.1, 6.2, 6.3 - LIGHTING'!M86</f>
        <v>0</v>
      </c>
      <c r="J168" s="1083"/>
      <c r="K168" s="1405"/>
      <c r="L168" s="1405"/>
    </row>
    <row r="169" spans="1:12">
      <c r="A169" s="1081" t="s">
        <v>1372</v>
      </c>
      <c r="B169" s="1082" t="s">
        <v>1373</v>
      </c>
      <c r="C169" s="1074">
        <f>'6.1, 6.2, 6.3 - LIGHTING'!F87</f>
        <v>0</v>
      </c>
      <c r="D169" s="1090">
        <f>'6.1, 6.2, 6.3 - LIGHTING'!J87</f>
        <v>0</v>
      </c>
      <c r="E169" s="1090">
        <f>'6.1, 6.2, 6.3 - LIGHTING'!K87</f>
        <v>0</v>
      </c>
      <c r="F169" s="1090">
        <f>'6.1, 6.2, 6.3 - LIGHTING'!L87</f>
        <v>0</v>
      </c>
      <c r="G169" s="1091">
        <f>'6.1, 6.2, 6.3 - LIGHTING'!N87</f>
        <v>0</v>
      </c>
      <c r="H169" s="1091">
        <f>'6.1, 6.2, 6.3 - LIGHTING'!K87</f>
        <v>0</v>
      </c>
      <c r="I169" s="1091">
        <f>'6.1, 6.2, 6.3 - LIGHTING'!M87</f>
        <v>0</v>
      </c>
      <c r="J169" s="1083"/>
      <c r="K169" s="1405"/>
      <c r="L169" s="1405"/>
    </row>
    <row r="170" spans="1:12">
      <c r="A170" s="1081" t="s">
        <v>1374</v>
      </c>
      <c r="B170" s="1082" t="s">
        <v>1375</v>
      </c>
      <c r="C170" s="1074">
        <f>'6.1, 6.2, 6.3 - LIGHTING'!F88</f>
        <v>0</v>
      </c>
      <c r="D170" s="1090">
        <f>'6.1, 6.2, 6.3 - LIGHTING'!J88</f>
        <v>0</v>
      </c>
      <c r="E170" s="1090">
        <f>'6.1, 6.2, 6.3 - LIGHTING'!K88</f>
        <v>0</v>
      </c>
      <c r="F170" s="1090">
        <f>'6.1, 6.2, 6.3 - LIGHTING'!L88</f>
        <v>0</v>
      </c>
      <c r="G170" s="1091">
        <f>'6.1, 6.2, 6.3 - LIGHTING'!N88</f>
        <v>0</v>
      </c>
      <c r="H170" s="1091">
        <f>'6.1, 6.2, 6.3 - LIGHTING'!K88</f>
        <v>0</v>
      </c>
      <c r="I170" s="1091">
        <f>'6.1, 6.2, 6.3 - LIGHTING'!M88</f>
        <v>0</v>
      </c>
      <c r="J170" s="1083"/>
      <c r="K170" s="1405"/>
      <c r="L170" s="1405"/>
    </row>
    <row r="171" spans="1:12" ht="36">
      <c r="A171" s="1081" t="s">
        <v>1376</v>
      </c>
      <c r="B171" s="1082" t="s">
        <v>1377</v>
      </c>
      <c r="C171" s="1074">
        <f>'6.1, 6.2, 6.3 - LIGHTING'!F88</f>
        <v>0</v>
      </c>
      <c r="D171" s="1090">
        <f>'6.1, 6.2, 6.3 - LIGHTING'!J89</f>
        <v>0</v>
      </c>
      <c r="E171" s="1090">
        <f>'6.1, 6.2, 6.3 - LIGHTING'!K89</f>
        <v>0</v>
      </c>
      <c r="F171" s="1090">
        <f>'6.1, 6.2, 6.3 - LIGHTING'!L89</f>
        <v>0</v>
      </c>
      <c r="G171" s="1091">
        <f>'6.1, 6.2, 6.3 - LIGHTING'!N89</f>
        <v>0</v>
      </c>
      <c r="H171" s="1091">
        <f>'6.1, 6.2, 6.3 - LIGHTING'!K89</f>
        <v>0</v>
      </c>
      <c r="I171" s="1091">
        <f>'6.1, 6.2, 6.3 - LIGHTING'!M89</f>
        <v>0</v>
      </c>
      <c r="J171" s="1083"/>
      <c r="K171" s="1405"/>
      <c r="L171" s="1405"/>
    </row>
    <row r="172" spans="1:12" ht="162" customHeight="1">
      <c r="A172" s="1081" t="s">
        <v>1378</v>
      </c>
      <c r="B172" s="1082" t="s">
        <v>1379</v>
      </c>
      <c r="C172" s="1074">
        <f>'6.1, 6.2, 6.3 - LIGHTING'!F88</f>
        <v>0</v>
      </c>
      <c r="D172" s="1090">
        <f>'6.1, 6.2, 6.3 - LIGHTING'!J90</f>
        <v>0</v>
      </c>
      <c r="E172" s="1090">
        <f>'6.1, 6.2, 6.3 - LIGHTING'!K90</f>
        <v>0</v>
      </c>
      <c r="F172" s="1090">
        <f>'6.1, 6.2, 6.3 - LIGHTING'!L90</f>
        <v>0</v>
      </c>
      <c r="G172" s="1091">
        <f>'6.1, 6.2, 6.3 - LIGHTING'!N90</f>
        <v>0</v>
      </c>
      <c r="H172" s="1091">
        <f>'6.1, 6.2, 6.3 - LIGHTING'!K90</f>
        <v>0</v>
      </c>
      <c r="I172" s="1091">
        <f>'6.1, 6.2, 6.3 - LIGHTING'!M90</f>
        <v>0</v>
      </c>
      <c r="J172" s="1083"/>
      <c r="K172" s="1405"/>
      <c r="L172" s="1405"/>
    </row>
    <row r="173" spans="1:12">
      <c r="A173" s="1081" t="s">
        <v>1380</v>
      </c>
      <c r="B173" s="1082" t="s">
        <v>786</v>
      </c>
      <c r="C173" s="1074">
        <f>'6.1, 6.2, 6.3 - LIGHTING'!F91</f>
        <v>0</v>
      </c>
      <c r="D173" s="1090">
        <f>'6.1, 6.2, 6.3 - LIGHTING'!J91</f>
        <v>0</v>
      </c>
      <c r="E173" s="1090">
        <f>'6.1, 6.2, 6.3 - LIGHTING'!K91</f>
        <v>0</v>
      </c>
      <c r="F173" s="1090">
        <f>'6.1, 6.2, 6.3 - LIGHTING'!L91</f>
        <v>0</v>
      </c>
      <c r="G173" s="1091">
        <f>'6.1, 6.2, 6.3 - LIGHTING'!N91</f>
        <v>0</v>
      </c>
      <c r="H173" s="1091">
        <f>'6.1, 6.2, 6.3 - LIGHTING'!K91</f>
        <v>0</v>
      </c>
      <c r="I173" s="1091">
        <f>'6.1, 6.2, 6.3 - LIGHTING'!M91</f>
        <v>0</v>
      </c>
      <c r="J173" s="1083"/>
      <c r="K173" s="1405"/>
      <c r="L173" s="1405"/>
    </row>
    <row r="174" spans="1:12">
      <c r="A174" s="1081" t="s">
        <v>1381</v>
      </c>
      <c r="B174" s="1082" t="s">
        <v>1382</v>
      </c>
      <c r="C174" s="1074">
        <f>'6.1, 6.2, 6.3 - LIGHTING'!F92</f>
        <v>0</v>
      </c>
      <c r="D174" s="1090">
        <f>'6.1, 6.2, 6.3 - LIGHTING'!J92</f>
        <v>0</v>
      </c>
      <c r="E174" s="1090">
        <f>'6.1, 6.2, 6.3 - LIGHTING'!K92</f>
        <v>0</v>
      </c>
      <c r="F174" s="1090">
        <f>'6.1, 6.2, 6.3 - LIGHTING'!L92</f>
        <v>0</v>
      </c>
      <c r="G174" s="1091">
        <f>'6.1, 6.2, 6.3 - LIGHTING'!N92</f>
        <v>0</v>
      </c>
      <c r="H174" s="1091">
        <f>'6.1, 6.2, 6.3 - LIGHTING'!K92</f>
        <v>0</v>
      </c>
      <c r="I174" s="1091">
        <f>'6.1, 6.2, 6.3 - LIGHTING'!M92</f>
        <v>0</v>
      </c>
      <c r="J174" s="1083"/>
      <c r="K174" s="1405"/>
      <c r="L174" s="1405"/>
    </row>
    <row r="175" spans="1:12" ht="18" customHeight="1">
      <c r="A175" s="1084"/>
      <c r="B175" s="1086" t="s">
        <v>1383</v>
      </c>
      <c r="C175" s="1086"/>
      <c r="D175" s="1086"/>
      <c r="E175" s="1086"/>
      <c r="F175" s="1086"/>
      <c r="G175" s="1086"/>
      <c r="H175" s="1086"/>
      <c r="I175" s="1086"/>
      <c r="J175" s="1087"/>
      <c r="K175" s="1405"/>
      <c r="L175" s="1405"/>
    </row>
    <row r="176" spans="1:12">
      <c r="A176" s="1081" t="s">
        <v>1384</v>
      </c>
      <c r="B176" s="1082" t="s">
        <v>1385</v>
      </c>
      <c r="C176" s="1074" t="s">
        <v>1119</v>
      </c>
      <c r="D176" s="1090" t="s">
        <v>1119</v>
      </c>
      <c r="E176" s="1090" t="s">
        <v>1119</v>
      </c>
      <c r="F176" s="1090" t="s">
        <v>1119</v>
      </c>
      <c r="G176" s="1091">
        <f>'6.1, 6.2, 6.3 - LIGHTING'!N93</f>
        <v>0</v>
      </c>
      <c r="H176" s="1091" t="s">
        <v>1119</v>
      </c>
      <c r="I176" s="1091">
        <f>'6.1, 6.2, 6.3 - LIGHTING'!M93</f>
        <v>0</v>
      </c>
      <c r="J176" s="1083"/>
      <c r="K176" s="1405"/>
      <c r="L176" s="1405"/>
    </row>
    <row r="177" spans="1:40" ht="54">
      <c r="A177" s="1081" t="s">
        <v>1386</v>
      </c>
      <c r="B177" s="1082" t="s">
        <v>1387</v>
      </c>
      <c r="C177" s="1074" t="s">
        <v>1119</v>
      </c>
      <c r="D177" s="1090" t="s">
        <v>1119</v>
      </c>
      <c r="E177" s="1090" t="s">
        <v>1119</v>
      </c>
      <c r="F177" s="1090" t="s">
        <v>1119</v>
      </c>
      <c r="G177" s="1091">
        <f>'6.1, 6.2, 6.3 - LIGHTING'!N94</f>
        <v>0</v>
      </c>
      <c r="H177" s="1091" t="s">
        <v>1119</v>
      </c>
      <c r="I177" s="1091">
        <f>'6.1, 6.2, 6.3 - LIGHTING'!M94</f>
        <v>0</v>
      </c>
      <c r="J177" s="1083"/>
      <c r="K177" s="1405"/>
      <c r="L177" s="1405"/>
    </row>
    <row r="178" spans="1:40" s="1424" customFormat="1" ht="45.75" customHeight="1">
      <c r="A178" s="1067">
        <v>7</v>
      </c>
      <c r="B178" s="1068" t="s">
        <v>1388</v>
      </c>
      <c r="C178" s="1069"/>
      <c r="D178" s="1069"/>
      <c r="E178" s="1069"/>
      <c r="F178" s="1069"/>
      <c r="G178" s="1069"/>
      <c r="H178" s="1069"/>
      <c r="I178" s="1070"/>
      <c r="J178" s="1071"/>
      <c r="M178" s="1425"/>
      <c r="N178" s="1425"/>
      <c r="O178" s="1425"/>
      <c r="P178" s="1425"/>
      <c r="Q178" s="1425"/>
      <c r="R178" s="1425"/>
      <c r="S178" s="1425"/>
      <c r="T178" s="1425"/>
      <c r="U178" s="1425"/>
      <c r="V178" s="1425"/>
      <c r="W178" s="1425"/>
      <c r="X178" s="1425"/>
      <c r="Y178" s="1425"/>
      <c r="Z178" s="1425"/>
      <c r="AA178" s="1425"/>
      <c r="AB178" s="1425"/>
      <c r="AC178" s="1425"/>
      <c r="AD178" s="1425"/>
      <c r="AE178" s="1425"/>
      <c r="AF178" s="1425"/>
      <c r="AG178" s="1425"/>
      <c r="AH178" s="1425"/>
      <c r="AI178" s="1425"/>
      <c r="AJ178" s="1425"/>
      <c r="AK178" s="1425"/>
      <c r="AL178" s="1425"/>
      <c r="AM178" s="1425"/>
      <c r="AN178" s="1425"/>
    </row>
    <row r="179" spans="1:40" ht="36">
      <c r="A179" s="1081" t="s">
        <v>1389</v>
      </c>
      <c r="B179" s="1063" t="s">
        <v>1390</v>
      </c>
      <c r="C179" s="1064" t="s">
        <v>1119</v>
      </c>
      <c r="D179" s="1066">
        <f>'7.1 - MOTORS'!$H$23</f>
        <v>0</v>
      </c>
      <c r="E179" s="1066">
        <f>'7.1 - MOTORS'!$J$23</f>
        <v>0</v>
      </c>
      <c r="F179" s="1066">
        <f>'7.1 - MOTORS'!$K$23</f>
        <v>0</v>
      </c>
      <c r="G179" s="1065" t="s">
        <v>1119</v>
      </c>
      <c r="H179" s="1065" t="s">
        <v>1119</v>
      </c>
      <c r="I179" s="1065" t="s">
        <v>1119</v>
      </c>
      <c r="J179" s="1083"/>
      <c r="K179" s="1405"/>
      <c r="L179" s="1405"/>
    </row>
    <row r="180" spans="1:40">
      <c r="A180" s="1081" t="s">
        <v>1391</v>
      </c>
      <c r="B180" s="1063" t="s">
        <v>1392</v>
      </c>
      <c r="C180" s="1074">
        <f>'7.1 - MOTORS'!F34</f>
        <v>0</v>
      </c>
      <c r="D180" s="1090">
        <f>'7.1 - MOTORS'!H34</f>
        <v>0</v>
      </c>
      <c r="E180" s="1066">
        <f>'7.1 - MOTORS'!J34</f>
        <v>0</v>
      </c>
      <c r="F180" s="1090">
        <f>'7.1 - MOTORS'!K34</f>
        <v>0</v>
      </c>
      <c r="G180" s="1091">
        <f>'7.1 - MOTORS'!M34</f>
        <v>0</v>
      </c>
      <c r="H180" s="1091">
        <f>'7.1 - MOTORS'!J34</f>
        <v>0</v>
      </c>
      <c r="I180" s="1091">
        <f>'7.1 - MOTORS'!L34</f>
        <v>0</v>
      </c>
      <c r="J180" s="1083"/>
      <c r="K180" s="1405"/>
      <c r="L180" s="1405"/>
    </row>
    <row r="181" spans="1:40">
      <c r="A181" s="1081" t="s">
        <v>1393</v>
      </c>
      <c r="B181" s="1063" t="s">
        <v>1394</v>
      </c>
      <c r="C181" s="1074">
        <f>'7.1 - MOTORS'!F35</f>
        <v>0</v>
      </c>
      <c r="D181" s="1090">
        <f>'7.1 - MOTORS'!H35</f>
        <v>0</v>
      </c>
      <c r="E181" s="1066">
        <f>'7.1 - MOTORS'!J35</f>
        <v>0</v>
      </c>
      <c r="F181" s="1090">
        <f>'7.1 - MOTORS'!K35</f>
        <v>0</v>
      </c>
      <c r="G181" s="1091">
        <f>'7.1 - MOTORS'!M35</f>
        <v>0</v>
      </c>
      <c r="H181" s="1091">
        <f>'7.1 - MOTORS'!J35</f>
        <v>0</v>
      </c>
      <c r="I181" s="1091">
        <f>'7.1 - MOTORS'!L35</f>
        <v>0</v>
      </c>
      <c r="J181" s="1083"/>
      <c r="K181" s="1405"/>
      <c r="L181" s="1405"/>
    </row>
    <row r="182" spans="1:40" ht="306" customHeight="1">
      <c r="A182" s="1081" t="s">
        <v>1395</v>
      </c>
      <c r="B182" s="1063" t="s">
        <v>1396</v>
      </c>
      <c r="C182" s="1074">
        <f>'7.1 - MOTORS'!F36</f>
        <v>0</v>
      </c>
      <c r="D182" s="1090">
        <f>'7.1 - MOTORS'!H36</f>
        <v>0</v>
      </c>
      <c r="E182" s="1066">
        <f>'7.1 - MOTORS'!J36</f>
        <v>0</v>
      </c>
      <c r="F182" s="1090">
        <f>'7.1 - MOTORS'!K36</f>
        <v>0</v>
      </c>
      <c r="G182" s="1091">
        <f>'7.1 - MOTORS'!M36</f>
        <v>0</v>
      </c>
      <c r="H182" s="1091">
        <f>'7.1 - MOTORS'!J36</f>
        <v>0</v>
      </c>
      <c r="I182" s="1091">
        <f>'7.1 - MOTORS'!L36</f>
        <v>0</v>
      </c>
      <c r="J182" s="1083"/>
      <c r="K182" s="1405"/>
      <c r="L182" s="1405"/>
    </row>
    <row r="183" spans="1:40" ht="36">
      <c r="A183" s="1081" t="s">
        <v>1397</v>
      </c>
      <c r="B183" s="1063" t="s">
        <v>1398</v>
      </c>
      <c r="C183" s="1074" t="s">
        <v>1119</v>
      </c>
      <c r="D183" s="1090" t="s">
        <v>1119</v>
      </c>
      <c r="E183" s="1090" t="s">
        <v>1119</v>
      </c>
      <c r="F183" s="1090" t="s">
        <v>1119</v>
      </c>
      <c r="G183" s="1091">
        <f>'7.1 - MOTORS'!M37</f>
        <v>0</v>
      </c>
      <c r="H183" s="1091" t="s">
        <v>1119</v>
      </c>
      <c r="I183" s="1091">
        <f>'7.1 - MOTORS'!L37</f>
        <v>0</v>
      </c>
      <c r="J183" s="1083"/>
      <c r="K183" s="1405"/>
      <c r="L183" s="1405"/>
    </row>
    <row r="184" spans="1:40" ht="36">
      <c r="A184" s="1081" t="s">
        <v>1399</v>
      </c>
      <c r="B184" s="1063" t="s">
        <v>1400</v>
      </c>
      <c r="C184" s="1074" t="s">
        <v>1119</v>
      </c>
      <c r="D184" s="1090" t="s">
        <v>1119</v>
      </c>
      <c r="E184" s="1090" t="s">
        <v>1119</v>
      </c>
      <c r="F184" s="1090" t="s">
        <v>1119</v>
      </c>
      <c r="G184" s="1091">
        <f>'7.1 - MOTORS'!M38</f>
        <v>0</v>
      </c>
      <c r="H184" s="1091" t="s">
        <v>1119</v>
      </c>
      <c r="I184" s="1091">
        <f>'7.1 - MOTORS'!L38</f>
        <v>0</v>
      </c>
      <c r="J184" s="1083"/>
      <c r="K184" s="1405"/>
      <c r="L184" s="1405"/>
    </row>
    <row r="185" spans="1:40" ht="36">
      <c r="A185" s="1081" t="s">
        <v>1401</v>
      </c>
      <c r="B185" s="1063" t="s">
        <v>1118</v>
      </c>
      <c r="C185" s="1074" t="s">
        <v>1119</v>
      </c>
      <c r="D185" s="1090" t="s">
        <v>1119</v>
      </c>
      <c r="E185" s="1090" t="s">
        <v>1119</v>
      </c>
      <c r="F185" s="1090" t="s">
        <v>1119</v>
      </c>
      <c r="G185" s="1091">
        <f>'7.1 - MOTORS'!M39</f>
        <v>0</v>
      </c>
      <c r="H185" s="1091" t="s">
        <v>1119</v>
      </c>
      <c r="I185" s="1091">
        <f>'7.1 - MOTORS'!L39</f>
        <v>0</v>
      </c>
      <c r="J185" s="1083"/>
      <c r="K185" s="1405"/>
      <c r="L185" s="1405"/>
    </row>
    <row r="186" spans="1:40" s="1424" customFormat="1" ht="45.75" customHeight="1">
      <c r="A186" s="1067">
        <v>8</v>
      </c>
      <c r="B186" s="1068" t="s">
        <v>1402</v>
      </c>
      <c r="C186" s="1069"/>
      <c r="D186" s="1069"/>
      <c r="E186" s="1069"/>
      <c r="F186" s="1069"/>
      <c r="G186" s="1069"/>
      <c r="H186" s="1069"/>
      <c r="I186" s="1070"/>
      <c r="J186" s="1071"/>
      <c r="M186" s="1425"/>
      <c r="N186" s="1425"/>
      <c r="O186" s="1425"/>
      <c r="P186" s="1425"/>
      <c r="Q186" s="1425"/>
      <c r="R186" s="1425"/>
      <c r="S186" s="1425"/>
      <c r="T186" s="1425"/>
      <c r="U186" s="1425"/>
      <c r="V186" s="1425"/>
      <c r="W186" s="1425"/>
      <c r="X186" s="1425"/>
      <c r="Y186" s="1425"/>
      <c r="Z186" s="1425"/>
      <c r="AA186" s="1425"/>
      <c r="AB186" s="1425"/>
      <c r="AC186" s="1425"/>
      <c r="AD186" s="1425"/>
      <c r="AE186" s="1425"/>
      <c r="AF186" s="1425"/>
      <c r="AG186" s="1425"/>
      <c r="AH186" s="1425"/>
      <c r="AI186" s="1425"/>
      <c r="AJ186" s="1425"/>
      <c r="AK186" s="1425"/>
      <c r="AL186" s="1425"/>
      <c r="AM186" s="1425"/>
      <c r="AN186" s="1425"/>
    </row>
    <row r="187" spans="1:40" ht="18" customHeight="1">
      <c r="A187" s="1084"/>
      <c r="B187" s="1086" t="s">
        <v>1403</v>
      </c>
      <c r="C187" s="1086"/>
      <c r="D187" s="1086"/>
      <c r="E187" s="1086"/>
      <c r="F187" s="1086"/>
      <c r="G187" s="1086"/>
      <c r="H187" s="1086"/>
      <c r="I187" s="1086"/>
      <c r="J187" s="1087"/>
      <c r="K187" s="1405"/>
      <c r="L187" s="1405"/>
    </row>
    <row r="188" spans="1:40" ht="54">
      <c r="A188" s="1081" t="s">
        <v>1404</v>
      </c>
      <c r="B188" s="1063" t="s">
        <v>1405</v>
      </c>
      <c r="C188" s="1064" t="s">
        <v>1119</v>
      </c>
      <c r="D188" s="1066">
        <f>'8.1 - INF_EXT AIR BARRIER'!$F$31</f>
        <v>0</v>
      </c>
      <c r="E188" s="1066">
        <f>'8.1 - INF_EXT AIR BARRIER'!$G$31</f>
        <v>0</v>
      </c>
      <c r="F188" s="1066">
        <f>'8.1 - INF_EXT AIR BARRIER'!$H$31</f>
        <v>0</v>
      </c>
      <c r="G188" s="1065" t="s">
        <v>1119</v>
      </c>
      <c r="H188" s="1065" t="s">
        <v>1119</v>
      </c>
      <c r="I188" s="1065" t="s">
        <v>1119</v>
      </c>
      <c r="J188" s="1083"/>
      <c r="K188" s="1405"/>
      <c r="L188" s="1405"/>
    </row>
    <row r="189" spans="1:40" ht="409.5" customHeight="1">
      <c r="A189" s="1081" t="s">
        <v>1406</v>
      </c>
      <c r="B189" s="1063" t="s">
        <v>1407</v>
      </c>
      <c r="C189" s="1064" t="s">
        <v>1119</v>
      </c>
      <c r="D189" s="1066">
        <f>'8.1 - INF_EXT AIR BARRIER'!$F$32</f>
        <v>0</v>
      </c>
      <c r="E189" s="1066">
        <f>'8.1 - INF_EXT AIR BARRIER'!$G$32</f>
        <v>0</v>
      </c>
      <c r="F189" s="1066">
        <f>'8.1 - INF_EXT AIR BARRIER'!$H$32</f>
        <v>0</v>
      </c>
      <c r="G189" s="1065" t="s">
        <v>1119</v>
      </c>
      <c r="H189" s="1065" t="s">
        <v>1119</v>
      </c>
      <c r="I189" s="1065" t="s">
        <v>1119</v>
      </c>
      <c r="J189" s="1083"/>
      <c r="K189" s="1405"/>
      <c r="L189" s="1405"/>
    </row>
    <row r="190" spans="1:40" ht="143.25" customHeight="1">
      <c r="A190" s="1081" t="s">
        <v>1408</v>
      </c>
      <c r="B190" s="1063" t="s">
        <v>1409</v>
      </c>
      <c r="C190" s="1074" t="s">
        <v>1119</v>
      </c>
      <c r="D190" s="1090">
        <f>'8.1 - INF_EXT AIR BARRIER'!F47</f>
        <v>0</v>
      </c>
      <c r="E190" s="1090">
        <f>'8.1 - INF_EXT AIR BARRIER'!G47</f>
        <v>0</v>
      </c>
      <c r="F190" s="1090">
        <f>'8.1 - INF_EXT AIR BARRIER'!H47</f>
        <v>0</v>
      </c>
      <c r="G190" s="1091">
        <f>'8.1 - INF_EXT AIR BARRIER'!J47</f>
        <v>0</v>
      </c>
      <c r="H190" s="1091">
        <f>'8.1 - INF_EXT AIR BARRIER'!G47</f>
        <v>0</v>
      </c>
      <c r="I190" s="1091">
        <f>'8.1 - INF_EXT AIR BARRIER'!I47</f>
        <v>0</v>
      </c>
      <c r="J190" s="1083"/>
      <c r="K190" s="1405"/>
      <c r="L190" s="1405"/>
    </row>
    <row r="191" spans="1:40" ht="18" customHeight="1">
      <c r="A191" s="1081" t="s">
        <v>1410</v>
      </c>
      <c r="B191" s="1063" t="s">
        <v>1187</v>
      </c>
      <c r="C191" s="1074" t="s">
        <v>1119</v>
      </c>
      <c r="D191" s="1090">
        <f>'8.1 - INF_EXT AIR BARRIER'!F48</f>
        <v>0</v>
      </c>
      <c r="E191" s="1090">
        <f>'8.1 - INF_EXT AIR BARRIER'!G48</f>
        <v>0</v>
      </c>
      <c r="F191" s="1090">
        <f>'8.1 - INF_EXT AIR BARRIER'!H48</f>
        <v>0</v>
      </c>
      <c r="G191" s="1091">
        <f>'8.1 - INF_EXT AIR BARRIER'!J48</f>
        <v>0</v>
      </c>
      <c r="H191" s="1091">
        <f>'8.1 - INF_EXT AIR BARRIER'!G48</f>
        <v>0</v>
      </c>
      <c r="I191" s="1091">
        <f>'8.1 - INF_EXT AIR BARRIER'!I48</f>
        <v>0</v>
      </c>
      <c r="J191" s="1083"/>
      <c r="K191" s="1405"/>
      <c r="L191" s="1405"/>
    </row>
    <row r="192" spans="1:40" ht="18" customHeight="1">
      <c r="A192" s="1081" t="s">
        <v>1411</v>
      </c>
      <c r="B192" s="1096" t="s">
        <v>1412</v>
      </c>
      <c r="C192" s="1074" t="s">
        <v>1119</v>
      </c>
      <c r="D192" s="1090">
        <f>'8.1 - INF_EXT AIR BARRIER'!F49</f>
        <v>0</v>
      </c>
      <c r="E192" s="1090">
        <f>'8.1 - INF_EXT AIR BARRIER'!G49</f>
        <v>0</v>
      </c>
      <c r="F192" s="1090">
        <f>'8.1 - INF_EXT AIR BARRIER'!H49</f>
        <v>0</v>
      </c>
      <c r="G192" s="1091">
        <f>'8.1 - INF_EXT AIR BARRIER'!J49</f>
        <v>0</v>
      </c>
      <c r="H192" s="1091">
        <f>'8.1 - INF_EXT AIR BARRIER'!G49</f>
        <v>0</v>
      </c>
      <c r="I192" s="1091">
        <f>'8.1 - INF_EXT AIR BARRIER'!I49</f>
        <v>0</v>
      </c>
      <c r="J192" s="1083"/>
      <c r="K192" s="1405"/>
      <c r="L192" s="1405"/>
    </row>
    <row r="193" spans="1:48" ht="36.75" customHeight="1">
      <c r="A193" s="1081" t="s">
        <v>1413</v>
      </c>
      <c r="B193" s="1096" t="s">
        <v>1414</v>
      </c>
      <c r="C193" s="1074" t="s">
        <v>1119</v>
      </c>
      <c r="D193" s="1090">
        <f>'8.1 - INF_EXT AIR BARRIER'!F50</f>
        <v>0</v>
      </c>
      <c r="E193" s="1090">
        <f>'8.1 - INF_EXT AIR BARRIER'!G50</f>
        <v>0</v>
      </c>
      <c r="F193" s="1090">
        <f>'8.1 - INF_EXT AIR BARRIER'!H50</f>
        <v>0</v>
      </c>
      <c r="G193" s="1091">
        <f>'8.1 - INF_EXT AIR BARRIER'!J50</f>
        <v>0</v>
      </c>
      <c r="H193" s="1091">
        <f>'8.1 - INF_EXT AIR BARRIER'!G50</f>
        <v>0</v>
      </c>
      <c r="I193" s="1091">
        <f>'8.1 - INF_EXT AIR BARRIER'!I50</f>
        <v>0</v>
      </c>
      <c r="J193" s="1083"/>
      <c r="K193" s="1405"/>
      <c r="L193" s="1405"/>
    </row>
    <row r="194" spans="1:48" ht="37.5" customHeight="1">
      <c r="A194" s="1081" t="s">
        <v>1415</v>
      </c>
      <c r="B194" s="1096" t="s">
        <v>1416</v>
      </c>
      <c r="C194" s="1074" t="s">
        <v>1119</v>
      </c>
      <c r="D194" s="1090">
        <f>'8.1 - INF_EXT AIR BARRIER'!F51</f>
        <v>0</v>
      </c>
      <c r="E194" s="1090">
        <f>'8.1 - INF_EXT AIR BARRIER'!G51</f>
        <v>0</v>
      </c>
      <c r="F194" s="1090">
        <f>'8.1 - INF_EXT AIR BARRIER'!H51</f>
        <v>0</v>
      </c>
      <c r="G194" s="1091">
        <f>'8.1 - INF_EXT AIR BARRIER'!J51</f>
        <v>0</v>
      </c>
      <c r="H194" s="1091">
        <f>'8.1 - INF_EXT AIR BARRIER'!G51</f>
        <v>0</v>
      </c>
      <c r="I194" s="1091">
        <f>'8.1 - INF_EXT AIR BARRIER'!I51</f>
        <v>0</v>
      </c>
      <c r="J194" s="1083"/>
      <c r="K194" s="1405"/>
      <c r="L194" s="1405"/>
    </row>
    <row r="195" spans="1:48" ht="57.75" customHeight="1">
      <c r="A195" s="1081" t="s">
        <v>1417</v>
      </c>
      <c r="B195" s="1096" t="s">
        <v>1418</v>
      </c>
      <c r="C195" s="1074" t="s">
        <v>1119</v>
      </c>
      <c r="D195" s="1090">
        <f>'8.1 - INF_EXT AIR BARRIER'!F52</f>
        <v>0</v>
      </c>
      <c r="E195" s="1090">
        <f>'8.1 - INF_EXT AIR BARRIER'!G52</f>
        <v>0</v>
      </c>
      <c r="F195" s="1090">
        <f>'8.1 - INF_EXT AIR BARRIER'!H52</f>
        <v>0</v>
      </c>
      <c r="G195" s="1091">
        <f>'8.1 - INF_EXT AIR BARRIER'!J52</f>
        <v>0</v>
      </c>
      <c r="H195" s="1091">
        <f>'8.1 - INF_EXT AIR BARRIER'!G52</f>
        <v>0</v>
      </c>
      <c r="I195" s="1091">
        <f>'8.1 - INF_EXT AIR BARRIER'!I52</f>
        <v>0</v>
      </c>
      <c r="J195" s="1083"/>
      <c r="K195" s="1405"/>
      <c r="L195" s="1405"/>
    </row>
    <row r="196" spans="1:48" ht="57.75" customHeight="1">
      <c r="A196" s="1081" t="s">
        <v>1419</v>
      </c>
      <c r="B196" s="1096" t="s">
        <v>1420</v>
      </c>
      <c r="C196" s="1074" t="s">
        <v>1119</v>
      </c>
      <c r="D196" s="1090">
        <f>'8.1 - INF_EXT AIR BARRIER'!F53</f>
        <v>0</v>
      </c>
      <c r="E196" s="1090">
        <f>'8.1 - INF_EXT AIR BARRIER'!G53</f>
        <v>0</v>
      </c>
      <c r="F196" s="1090">
        <f>'8.1 - INF_EXT AIR BARRIER'!H53</f>
        <v>0</v>
      </c>
      <c r="G196" s="1091">
        <f>'8.1 - INF_EXT AIR BARRIER'!J53</f>
        <v>0</v>
      </c>
      <c r="H196" s="1091">
        <f>'8.1 - INF_EXT AIR BARRIER'!G53</f>
        <v>0</v>
      </c>
      <c r="I196" s="1091">
        <f>'8.1 - INF_EXT AIR BARRIER'!I53</f>
        <v>0</v>
      </c>
      <c r="J196" s="1083"/>
      <c r="K196" s="1405"/>
      <c r="L196" s="1405"/>
    </row>
    <row r="197" spans="1:48" ht="23.25" customHeight="1">
      <c r="A197" s="1081" t="s">
        <v>1421</v>
      </c>
      <c r="B197" s="1096" t="s">
        <v>1422</v>
      </c>
      <c r="C197" s="1074" t="s">
        <v>1119</v>
      </c>
      <c r="D197" s="1090">
        <f>'8.1 - INF_EXT AIR BARRIER'!F54</f>
        <v>0</v>
      </c>
      <c r="E197" s="1090">
        <f>'8.1 - INF_EXT AIR BARRIER'!G54</f>
        <v>0</v>
      </c>
      <c r="F197" s="1090">
        <f>'8.1 - INF_EXT AIR BARRIER'!H54</f>
        <v>0</v>
      </c>
      <c r="G197" s="1091">
        <f>'8.1 - INF_EXT AIR BARRIER'!J54</f>
        <v>0</v>
      </c>
      <c r="H197" s="1091">
        <f>'8.1 - INF_EXT AIR BARRIER'!G54</f>
        <v>0</v>
      </c>
      <c r="I197" s="1091">
        <f>'8.1 - INF_EXT AIR BARRIER'!I54</f>
        <v>0</v>
      </c>
      <c r="J197" s="1083"/>
      <c r="K197" s="1405"/>
      <c r="L197" s="1405"/>
    </row>
    <row r="198" spans="1:48" ht="57.75" customHeight="1">
      <c r="A198" s="1081" t="s">
        <v>1423</v>
      </c>
      <c r="B198" s="1096" t="s">
        <v>1424</v>
      </c>
      <c r="C198" s="1074" t="s">
        <v>1119</v>
      </c>
      <c r="D198" s="1090">
        <f>'8.1 - INF_EXT AIR BARRIER'!F55</f>
        <v>0</v>
      </c>
      <c r="E198" s="1090">
        <f>'8.1 - INF_EXT AIR BARRIER'!G55</f>
        <v>0</v>
      </c>
      <c r="F198" s="1090">
        <f>'8.1 - INF_EXT AIR BARRIER'!H55</f>
        <v>0</v>
      </c>
      <c r="G198" s="1091">
        <f>'8.1 - INF_EXT AIR BARRIER'!J55</f>
        <v>0</v>
      </c>
      <c r="H198" s="1091">
        <f>'8.1 - INF_EXT AIR BARRIER'!G55</f>
        <v>0</v>
      </c>
      <c r="I198" s="1091">
        <f>'8.1 - INF_EXT AIR BARRIER'!I55</f>
        <v>0</v>
      </c>
      <c r="J198" s="1083"/>
      <c r="K198" s="1405"/>
      <c r="L198" s="1405"/>
    </row>
    <row r="199" spans="1:48" ht="57.75" customHeight="1">
      <c r="A199" s="1081" t="s">
        <v>1425</v>
      </c>
      <c r="B199" s="1096" t="s">
        <v>1426</v>
      </c>
      <c r="C199" s="1074" t="s">
        <v>1119</v>
      </c>
      <c r="D199" s="1090">
        <f>'8.1 - INF_EXT AIR BARRIER'!F56</f>
        <v>0</v>
      </c>
      <c r="E199" s="1090">
        <f>'8.1 - INF_EXT AIR BARRIER'!G56</f>
        <v>0</v>
      </c>
      <c r="F199" s="1090">
        <f>'8.1 - INF_EXT AIR BARRIER'!H56</f>
        <v>0</v>
      </c>
      <c r="G199" s="1091">
        <f>'8.1 - INF_EXT AIR BARRIER'!J56</f>
        <v>0</v>
      </c>
      <c r="H199" s="1091">
        <f>'8.1 - INF_EXT AIR BARRIER'!G56</f>
        <v>0</v>
      </c>
      <c r="I199" s="1091">
        <f>'8.1 - INF_EXT AIR BARRIER'!I56</f>
        <v>0</v>
      </c>
      <c r="J199" s="1083"/>
      <c r="K199" s="1405"/>
      <c r="L199" s="1405"/>
    </row>
    <row r="200" spans="1:48" s="1406" customFormat="1" ht="39.75" customHeight="1">
      <c r="A200" s="1081" t="s">
        <v>1427</v>
      </c>
      <c r="B200" s="1096" t="s">
        <v>1428</v>
      </c>
      <c r="C200" s="1074" t="s">
        <v>1119</v>
      </c>
      <c r="D200" s="1090">
        <f>'8.1 - INF_EXT AIR BARRIER'!F57</f>
        <v>0</v>
      </c>
      <c r="E200" s="1090">
        <f>'8.1 - INF_EXT AIR BARRIER'!G57</f>
        <v>0</v>
      </c>
      <c r="F200" s="1090">
        <f>'8.1 - INF_EXT AIR BARRIER'!H57</f>
        <v>0</v>
      </c>
      <c r="G200" s="1091">
        <f>'8.1 - INF_EXT AIR BARRIER'!J57</f>
        <v>0</v>
      </c>
      <c r="H200" s="1091">
        <f>'8.1 - INF_EXT AIR BARRIER'!G57</f>
        <v>0</v>
      </c>
      <c r="I200" s="1091">
        <f>'8.1 - INF_EXT AIR BARRIER'!I57</f>
        <v>0</v>
      </c>
      <c r="J200" s="1083"/>
      <c r="K200" s="1405"/>
      <c r="L200" s="1405"/>
      <c r="AO200" s="1405"/>
      <c r="AP200" s="1405"/>
      <c r="AQ200" s="1405"/>
      <c r="AR200" s="1405"/>
      <c r="AS200" s="1405"/>
      <c r="AT200" s="1405"/>
      <c r="AU200" s="1405"/>
      <c r="AV200" s="1405"/>
    </row>
    <row r="201" spans="1:48" s="1406" customFormat="1" ht="39.75" customHeight="1">
      <c r="A201" s="1081" t="s">
        <v>1429</v>
      </c>
      <c r="B201" s="1096" t="s">
        <v>1430</v>
      </c>
      <c r="C201" s="1074" t="s">
        <v>1119</v>
      </c>
      <c r="D201" s="1090">
        <f>'8.1 - INF_EXT AIR BARRIER'!F58</f>
        <v>0</v>
      </c>
      <c r="E201" s="1090">
        <f>'8.1 - INF_EXT AIR BARRIER'!G58</f>
        <v>0</v>
      </c>
      <c r="F201" s="1090">
        <f>'8.1 - INF_EXT AIR BARRIER'!H58</f>
        <v>0</v>
      </c>
      <c r="G201" s="1091">
        <f>'8.1 - INF_EXT AIR BARRIER'!J58</f>
        <v>0</v>
      </c>
      <c r="H201" s="1091">
        <f>'8.1 - INF_EXT AIR BARRIER'!G58</f>
        <v>0</v>
      </c>
      <c r="I201" s="1091">
        <f>'8.1 - INF_EXT AIR BARRIER'!I58</f>
        <v>0</v>
      </c>
      <c r="J201" s="1083"/>
      <c r="K201" s="1405"/>
      <c r="L201" s="1405"/>
      <c r="AO201" s="1405"/>
      <c r="AP201" s="1405"/>
      <c r="AQ201" s="1405"/>
      <c r="AR201" s="1405"/>
      <c r="AS201" s="1405"/>
      <c r="AT201" s="1405"/>
      <c r="AU201" s="1405"/>
      <c r="AV201" s="1405"/>
    </row>
    <row r="202" spans="1:48" s="1406" customFormat="1" ht="38.25" customHeight="1">
      <c r="A202" s="1081" t="s">
        <v>1431</v>
      </c>
      <c r="B202" s="1096" t="s">
        <v>1432</v>
      </c>
      <c r="C202" s="1074" t="s">
        <v>1119</v>
      </c>
      <c r="D202" s="1090">
        <f>'8.1 - INF_EXT AIR BARRIER'!F59</f>
        <v>0</v>
      </c>
      <c r="E202" s="1090">
        <f>'8.1 - INF_EXT AIR BARRIER'!G59</f>
        <v>0</v>
      </c>
      <c r="F202" s="1090">
        <f>'8.1 - INF_EXT AIR BARRIER'!H59</f>
        <v>0</v>
      </c>
      <c r="G202" s="1091">
        <f>'8.1 - INF_EXT AIR BARRIER'!J59</f>
        <v>0</v>
      </c>
      <c r="H202" s="1091">
        <f>'8.1 - INF_EXT AIR BARRIER'!G59</f>
        <v>0</v>
      </c>
      <c r="I202" s="1091">
        <f>'8.1 - INF_EXT AIR BARRIER'!I59</f>
        <v>0</v>
      </c>
      <c r="J202" s="1083"/>
      <c r="K202" s="1405"/>
      <c r="L202" s="1405"/>
      <c r="AO202" s="1405"/>
      <c r="AP202" s="1405"/>
      <c r="AQ202" s="1405"/>
      <c r="AR202" s="1405"/>
      <c r="AS202" s="1405"/>
      <c r="AT202" s="1405"/>
      <c r="AU202" s="1405"/>
      <c r="AV202" s="1405"/>
    </row>
    <row r="203" spans="1:48" s="1406" customFormat="1" ht="38.25" customHeight="1">
      <c r="A203" s="1081" t="s">
        <v>1433</v>
      </c>
      <c r="B203" s="1096" t="s">
        <v>1434</v>
      </c>
      <c r="C203" s="1074" t="s">
        <v>1119</v>
      </c>
      <c r="D203" s="1090">
        <f>'8.1 - INF_EXT AIR BARRIER'!F60</f>
        <v>0</v>
      </c>
      <c r="E203" s="1090">
        <f>'8.1 - INF_EXT AIR BARRIER'!G60</f>
        <v>0</v>
      </c>
      <c r="F203" s="1090">
        <f>'8.1 - INF_EXT AIR BARRIER'!H60</f>
        <v>0</v>
      </c>
      <c r="G203" s="1091">
        <f>'8.1 - INF_EXT AIR BARRIER'!J60</f>
        <v>0</v>
      </c>
      <c r="H203" s="1091">
        <f>'8.1 - INF_EXT AIR BARRIER'!G60</f>
        <v>0</v>
      </c>
      <c r="I203" s="1091">
        <f>'8.1 - INF_EXT AIR BARRIER'!I60</f>
        <v>0</v>
      </c>
      <c r="J203" s="1083"/>
      <c r="K203" s="1405"/>
      <c r="L203" s="1405"/>
      <c r="AO203" s="1405"/>
      <c r="AP203" s="1405"/>
      <c r="AQ203" s="1405"/>
      <c r="AR203" s="1405"/>
      <c r="AS203" s="1405"/>
      <c r="AT203" s="1405"/>
      <c r="AU203" s="1405"/>
      <c r="AV203" s="1405"/>
    </row>
    <row r="204" spans="1:48" s="1406" customFormat="1" ht="24.75" customHeight="1">
      <c r="A204" s="1081" t="s">
        <v>1435</v>
      </c>
      <c r="B204" s="1096" t="s">
        <v>1436</v>
      </c>
      <c r="C204" s="1074" t="s">
        <v>1119</v>
      </c>
      <c r="D204" s="1090">
        <f>'8.1 - INF_EXT AIR BARRIER'!F61</f>
        <v>0</v>
      </c>
      <c r="E204" s="1090">
        <f>'8.1 - INF_EXT AIR BARRIER'!G61</f>
        <v>0</v>
      </c>
      <c r="F204" s="1090">
        <f>'8.1 - INF_EXT AIR BARRIER'!H61</f>
        <v>0</v>
      </c>
      <c r="G204" s="1091">
        <f>'8.1 - INF_EXT AIR BARRIER'!J61</f>
        <v>0</v>
      </c>
      <c r="H204" s="1091">
        <f>'8.1 - INF_EXT AIR BARRIER'!G61</f>
        <v>0</v>
      </c>
      <c r="I204" s="1091">
        <f>'8.1 - INF_EXT AIR BARRIER'!I61</f>
        <v>0</v>
      </c>
      <c r="J204" s="1083"/>
      <c r="K204" s="1405"/>
      <c r="L204" s="1405"/>
      <c r="AO204" s="1405"/>
      <c r="AP204" s="1405"/>
      <c r="AQ204" s="1405"/>
      <c r="AR204" s="1405"/>
      <c r="AS204" s="1405"/>
      <c r="AT204" s="1405"/>
      <c r="AU204" s="1405"/>
      <c r="AV204" s="1405"/>
    </row>
    <row r="205" spans="1:48" s="1406" customFormat="1" ht="59.25" customHeight="1">
      <c r="A205" s="1081" t="s">
        <v>1437</v>
      </c>
      <c r="B205" s="1096" t="s">
        <v>1438</v>
      </c>
      <c r="C205" s="1074" t="s">
        <v>1119</v>
      </c>
      <c r="D205" s="1090">
        <f>'8.1 - INF_EXT AIR BARRIER'!F62</f>
        <v>0</v>
      </c>
      <c r="E205" s="1090">
        <f>'8.1 - INF_EXT AIR BARRIER'!G62</f>
        <v>0</v>
      </c>
      <c r="F205" s="1090">
        <f>'8.1 - INF_EXT AIR BARRIER'!H62</f>
        <v>0</v>
      </c>
      <c r="G205" s="1091">
        <f>'8.1 - INF_EXT AIR BARRIER'!J62</f>
        <v>0</v>
      </c>
      <c r="H205" s="1091">
        <f>'8.1 - INF_EXT AIR BARRIER'!G62</f>
        <v>0</v>
      </c>
      <c r="I205" s="1091">
        <f>'8.1 - INF_EXT AIR BARRIER'!I62</f>
        <v>0</v>
      </c>
      <c r="J205" s="1083"/>
      <c r="K205" s="1405"/>
      <c r="L205" s="1405"/>
      <c r="AO205" s="1405"/>
      <c r="AP205" s="1405"/>
      <c r="AQ205" s="1405"/>
      <c r="AR205" s="1405"/>
      <c r="AS205" s="1405"/>
      <c r="AT205" s="1405"/>
      <c r="AU205" s="1405"/>
      <c r="AV205" s="1405"/>
    </row>
    <row r="206" spans="1:48" s="1406" customFormat="1" ht="56.25" customHeight="1">
      <c r="A206" s="1081" t="s">
        <v>1439</v>
      </c>
      <c r="B206" s="1096" t="s">
        <v>1440</v>
      </c>
      <c r="C206" s="1074" t="s">
        <v>1119</v>
      </c>
      <c r="D206" s="1090">
        <f>'8.1 - INF_EXT AIR BARRIER'!F63</f>
        <v>0</v>
      </c>
      <c r="E206" s="1090">
        <f>'8.1 - INF_EXT AIR BARRIER'!G63</f>
        <v>0</v>
      </c>
      <c r="F206" s="1090">
        <f>'8.1 - INF_EXT AIR BARRIER'!H63</f>
        <v>0</v>
      </c>
      <c r="G206" s="1091">
        <f>'8.1 - INF_EXT AIR BARRIER'!J63</f>
        <v>0</v>
      </c>
      <c r="H206" s="1091">
        <f>'8.1 - INF_EXT AIR BARRIER'!G63</f>
        <v>0</v>
      </c>
      <c r="I206" s="1091">
        <f>'8.1 - INF_EXT AIR BARRIER'!I63</f>
        <v>0</v>
      </c>
      <c r="J206" s="1083"/>
      <c r="K206" s="1405"/>
      <c r="L206" s="1405"/>
      <c r="AO206" s="1405"/>
      <c r="AP206" s="1405"/>
      <c r="AQ206" s="1405"/>
      <c r="AR206" s="1405"/>
      <c r="AS206" s="1405"/>
      <c r="AT206" s="1405"/>
      <c r="AU206" s="1405"/>
      <c r="AV206" s="1405"/>
    </row>
    <row r="207" spans="1:48" s="1406" customFormat="1" ht="41.25" customHeight="1">
      <c r="A207" s="1081" t="s">
        <v>1441</v>
      </c>
      <c r="B207" s="1096" t="s">
        <v>1442</v>
      </c>
      <c r="C207" s="1074" t="s">
        <v>1119</v>
      </c>
      <c r="D207" s="1090">
        <f>'8.1 - INF_EXT AIR BARRIER'!F64</f>
        <v>0</v>
      </c>
      <c r="E207" s="1090">
        <f>'8.1 - INF_EXT AIR BARRIER'!G64</f>
        <v>0</v>
      </c>
      <c r="F207" s="1090">
        <f>'8.1 - INF_EXT AIR BARRIER'!H64</f>
        <v>0</v>
      </c>
      <c r="G207" s="1091">
        <f>'8.1 - INF_EXT AIR BARRIER'!J64</f>
        <v>0</v>
      </c>
      <c r="H207" s="1091">
        <f>'8.1 - INF_EXT AIR BARRIER'!G64</f>
        <v>0</v>
      </c>
      <c r="I207" s="1091">
        <f>'8.1 - INF_EXT AIR BARRIER'!I64</f>
        <v>0</v>
      </c>
      <c r="J207" s="1083"/>
      <c r="K207" s="1405"/>
      <c r="L207" s="1405"/>
      <c r="AO207" s="1405"/>
      <c r="AP207" s="1405"/>
      <c r="AQ207" s="1405"/>
      <c r="AR207" s="1405"/>
      <c r="AS207" s="1405"/>
      <c r="AT207" s="1405"/>
      <c r="AU207" s="1405"/>
      <c r="AV207" s="1405"/>
    </row>
    <row r="208" spans="1:48" s="1406" customFormat="1" ht="26.25" customHeight="1">
      <c r="A208" s="1081" t="s">
        <v>1443</v>
      </c>
      <c r="B208" s="1096" t="s">
        <v>1444</v>
      </c>
      <c r="C208" s="1074" t="s">
        <v>1119</v>
      </c>
      <c r="D208" s="1090">
        <f>'8.1 - INF_EXT AIR BARRIER'!F65</f>
        <v>0</v>
      </c>
      <c r="E208" s="1090">
        <f>'8.1 - INF_EXT AIR BARRIER'!G65</f>
        <v>0</v>
      </c>
      <c r="F208" s="1090">
        <f>'8.1 - INF_EXT AIR BARRIER'!H65</f>
        <v>0</v>
      </c>
      <c r="G208" s="1091">
        <f>'8.1 - INF_EXT AIR BARRIER'!J65</f>
        <v>0</v>
      </c>
      <c r="H208" s="1091">
        <f>'8.1 - INF_EXT AIR BARRIER'!G65</f>
        <v>0</v>
      </c>
      <c r="I208" s="1091">
        <f>'8.1 - INF_EXT AIR BARRIER'!I65</f>
        <v>0</v>
      </c>
      <c r="J208" s="1083"/>
      <c r="K208" s="1405"/>
      <c r="L208" s="1405"/>
      <c r="AO208" s="1405"/>
      <c r="AP208" s="1405"/>
      <c r="AQ208" s="1405"/>
      <c r="AR208" s="1405"/>
      <c r="AS208" s="1405"/>
      <c r="AT208" s="1405"/>
      <c r="AU208" s="1405"/>
      <c r="AV208" s="1405"/>
    </row>
    <row r="209" spans="1:48" s="1406" customFormat="1" ht="24.75" customHeight="1">
      <c r="A209" s="1081" t="s">
        <v>1445</v>
      </c>
      <c r="B209" s="1096" t="s">
        <v>1446</v>
      </c>
      <c r="C209" s="1074" t="s">
        <v>1119</v>
      </c>
      <c r="D209" s="1090">
        <f>'8.1 - INF_EXT AIR BARRIER'!F66</f>
        <v>0</v>
      </c>
      <c r="E209" s="1090">
        <f>'8.1 - INF_EXT AIR BARRIER'!G66</f>
        <v>0</v>
      </c>
      <c r="F209" s="1090">
        <f>'8.1 - INF_EXT AIR BARRIER'!H66</f>
        <v>0</v>
      </c>
      <c r="G209" s="1091">
        <f>'8.1 - INF_EXT AIR BARRIER'!J66</f>
        <v>0</v>
      </c>
      <c r="H209" s="1091">
        <f>'8.1 - INF_EXT AIR BARRIER'!G66</f>
        <v>0</v>
      </c>
      <c r="I209" s="1091">
        <f>'8.1 - INF_EXT AIR BARRIER'!I66</f>
        <v>0</v>
      </c>
      <c r="J209" s="1083"/>
      <c r="K209" s="1405"/>
      <c r="L209" s="1405"/>
      <c r="AO209" s="1405"/>
      <c r="AP209" s="1405"/>
      <c r="AQ209" s="1405"/>
      <c r="AR209" s="1405"/>
      <c r="AS209" s="1405"/>
      <c r="AT209" s="1405"/>
      <c r="AU209" s="1405"/>
      <c r="AV209" s="1405"/>
    </row>
    <row r="210" spans="1:48" s="1406" customFormat="1" ht="38.25" customHeight="1">
      <c r="A210" s="1081" t="s">
        <v>1447</v>
      </c>
      <c r="B210" s="1096" t="s">
        <v>1448</v>
      </c>
      <c r="C210" s="1074" t="s">
        <v>1119</v>
      </c>
      <c r="D210" s="1090">
        <f>'8.1 - INF_EXT AIR BARRIER'!F67</f>
        <v>0</v>
      </c>
      <c r="E210" s="1090">
        <f>'8.1 - INF_EXT AIR BARRIER'!G67</f>
        <v>0</v>
      </c>
      <c r="F210" s="1090">
        <f>'8.1 - INF_EXT AIR BARRIER'!H67</f>
        <v>0</v>
      </c>
      <c r="G210" s="1091">
        <f>'8.1 - INF_EXT AIR BARRIER'!J67</f>
        <v>0</v>
      </c>
      <c r="H210" s="1091">
        <f>'8.1 - INF_EXT AIR BARRIER'!G67</f>
        <v>0</v>
      </c>
      <c r="I210" s="1091">
        <f>'8.1 - INF_EXT AIR BARRIER'!I67</f>
        <v>0</v>
      </c>
      <c r="J210" s="1083"/>
      <c r="K210" s="1405"/>
      <c r="L210" s="1405"/>
      <c r="AO210" s="1405"/>
      <c r="AP210" s="1405"/>
      <c r="AQ210" s="1405"/>
      <c r="AR210" s="1405"/>
      <c r="AS210" s="1405"/>
      <c r="AT210" s="1405"/>
      <c r="AU210" s="1405"/>
      <c r="AV210" s="1405"/>
    </row>
    <row r="211" spans="1:48" s="1406" customFormat="1" ht="38.25" customHeight="1">
      <c r="A211" s="1081" t="s">
        <v>1449</v>
      </c>
      <c r="B211" s="1096" t="s">
        <v>1450</v>
      </c>
      <c r="C211" s="1074" t="s">
        <v>1119</v>
      </c>
      <c r="D211" s="1090">
        <f>'8.1 - INF_EXT AIR BARRIER'!F68</f>
        <v>0</v>
      </c>
      <c r="E211" s="1090">
        <f>'8.1 - INF_EXT AIR BARRIER'!G68</f>
        <v>0</v>
      </c>
      <c r="F211" s="1090">
        <f>'8.1 - INF_EXT AIR BARRIER'!H68</f>
        <v>0</v>
      </c>
      <c r="G211" s="1091">
        <f>'8.1 - INF_EXT AIR BARRIER'!J68</f>
        <v>0</v>
      </c>
      <c r="H211" s="1091">
        <f>'8.1 - INF_EXT AIR BARRIER'!G68</f>
        <v>0</v>
      </c>
      <c r="I211" s="1091">
        <f>'8.1 - INF_EXT AIR BARRIER'!I68</f>
        <v>0</v>
      </c>
      <c r="J211" s="1083"/>
      <c r="K211" s="1405"/>
      <c r="L211" s="1405"/>
      <c r="AO211" s="1405"/>
      <c r="AP211" s="1405"/>
      <c r="AQ211" s="1405"/>
      <c r="AR211" s="1405"/>
      <c r="AS211" s="1405"/>
      <c r="AT211" s="1405"/>
      <c r="AU211" s="1405"/>
      <c r="AV211" s="1405"/>
    </row>
    <row r="212" spans="1:48" s="1406" customFormat="1" ht="38.25" customHeight="1">
      <c r="A212" s="1081" t="s">
        <v>1451</v>
      </c>
      <c r="B212" s="1096" t="s">
        <v>1452</v>
      </c>
      <c r="C212" s="1074" t="s">
        <v>1119</v>
      </c>
      <c r="D212" s="1090">
        <f>'8.1 - INF_EXT AIR BARRIER'!F69</f>
        <v>0</v>
      </c>
      <c r="E212" s="1090">
        <f>'8.1 - INF_EXT AIR BARRIER'!G69</f>
        <v>0</v>
      </c>
      <c r="F212" s="1090">
        <f>'8.1 - INF_EXT AIR BARRIER'!H69</f>
        <v>0</v>
      </c>
      <c r="G212" s="1091">
        <f>'8.1 - INF_EXT AIR BARRIER'!J69</f>
        <v>0</v>
      </c>
      <c r="H212" s="1091">
        <f>'8.1 - INF_EXT AIR BARRIER'!G69</f>
        <v>0</v>
      </c>
      <c r="I212" s="1091">
        <f>'8.1 - INF_EXT AIR BARRIER'!I69</f>
        <v>0</v>
      </c>
      <c r="J212" s="1083"/>
      <c r="K212" s="1405"/>
      <c r="L212" s="1405"/>
      <c r="AO212" s="1405"/>
      <c r="AP212" s="1405"/>
      <c r="AQ212" s="1405"/>
      <c r="AR212" s="1405"/>
      <c r="AS212" s="1405"/>
      <c r="AT212" s="1405"/>
      <c r="AU212" s="1405"/>
      <c r="AV212" s="1405"/>
    </row>
    <row r="213" spans="1:48" s="1406" customFormat="1" ht="78.75" customHeight="1">
      <c r="A213" s="1081" t="s">
        <v>1453</v>
      </c>
      <c r="B213" s="1096" t="s">
        <v>1454</v>
      </c>
      <c r="C213" s="1074" t="s">
        <v>1119</v>
      </c>
      <c r="D213" s="1090">
        <f>'8.1 - INF_EXT AIR BARRIER'!F70</f>
        <v>0</v>
      </c>
      <c r="E213" s="1090">
        <f>'8.1 - INF_EXT AIR BARRIER'!G70</f>
        <v>0</v>
      </c>
      <c r="F213" s="1090">
        <f>'8.1 - INF_EXT AIR BARRIER'!H70</f>
        <v>0</v>
      </c>
      <c r="G213" s="1091">
        <f>'8.1 - INF_EXT AIR BARRIER'!J70</f>
        <v>0</v>
      </c>
      <c r="H213" s="1091">
        <f>'8.1 - INF_EXT AIR BARRIER'!G70</f>
        <v>0</v>
      </c>
      <c r="I213" s="1091">
        <f>'8.1 - INF_EXT AIR BARRIER'!I70</f>
        <v>0</v>
      </c>
      <c r="J213" s="1083"/>
      <c r="K213" s="1405"/>
      <c r="L213" s="1405"/>
      <c r="AO213" s="1405"/>
      <c r="AP213" s="1405"/>
      <c r="AQ213" s="1405"/>
      <c r="AR213" s="1405"/>
      <c r="AS213" s="1405"/>
      <c r="AT213" s="1405"/>
      <c r="AU213" s="1405"/>
      <c r="AV213" s="1405"/>
    </row>
    <row r="214" spans="1:48" s="1406" customFormat="1" ht="95.25" customHeight="1">
      <c r="A214" s="1081" t="s">
        <v>1455</v>
      </c>
      <c r="B214" s="1096" t="s">
        <v>309</v>
      </c>
      <c r="C214" s="1074" t="s">
        <v>1119</v>
      </c>
      <c r="D214" s="1090">
        <f>'8.1 - INF_EXT AIR BARRIER'!F71</f>
        <v>0</v>
      </c>
      <c r="E214" s="1090">
        <f>'8.1 - INF_EXT AIR BARRIER'!G71</f>
        <v>0</v>
      </c>
      <c r="F214" s="1090">
        <f>'8.1 - INF_EXT AIR BARRIER'!H71</f>
        <v>0</v>
      </c>
      <c r="G214" s="1091">
        <f>'8.1 - INF_EXT AIR BARRIER'!J71</f>
        <v>0</v>
      </c>
      <c r="H214" s="1091">
        <f>'8.1 - INF_EXT AIR BARRIER'!G71</f>
        <v>0</v>
      </c>
      <c r="I214" s="1091">
        <f>'8.1 - INF_EXT AIR BARRIER'!I71</f>
        <v>0</v>
      </c>
      <c r="J214" s="1083"/>
      <c r="K214" s="1405"/>
      <c r="L214" s="1405"/>
      <c r="AO214" s="1405"/>
      <c r="AP214" s="1405"/>
      <c r="AQ214" s="1405"/>
      <c r="AR214" s="1405"/>
      <c r="AS214" s="1405"/>
      <c r="AT214" s="1405"/>
      <c r="AU214" s="1405"/>
      <c r="AV214" s="1405"/>
    </row>
    <row r="215" spans="1:48" s="1406" customFormat="1" ht="39.75" customHeight="1">
      <c r="A215" s="1078"/>
      <c r="B215" s="1107" t="s">
        <v>1456</v>
      </c>
      <c r="C215" s="1108"/>
      <c r="D215" s="1079"/>
      <c r="E215" s="1079"/>
      <c r="F215" s="1079"/>
      <c r="G215" s="1079"/>
      <c r="H215" s="1079"/>
      <c r="I215" s="1079"/>
      <c r="J215" s="1080"/>
      <c r="K215" s="1405"/>
      <c r="L215" s="1405"/>
      <c r="AO215" s="1405"/>
      <c r="AP215" s="1405"/>
      <c r="AQ215" s="1405"/>
      <c r="AR215" s="1405"/>
      <c r="AS215" s="1405"/>
      <c r="AT215" s="1405"/>
      <c r="AU215" s="1405"/>
      <c r="AV215" s="1405"/>
    </row>
    <row r="216" spans="1:48" s="1406" customFormat="1" ht="36">
      <c r="A216" s="1081" t="s">
        <v>1457</v>
      </c>
      <c r="B216" s="1063" t="s">
        <v>1458</v>
      </c>
      <c r="C216" s="1064" t="s">
        <v>1119</v>
      </c>
      <c r="D216" s="1066">
        <f>'8.1-INF_COMPTZN VIS INSPECTION'!$F$29</f>
        <v>0</v>
      </c>
      <c r="E216" s="1066">
        <f>'8.1-INF_COMPTZN VIS INSPECTION'!$G$29</f>
        <v>0</v>
      </c>
      <c r="F216" s="1066">
        <f>'8.1-INF_COMPTZN VIS INSPECTION'!$H$29</f>
        <v>0</v>
      </c>
      <c r="G216" s="1065" t="s">
        <v>1119</v>
      </c>
      <c r="H216" s="1065" t="s">
        <v>1119</v>
      </c>
      <c r="I216" s="1065" t="s">
        <v>1119</v>
      </c>
      <c r="J216" s="1083"/>
      <c r="K216" s="1405"/>
      <c r="L216" s="1405"/>
      <c r="AO216" s="1405"/>
      <c r="AP216" s="1405"/>
      <c r="AQ216" s="1405"/>
      <c r="AR216" s="1405"/>
      <c r="AS216" s="1405"/>
      <c r="AT216" s="1405"/>
      <c r="AU216" s="1405"/>
      <c r="AV216" s="1405"/>
    </row>
    <row r="217" spans="1:48" s="1406" customFormat="1" ht="36">
      <c r="A217" s="1081" t="s">
        <v>1459</v>
      </c>
      <c r="B217" s="1063" t="s">
        <v>1460</v>
      </c>
      <c r="C217" s="1074" t="s">
        <v>1119</v>
      </c>
      <c r="D217" s="1090">
        <f>'8.1-INF_COMPTZN VIS INSPECTION'!F31</f>
        <v>0</v>
      </c>
      <c r="E217" s="1090">
        <f>'8.1-INF_COMPTZN VIS INSPECTION'!G31</f>
        <v>0</v>
      </c>
      <c r="F217" s="1090">
        <f>'8.1-INF_COMPTZN VIS INSPECTION'!H31</f>
        <v>0</v>
      </c>
      <c r="G217" s="1091">
        <f>'8.1-INF_COMPTZN VIS INSPECTION'!J31</f>
        <v>0</v>
      </c>
      <c r="H217" s="1091">
        <f>'8.1-INF_COMPTZN VIS INSPECTION'!G31</f>
        <v>0</v>
      </c>
      <c r="I217" s="1091">
        <f>'8.1-INF_COMPTZN VIS INSPECTION'!I31</f>
        <v>0</v>
      </c>
      <c r="J217" s="1083"/>
      <c r="K217" s="1405"/>
      <c r="L217" s="1405"/>
      <c r="AO217" s="1405"/>
      <c r="AP217" s="1405"/>
      <c r="AQ217" s="1405"/>
      <c r="AR217" s="1405"/>
      <c r="AS217" s="1405"/>
      <c r="AT217" s="1405"/>
      <c r="AU217" s="1405"/>
      <c r="AV217" s="1405"/>
    </row>
    <row r="218" spans="1:48" s="1406" customFormat="1">
      <c r="A218" s="1081" t="s">
        <v>1461</v>
      </c>
      <c r="B218" s="1109" t="s">
        <v>1462</v>
      </c>
      <c r="C218" s="1074" t="s">
        <v>1119</v>
      </c>
      <c r="D218" s="1090" t="s">
        <v>1119</v>
      </c>
      <c r="E218" s="1090" t="s">
        <v>1119</v>
      </c>
      <c r="F218" s="1090" t="s">
        <v>1119</v>
      </c>
      <c r="G218" s="1091">
        <f>'8.1-INF_COMPTZN VIS INSPECTION'!J32</f>
        <v>0</v>
      </c>
      <c r="H218" s="1091" t="s">
        <v>1119</v>
      </c>
      <c r="I218" s="1091">
        <f>'8.1-INF_COMPTZN VIS INSPECTION'!I32</f>
        <v>0</v>
      </c>
      <c r="J218" s="1083"/>
      <c r="K218" s="1405"/>
      <c r="L218" s="1405"/>
      <c r="AO218" s="1405"/>
      <c r="AP218" s="1405"/>
      <c r="AQ218" s="1405"/>
      <c r="AR218" s="1405"/>
      <c r="AS218" s="1405"/>
      <c r="AT218" s="1405"/>
      <c r="AU218" s="1405"/>
      <c r="AV218" s="1405"/>
    </row>
    <row r="219" spans="1:48" s="1406" customFormat="1">
      <c r="A219" s="1081" t="s">
        <v>1463</v>
      </c>
      <c r="B219" s="1109" t="s">
        <v>1464</v>
      </c>
      <c r="C219" s="1074" t="s">
        <v>1119</v>
      </c>
      <c r="D219" s="1090" t="s">
        <v>1119</v>
      </c>
      <c r="E219" s="1090" t="s">
        <v>1119</v>
      </c>
      <c r="F219" s="1090" t="s">
        <v>1119</v>
      </c>
      <c r="G219" s="1091">
        <f>'8.1-INF_COMPTZN VIS INSPECTION'!J33</f>
        <v>0</v>
      </c>
      <c r="H219" s="1091" t="s">
        <v>1119</v>
      </c>
      <c r="I219" s="1091">
        <f>'8.1-INF_COMPTZN VIS INSPECTION'!I33</f>
        <v>0</v>
      </c>
      <c r="J219" s="1083"/>
      <c r="K219" s="1405"/>
      <c r="L219" s="1405"/>
      <c r="AO219" s="1405"/>
      <c r="AP219" s="1405"/>
      <c r="AQ219" s="1405"/>
      <c r="AR219" s="1405"/>
      <c r="AS219" s="1405"/>
      <c r="AT219" s="1405"/>
      <c r="AU219" s="1405"/>
      <c r="AV219" s="1405"/>
    </row>
    <row r="220" spans="1:48" s="1406" customFormat="1" ht="36">
      <c r="A220" s="1081" t="s">
        <v>1465</v>
      </c>
      <c r="B220" s="1109" t="s">
        <v>1466</v>
      </c>
      <c r="C220" s="1074" t="s">
        <v>1119</v>
      </c>
      <c r="D220" s="1090" t="s">
        <v>1119</v>
      </c>
      <c r="E220" s="1090" t="s">
        <v>1119</v>
      </c>
      <c r="F220" s="1090" t="s">
        <v>1119</v>
      </c>
      <c r="G220" s="1091">
        <f>'8.1-INF_COMPTZN VIS INSPECTION'!J35</f>
        <v>0</v>
      </c>
      <c r="H220" s="1091" t="s">
        <v>1119</v>
      </c>
      <c r="I220" s="1091">
        <f>'8.1-INF_COMPTZN VIS INSPECTION'!I35</f>
        <v>0</v>
      </c>
      <c r="J220" s="1083"/>
      <c r="K220" s="1405"/>
      <c r="L220" s="1405"/>
      <c r="AO220" s="1405"/>
      <c r="AP220" s="1405"/>
      <c r="AQ220" s="1405"/>
      <c r="AR220" s="1405"/>
      <c r="AS220" s="1405"/>
      <c r="AT220" s="1405"/>
      <c r="AU220" s="1405"/>
      <c r="AV220" s="1405"/>
    </row>
    <row r="221" spans="1:48" s="1406" customFormat="1" ht="36">
      <c r="A221" s="1081" t="s">
        <v>1467</v>
      </c>
      <c r="B221" s="1109" t="s">
        <v>1468</v>
      </c>
      <c r="C221" s="1074" t="s">
        <v>1119</v>
      </c>
      <c r="D221" s="1090" t="s">
        <v>1119</v>
      </c>
      <c r="E221" s="1090" t="s">
        <v>1119</v>
      </c>
      <c r="F221" s="1090" t="s">
        <v>1119</v>
      </c>
      <c r="G221" s="1091">
        <f>'8.1-INF_COMPTZN VIS INSPECTION'!J34</f>
        <v>0</v>
      </c>
      <c r="H221" s="1091" t="s">
        <v>1119</v>
      </c>
      <c r="I221" s="1091">
        <f>'8.1-INF_COMPTZN VIS INSPECTION'!I34</f>
        <v>0</v>
      </c>
      <c r="J221" s="1083"/>
      <c r="K221" s="1405"/>
      <c r="L221" s="1405"/>
      <c r="AO221" s="1405"/>
      <c r="AP221" s="1405"/>
      <c r="AQ221" s="1405"/>
      <c r="AR221" s="1405"/>
      <c r="AS221" s="1405"/>
      <c r="AT221" s="1405"/>
      <c r="AU221" s="1405"/>
      <c r="AV221" s="1405"/>
    </row>
    <row r="222" spans="1:48" s="1406" customFormat="1" ht="36">
      <c r="A222" s="1081" t="s">
        <v>1469</v>
      </c>
      <c r="B222" s="1109" t="s">
        <v>1470</v>
      </c>
      <c r="C222" s="1074" t="s">
        <v>1119</v>
      </c>
      <c r="D222" s="1090" t="s">
        <v>1119</v>
      </c>
      <c r="E222" s="1090" t="s">
        <v>1119</v>
      </c>
      <c r="F222" s="1090" t="s">
        <v>1119</v>
      </c>
      <c r="G222" s="1091">
        <f>'8.1-INF_COMPTZN VIS INSPECTION'!J37</f>
        <v>0</v>
      </c>
      <c r="H222" s="1091" t="s">
        <v>1119</v>
      </c>
      <c r="I222" s="1091">
        <f>'8.1-INF_COMPTZN VIS INSPECTION'!I37</f>
        <v>0</v>
      </c>
      <c r="J222" s="1083"/>
      <c r="K222" s="1405"/>
      <c r="L222" s="1405"/>
      <c r="AO222" s="1405"/>
      <c r="AP222" s="1405"/>
      <c r="AQ222" s="1405"/>
      <c r="AR222" s="1405"/>
      <c r="AS222" s="1405"/>
      <c r="AT222" s="1405"/>
      <c r="AU222" s="1405"/>
      <c r="AV222" s="1405"/>
    </row>
    <row r="223" spans="1:48" s="1406" customFormat="1" ht="36">
      <c r="A223" s="1081" t="s">
        <v>1471</v>
      </c>
      <c r="B223" s="1109" t="s">
        <v>1472</v>
      </c>
      <c r="C223" s="1074" t="s">
        <v>1119</v>
      </c>
      <c r="D223" s="1090" t="s">
        <v>1119</v>
      </c>
      <c r="E223" s="1090" t="s">
        <v>1119</v>
      </c>
      <c r="F223" s="1090" t="s">
        <v>1119</v>
      </c>
      <c r="G223" s="1091">
        <f>'8.1-INF_COMPTZN VIS INSPECTION'!J36</f>
        <v>0</v>
      </c>
      <c r="H223" s="1091" t="s">
        <v>1119</v>
      </c>
      <c r="I223" s="1091">
        <f>'8.1-INF_COMPTZN VIS INSPECTION'!I36</f>
        <v>0</v>
      </c>
      <c r="J223" s="1083"/>
      <c r="K223" s="1405"/>
      <c r="L223" s="1405"/>
      <c r="AO223" s="1405"/>
      <c r="AP223" s="1405"/>
      <c r="AQ223" s="1405"/>
      <c r="AR223" s="1405"/>
      <c r="AS223" s="1405"/>
      <c r="AT223" s="1405"/>
      <c r="AU223" s="1405"/>
      <c r="AV223" s="1405"/>
    </row>
    <row r="224" spans="1:48" s="1406" customFormat="1" ht="36">
      <c r="A224" s="1081" t="s">
        <v>1473</v>
      </c>
      <c r="B224" s="1109" t="s">
        <v>1474</v>
      </c>
      <c r="C224" s="1074" t="s">
        <v>1119</v>
      </c>
      <c r="D224" s="1090" t="s">
        <v>1119</v>
      </c>
      <c r="E224" s="1090" t="s">
        <v>1119</v>
      </c>
      <c r="F224" s="1090" t="s">
        <v>1119</v>
      </c>
      <c r="G224" s="1091">
        <f>'8.1-INF_COMPTZN VIS INSPECTION'!J38</f>
        <v>0</v>
      </c>
      <c r="H224" s="1091" t="s">
        <v>1119</v>
      </c>
      <c r="I224" s="1091">
        <f>'8.1-INF_COMPTZN VIS INSPECTION'!I38</f>
        <v>0</v>
      </c>
      <c r="J224" s="1083"/>
      <c r="K224" s="1405"/>
      <c r="L224" s="1405"/>
      <c r="AO224" s="1405"/>
      <c r="AP224" s="1405"/>
      <c r="AQ224" s="1405"/>
      <c r="AR224" s="1405"/>
      <c r="AS224" s="1405"/>
      <c r="AT224" s="1405"/>
      <c r="AU224" s="1405"/>
      <c r="AV224" s="1405"/>
    </row>
    <row r="225" spans="1:48" s="1406" customFormat="1" ht="36">
      <c r="A225" s="1081" t="s">
        <v>1475</v>
      </c>
      <c r="B225" s="1109" t="s">
        <v>1476</v>
      </c>
      <c r="C225" s="1074" t="s">
        <v>1119</v>
      </c>
      <c r="D225" s="1090" t="s">
        <v>1119</v>
      </c>
      <c r="E225" s="1090" t="s">
        <v>1119</v>
      </c>
      <c r="F225" s="1090" t="s">
        <v>1119</v>
      </c>
      <c r="G225" s="1091">
        <f>'8.1-INF_COMPTZN VIS INSPECTION'!J39</f>
        <v>0</v>
      </c>
      <c r="H225" s="1091" t="s">
        <v>1119</v>
      </c>
      <c r="I225" s="1091">
        <f>'8.1-INF_COMPTZN VIS INSPECTION'!I39</f>
        <v>0</v>
      </c>
      <c r="J225" s="1083"/>
      <c r="K225" s="1405"/>
      <c r="L225" s="1405"/>
      <c r="AO225" s="1405"/>
      <c r="AP225" s="1405"/>
      <c r="AQ225" s="1405"/>
      <c r="AR225" s="1405"/>
      <c r="AS225" s="1405"/>
      <c r="AT225" s="1405"/>
      <c r="AU225" s="1405"/>
      <c r="AV225" s="1405"/>
    </row>
    <row r="226" spans="1:48" s="1406" customFormat="1" ht="36">
      <c r="A226" s="1081" t="s">
        <v>1477</v>
      </c>
      <c r="B226" s="1109" t="s">
        <v>1478</v>
      </c>
      <c r="C226" s="1074" t="s">
        <v>1119</v>
      </c>
      <c r="D226" s="1090" t="s">
        <v>1119</v>
      </c>
      <c r="E226" s="1090" t="s">
        <v>1119</v>
      </c>
      <c r="F226" s="1090" t="s">
        <v>1119</v>
      </c>
      <c r="G226" s="1091">
        <f>'8.1-INF_COMPTZN VIS INSPECTION'!J40</f>
        <v>0</v>
      </c>
      <c r="H226" s="1091" t="s">
        <v>1119</v>
      </c>
      <c r="I226" s="1091">
        <f>'8.1-INF_COMPTZN VIS INSPECTION'!I40</f>
        <v>0</v>
      </c>
      <c r="J226" s="1083"/>
      <c r="K226" s="1405"/>
      <c r="L226" s="1405"/>
      <c r="AO226" s="1405"/>
      <c r="AP226" s="1405"/>
      <c r="AQ226" s="1405"/>
      <c r="AR226" s="1405"/>
      <c r="AS226" s="1405"/>
      <c r="AT226" s="1405"/>
      <c r="AU226" s="1405"/>
      <c r="AV226" s="1405"/>
    </row>
    <row r="227" spans="1:48" s="1406" customFormat="1" ht="36">
      <c r="A227" s="1081" t="s">
        <v>1479</v>
      </c>
      <c r="B227" s="1109" t="s">
        <v>1480</v>
      </c>
      <c r="C227" s="1074" t="s">
        <v>1119</v>
      </c>
      <c r="D227" s="1090" t="s">
        <v>1119</v>
      </c>
      <c r="E227" s="1090" t="s">
        <v>1119</v>
      </c>
      <c r="F227" s="1090" t="s">
        <v>1119</v>
      </c>
      <c r="G227" s="1091">
        <f>'8.1-INF_COMPTZN VIS INSPECTION'!J41</f>
        <v>0</v>
      </c>
      <c r="H227" s="1091" t="s">
        <v>1119</v>
      </c>
      <c r="I227" s="1091">
        <f>'8.1-INF_COMPTZN VIS INSPECTION'!I41</f>
        <v>0</v>
      </c>
      <c r="J227" s="1083"/>
      <c r="K227" s="1405"/>
      <c r="L227" s="1405"/>
      <c r="AO227" s="1405"/>
      <c r="AP227" s="1405"/>
      <c r="AQ227" s="1405"/>
      <c r="AR227" s="1405"/>
      <c r="AS227" s="1405"/>
      <c r="AT227" s="1405"/>
      <c r="AU227" s="1405"/>
      <c r="AV227" s="1405"/>
    </row>
    <row r="228" spans="1:48" s="1406" customFormat="1" ht="36">
      <c r="A228" s="1081" t="s">
        <v>1481</v>
      </c>
      <c r="B228" s="1109" t="s">
        <v>1482</v>
      </c>
      <c r="C228" s="1074" t="s">
        <v>1119</v>
      </c>
      <c r="D228" s="1090" t="s">
        <v>1119</v>
      </c>
      <c r="E228" s="1090" t="s">
        <v>1119</v>
      </c>
      <c r="F228" s="1090" t="s">
        <v>1119</v>
      </c>
      <c r="G228" s="1091">
        <f>'8.1-INF_COMPTZN VIS INSPECTION'!J42</f>
        <v>0</v>
      </c>
      <c r="H228" s="1091" t="s">
        <v>1119</v>
      </c>
      <c r="I228" s="1091">
        <f>'8.1-INF_COMPTZN VIS INSPECTION'!I42</f>
        <v>0</v>
      </c>
      <c r="J228" s="1083"/>
      <c r="K228" s="1405"/>
      <c r="L228" s="1405"/>
      <c r="AO228" s="1405"/>
      <c r="AP228" s="1405"/>
      <c r="AQ228" s="1405"/>
      <c r="AR228" s="1405"/>
      <c r="AS228" s="1405"/>
      <c r="AT228" s="1405"/>
      <c r="AU228" s="1405"/>
      <c r="AV228" s="1405"/>
    </row>
    <row r="229" spans="1:48" s="1406" customFormat="1">
      <c r="A229" s="1081" t="s">
        <v>1483</v>
      </c>
      <c r="B229" s="1109" t="s">
        <v>1484</v>
      </c>
      <c r="C229" s="1074" t="s">
        <v>1119</v>
      </c>
      <c r="D229" s="1090" t="s">
        <v>1119</v>
      </c>
      <c r="E229" s="1090" t="s">
        <v>1119</v>
      </c>
      <c r="F229" s="1090" t="s">
        <v>1119</v>
      </c>
      <c r="G229" s="1091">
        <f>'8.1-INF_COMPTZN VIS INSPECTION'!J43</f>
        <v>0</v>
      </c>
      <c r="H229" s="1091" t="s">
        <v>1119</v>
      </c>
      <c r="I229" s="1091">
        <f>'8.1-INF_COMPTZN VIS INSPECTION'!I43</f>
        <v>0</v>
      </c>
      <c r="J229" s="1083"/>
      <c r="K229" s="1405"/>
      <c r="L229" s="1405"/>
      <c r="AO229" s="1405"/>
      <c r="AP229" s="1405"/>
      <c r="AQ229" s="1405"/>
      <c r="AR229" s="1405"/>
      <c r="AS229" s="1405"/>
      <c r="AT229" s="1405"/>
      <c r="AU229" s="1405"/>
      <c r="AV229" s="1405"/>
    </row>
    <row r="230" spans="1:48" s="1406" customFormat="1" ht="36">
      <c r="A230" s="1081" t="s">
        <v>1485</v>
      </c>
      <c r="B230" s="1109" t="s">
        <v>1486</v>
      </c>
      <c r="C230" s="1074" t="s">
        <v>1119</v>
      </c>
      <c r="D230" s="1090" t="s">
        <v>1119</v>
      </c>
      <c r="E230" s="1090" t="s">
        <v>1119</v>
      </c>
      <c r="F230" s="1090" t="s">
        <v>1119</v>
      </c>
      <c r="G230" s="1091">
        <f>'8.1-INF_COMPTZN VIS INSPECTION'!J44</f>
        <v>0</v>
      </c>
      <c r="H230" s="1091" t="s">
        <v>1119</v>
      </c>
      <c r="I230" s="1091">
        <f>'8.1-INF_COMPTZN VIS INSPECTION'!I44</f>
        <v>0</v>
      </c>
      <c r="J230" s="1083"/>
      <c r="K230" s="1405"/>
      <c r="L230" s="1405"/>
      <c r="AO230" s="1405"/>
      <c r="AP230" s="1405"/>
      <c r="AQ230" s="1405"/>
      <c r="AR230" s="1405"/>
      <c r="AS230" s="1405"/>
      <c r="AT230" s="1405"/>
      <c r="AU230" s="1405"/>
      <c r="AV230" s="1405"/>
    </row>
    <row r="231" spans="1:48" s="1406" customFormat="1">
      <c r="A231" s="1081" t="s">
        <v>1487</v>
      </c>
      <c r="B231" s="1109" t="s">
        <v>1488</v>
      </c>
      <c r="C231" s="1074" t="s">
        <v>1119</v>
      </c>
      <c r="D231" s="1090" t="s">
        <v>1119</v>
      </c>
      <c r="E231" s="1090" t="s">
        <v>1119</v>
      </c>
      <c r="F231" s="1090" t="s">
        <v>1119</v>
      </c>
      <c r="G231" s="1091">
        <f>'8.1-INF_COMPTZN VIS INSPECTION'!J45</f>
        <v>0</v>
      </c>
      <c r="H231" s="1091" t="s">
        <v>1119</v>
      </c>
      <c r="I231" s="1091">
        <f>'8.1-INF_COMPTZN VIS INSPECTION'!I45</f>
        <v>0</v>
      </c>
      <c r="J231" s="1083"/>
      <c r="K231" s="1405"/>
      <c r="L231" s="1405"/>
      <c r="AO231" s="1405"/>
      <c r="AP231" s="1405"/>
      <c r="AQ231" s="1405"/>
      <c r="AR231" s="1405"/>
      <c r="AS231" s="1405"/>
      <c r="AT231" s="1405"/>
      <c r="AU231" s="1405"/>
      <c r="AV231" s="1405"/>
    </row>
    <row r="232" spans="1:48">
      <c r="A232" s="1081" t="s">
        <v>1489</v>
      </c>
      <c r="B232" s="1109" t="s">
        <v>1490</v>
      </c>
      <c r="C232" s="1074" t="s">
        <v>1119</v>
      </c>
      <c r="D232" s="1090" t="s">
        <v>1119</v>
      </c>
      <c r="E232" s="1090" t="s">
        <v>1119</v>
      </c>
      <c r="F232" s="1090" t="s">
        <v>1119</v>
      </c>
      <c r="G232" s="1091">
        <f>'8.1-INF_COMPTZN VIS INSPECTION'!J46</f>
        <v>0</v>
      </c>
      <c r="H232" s="1091" t="s">
        <v>1119</v>
      </c>
      <c r="I232" s="1091">
        <f>'8.1-INF_COMPTZN VIS INSPECTION'!I46</f>
        <v>0</v>
      </c>
      <c r="J232" s="1083"/>
      <c r="K232" s="1405"/>
      <c r="L232" s="1405"/>
    </row>
    <row r="233" spans="1:48">
      <c r="A233" s="1081" t="s">
        <v>1491</v>
      </c>
      <c r="B233" s="1109" t="s">
        <v>1492</v>
      </c>
      <c r="C233" s="1074" t="s">
        <v>1119</v>
      </c>
      <c r="D233" s="1090" t="s">
        <v>1119</v>
      </c>
      <c r="E233" s="1090" t="s">
        <v>1119</v>
      </c>
      <c r="F233" s="1090" t="s">
        <v>1119</v>
      </c>
      <c r="G233" s="1091">
        <f>'8.1-INF_COMPTZN VIS INSPECTION'!J47</f>
        <v>0</v>
      </c>
      <c r="H233" s="1091" t="s">
        <v>1119</v>
      </c>
      <c r="I233" s="1091">
        <f>'8.1-INF_COMPTZN VIS INSPECTION'!I47</f>
        <v>0</v>
      </c>
      <c r="J233" s="1083"/>
      <c r="K233" s="1405"/>
      <c r="L233" s="1405"/>
    </row>
    <row r="234" spans="1:48">
      <c r="A234" s="1081" t="s">
        <v>1493</v>
      </c>
      <c r="B234" s="1109" t="s">
        <v>1494</v>
      </c>
      <c r="C234" s="1074" t="s">
        <v>1119</v>
      </c>
      <c r="D234" s="1090" t="s">
        <v>1119</v>
      </c>
      <c r="E234" s="1090" t="s">
        <v>1119</v>
      </c>
      <c r="F234" s="1090" t="s">
        <v>1119</v>
      </c>
      <c r="G234" s="1091">
        <f>'8.1-INF_COMPTZN VIS INSPECTION'!J48</f>
        <v>0</v>
      </c>
      <c r="H234" s="1091" t="s">
        <v>1119</v>
      </c>
      <c r="I234" s="1091">
        <f>'8.1-INF_COMPTZN VIS INSPECTION'!I48</f>
        <v>0</v>
      </c>
      <c r="J234" s="1083"/>
      <c r="K234" s="1405"/>
      <c r="L234" s="1405"/>
    </row>
    <row r="235" spans="1:48">
      <c r="A235" s="1081" t="s">
        <v>1495</v>
      </c>
      <c r="B235" s="1109" t="s">
        <v>1496</v>
      </c>
      <c r="C235" s="1074" t="s">
        <v>1119</v>
      </c>
      <c r="D235" s="1090" t="s">
        <v>1119</v>
      </c>
      <c r="E235" s="1090" t="s">
        <v>1119</v>
      </c>
      <c r="F235" s="1090" t="s">
        <v>1119</v>
      </c>
      <c r="G235" s="1091">
        <f>'8.1-INF_COMPTZN VIS INSPECTION'!J49</f>
        <v>0</v>
      </c>
      <c r="H235" s="1091" t="s">
        <v>1119</v>
      </c>
      <c r="I235" s="1091">
        <f>'8.1-INF_COMPTZN VIS INSPECTION'!I49</f>
        <v>0</v>
      </c>
      <c r="J235" s="1083"/>
      <c r="K235" s="1405"/>
      <c r="L235" s="1405"/>
    </row>
    <row r="236" spans="1:48">
      <c r="A236" s="1081" t="s">
        <v>1497</v>
      </c>
      <c r="B236" s="1109" t="s">
        <v>1498</v>
      </c>
      <c r="C236" s="1074" t="s">
        <v>1119</v>
      </c>
      <c r="D236" s="1090" t="s">
        <v>1119</v>
      </c>
      <c r="E236" s="1090" t="s">
        <v>1119</v>
      </c>
      <c r="F236" s="1090" t="s">
        <v>1119</v>
      </c>
      <c r="G236" s="1091">
        <f>'8.1-INF_COMPTZN VIS INSPECTION'!J50</f>
        <v>0</v>
      </c>
      <c r="H236" s="1091" t="s">
        <v>1119</v>
      </c>
      <c r="I236" s="1091">
        <f>'8.1-INF_COMPTZN VIS INSPECTION'!I50</f>
        <v>0</v>
      </c>
      <c r="J236" s="1083"/>
      <c r="K236" s="1405"/>
      <c r="L236" s="1405"/>
    </row>
    <row r="237" spans="1:48">
      <c r="A237" s="1081" t="s">
        <v>1499</v>
      </c>
      <c r="B237" s="1109" t="s">
        <v>1500</v>
      </c>
      <c r="C237" s="1074" t="s">
        <v>1119</v>
      </c>
      <c r="D237" s="1090" t="s">
        <v>1119</v>
      </c>
      <c r="E237" s="1090" t="s">
        <v>1119</v>
      </c>
      <c r="F237" s="1090" t="s">
        <v>1119</v>
      </c>
      <c r="G237" s="1091">
        <f>'8.1-INF_COMPTZN VIS INSPECTION'!J51</f>
        <v>0</v>
      </c>
      <c r="H237" s="1091" t="s">
        <v>1119</v>
      </c>
      <c r="I237" s="1091">
        <f>'8.1-INF_COMPTZN VIS INSPECTION'!I51</f>
        <v>0</v>
      </c>
      <c r="J237" s="1083"/>
      <c r="K237" s="1405"/>
      <c r="L237" s="1405"/>
    </row>
    <row r="238" spans="1:48">
      <c r="A238" s="1081" t="s">
        <v>1501</v>
      </c>
      <c r="B238" s="1109" t="s">
        <v>309</v>
      </c>
      <c r="C238" s="1074" t="s">
        <v>1119</v>
      </c>
      <c r="D238" s="1090" t="s">
        <v>1119</v>
      </c>
      <c r="E238" s="1090" t="s">
        <v>1119</v>
      </c>
      <c r="F238" s="1090" t="s">
        <v>1119</v>
      </c>
      <c r="G238" s="1091">
        <f>'8.1-INF_COMPTZN VIS INSPECTION'!J52</f>
        <v>0</v>
      </c>
      <c r="H238" s="1091" t="s">
        <v>1119</v>
      </c>
      <c r="I238" s="1091">
        <f>'8.1-INF_COMPTZN VIS INSPECTION'!I52</f>
        <v>0</v>
      </c>
      <c r="J238" s="1083"/>
      <c r="K238" s="1405"/>
      <c r="L238" s="1405"/>
    </row>
    <row r="239" spans="1:48" ht="18" customHeight="1">
      <c r="A239" s="1084"/>
      <c r="B239" s="1086" t="s">
        <v>1502</v>
      </c>
      <c r="C239" s="1086"/>
      <c r="D239" s="1086"/>
      <c r="E239" s="1086"/>
      <c r="F239" s="1086"/>
      <c r="G239" s="1086"/>
      <c r="H239" s="1086"/>
      <c r="I239" s="1086"/>
      <c r="J239" s="1087"/>
      <c r="K239" s="1405"/>
      <c r="L239" s="1405"/>
    </row>
    <row r="240" spans="1:48" ht="36">
      <c r="A240" s="1081" t="s">
        <v>1503</v>
      </c>
      <c r="B240" s="1063" t="s">
        <v>1504</v>
      </c>
      <c r="C240" s="1064" t="s">
        <v>1119</v>
      </c>
      <c r="D240" s="1066">
        <f>'8.1 - INF_BLOWER DOOR TEST'!H38</f>
        <v>0</v>
      </c>
      <c r="E240" s="1066">
        <f>'8.1 - INF_BLOWER DOOR TEST'!I38</f>
        <v>0</v>
      </c>
      <c r="F240" s="1066">
        <f>'8.1 - INF_BLOWER DOOR TEST'!J38</f>
        <v>0</v>
      </c>
      <c r="G240" s="1065" t="s">
        <v>1119</v>
      </c>
      <c r="H240" s="1065" t="s">
        <v>1119</v>
      </c>
      <c r="I240" s="1065" t="s">
        <v>1119</v>
      </c>
      <c r="J240" s="1083"/>
      <c r="K240" s="1405"/>
      <c r="L240" s="1405"/>
    </row>
    <row r="241" spans="1:48" ht="36">
      <c r="A241" s="1081" t="s">
        <v>1505</v>
      </c>
      <c r="B241" s="1109" t="s">
        <v>1506</v>
      </c>
      <c r="C241" s="1074" t="s">
        <v>1119</v>
      </c>
      <c r="D241" s="1090">
        <f>'8.1 - INF_BLOWER DOOR TEST'!H41</f>
        <v>0</v>
      </c>
      <c r="E241" s="1090">
        <f>'8.1 - INF_BLOWER DOOR TEST'!I41</f>
        <v>0</v>
      </c>
      <c r="F241" s="1090">
        <f>'8.1 - INF_BLOWER DOOR TEST'!J41</f>
        <v>0</v>
      </c>
      <c r="G241" s="1091">
        <f>'8.1 - INF_BLOWER DOOR TEST'!L41</f>
        <v>0</v>
      </c>
      <c r="H241" s="1091">
        <f>'8.1 - INF_BLOWER DOOR TEST'!I41</f>
        <v>0</v>
      </c>
      <c r="I241" s="1091">
        <f>'8.1 - INF_BLOWER DOOR TEST'!K41</f>
        <v>0</v>
      </c>
      <c r="J241" s="1083"/>
      <c r="K241" s="1405"/>
      <c r="L241" s="1405"/>
    </row>
    <row r="242" spans="1:48">
      <c r="A242" s="1081" t="s">
        <v>1507</v>
      </c>
      <c r="B242" s="1109" t="s">
        <v>1508</v>
      </c>
      <c r="C242" s="1074" t="s">
        <v>1119</v>
      </c>
      <c r="D242" s="1090" t="s">
        <v>1119</v>
      </c>
      <c r="E242" s="1090" t="s">
        <v>1119</v>
      </c>
      <c r="F242" s="1090" t="s">
        <v>1119</v>
      </c>
      <c r="G242" s="1091">
        <f>'8.1 - INF_BLOWER DOOR TEST'!L42</f>
        <v>0</v>
      </c>
      <c r="H242" s="1091" t="s">
        <v>1119</v>
      </c>
      <c r="I242" s="1091">
        <f>'8.1 - INF_BLOWER DOOR TEST'!K42</f>
        <v>0</v>
      </c>
      <c r="J242" s="1083"/>
      <c r="K242" s="1405"/>
      <c r="L242" s="1405"/>
    </row>
    <row r="243" spans="1:48">
      <c r="A243" s="1081" t="s">
        <v>1509</v>
      </c>
      <c r="B243" s="1109" t="s">
        <v>1510</v>
      </c>
      <c r="C243" s="1074" t="s">
        <v>1119</v>
      </c>
      <c r="D243" s="1090" t="s">
        <v>1119</v>
      </c>
      <c r="E243" s="1090" t="s">
        <v>1119</v>
      </c>
      <c r="F243" s="1090" t="s">
        <v>1119</v>
      </c>
      <c r="G243" s="1091">
        <f>'8.1 - INF_BLOWER DOOR TEST'!L43</f>
        <v>0</v>
      </c>
      <c r="H243" s="1091" t="s">
        <v>1119</v>
      </c>
      <c r="I243" s="1091">
        <f>'8.1 - INF_BLOWER DOOR TEST'!K43</f>
        <v>0</v>
      </c>
      <c r="J243" s="1083"/>
      <c r="K243" s="1405"/>
      <c r="L243" s="1405"/>
    </row>
    <row r="244" spans="1:48">
      <c r="A244" s="1081" t="s">
        <v>1511</v>
      </c>
      <c r="B244" s="1109" t="s">
        <v>1512</v>
      </c>
      <c r="C244" s="1074" t="s">
        <v>1119</v>
      </c>
      <c r="D244" s="1090" t="s">
        <v>1119</v>
      </c>
      <c r="E244" s="1090" t="s">
        <v>1119</v>
      </c>
      <c r="F244" s="1090" t="s">
        <v>1119</v>
      </c>
      <c r="G244" s="1091">
        <f>'8.1 - INF_BLOWER DOOR TEST'!L44</f>
        <v>0</v>
      </c>
      <c r="H244" s="1091" t="s">
        <v>1119</v>
      </c>
      <c r="I244" s="1091">
        <f>'8.1 - INF_BLOWER DOOR TEST'!K44</f>
        <v>0</v>
      </c>
      <c r="J244" s="1083"/>
      <c r="K244" s="1405"/>
      <c r="L244" s="1405"/>
    </row>
    <row r="245" spans="1:48" s="1424" customFormat="1" ht="45.75" customHeight="1">
      <c r="A245" s="1067">
        <v>8.5</v>
      </c>
      <c r="B245" s="1068" t="s">
        <v>795</v>
      </c>
      <c r="C245" s="1069"/>
      <c r="D245" s="1069"/>
      <c r="E245" s="1069"/>
      <c r="F245" s="1069"/>
      <c r="G245" s="1069"/>
      <c r="H245" s="1069"/>
      <c r="I245" s="1070"/>
      <c r="J245" s="1071"/>
      <c r="M245" s="1425"/>
      <c r="N245" s="1425"/>
      <c r="O245" s="1425"/>
      <c r="P245" s="1425"/>
      <c r="Q245" s="1425"/>
      <c r="R245" s="1425"/>
      <c r="S245" s="1425"/>
      <c r="T245" s="1425"/>
      <c r="U245" s="1425"/>
      <c r="V245" s="1425"/>
      <c r="W245" s="1425"/>
      <c r="X245" s="1425"/>
      <c r="Y245" s="1425"/>
      <c r="Z245" s="1425"/>
      <c r="AA245" s="1425"/>
      <c r="AB245" s="1425"/>
      <c r="AC245" s="1425"/>
      <c r="AD245" s="1425"/>
      <c r="AE245" s="1425"/>
      <c r="AF245" s="1425"/>
      <c r="AG245" s="1425"/>
      <c r="AH245" s="1425"/>
      <c r="AI245" s="1425"/>
      <c r="AJ245" s="1425"/>
      <c r="AK245" s="1425"/>
      <c r="AL245" s="1425"/>
      <c r="AM245" s="1425"/>
      <c r="AN245" s="1425"/>
    </row>
    <row r="246" spans="1:48" ht="36">
      <c r="A246" s="1081" t="s">
        <v>1513</v>
      </c>
      <c r="B246" s="1063" t="s">
        <v>1514</v>
      </c>
      <c r="C246" s="1064" t="s">
        <v>1119</v>
      </c>
      <c r="D246" s="1066">
        <f>'8.2 - VENT_SCHEDULE&amp;TAB REPORT'!$H$32</f>
        <v>0</v>
      </c>
      <c r="E246" s="1066">
        <f>'8.2 - VENT_SCHEDULE&amp;TAB REPORT'!$O$32</f>
        <v>0</v>
      </c>
      <c r="F246" s="1066">
        <f>'8.2 - VENT_SCHEDULE&amp;TAB REPORT'!$P$32</f>
        <v>0</v>
      </c>
      <c r="G246" s="1065" t="s">
        <v>1119</v>
      </c>
      <c r="H246" s="1065" t="s">
        <v>1119</v>
      </c>
      <c r="I246" s="1065" t="s">
        <v>1119</v>
      </c>
      <c r="J246" s="1083"/>
      <c r="K246" s="1405"/>
      <c r="L246" s="1405"/>
    </row>
    <row r="247" spans="1:48" ht="54.75">
      <c r="A247" s="1081" t="s">
        <v>1515</v>
      </c>
      <c r="B247" s="1063" t="s">
        <v>1516</v>
      </c>
      <c r="C247" s="1064" t="s">
        <v>1119</v>
      </c>
      <c r="D247" s="1066">
        <f>'8.2 - VENT_SCHEDULE&amp;TAB REPORT'!$H$33</f>
        <v>0</v>
      </c>
      <c r="E247" s="1066">
        <f>'8.2 - VENT_SCHEDULE&amp;TAB REPORT'!$O$33</f>
        <v>0</v>
      </c>
      <c r="F247" s="1066">
        <f>'8.2 - VENT_SCHEDULE&amp;TAB REPORT'!$P$33</f>
        <v>0</v>
      </c>
      <c r="G247" s="1065" t="s">
        <v>1119</v>
      </c>
      <c r="H247" s="1065" t="s">
        <v>1119</v>
      </c>
      <c r="I247" s="1065" t="s">
        <v>1119</v>
      </c>
      <c r="J247" s="1083"/>
      <c r="K247" s="1405"/>
      <c r="L247" s="1405"/>
    </row>
    <row r="248" spans="1:48" s="1406" customFormat="1" ht="36">
      <c r="A248" s="1081" t="s">
        <v>1517</v>
      </c>
      <c r="B248" s="1063" t="s">
        <v>1518</v>
      </c>
      <c r="C248" s="1064" t="s">
        <v>1119</v>
      </c>
      <c r="D248" s="1066">
        <f>'8.2 - VENT_SCHEDULE&amp;TAB REPORT'!$H$34</f>
        <v>0</v>
      </c>
      <c r="E248" s="1066">
        <f>'8.2 - VENT_SCHEDULE&amp;TAB REPORT'!$O$34</f>
        <v>0</v>
      </c>
      <c r="F248" s="1066">
        <f>'8.2 - VENT_SCHEDULE&amp;TAB REPORT'!$P$34</f>
        <v>0</v>
      </c>
      <c r="G248" s="1065" t="s">
        <v>1119</v>
      </c>
      <c r="H248" s="1065" t="s">
        <v>1119</v>
      </c>
      <c r="I248" s="1065" t="s">
        <v>1119</v>
      </c>
      <c r="J248" s="1083"/>
      <c r="K248" s="1405"/>
      <c r="L248" s="1405"/>
      <c r="AO248" s="1405"/>
      <c r="AP248" s="1405"/>
      <c r="AQ248" s="1405"/>
      <c r="AR248" s="1405"/>
      <c r="AS248" s="1405"/>
      <c r="AT248" s="1405"/>
      <c r="AU248" s="1405"/>
      <c r="AV248" s="1405"/>
    </row>
    <row r="249" spans="1:48" s="1406" customFormat="1" ht="36" customHeight="1">
      <c r="A249" s="1084"/>
      <c r="B249" s="1086" t="s">
        <v>1519</v>
      </c>
      <c r="C249" s="1086"/>
      <c r="D249" s="1086"/>
      <c r="E249" s="1086"/>
      <c r="F249" s="1086"/>
      <c r="G249" s="1086"/>
      <c r="H249" s="1086"/>
      <c r="I249" s="1086"/>
      <c r="J249" s="1087"/>
      <c r="K249" s="1405"/>
      <c r="L249" s="1405"/>
      <c r="AO249" s="1405"/>
      <c r="AP249" s="1405"/>
      <c r="AQ249" s="1405"/>
      <c r="AR249" s="1405"/>
      <c r="AS249" s="1405"/>
      <c r="AT249" s="1405"/>
      <c r="AU249" s="1405"/>
      <c r="AV249" s="1405"/>
    </row>
    <row r="250" spans="1:48" s="1406" customFormat="1">
      <c r="A250" s="1081" t="s">
        <v>1520</v>
      </c>
      <c r="B250" s="1063" t="s">
        <v>1122</v>
      </c>
      <c r="C250" s="1074" t="s">
        <v>1119</v>
      </c>
      <c r="D250" s="1090">
        <f>'8.2 - VENT_SCHEDULE&amp;TAB REPORT'!H49</f>
        <v>0</v>
      </c>
      <c r="E250" s="1090">
        <f>'8.2 - VENT_SCHEDULE&amp;TAB REPORT'!O49</f>
        <v>0</v>
      </c>
      <c r="F250" s="1090">
        <f>'8.2 - VENT_SCHEDULE&amp;TAB REPORT'!P49</f>
        <v>0</v>
      </c>
      <c r="G250" s="1091">
        <f>'8.2 - VENT_SCHEDULE&amp;TAB REPORT'!R49</f>
        <v>0</v>
      </c>
      <c r="H250" s="1091">
        <f>'8.2 - VENT_SCHEDULE&amp;TAB REPORT'!O49</f>
        <v>0</v>
      </c>
      <c r="I250" s="1091">
        <f>'8.2 - VENT_SCHEDULE&amp;TAB REPORT'!Q49</f>
        <v>0</v>
      </c>
      <c r="J250" s="1083"/>
      <c r="K250" s="1405"/>
      <c r="L250" s="1405"/>
      <c r="AO250" s="1405"/>
      <c r="AP250" s="1405"/>
      <c r="AQ250" s="1405"/>
      <c r="AR250" s="1405"/>
      <c r="AS250" s="1405"/>
      <c r="AT250" s="1405"/>
      <c r="AU250" s="1405"/>
      <c r="AV250" s="1405"/>
    </row>
    <row r="251" spans="1:48" s="1406" customFormat="1" ht="36" customHeight="1">
      <c r="A251" s="1078"/>
      <c r="B251" s="1079" t="s">
        <v>1521</v>
      </c>
      <c r="C251" s="1079"/>
      <c r="D251" s="1079"/>
      <c r="E251" s="1079"/>
      <c r="F251" s="1079"/>
      <c r="G251" s="1079"/>
      <c r="H251" s="1079"/>
      <c r="I251" s="1079"/>
      <c r="J251" s="1080"/>
      <c r="K251" s="1405"/>
      <c r="L251" s="1405"/>
      <c r="AO251" s="1405"/>
      <c r="AP251" s="1405"/>
      <c r="AQ251" s="1405"/>
      <c r="AR251" s="1405"/>
      <c r="AS251" s="1405"/>
      <c r="AT251" s="1405"/>
      <c r="AU251" s="1405"/>
      <c r="AV251" s="1405"/>
    </row>
    <row r="252" spans="1:48" s="1406" customFormat="1" ht="216" customHeight="1">
      <c r="A252" s="1081" t="s">
        <v>1522</v>
      </c>
      <c r="B252" s="1063" t="s">
        <v>1523</v>
      </c>
      <c r="C252" s="1074">
        <f>'8.2 - VENT_SCHEDULE&amp;TAB REPORT'!G51</f>
        <v>0</v>
      </c>
      <c r="D252" s="1090">
        <f>'8.2 - VENT_SCHEDULE&amp;TAB REPORT'!H51</f>
        <v>0</v>
      </c>
      <c r="E252" s="1090">
        <f>'8.2 - VENT_SCHEDULE&amp;TAB REPORT'!O51</f>
        <v>0</v>
      </c>
      <c r="F252" s="1090">
        <f>'8.2 - VENT_SCHEDULE&amp;TAB REPORT'!P51</f>
        <v>0</v>
      </c>
      <c r="G252" s="1091">
        <f>'8.2 - VENT_SCHEDULE&amp;TAB REPORT'!R51</f>
        <v>0</v>
      </c>
      <c r="H252" s="1091">
        <f>'8.2 - VENT_SCHEDULE&amp;TAB REPORT'!O51</f>
        <v>0</v>
      </c>
      <c r="I252" s="1091">
        <f>'8.2 - VENT_SCHEDULE&amp;TAB REPORT'!Q51</f>
        <v>0</v>
      </c>
      <c r="J252" s="1083"/>
      <c r="K252" s="1405"/>
      <c r="L252" s="1405"/>
      <c r="AO252" s="1405"/>
      <c r="AP252" s="1405"/>
      <c r="AQ252" s="1405"/>
      <c r="AR252" s="1405"/>
      <c r="AS252" s="1405"/>
      <c r="AT252" s="1405"/>
      <c r="AU252" s="1405"/>
      <c r="AV252" s="1405"/>
    </row>
    <row r="253" spans="1:48" s="1406" customFormat="1">
      <c r="A253" s="1081" t="s">
        <v>1524</v>
      </c>
      <c r="B253" s="1063" t="s">
        <v>1525</v>
      </c>
      <c r="C253" s="1074">
        <f>'8.2 - VENT_SCHEDULE&amp;TAB REPORT'!G52</f>
        <v>0</v>
      </c>
      <c r="D253" s="1090">
        <f>'8.2 - VENT_SCHEDULE&amp;TAB REPORT'!H52</f>
        <v>0</v>
      </c>
      <c r="E253" s="1090">
        <f>'8.2 - VENT_SCHEDULE&amp;TAB REPORT'!O52</f>
        <v>0</v>
      </c>
      <c r="F253" s="1090">
        <f>'8.2 - VENT_SCHEDULE&amp;TAB REPORT'!P52</f>
        <v>0</v>
      </c>
      <c r="G253" s="1091">
        <f>'8.2 - VENT_SCHEDULE&amp;TAB REPORT'!R52</f>
        <v>0</v>
      </c>
      <c r="H253" s="1091">
        <f>'8.2 - VENT_SCHEDULE&amp;TAB REPORT'!O52</f>
        <v>0</v>
      </c>
      <c r="I253" s="1091">
        <f>'8.2 - VENT_SCHEDULE&amp;TAB REPORT'!Q52</f>
        <v>0</v>
      </c>
      <c r="J253" s="1083"/>
      <c r="K253" s="1405"/>
      <c r="L253" s="1405"/>
      <c r="AO253" s="1405"/>
      <c r="AP253" s="1405"/>
      <c r="AQ253" s="1405"/>
      <c r="AR253" s="1405"/>
      <c r="AS253" s="1405"/>
      <c r="AT253" s="1405"/>
      <c r="AU253" s="1405"/>
      <c r="AV253" s="1405"/>
    </row>
    <row r="254" spans="1:48" s="1406" customFormat="1" ht="36">
      <c r="A254" s="1081" t="s">
        <v>1526</v>
      </c>
      <c r="B254" s="1063" t="s">
        <v>1527</v>
      </c>
      <c r="C254" s="1074">
        <f>'8.2 - VENT_SCHEDULE&amp;TAB REPORT'!G53</f>
        <v>0</v>
      </c>
      <c r="D254" s="1090">
        <f>'8.2 - VENT_SCHEDULE&amp;TAB REPORT'!H53</f>
        <v>0</v>
      </c>
      <c r="E254" s="1090">
        <f>'8.2 - VENT_SCHEDULE&amp;TAB REPORT'!O53</f>
        <v>0</v>
      </c>
      <c r="F254" s="1090">
        <f>'8.2 - VENT_SCHEDULE&amp;TAB REPORT'!P53</f>
        <v>0</v>
      </c>
      <c r="G254" s="1091">
        <f>'8.2 - VENT_SCHEDULE&amp;TAB REPORT'!R53</f>
        <v>0</v>
      </c>
      <c r="H254" s="1091">
        <f>'8.2 - VENT_SCHEDULE&amp;TAB REPORT'!O53</f>
        <v>0</v>
      </c>
      <c r="I254" s="1091">
        <f>'8.2 - VENT_SCHEDULE&amp;TAB REPORT'!Q53</f>
        <v>0</v>
      </c>
      <c r="J254" s="1083"/>
      <c r="K254" s="1405"/>
      <c r="L254" s="1405"/>
      <c r="AO254" s="1405"/>
      <c r="AP254" s="1405"/>
      <c r="AQ254" s="1405"/>
      <c r="AR254" s="1405"/>
      <c r="AS254" s="1405"/>
      <c r="AT254" s="1405"/>
      <c r="AU254" s="1405"/>
      <c r="AV254" s="1405"/>
    </row>
    <row r="255" spans="1:48" s="1406" customFormat="1" ht="36">
      <c r="A255" s="1081" t="s">
        <v>1528</v>
      </c>
      <c r="B255" s="1063" t="s">
        <v>1529</v>
      </c>
      <c r="C255" s="1074">
        <f>'8.2 - VENT_SCHEDULE&amp;TAB REPORT'!G54</f>
        <v>0</v>
      </c>
      <c r="D255" s="1090">
        <f>'8.2 - VENT_SCHEDULE&amp;TAB REPORT'!H54</f>
        <v>0</v>
      </c>
      <c r="E255" s="1090">
        <f>'8.2 - VENT_SCHEDULE&amp;TAB REPORT'!O54</f>
        <v>0</v>
      </c>
      <c r="F255" s="1090">
        <f>'8.2 - VENT_SCHEDULE&amp;TAB REPORT'!P54</f>
        <v>0</v>
      </c>
      <c r="G255" s="1091">
        <f>'8.2 - VENT_SCHEDULE&amp;TAB REPORT'!R54</f>
        <v>0</v>
      </c>
      <c r="H255" s="1091">
        <f>'8.2 - VENT_SCHEDULE&amp;TAB REPORT'!O54</f>
        <v>0</v>
      </c>
      <c r="I255" s="1091">
        <f>'8.2 - VENT_SCHEDULE&amp;TAB REPORT'!Q54</f>
        <v>0</v>
      </c>
      <c r="J255" s="1083"/>
      <c r="K255" s="1405"/>
      <c r="L255" s="1405"/>
      <c r="AO255" s="1405"/>
      <c r="AP255" s="1405"/>
      <c r="AQ255" s="1405"/>
      <c r="AR255" s="1405"/>
      <c r="AS255" s="1405"/>
      <c r="AT255" s="1405"/>
      <c r="AU255" s="1405"/>
      <c r="AV255" s="1405"/>
    </row>
    <row r="256" spans="1:48" s="1406" customFormat="1">
      <c r="A256" s="1081" t="s">
        <v>1530</v>
      </c>
      <c r="B256" s="1063" t="s">
        <v>1531</v>
      </c>
      <c r="C256" s="1074">
        <f>'8.2 - VENT_SCHEDULE&amp;TAB REPORT'!G55</f>
        <v>0</v>
      </c>
      <c r="D256" s="1090">
        <f>'8.2 - VENT_SCHEDULE&amp;TAB REPORT'!H55</f>
        <v>0</v>
      </c>
      <c r="E256" s="1090">
        <f>'8.2 - VENT_SCHEDULE&amp;TAB REPORT'!O55</f>
        <v>0</v>
      </c>
      <c r="F256" s="1090">
        <f>'8.2 - VENT_SCHEDULE&amp;TAB REPORT'!P55</f>
        <v>0</v>
      </c>
      <c r="G256" s="1091">
        <f>'8.2 - VENT_SCHEDULE&amp;TAB REPORT'!R55</f>
        <v>0</v>
      </c>
      <c r="H256" s="1091">
        <f>'8.2 - VENT_SCHEDULE&amp;TAB REPORT'!O55</f>
        <v>0</v>
      </c>
      <c r="I256" s="1091">
        <f>'8.2 - VENT_SCHEDULE&amp;TAB REPORT'!Q55</f>
        <v>0</v>
      </c>
      <c r="J256" s="1083"/>
      <c r="K256" s="1405"/>
      <c r="L256" s="1405"/>
      <c r="AO256" s="1405"/>
      <c r="AP256" s="1405"/>
      <c r="AQ256" s="1405"/>
      <c r="AR256" s="1405"/>
      <c r="AS256" s="1405"/>
      <c r="AT256" s="1405"/>
      <c r="AU256" s="1405"/>
      <c r="AV256" s="1405"/>
    </row>
    <row r="257" spans="1:48" s="1406" customFormat="1">
      <c r="A257" s="1081" t="s">
        <v>1532</v>
      </c>
      <c r="B257" s="1063" t="s">
        <v>1533</v>
      </c>
      <c r="C257" s="1074">
        <f>'8.2 - VENT_SCHEDULE&amp;TAB REPORT'!G56</f>
        <v>0</v>
      </c>
      <c r="D257" s="1090">
        <f>'8.2 - VENT_SCHEDULE&amp;TAB REPORT'!H56</f>
        <v>0</v>
      </c>
      <c r="E257" s="1090">
        <f>'8.2 - VENT_SCHEDULE&amp;TAB REPORT'!O56</f>
        <v>0</v>
      </c>
      <c r="F257" s="1090">
        <f>'8.2 - VENT_SCHEDULE&amp;TAB REPORT'!P56</f>
        <v>0</v>
      </c>
      <c r="G257" s="1091">
        <f>'8.2 - VENT_SCHEDULE&amp;TAB REPORT'!R56</f>
        <v>0</v>
      </c>
      <c r="H257" s="1091">
        <f>'8.2 - VENT_SCHEDULE&amp;TAB REPORT'!O56</f>
        <v>0</v>
      </c>
      <c r="I257" s="1091">
        <f>'8.2 - VENT_SCHEDULE&amp;TAB REPORT'!Q56</f>
        <v>0</v>
      </c>
      <c r="J257" s="1083"/>
      <c r="K257" s="1405"/>
      <c r="L257" s="1405"/>
      <c r="AO257" s="1405"/>
      <c r="AP257" s="1405"/>
      <c r="AQ257" s="1405"/>
      <c r="AR257" s="1405"/>
      <c r="AS257" s="1405"/>
      <c r="AT257" s="1405"/>
      <c r="AU257" s="1405"/>
      <c r="AV257" s="1405"/>
    </row>
    <row r="258" spans="1:48" s="1406" customFormat="1">
      <c r="A258" s="1081" t="s">
        <v>1534</v>
      </c>
      <c r="B258" s="1063" t="s">
        <v>1535</v>
      </c>
      <c r="C258" s="1074">
        <f>'8.2 - VENT_SCHEDULE&amp;TAB REPORT'!G57</f>
        <v>0</v>
      </c>
      <c r="D258" s="1090">
        <f>'8.2 - VENT_SCHEDULE&amp;TAB REPORT'!H57</f>
        <v>0</v>
      </c>
      <c r="E258" s="1090">
        <f>'8.2 - VENT_SCHEDULE&amp;TAB REPORT'!O57</f>
        <v>0</v>
      </c>
      <c r="F258" s="1090">
        <f>'8.2 - VENT_SCHEDULE&amp;TAB REPORT'!P57</f>
        <v>0</v>
      </c>
      <c r="G258" s="1091">
        <f>'8.2 - VENT_SCHEDULE&amp;TAB REPORT'!R57</f>
        <v>0</v>
      </c>
      <c r="H258" s="1091">
        <f>'8.2 - VENT_SCHEDULE&amp;TAB REPORT'!O57</f>
        <v>0</v>
      </c>
      <c r="I258" s="1091">
        <f>'8.2 - VENT_SCHEDULE&amp;TAB REPORT'!Q57</f>
        <v>0</v>
      </c>
      <c r="J258" s="1083"/>
      <c r="K258" s="1405"/>
      <c r="L258" s="1405"/>
      <c r="AO258" s="1405"/>
      <c r="AP258" s="1405"/>
      <c r="AQ258" s="1405"/>
      <c r="AR258" s="1405"/>
      <c r="AS258" s="1405"/>
      <c r="AT258" s="1405"/>
      <c r="AU258" s="1405"/>
      <c r="AV258" s="1405"/>
    </row>
    <row r="259" spans="1:48" s="1406" customFormat="1" ht="18" customHeight="1">
      <c r="A259" s="1084"/>
      <c r="B259" s="1086" t="s">
        <v>1536</v>
      </c>
      <c r="C259" s="1086"/>
      <c r="D259" s="1086"/>
      <c r="E259" s="1086"/>
      <c r="F259" s="1086"/>
      <c r="G259" s="1086"/>
      <c r="H259" s="1086"/>
      <c r="I259" s="1086"/>
      <c r="J259" s="1087"/>
      <c r="K259" s="1405"/>
      <c r="L259" s="1405"/>
      <c r="AO259" s="1405"/>
      <c r="AP259" s="1405"/>
      <c r="AQ259" s="1405"/>
      <c r="AR259" s="1405"/>
      <c r="AS259" s="1405"/>
      <c r="AT259" s="1405"/>
      <c r="AU259" s="1405"/>
      <c r="AV259" s="1405"/>
    </row>
    <row r="260" spans="1:48" s="1406" customFormat="1" ht="36">
      <c r="A260" s="1081" t="s">
        <v>1537</v>
      </c>
      <c r="B260" s="1063" t="s">
        <v>1538</v>
      </c>
      <c r="C260" s="1074">
        <f>'8.2 - VENT_SCHEDULE&amp;TAB REPORT'!F59</f>
        <v>0</v>
      </c>
      <c r="D260" s="1090">
        <f>'8.2 - VENT_SCHEDULE&amp;TAB REPORT'!H59</f>
        <v>0</v>
      </c>
      <c r="E260" s="1090">
        <f>'8.2 - VENT_SCHEDULE&amp;TAB REPORT'!O59</f>
        <v>0</v>
      </c>
      <c r="F260" s="1090">
        <f>'8.2 - VENT_SCHEDULE&amp;TAB REPORT'!P59</f>
        <v>0</v>
      </c>
      <c r="G260" s="1091">
        <f>'8.2 - VENT_SCHEDULE&amp;TAB REPORT'!R59</f>
        <v>0</v>
      </c>
      <c r="H260" s="1091">
        <f>'8.2 - VENT_SCHEDULE&amp;TAB REPORT'!O59</f>
        <v>0</v>
      </c>
      <c r="I260" s="1091">
        <f>'8.2 - VENT_SCHEDULE&amp;TAB REPORT'!Q59</f>
        <v>0</v>
      </c>
      <c r="J260" s="1083"/>
      <c r="K260" s="1405"/>
      <c r="L260" s="1405"/>
      <c r="AO260" s="1405"/>
      <c r="AP260" s="1405"/>
      <c r="AQ260" s="1405"/>
      <c r="AR260" s="1405"/>
      <c r="AS260" s="1405"/>
      <c r="AT260" s="1405"/>
      <c r="AU260" s="1405"/>
      <c r="AV260" s="1405"/>
    </row>
    <row r="261" spans="1:48" s="1406" customFormat="1">
      <c r="A261" s="1081" t="s">
        <v>1539</v>
      </c>
      <c r="B261" s="1063" t="s">
        <v>1540</v>
      </c>
      <c r="C261" s="1074" t="s">
        <v>1119</v>
      </c>
      <c r="D261" s="1090">
        <f>'8.2 - VENT_SCHEDULE&amp;TAB REPORT'!H60</f>
        <v>0</v>
      </c>
      <c r="E261" s="1090">
        <f>'8.2 - VENT_SCHEDULE&amp;TAB REPORT'!O60</f>
        <v>0</v>
      </c>
      <c r="F261" s="1090">
        <f>'8.2 - VENT_SCHEDULE&amp;TAB REPORT'!P60</f>
        <v>0</v>
      </c>
      <c r="G261" s="1091">
        <f>'8.2 - VENT_SCHEDULE&amp;TAB REPORT'!R60</f>
        <v>0</v>
      </c>
      <c r="H261" s="1091">
        <f>'8.2 - VENT_SCHEDULE&amp;TAB REPORT'!O60</f>
        <v>0</v>
      </c>
      <c r="I261" s="1091">
        <f>'8.2 - VENT_SCHEDULE&amp;TAB REPORT'!Q60</f>
        <v>0</v>
      </c>
      <c r="J261" s="1083"/>
      <c r="K261" s="1405"/>
      <c r="L261" s="1405"/>
      <c r="AO261" s="1405"/>
      <c r="AP261" s="1405"/>
      <c r="AQ261" s="1405"/>
      <c r="AR261" s="1405"/>
      <c r="AS261" s="1405"/>
      <c r="AT261" s="1405"/>
      <c r="AU261" s="1405"/>
      <c r="AV261" s="1405"/>
    </row>
    <row r="262" spans="1:48" s="1406" customFormat="1">
      <c r="A262" s="1081" t="s">
        <v>1541</v>
      </c>
      <c r="B262" s="1063" t="s">
        <v>1542</v>
      </c>
      <c r="C262" s="1074" t="s">
        <v>1119</v>
      </c>
      <c r="D262" s="1090">
        <f>'8.2 - VENT_SCHEDULE&amp;TAB REPORT'!H61</f>
        <v>0</v>
      </c>
      <c r="E262" s="1090">
        <f>'8.2 - VENT_SCHEDULE&amp;TAB REPORT'!O61</f>
        <v>0</v>
      </c>
      <c r="F262" s="1090">
        <f>'8.2 - VENT_SCHEDULE&amp;TAB REPORT'!P61</f>
        <v>0</v>
      </c>
      <c r="G262" s="1091">
        <f>'8.2 - VENT_SCHEDULE&amp;TAB REPORT'!R61</f>
        <v>0</v>
      </c>
      <c r="H262" s="1091">
        <f>'8.2 - VENT_SCHEDULE&amp;TAB REPORT'!O61</f>
        <v>0</v>
      </c>
      <c r="I262" s="1091">
        <f>'8.2 - VENT_SCHEDULE&amp;TAB REPORT'!Q61</f>
        <v>0</v>
      </c>
      <c r="J262" s="1083"/>
      <c r="K262" s="1405"/>
      <c r="L262" s="1405"/>
      <c r="AO262" s="1405"/>
      <c r="AP262" s="1405"/>
      <c r="AQ262" s="1405"/>
      <c r="AR262" s="1405"/>
      <c r="AS262" s="1405"/>
      <c r="AT262" s="1405"/>
      <c r="AU262" s="1405"/>
      <c r="AV262" s="1405"/>
    </row>
    <row r="263" spans="1:48" s="1406" customFormat="1" ht="36">
      <c r="A263" s="1081" t="s">
        <v>1543</v>
      </c>
      <c r="B263" s="1063" t="s">
        <v>1544</v>
      </c>
      <c r="C263" s="1074" t="s">
        <v>1119</v>
      </c>
      <c r="D263" s="1090">
        <f>'8.2 - VENT_SCHEDULE&amp;TAB REPORT'!H62</f>
        <v>0</v>
      </c>
      <c r="E263" s="1090">
        <f>'8.2 - VENT_SCHEDULE&amp;TAB REPORT'!O62</f>
        <v>0</v>
      </c>
      <c r="F263" s="1090">
        <f>'8.2 - VENT_SCHEDULE&amp;TAB REPORT'!P62</f>
        <v>0</v>
      </c>
      <c r="G263" s="1091">
        <f>'8.2 - VENT_SCHEDULE&amp;TAB REPORT'!R62</f>
        <v>0</v>
      </c>
      <c r="H263" s="1091">
        <f>'8.2 - VENT_SCHEDULE&amp;TAB REPORT'!O62</f>
        <v>0</v>
      </c>
      <c r="I263" s="1091">
        <f>'8.2 - VENT_SCHEDULE&amp;TAB REPORT'!Q62</f>
        <v>0</v>
      </c>
      <c r="J263" s="1083"/>
      <c r="K263" s="1405"/>
      <c r="L263" s="1405"/>
      <c r="AO263" s="1405"/>
      <c r="AP263" s="1405"/>
      <c r="AQ263" s="1405"/>
      <c r="AR263" s="1405"/>
      <c r="AS263" s="1405"/>
      <c r="AT263" s="1405"/>
      <c r="AU263" s="1405"/>
      <c r="AV263" s="1405"/>
    </row>
    <row r="264" spans="1:48" s="1406" customFormat="1" ht="18" customHeight="1">
      <c r="A264" s="1084"/>
      <c r="B264" s="1086" t="s">
        <v>1545</v>
      </c>
      <c r="C264" s="1086"/>
      <c r="D264" s="1086"/>
      <c r="E264" s="1086"/>
      <c r="F264" s="1086"/>
      <c r="G264" s="1086"/>
      <c r="H264" s="1086"/>
      <c r="I264" s="1086"/>
      <c r="J264" s="1087"/>
      <c r="K264" s="1405"/>
      <c r="L264" s="1405"/>
      <c r="AO264" s="1405"/>
      <c r="AP264" s="1405"/>
      <c r="AQ264" s="1405"/>
      <c r="AR264" s="1405"/>
      <c r="AS264" s="1405"/>
      <c r="AT264" s="1405"/>
      <c r="AU264" s="1405"/>
      <c r="AV264" s="1405"/>
    </row>
    <row r="265" spans="1:48" s="1406" customFormat="1" ht="54">
      <c r="A265" s="1081" t="s">
        <v>1546</v>
      </c>
      <c r="B265" s="1063" t="s">
        <v>1547</v>
      </c>
      <c r="C265" s="1074" t="s">
        <v>1119</v>
      </c>
      <c r="D265" s="1090">
        <f>'8.2 - VENT_SCHEDULE&amp;TAB REPORT'!H64</f>
        <v>0</v>
      </c>
      <c r="E265" s="1090">
        <f>'8.2 - VENT_SCHEDULE&amp;TAB REPORT'!O64</f>
        <v>0</v>
      </c>
      <c r="F265" s="1090">
        <f>'8.2 - VENT_SCHEDULE&amp;TAB REPORT'!P64</f>
        <v>0</v>
      </c>
      <c r="G265" s="1091">
        <f>'8.2 - VENT_SCHEDULE&amp;TAB REPORT'!R64</f>
        <v>0</v>
      </c>
      <c r="H265" s="1091">
        <f>'8.2 - VENT_SCHEDULE&amp;TAB REPORT'!O64</f>
        <v>0</v>
      </c>
      <c r="I265" s="1091">
        <f>'8.2 - VENT_SCHEDULE&amp;TAB REPORT'!Q64</f>
        <v>0</v>
      </c>
      <c r="J265" s="1083"/>
      <c r="K265" s="1405"/>
      <c r="L265" s="1405"/>
      <c r="AO265" s="1405"/>
      <c r="AP265" s="1405"/>
      <c r="AQ265" s="1405"/>
      <c r="AR265" s="1405"/>
      <c r="AS265" s="1405"/>
      <c r="AT265" s="1405"/>
      <c r="AU265" s="1405"/>
      <c r="AV265" s="1405"/>
    </row>
    <row r="266" spans="1:48" s="1406" customFormat="1" ht="36">
      <c r="A266" s="1081" t="s">
        <v>1548</v>
      </c>
      <c r="B266" s="1063" t="s">
        <v>1549</v>
      </c>
      <c r="C266" s="1074" t="s">
        <v>1119</v>
      </c>
      <c r="D266" s="1090">
        <f>'8.2 - VENT_SCHEDULE&amp;TAB REPORT'!H65</f>
        <v>0</v>
      </c>
      <c r="E266" s="1090">
        <f>'8.2 - VENT_SCHEDULE&amp;TAB REPORT'!O65</f>
        <v>0</v>
      </c>
      <c r="F266" s="1090">
        <f>'8.2 - VENT_SCHEDULE&amp;TAB REPORT'!P65</f>
        <v>0</v>
      </c>
      <c r="G266" s="1091">
        <f>'8.2 - VENT_SCHEDULE&amp;TAB REPORT'!R65</f>
        <v>0</v>
      </c>
      <c r="H266" s="1091">
        <f>'8.2 - VENT_SCHEDULE&amp;TAB REPORT'!O65</f>
        <v>0</v>
      </c>
      <c r="I266" s="1091">
        <f>'8.2 - VENT_SCHEDULE&amp;TAB REPORT'!Q65</f>
        <v>0</v>
      </c>
      <c r="J266" s="1083"/>
      <c r="K266" s="1405"/>
      <c r="L266" s="1405"/>
      <c r="AO266" s="1405"/>
      <c r="AP266" s="1405"/>
      <c r="AQ266" s="1405"/>
      <c r="AR266" s="1405"/>
      <c r="AS266" s="1405"/>
      <c r="AT266" s="1405"/>
      <c r="AU266" s="1405"/>
      <c r="AV266" s="1405"/>
    </row>
    <row r="267" spans="1:48" s="1406" customFormat="1">
      <c r="A267" s="1081" t="s">
        <v>1550</v>
      </c>
      <c r="B267" s="1063" t="s">
        <v>1551</v>
      </c>
      <c r="C267" s="1074" t="s">
        <v>1119</v>
      </c>
      <c r="D267" s="1090">
        <f>'8.2 - VENT_SCHEDULE&amp;TAB REPORT'!H66</f>
        <v>0</v>
      </c>
      <c r="E267" s="1090">
        <f>'8.2 - VENT_SCHEDULE&amp;TAB REPORT'!O66</f>
        <v>0</v>
      </c>
      <c r="F267" s="1090">
        <f>'8.2 - VENT_SCHEDULE&amp;TAB REPORT'!P66</f>
        <v>0</v>
      </c>
      <c r="G267" s="1091">
        <f>'8.2 - VENT_SCHEDULE&amp;TAB REPORT'!R66</f>
        <v>0</v>
      </c>
      <c r="H267" s="1091">
        <f>'8.2 - VENT_SCHEDULE&amp;TAB REPORT'!O66</f>
        <v>0</v>
      </c>
      <c r="I267" s="1091">
        <f>'8.2 - VENT_SCHEDULE&amp;TAB REPORT'!Q66</f>
        <v>0</v>
      </c>
      <c r="J267" s="1083"/>
      <c r="K267" s="1405"/>
      <c r="L267" s="1405"/>
      <c r="AO267" s="1405"/>
      <c r="AP267" s="1405"/>
      <c r="AQ267" s="1405"/>
      <c r="AR267" s="1405"/>
      <c r="AS267" s="1405"/>
      <c r="AT267" s="1405"/>
      <c r="AU267" s="1405"/>
      <c r="AV267" s="1405"/>
    </row>
    <row r="268" spans="1:48" s="1406" customFormat="1" ht="36">
      <c r="A268" s="1081" t="s">
        <v>1552</v>
      </c>
      <c r="B268" s="1063" t="s">
        <v>1553</v>
      </c>
      <c r="C268" s="1074" t="s">
        <v>1119</v>
      </c>
      <c r="D268" s="1090">
        <f>'8.2 - VENT_SCHEDULE&amp;TAB REPORT'!H67</f>
        <v>0</v>
      </c>
      <c r="E268" s="1090">
        <f>'8.2 - VENT_SCHEDULE&amp;TAB REPORT'!O67</f>
        <v>0</v>
      </c>
      <c r="F268" s="1090">
        <f>'8.2 - VENT_SCHEDULE&amp;TAB REPORT'!P67</f>
        <v>0</v>
      </c>
      <c r="G268" s="1091">
        <f>'8.2 - VENT_SCHEDULE&amp;TAB REPORT'!R67</f>
        <v>0</v>
      </c>
      <c r="H268" s="1091">
        <f>'8.2 - VENT_SCHEDULE&amp;TAB REPORT'!O67</f>
        <v>0</v>
      </c>
      <c r="I268" s="1091">
        <f>'8.2 - VENT_SCHEDULE&amp;TAB REPORT'!Q67</f>
        <v>0</v>
      </c>
      <c r="J268" s="1083"/>
      <c r="K268" s="1405"/>
      <c r="L268" s="1405"/>
      <c r="AO268" s="1405"/>
      <c r="AP268" s="1405"/>
      <c r="AQ268" s="1405"/>
      <c r="AR268" s="1405"/>
      <c r="AS268" s="1405"/>
      <c r="AT268" s="1405"/>
      <c r="AU268" s="1405"/>
      <c r="AV268" s="1405"/>
    </row>
    <row r="269" spans="1:48" s="1406" customFormat="1">
      <c r="A269" s="1081" t="s">
        <v>1554</v>
      </c>
      <c r="B269" s="1063" t="s">
        <v>1555</v>
      </c>
      <c r="C269" s="1074" t="s">
        <v>1119</v>
      </c>
      <c r="D269" s="1090">
        <f>'8.2 - VENT_SCHEDULE&amp;TAB REPORT'!H68</f>
        <v>0</v>
      </c>
      <c r="E269" s="1090">
        <f>'8.2 - VENT_SCHEDULE&amp;TAB REPORT'!O68</f>
        <v>0</v>
      </c>
      <c r="F269" s="1090">
        <f>'8.2 - VENT_SCHEDULE&amp;TAB REPORT'!P68</f>
        <v>0</v>
      </c>
      <c r="G269" s="1091">
        <f>'8.2 - VENT_SCHEDULE&amp;TAB REPORT'!R68</f>
        <v>0</v>
      </c>
      <c r="H269" s="1091">
        <f>'8.2 - VENT_SCHEDULE&amp;TAB REPORT'!O68</f>
        <v>0</v>
      </c>
      <c r="I269" s="1091">
        <f>'8.2 - VENT_SCHEDULE&amp;TAB REPORT'!Q68</f>
        <v>0</v>
      </c>
      <c r="J269" s="1083"/>
      <c r="K269" s="1405"/>
      <c r="L269" s="1405"/>
      <c r="AO269" s="1405"/>
      <c r="AP269" s="1405"/>
      <c r="AQ269" s="1405"/>
      <c r="AR269" s="1405"/>
      <c r="AS269" s="1405"/>
      <c r="AT269" s="1405"/>
      <c r="AU269" s="1405"/>
      <c r="AV269" s="1405"/>
    </row>
    <row r="270" spans="1:48" s="1406" customFormat="1" ht="36">
      <c r="A270" s="1081" t="s">
        <v>1556</v>
      </c>
      <c r="B270" s="1063" t="s">
        <v>1557</v>
      </c>
      <c r="C270" s="1074" t="s">
        <v>1119</v>
      </c>
      <c r="D270" s="1090" t="s">
        <v>1119</v>
      </c>
      <c r="E270" s="1090" t="s">
        <v>1119</v>
      </c>
      <c r="F270" s="1090" t="s">
        <v>1119</v>
      </c>
      <c r="G270" s="1091">
        <f>'8.2 - VENT_SCHEDULE&amp;TAB REPORT'!R69</f>
        <v>0</v>
      </c>
      <c r="H270" s="1091" t="s">
        <v>1119</v>
      </c>
      <c r="I270" s="1091">
        <f>'8.2 - VENT_SCHEDULE&amp;TAB REPORT'!Q69</f>
        <v>0</v>
      </c>
      <c r="J270" s="1083"/>
      <c r="K270" s="1405"/>
      <c r="L270" s="1405"/>
      <c r="AO270" s="1405"/>
      <c r="AP270" s="1405"/>
      <c r="AQ270" s="1405"/>
      <c r="AR270" s="1405"/>
      <c r="AS270" s="1405"/>
      <c r="AT270" s="1405"/>
      <c r="AU270" s="1405"/>
      <c r="AV270" s="1405"/>
    </row>
    <row r="271" spans="1:48" s="1406" customFormat="1" ht="36">
      <c r="A271" s="1081" t="s">
        <v>1558</v>
      </c>
      <c r="B271" s="1063" t="s">
        <v>1559</v>
      </c>
      <c r="C271" s="1074" t="s">
        <v>1119</v>
      </c>
      <c r="D271" s="1090" t="s">
        <v>1119</v>
      </c>
      <c r="E271" s="1090" t="s">
        <v>1119</v>
      </c>
      <c r="F271" s="1090" t="s">
        <v>1119</v>
      </c>
      <c r="G271" s="1091">
        <f>'8.2 - VENT_SCHEDULE&amp;TAB REPORT'!R70</f>
        <v>0</v>
      </c>
      <c r="H271" s="1091" t="s">
        <v>1119</v>
      </c>
      <c r="I271" s="1091">
        <f>'8.2 - VENT_SCHEDULE&amp;TAB REPORT'!Q70</f>
        <v>0</v>
      </c>
      <c r="J271" s="1083"/>
      <c r="K271" s="1405"/>
      <c r="L271" s="1405"/>
      <c r="AO271" s="1405"/>
      <c r="AP271" s="1405"/>
      <c r="AQ271" s="1405"/>
      <c r="AR271" s="1405"/>
      <c r="AS271" s="1405"/>
      <c r="AT271" s="1405"/>
      <c r="AU271" s="1405"/>
      <c r="AV271" s="1405"/>
    </row>
    <row r="272" spans="1:48" s="1406" customFormat="1" ht="36">
      <c r="A272" s="1081" t="s">
        <v>1560</v>
      </c>
      <c r="B272" s="1063" t="s">
        <v>1561</v>
      </c>
      <c r="C272" s="1074" t="s">
        <v>1119</v>
      </c>
      <c r="D272" s="1090" t="s">
        <v>1119</v>
      </c>
      <c r="E272" s="1090" t="s">
        <v>1119</v>
      </c>
      <c r="F272" s="1090" t="s">
        <v>1119</v>
      </c>
      <c r="G272" s="1091">
        <f>'8.2 - VENT_SCHEDULE&amp;TAB REPORT'!R71</f>
        <v>0</v>
      </c>
      <c r="H272" s="1091" t="s">
        <v>1119</v>
      </c>
      <c r="I272" s="1091">
        <f>'8.2 - VENT_SCHEDULE&amp;TAB REPORT'!Q71</f>
        <v>0</v>
      </c>
      <c r="J272" s="1083"/>
      <c r="K272" s="1405"/>
      <c r="L272" s="1405"/>
      <c r="AO272" s="1405"/>
      <c r="AP272" s="1405"/>
      <c r="AQ272" s="1405"/>
      <c r="AR272" s="1405"/>
      <c r="AS272" s="1405"/>
      <c r="AT272" s="1405"/>
      <c r="AU272" s="1405"/>
      <c r="AV272" s="1405"/>
    </row>
    <row r="273" spans="1:48" s="1406" customFormat="1" ht="36">
      <c r="A273" s="1081" t="s">
        <v>1562</v>
      </c>
      <c r="B273" s="1063" t="s">
        <v>1144</v>
      </c>
      <c r="C273" s="1074" t="s">
        <v>1119</v>
      </c>
      <c r="D273" s="1090" t="s">
        <v>1119</v>
      </c>
      <c r="E273" s="1090" t="s">
        <v>1119</v>
      </c>
      <c r="F273" s="1090" t="s">
        <v>1119</v>
      </c>
      <c r="G273" s="1091">
        <f>'8.2 - VENT_SCHEDULE&amp;TAB REPORT'!R72</f>
        <v>0</v>
      </c>
      <c r="H273" s="1091" t="s">
        <v>1119</v>
      </c>
      <c r="I273" s="1091">
        <f>'8.2 - VENT_SCHEDULE&amp;TAB REPORT'!Q72</f>
        <v>0</v>
      </c>
      <c r="J273" s="1083"/>
      <c r="K273" s="1405"/>
      <c r="L273" s="1405"/>
      <c r="AO273" s="1405"/>
      <c r="AP273" s="1405"/>
      <c r="AQ273" s="1405"/>
      <c r="AR273" s="1405"/>
      <c r="AS273" s="1405"/>
      <c r="AT273" s="1405"/>
      <c r="AU273" s="1405"/>
      <c r="AV273" s="1405"/>
    </row>
    <row r="274" spans="1:48" s="1406" customFormat="1" ht="18" customHeight="1">
      <c r="A274" s="1084"/>
      <c r="B274" s="1086" t="s">
        <v>1563</v>
      </c>
      <c r="C274" s="1086"/>
      <c r="D274" s="1086"/>
      <c r="E274" s="1086"/>
      <c r="F274" s="1086"/>
      <c r="G274" s="1086"/>
      <c r="H274" s="1086"/>
      <c r="I274" s="1086"/>
      <c r="J274" s="1087"/>
      <c r="K274" s="1405"/>
      <c r="L274" s="1405"/>
      <c r="AO274" s="1405"/>
      <c r="AP274" s="1405"/>
      <c r="AQ274" s="1405"/>
      <c r="AR274" s="1405"/>
      <c r="AS274" s="1405"/>
      <c r="AT274" s="1405"/>
      <c r="AU274" s="1405"/>
      <c r="AV274" s="1405"/>
    </row>
    <row r="275" spans="1:48" s="1406" customFormat="1" ht="36">
      <c r="A275" s="1081" t="s">
        <v>1564</v>
      </c>
      <c r="B275" s="1063" t="s">
        <v>1565</v>
      </c>
      <c r="C275" s="1064" t="s">
        <v>1119</v>
      </c>
      <c r="D275" s="1066">
        <f>'8.2 - VENT_DUCT TIGHTNESS'!$F$30</f>
        <v>0</v>
      </c>
      <c r="E275" s="1066">
        <f>'8.2 - VENT_DUCT TIGHTNESS'!$G$30</f>
        <v>0</v>
      </c>
      <c r="F275" s="1066">
        <f>'8.2 - VENT_DUCT TIGHTNESS'!$H$30</f>
        <v>0</v>
      </c>
      <c r="G275" s="1065" t="s">
        <v>1119</v>
      </c>
      <c r="H275" s="1065" t="s">
        <v>1119</v>
      </c>
      <c r="I275" s="1065" t="s">
        <v>1119</v>
      </c>
      <c r="J275" s="1083"/>
      <c r="K275" s="1405"/>
      <c r="L275" s="1405"/>
      <c r="AO275" s="1405"/>
      <c r="AP275" s="1405"/>
      <c r="AQ275" s="1405"/>
      <c r="AR275" s="1405"/>
      <c r="AS275" s="1405"/>
      <c r="AT275" s="1405"/>
      <c r="AU275" s="1405"/>
      <c r="AV275" s="1405"/>
    </row>
    <row r="276" spans="1:48" s="1406" customFormat="1" ht="198" customHeight="1">
      <c r="A276" s="1081" t="s">
        <v>1566</v>
      </c>
      <c r="B276" s="1063" t="s">
        <v>1567</v>
      </c>
      <c r="C276" s="1074">
        <f>'8.2 - VENT_DUCT TIGHTNESS'!E32</f>
        <v>0</v>
      </c>
      <c r="D276" s="1090">
        <f>'8.2 - VENT_DUCT TIGHTNESS'!F32</f>
        <v>0</v>
      </c>
      <c r="E276" s="1090">
        <f>'8.2 - VENT_DUCT TIGHTNESS'!G32</f>
        <v>0</v>
      </c>
      <c r="F276" s="1090">
        <f>'8.2 - VENT_DUCT TIGHTNESS'!H32</f>
        <v>0</v>
      </c>
      <c r="G276" s="1091">
        <f>'8.2 - VENT_DUCT TIGHTNESS'!J32</f>
        <v>0</v>
      </c>
      <c r="H276" s="1091">
        <f>'8.2 - VENT_DUCT TIGHTNESS'!G32</f>
        <v>0</v>
      </c>
      <c r="I276" s="1091">
        <f>'8.2 - VENT_DUCT TIGHTNESS'!I32</f>
        <v>0</v>
      </c>
      <c r="J276" s="1083"/>
      <c r="K276" s="1405"/>
      <c r="L276" s="1405"/>
      <c r="AO276" s="1405"/>
      <c r="AP276" s="1405"/>
      <c r="AQ276" s="1405"/>
      <c r="AR276" s="1405"/>
      <c r="AS276" s="1405"/>
      <c r="AT276" s="1405"/>
      <c r="AU276" s="1405"/>
      <c r="AV276" s="1405"/>
    </row>
    <row r="277" spans="1:48" s="1406" customFormat="1">
      <c r="A277" s="1081" t="s">
        <v>1568</v>
      </c>
      <c r="B277" s="1063" t="s">
        <v>1569</v>
      </c>
      <c r="C277" s="1074">
        <f>'8.2 - VENT_DUCT TIGHTNESS'!E32</f>
        <v>0</v>
      </c>
      <c r="D277" s="1090">
        <f>'8.2 - VENT_DUCT TIGHTNESS'!F33</f>
        <v>0</v>
      </c>
      <c r="E277" s="1090">
        <f>'8.2 - VENT_DUCT TIGHTNESS'!G33</f>
        <v>0</v>
      </c>
      <c r="F277" s="1090">
        <f>'8.2 - VENT_DUCT TIGHTNESS'!H33</f>
        <v>0</v>
      </c>
      <c r="G277" s="1091">
        <f>'8.2 - VENT_DUCT TIGHTNESS'!J33</f>
        <v>0</v>
      </c>
      <c r="H277" s="1091">
        <f>'8.2 - VENT_DUCT TIGHTNESS'!G33</f>
        <v>0</v>
      </c>
      <c r="I277" s="1091">
        <f>'8.2 - VENT_DUCT TIGHTNESS'!I33</f>
        <v>0</v>
      </c>
      <c r="J277" s="1083"/>
      <c r="K277" s="1405"/>
      <c r="L277" s="1405"/>
      <c r="AO277" s="1405"/>
      <c r="AP277" s="1405"/>
      <c r="AQ277" s="1405"/>
      <c r="AR277" s="1405"/>
      <c r="AS277" s="1405"/>
      <c r="AT277" s="1405"/>
      <c r="AU277" s="1405"/>
      <c r="AV277" s="1405"/>
    </row>
    <row r="278" spans="1:48" s="1406" customFormat="1" ht="36">
      <c r="A278" s="1081" t="s">
        <v>1570</v>
      </c>
      <c r="B278" s="1063" t="s">
        <v>1571</v>
      </c>
      <c r="C278" s="1074" t="s">
        <v>1119</v>
      </c>
      <c r="D278" s="1090" t="s">
        <v>1119</v>
      </c>
      <c r="E278" s="1090" t="s">
        <v>1119</v>
      </c>
      <c r="F278" s="1090" t="s">
        <v>1119</v>
      </c>
      <c r="G278" s="1091">
        <f>'8.2 - VENT_DUCT TIGHTNESS'!J34</f>
        <v>0</v>
      </c>
      <c r="H278" s="1091" t="s">
        <v>1119</v>
      </c>
      <c r="I278" s="1091">
        <f>'8.2 - VENT_DUCT TIGHTNESS'!I34</f>
        <v>0</v>
      </c>
      <c r="J278" s="1083"/>
      <c r="K278" s="1405"/>
      <c r="L278" s="1405"/>
      <c r="AO278" s="1405"/>
      <c r="AP278" s="1405"/>
      <c r="AQ278" s="1405"/>
      <c r="AR278" s="1405"/>
      <c r="AS278" s="1405"/>
      <c r="AT278" s="1405"/>
      <c r="AU278" s="1405"/>
      <c r="AV278" s="1405"/>
    </row>
    <row r="279" spans="1:48" s="1406" customFormat="1">
      <c r="A279" s="1081" t="s">
        <v>1572</v>
      </c>
      <c r="B279" s="1063" t="s">
        <v>1573</v>
      </c>
      <c r="C279" s="1074" t="s">
        <v>1119</v>
      </c>
      <c r="D279" s="1090" t="s">
        <v>1119</v>
      </c>
      <c r="E279" s="1090" t="s">
        <v>1119</v>
      </c>
      <c r="F279" s="1090" t="s">
        <v>1119</v>
      </c>
      <c r="G279" s="1091">
        <f>'8.2 - VENT_DUCT TIGHTNESS'!J35</f>
        <v>0</v>
      </c>
      <c r="H279" s="1091" t="s">
        <v>1119</v>
      </c>
      <c r="I279" s="1091">
        <f>'8.2 - VENT_DUCT TIGHTNESS'!I35</f>
        <v>0</v>
      </c>
      <c r="J279" s="1083"/>
      <c r="K279" s="1405"/>
      <c r="L279" s="1405"/>
      <c r="AO279" s="1405"/>
      <c r="AP279" s="1405"/>
      <c r="AQ279" s="1405"/>
      <c r="AR279" s="1405"/>
      <c r="AS279" s="1405"/>
      <c r="AT279" s="1405"/>
      <c r="AU279" s="1405"/>
      <c r="AV279" s="1405"/>
    </row>
    <row r="280" spans="1:48" s="1406" customFormat="1" ht="36">
      <c r="A280" s="1081" t="s">
        <v>1574</v>
      </c>
      <c r="B280" s="1063" t="s">
        <v>1575</v>
      </c>
      <c r="C280" s="1074" t="s">
        <v>1119</v>
      </c>
      <c r="D280" s="1090" t="s">
        <v>1119</v>
      </c>
      <c r="E280" s="1090" t="s">
        <v>1119</v>
      </c>
      <c r="F280" s="1090" t="s">
        <v>1119</v>
      </c>
      <c r="G280" s="1091">
        <f>'8.2 - VENT_DUCT TIGHTNESS'!J36</f>
        <v>0</v>
      </c>
      <c r="H280" s="1091" t="s">
        <v>1119</v>
      </c>
      <c r="I280" s="1091">
        <f>'8.2 - VENT_DUCT TIGHTNESS'!I36</f>
        <v>0</v>
      </c>
      <c r="J280" s="1083"/>
      <c r="K280" s="1405"/>
      <c r="L280" s="1405"/>
      <c r="AO280" s="1405"/>
      <c r="AP280" s="1405"/>
      <c r="AQ280" s="1405"/>
      <c r="AR280" s="1405"/>
      <c r="AS280" s="1405"/>
      <c r="AT280" s="1405"/>
      <c r="AU280" s="1405"/>
      <c r="AV280" s="1405"/>
    </row>
    <row r="281" spans="1:48" s="1406" customFormat="1" ht="36">
      <c r="A281" s="1081" t="s">
        <v>1576</v>
      </c>
      <c r="B281" s="1063" t="s">
        <v>1577</v>
      </c>
      <c r="C281" s="1074" t="s">
        <v>1119</v>
      </c>
      <c r="D281" s="1090" t="s">
        <v>1119</v>
      </c>
      <c r="E281" s="1090" t="s">
        <v>1119</v>
      </c>
      <c r="F281" s="1090" t="s">
        <v>1119</v>
      </c>
      <c r="G281" s="1091">
        <f>'8.2 - VENT_DUCT TIGHTNESS'!J37</f>
        <v>0</v>
      </c>
      <c r="H281" s="1091" t="s">
        <v>1119</v>
      </c>
      <c r="I281" s="1091">
        <f>'8.2 - VENT_DUCT TIGHTNESS'!I37</f>
        <v>0</v>
      </c>
      <c r="J281" s="1083"/>
      <c r="K281" s="1405"/>
      <c r="L281" s="1405"/>
      <c r="AO281" s="1405"/>
      <c r="AP281" s="1405"/>
      <c r="AQ281" s="1405"/>
      <c r="AR281" s="1405"/>
      <c r="AS281" s="1405"/>
      <c r="AT281" s="1405"/>
      <c r="AU281" s="1405"/>
      <c r="AV281" s="1405"/>
    </row>
    <row r="282" spans="1:48" ht="198" customHeight="1">
      <c r="A282" s="1081" t="s">
        <v>1578</v>
      </c>
      <c r="B282" s="1063" t="s">
        <v>1579</v>
      </c>
      <c r="C282" s="1074" t="s">
        <v>1119</v>
      </c>
      <c r="D282" s="1090" t="s">
        <v>1119</v>
      </c>
      <c r="E282" s="1090" t="s">
        <v>1119</v>
      </c>
      <c r="F282" s="1090" t="s">
        <v>1119</v>
      </c>
      <c r="G282" s="1091">
        <f>'8.2 - VENT_DUCT TIGHTNESS'!J38</f>
        <v>0</v>
      </c>
      <c r="H282" s="1091" t="s">
        <v>1119</v>
      </c>
      <c r="I282" s="1091">
        <f>'8.2 - VENT_DUCT TIGHTNESS'!I38</f>
        <v>0</v>
      </c>
      <c r="J282" s="1083"/>
      <c r="K282" s="1405"/>
      <c r="L282" s="1405"/>
    </row>
    <row r="283" spans="1:48">
      <c r="A283" s="1081" t="s">
        <v>1580</v>
      </c>
      <c r="B283" s="1063" t="s">
        <v>1581</v>
      </c>
      <c r="C283" s="1074" t="s">
        <v>1119</v>
      </c>
      <c r="D283" s="1090" t="s">
        <v>1119</v>
      </c>
      <c r="E283" s="1090" t="s">
        <v>1119</v>
      </c>
      <c r="F283" s="1090" t="s">
        <v>1119</v>
      </c>
      <c r="G283" s="1091">
        <f>'8.2 - VENT_DUCT TIGHTNESS'!J39</f>
        <v>0</v>
      </c>
      <c r="H283" s="1091" t="s">
        <v>1119</v>
      </c>
      <c r="I283" s="1091">
        <f>'8.2 - VENT_DUCT TIGHTNESS'!I39</f>
        <v>0</v>
      </c>
      <c r="J283" s="1083"/>
      <c r="K283" s="1405"/>
      <c r="L283" s="1405"/>
    </row>
    <row r="284" spans="1:48" ht="36">
      <c r="A284" s="1081" t="s">
        <v>1582</v>
      </c>
      <c r="B284" s="1063" t="s">
        <v>1583</v>
      </c>
      <c r="C284" s="1074" t="s">
        <v>1119</v>
      </c>
      <c r="D284" s="1090" t="s">
        <v>1119</v>
      </c>
      <c r="E284" s="1090" t="s">
        <v>1119</v>
      </c>
      <c r="F284" s="1090" t="s">
        <v>1119</v>
      </c>
      <c r="G284" s="1091">
        <f>'8.2 - VENT_DUCT TIGHTNESS'!J40</f>
        <v>0</v>
      </c>
      <c r="H284" s="1091" t="s">
        <v>1119</v>
      </c>
      <c r="I284" s="1091">
        <f>'8.2 - VENT_DUCT TIGHTNESS'!I40</f>
        <v>0</v>
      </c>
      <c r="J284" s="1083"/>
      <c r="K284" s="1405"/>
      <c r="L284" s="1405"/>
    </row>
    <row r="285" spans="1:48" ht="36">
      <c r="A285" s="1081" t="s">
        <v>1584</v>
      </c>
      <c r="B285" s="1063" t="s">
        <v>1144</v>
      </c>
      <c r="C285" s="1074" t="s">
        <v>1119</v>
      </c>
      <c r="D285" s="1090" t="s">
        <v>1119</v>
      </c>
      <c r="E285" s="1090" t="s">
        <v>1119</v>
      </c>
      <c r="F285" s="1090" t="s">
        <v>1119</v>
      </c>
      <c r="G285" s="1091">
        <f>'8.2 - VENT_DUCT TIGHTNESS'!J41</f>
        <v>0</v>
      </c>
      <c r="H285" s="1091" t="s">
        <v>1119</v>
      </c>
      <c r="I285" s="1091">
        <f>'8.2 - VENT_DUCT TIGHTNESS'!I41</f>
        <v>0</v>
      </c>
      <c r="J285" s="1083"/>
      <c r="K285" s="1405"/>
      <c r="L285" s="1405"/>
    </row>
    <row r="286" spans="1:48" s="1424" customFormat="1" ht="45.75" customHeight="1">
      <c r="A286" s="1067">
        <v>9</v>
      </c>
      <c r="B286" s="1068" t="s">
        <v>1585</v>
      </c>
      <c r="C286" s="1069"/>
      <c r="D286" s="1069"/>
      <c r="E286" s="1069"/>
      <c r="F286" s="1069"/>
      <c r="G286" s="1069"/>
      <c r="H286" s="1069"/>
      <c r="I286" s="1070"/>
      <c r="J286" s="1071"/>
      <c r="M286" s="1425"/>
      <c r="N286" s="1425"/>
      <c r="O286" s="1425"/>
      <c r="P286" s="1425"/>
      <c r="Q286" s="1425"/>
      <c r="R286" s="1425"/>
      <c r="S286" s="1425"/>
      <c r="T286" s="1425"/>
      <c r="U286" s="1425"/>
      <c r="V286" s="1425"/>
      <c r="W286" s="1425"/>
      <c r="X286" s="1425"/>
      <c r="Y286" s="1425"/>
      <c r="Z286" s="1425"/>
      <c r="AA286" s="1425"/>
      <c r="AB286" s="1425"/>
      <c r="AC286" s="1425"/>
      <c r="AD286" s="1425"/>
      <c r="AE286" s="1425"/>
      <c r="AF286" s="1425"/>
      <c r="AG286" s="1425"/>
      <c r="AH286" s="1425"/>
      <c r="AI286" s="1425"/>
      <c r="AJ286" s="1425"/>
      <c r="AK286" s="1425"/>
      <c r="AL286" s="1425"/>
      <c r="AM286" s="1425"/>
      <c r="AN286" s="1425"/>
    </row>
    <row r="287" spans="1:48" ht="39.75" customHeight="1">
      <c r="A287" s="1081" t="s">
        <v>1586</v>
      </c>
      <c r="B287" s="1088" t="s">
        <v>1587</v>
      </c>
      <c r="C287" s="1064" t="s">
        <v>1119</v>
      </c>
      <c r="D287" s="1066">
        <f>'9.1 - METERS'!I28</f>
        <v>0</v>
      </c>
      <c r="E287" s="1066">
        <f>'9.1 - METERS'!J28</f>
        <v>0</v>
      </c>
      <c r="F287" s="1066">
        <f>'9.1 - METERS'!K28</f>
        <v>0</v>
      </c>
      <c r="G287" s="1065">
        <f>'9.1 - METERS'!M28</f>
        <v>0</v>
      </c>
      <c r="H287" s="1065">
        <f>'9.1 - METERS'!J28</f>
        <v>0</v>
      </c>
      <c r="I287" s="1065">
        <f>'9.1 - METERS'!L28</f>
        <v>0</v>
      </c>
      <c r="J287" s="1083"/>
      <c r="K287" s="1405"/>
      <c r="L287" s="1405"/>
    </row>
    <row r="288" spans="1:48">
      <c r="A288" s="1081" t="s">
        <v>1588</v>
      </c>
      <c r="B288" s="1088" t="s">
        <v>1589</v>
      </c>
      <c r="C288" s="1064" t="s">
        <v>1119</v>
      </c>
      <c r="D288" s="1066">
        <f>'9.1 - METERS'!I29</f>
        <v>0</v>
      </c>
      <c r="E288" s="1066">
        <f>'9.1 - METERS'!J29</f>
        <v>0</v>
      </c>
      <c r="F288" s="1066">
        <f>'9.1 - METERS'!K29</f>
        <v>0</v>
      </c>
      <c r="G288" s="1065">
        <f>'9.1 - METERS'!M29</f>
        <v>0</v>
      </c>
      <c r="H288" s="1065">
        <f>'9.1 - METERS'!J29</f>
        <v>0</v>
      </c>
      <c r="I288" s="1065">
        <f>'9.1 - METERS'!L29</f>
        <v>0</v>
      </c>
      <c r="J288" s="1083"/>
      <c r="K288" s="1405"/>
      <c r="L288" s="1405"/>
    </row>
    <row r="289" spans="1:12">
      <c r="A289" s="1081" t="s">
        <v>1590</v>
      </c>
      <c r="B289" s="1110" t="s">
        <v>1591</v>
      </c>
      <c r="C289" s="1064" t="s">
        <v>1119</v>
      </c>
      <c r="D289" s="1066" t="s">
        <v>1119</v>
      </c>
      <c r="E289" s="1066" t="s">
        <v>1119</v>
      </c>
      <c r="F289" s="1066" t="s">
        <v>1119</v>
      </c>
      <c r="G289" s="1065">
        <f>'9.1 - METERS'!M30</f>
        <v>0</v>
      </c>
      <c r="H289" s="1065" t="s">
        <v>1119</v>
      </c>
      <c r="I289" s="1065">
        <f>'9.1 - METERS'!L30</f>
        <v>0</v>
      </c>
      <c r="J289" s="1083"/>
      <c r="K289" s="1405"/>
      <c r="L289" s="1405"/>
    </row>
    <row r="290" spans="1:12">
      <c r="A290" s="1081" t="s">
        <v>1592</v>
      </c>
      <c r="B290" s="1110" t="s">
        <v>1593</v>
      </c>
      <c r="C290" s="1064" t="s">
        <v>1119</v>
      </c>
      <c r="D290" s="1066" t="s">
        <v>1119</v>
      </c>
      <c r="E290" s="1066" t="s">
        <v>1119</v>
      </c>
      <c r="F290" s="1066" t="s">
        <v>1119</v>
      </c>
      <c r="G290" s="1065">
        <f>'9.1 - METERS'!M31</f>
        <v>0</v>
      </c>
      <c r="H290" s="1065" t="s">
        <v>1119</v>
      </c>
      <c r="I290" s="1065">
        <f>'9.1 - METERS'!L31</f>
        <v>0</v>
      </c>
      <c r="J290" s="1083"/>
      <c r="K290" s="1405"/>
      <c r="L290" s="1405"/>
    </row>
    <row r="291" spans="1:12">
      <c r="A291" s="1081" t="s">
        <v>1594</v>
      </c>
      <c r="B291" s="1110" t="s">
        <v>1595</v>
      </c>
      <c r="C291" s="1064" t="s">
        <v>1119</v>
      </c>
      <c r="D291" s="1066" t="s">
        <v>1119</v>
      </c>
      <c r="E291" s="1066" t="s">
        <v>1119</v>
      </c>
      <c r="F291" s="1066" t="s">
        <v>1119</v>
      </c>
      <c r="G291" s="1065">
        <f>'9.1 - METERS'!M32</f>
        <v>0</v>
      </c>
      <c r="H291" s="1065" t="s">
        <v>1119</v>
      </c>
      <c r="I291" s="1065">
        <f>'9.1 - METERS'!L32</f>
        <v>0</v>
      </c>
      <c r="J291" s="1083"/>
      <c r="K291" s="1405"/>
      <c r="L291" s="1405"/>
    </row>
    <row r="292" spans="1:12" ht="36">
      <c r="A292" s="1081" t="s">
        <v>1596</v>
      </c>
      <c r="B292" s="1110" t="s">
        <v>1118</v>
      </c>
      <c r="C292" s="1064" t="s">
        <v>1119</v>
      </c>
      <c r="D292" s="1066" t="s">
        <v>1119</v>
      </c>
      <c r="E292" s="1066" t="s">
        <v>1119</v>
      </c>
      <c r="F292" s="1066" t="s">
        <v>1119</v>
      </c>
      <c r="G292" s="1065">
        <f>'9.1 - METERS'!M33</f>
        <v>0</v>
      </c>
      <c r="H292" s="1065" t="s">
        <v>1119</v>
      </c>
      <c r="I292" s="1065">
        <f>'9.1 - METERS'!L33</f>
        <v>0</v>
      </c>
      <c r="J292" s="1083"/>
      <c r="K292" s="1405"/>
      <c r="L292" s="1405"/>
    </row>
    <row r="293" spans="1:12">
      <c r="A293" s="1428"/>
      <c r="B293" s="1429"/>
      <c r="C293" s="1430"/>
      <c r="G293" s="1402"/>
      <c r="H293" s="1403"/>
      <c r="I293" s="1404"/>
      <c r="J293" s="1405"/>
      <c r="K293" s="1405"/>
      <c r="L293" s="1405"/>
    </row>
    <row r="294" spans="1:12">
      <c r="A294" s="1428"/>
      <c r="B294" s="1429"/>
      <c r="C294" s="1430"/>
      <c r="G294" s="1402"/>
      <c r="H294" s="1403"/>
      <c r="I294" s="1404"/>
      <c r="J294" s="1405"/>
      <c r="K294" s="1405"/>
      <c r="L294" s="1405"/>
    </row>
    <row r="295" spans="1:12">
      <c r="A295" s="1428"/>
      <c r="B295" s="1429"/>
      <c r="C295" s="1430"/>
      <c r="G295" s="1402"/>
      <c r="H295" s="1403"/>
      <c r="I295" s="1404"/>
      <c r="J295" s="1405"/>
      <c r="K295" s="1405"/>
      <c r="L295" s="1405"/>
    </row>
    <row r="296" spans="1:12">
      <c r="A296" s="1428"/>
      <c r="B296" s="1429"/>
      <c r="C296" s="1430"/>
      <c r="G296" s="1402"/>
      <c r="H296" s="1403"/>
      <c r="I296" s="1404"/>
      <c r="J296" s="1405"/>
      <c r="K296" s="1405"/>
      <c r="L296" s="1405"/>
    </row>
    <row r="297" spans="1:12">
      <c r="A297" s="1428"/>
      <c r="B297" s="1429"/>
      <c r="C297" s="1430"/>
      <c r="G297" s="1402"/>
      <c r="H297" s="1403"/>
      <c r="I297" s="1404"/>
      <c r="J297" s="1405"/>
      <c r="K297" s="1405"/>
      <c r="L297" s="1405"/>
    </row>
    <row r="298" spans="1:12">
      <c r="A298" s="1428"/>
      <c r="B298" s="1429"/>
      <c r="C298" s="1430"/>
      <c r="G298" s="1402"/>
      <c r="H298" s="1403"/>
      <c r="I298" s="1404"/>
      <c r="J298" s="1405"/>
      <c r="K298" s="1405"/>
      <c r="L298" s="1405"/>
    </row>
    <row r="299" spans="1:12">
      <c r="A299" s="1428"/>
      <c r="B299" s="1429"/>
      <c r="C299" s="1430"/>
      <c r="G299" s="1402"/>
      <c r="H299" s="1403"/>
      <c r="I299" s="1404"/>
      <c r="J299" s="1405"/>
      <c r="K299" s="1405"/>
      <c r="L299" s="1405"/>
    </row>
    <row r="300" spans="1:12">
      <c r="A300" s="1428"/>
      <c r="B300" s="1429"/>
      <c r="C300" s="1430"/>
      <c r="G300" s="1402"/>
      <c r="H300" s="1403"/>
      <c r="I300" s="1404"/>
      <c r="J300" s="1405"/>
      <c r="K300" s="1405"/>
      <c r="L300" s="1405"/>
    </row>
    <row r="301" spans="1:12">
      <c r="B301" s="1429"/>
      <c r="C301" s="1430"/>
      <c r="G301" s="1402"/>
      <c r="H301" s="1403"/>
      <c r="I301" s="1404"/>
      <c r="J301" s="1405"/>
      <c r="K301" s="1405"/>
      <c r="L301" s="1405"/>
    </row>
    <row r="302" spans="1:12">
      <c r="B302" s="1429"/>
      <c r="C302" s="1430"/>
      <c r="G302" s="1402"/>
      <c r="H302" s="1403"/>
      <c r="I302" s="1404"/>
      <c r="J302" s="1405"/>
      <c r="K302" s="1405"/>
      <c r="L302" s="1405"/>
    </row>
    <row r="303" spans="1:12">
      <c r="B303" s="1429"/>
      <c r="C303" s="1430"/>
      <c r="G303" s="1402"/>
      <c r="H303" s="1403"/>
      <c r="I303" s="1404"/>
      <c r="J303" s="1405"/>
      <c r="K303" s="1405"/>
      <c r="L303" s="1405"/>
    </row>
    <row r="304" spans="1:12">
      <c r="B304" s="1429"/>
      <c r="C304" s="1430"/>
      <c r="G304" s="1402"/>
      <c r="H304" s="1403"/>
      <c r="I304" s="1404"/>
      <c r="J304" s="1405"/>
      <c r="K304" s="1405"/>
    </row>
    <row r="305" spans="1:48">
      <c r="B305" s="1429"/>
      <c r="C305" s="1430"/>
      <c r="G305" s="1402"/>
      <c r="H305" s="1403"/>
      <c r="I305" s="1404"/>
      <c r="J305" s="1405"/>
      <c r="K305" s="1405"/>
    </row>
    <row r="306" spans="1:48">
      <c r="B306" s="1429"/>
      <c r="C306" s="1430"/>
      <c r="G306" s="1402"/>
      <c r="H306" s="1403"/>
      <c r="I306" s="1404"/>
      <c r="J306" s="1405"/>
      <c r="K306" s="1405"/>
    </row>
    <row r="307" spans="1:48">
      <c r="B307" s="1429"/>
      <c r="C307" s="1430"/>
      <c r="G307" s="1402"/>
      <c r="H307" s="1403"/>
      <c r="I307" s="1404"/>
      <c r="J307" s="1405"/>
      <c r="K307" s="1405"/>
    </row>
    <row r="308" spans="1:48">
      <c r="B308" s="1429"/>
      <c r="C308" s="1430"/>
      <c r="G308" s="1402"/>
      <c r="H308" s="1403"/>
      <c r="I308" s="1404"/>
      <c r="J308" s="1405"/>
      <c r="K308" s="1405"/>
    </row>
    <row r="309" spans="1:48" s="1431" customFormat="1">
      <c r="A309" s="1399"/>
      <c r="B309" s="1429"/>
      <c r="C309" s="1430"/>
      <c r="D309" s="1400"/>
      <c r="E309" s="1401"/>
      <c r="F309" s="1401"/>
      <c r="G309" s="1402"/>
      <c r="H309" s="1403"/>
      <c r="I309" s="1404"/>
      <c r="J309" s="1405"/>
      <c r="K309" s="1405"/>
      <c r="L309" s="1406"/>
      <c r="M309" s="1406"/>
      <c r="N309" s="1406"/>
      <c r="O309" s="1406"/>
      <c r="P309" s="1406"/>
      <c r="Q309" s="1406"/>
      <c r="R309" s="1406"/>
      <c r="S309" s="1406"/>
      <c r="T309" s="1406"/>
      <c r="U309" s="1406"/>
      <c r="V309" s="1406"/>
      <c r="W309" s="1406"/>
      <c r="X309" s="1406"/>
      <c r="Y309" s="1406"/>
      <c r="Z309" s="1406"/>
      <c r="AA309" s="1406"/>
      <c r="AB309" s="1406"/>
      <c r="AC309" s="1406"/>
      <c r="AD309" s="1406"/>
      <c r="AE309" s="1406"/>
      <c r="AF309" s="1406"/>
      <c r="AG309" s="1406"/>
      <c r="AH309" s="1406"/>
      <c r="AI309" s="1406"/>
      <c r="AJ309" s="1406"/>
      <c r="AK309" s="1406"/>
      <c r="AL309" s="1406"/>
      <c r="AM309" s="1406"/>
      <c r="AN309" s="1406"/>
      <c r="AO309" s="1405"/>
      <c r="AP309" s="1405"/>
      <c r="AQ309" s="1405"/>
      <c r="AR309" s="1405"/>
      <c r="AS309" s="1405"/>
      <c r="AT309" s="1405"/>
      <c r="AU309" s="1405"/>
      <c r="AV309" s="1405"/>
    </row>
    <row r="310" spans="1:48" s="1431" customFormat="1">
      <c r="A310" s="1399"/>
      <c r="B310" s="1429"/>
      <c r="C310" s="1430"/>
      <c r="D310" s="1400"/>
      <c r="E310" s="1401"/>
      <c r="F310" s="1401"/>
      <c r="G310" s="1402"/>
      <c r="H310" s="1403"/>
      <c r="I310" s="1404"/>
      <c r="J310" s="1405"/>
      <c r="K310" s="1405"/>
      <c r="L310" s="1406"/>
      <c r="M310" s="1406"/>
      <c r="N310" s="1406"/>
      <c r="O310" s="1406"/>
      <c r="P310" s="1406"/>
      <c r="Q310" s="1406"/>
      <c r="R310" s="1406"/>
      <c r="S310" s="1406"/>
      <c r="T310" s="1406"/>
      <c r="U310" s="1406"/>
      <c r="V310" s="1406"/>
      <c r="W310" s="1406"/>
      <c r="X310" s="1406"/>
      <c r="Y310" s="1406"/>
      <c r="Z310" s="1406"/>
      <c r="AA310" s="1406"/>
      <c r="AB310" s="1406"/>
      <c r="AC310" s="1406"/>
      <c r="AD310" s="1406"/>
      <c r="AE310" s="1406"/>
      <c r="AF310" s="1406"/>
      <c r="AG310" s="1406"/>
      <c r="AH310" s="1406"/>
      <c r="AI310" s="1406"/>
      <c r="AJ310" s="1406"/>
      <c r="AK310" s="1406"/>
      <c r="AL310" s="1406"/>
      <c r="AM310" s="1406"/>
      <c r="AN310" s="1406"/>
      <c r="AO310" s="1405"/>
      <c r="AP310" s="1405"/>
      <c r="AQ310" s="1405"/>
      <c r="AR310" s="1405"/>
      <c r="AS310" s="1405"/>
      <c r="AT310" s="1405"/>
      <c r="AU310" s="1405"/>
      <c r="AV310" s="1405"/>
    </row>
    <row r="311" spans="1:48" s="1431" customFormat="1">
      <c r="A311" s="1399"/>
      <c r="B311" s="1429"/>
      <c r="C311" s="1430"/>
      <c r="D311" s="1400"/>
      <c r="E311" s="1401"/>
      <c r="F311" s="1401"/>
      <c r="G311" s="1402"/>
      <c r="H311" s="1403"/>
      <c r="I311" s="1404"/>
      <c r="J311" s="1405"/>
      <c r="K311" s="1405"/>
      <c r="L311" s="1406"/>
      <c r="M311" s="1406"/>
      <c r="N311" s="1406"/>
      <c r="O311" s="1406"/>
      <c r="P311" s="1406"/>
      <c r="Q311" s="1406"/>
      <c r="R311" s="1406"/>
      <c r="S311" s="1406"/>
      <c r="T311" s="1406"/>
      <c r="U311" s="1406"/>
      <c r="V311" s="1406"/>
      <c r="W311" s="1406"/>
      <c r="X311" s="1406"/>
      <c r="Y311" s="1406"/>
      <c r="Z311" s="1406"/>
      <c r="AA311" s="1406"/>
      <c r="AB311" s="1406"/>
      <c r="AC311" s="1406"/>
      <c r="AD311" s="1406"/>
      <c r="AE311" s="1406"/>
      <c r="AF311" s="1406"/>
      <c r="AG311" s="1406"/>
      <c r="AH311" s="1406"/>
      <c r="AI311" s="1406"/>
      <c r="AJ311" s="1406"/>
      <c r="AK311" s="1406"/>
      <c r="AL311" s="1406"/>
      <c r="AM311" s="1406"/>
      <c r="AN311" s="1406"/>
      <c r="AO311" s="1405"/>
      <c r="AP311" s="1405"/>
      <c r="AQ311" s="1405"/>
      <c r="AR311" s="1405"/>
      <c r="AS311" s="1405"/>
      <c r="AT311" s="1405"/>
      <c r="AU311" s="1405"/>
      <c r="AV311" s="1405"/>
    </row>
    <row r="312" spans="1:48" s="1431" customFormat="1">
      <c r="A312" s="1399"/>
      <c r="B312" s="1429"/>
      <c r="C312" s="1430"/>
      <c r="D312" s="1400"/>
      <c r="E312" s="1401"/>
      <c r="F312" s="1401"/>
      <c r="G312" s="1402"/>
      <c r="H312" s="1403"/>
      <c r="I312" s="1404"/>
      <c r="J312" s="1405"/>
      <c r="K312" s="1405"/>
      <c r="L312" s="1406"/>
      <c r="M312" s="1406"/>
      <c r="N312" s="1406"/>
      <c r="O312" s="1406"/>
      <c r="P312" s="1406"/>
      <c r="Q312" s="1406"/>
      <c r="R312" s="1406"/>
      <c r="S312" s="1406"/>
      <c r="T312" s="1406"/>
      <c r="U312" s="1406"/>
      <c r="V312" s="1406"/>
      <c r="W312" s="1406"/>
      <c r="X312" s="1406"/>
      <c r="Y312" s="1406"/>
      <c r="Z312" s="1406"/>
      <c r="AA312" s="1406"/>
      <c r="AB312" s="1406"/>
      <c r="AC312" s="1406"/>
      <c r="AD312" s="1406"/>
      <c r="AE312" s="1406"/>
      <c r="AF312" s="1406"/>
      <c r="AG312" s="1406"/>
      <c r="AH312" s="1406"/>
      <c r="AI312" s="1406"/>
      <c r="AJ312" s="1406"/>
      <c r="AK312" s="1406"/>
      <c r="AL312" s="1406"/>
      <c r="AM312" s="1406"/>
      <c r="AN312" s="1406"/>
      <c r="AO312" s="1405"/>
      <c r="AP312" s="1405"/>
      <c r="AQ312" s="1405"/>
      <c r="AR312" s="1405"/>
      <c r="AS312" s="1405"/>
      <c r="AT312" s="1405"/>
      <c r="AU312" s="1405"/>
      <c r="AV312" s="1405"/>
    </row>
    <row r="313" spans="1:48" s="1431" customFormat="1">
      <c r="A313" s="1399"/>
      <c r="B313" s="1429"/>
      <c r="C313" s="1430"/>
      <c r="D313" s="1400"/>
      <c r="E313" s="1401"/>
      <c r="F313" s="1401"/>
      <c r="G313" s="1402"/>
      <c r="H313" s="1403"/>
      <c r="I313" s="1404"/>
      <c r="J313" s="1405"/>
      <c r="K313" s="1405"/>
      <c r="L313" s="1406"/>
      <c r="M313" s="1406"/>
      <c r="N313" s="1406"/>
      <c r="O313" s="1406"/>
      <c r="P313" s="1406"/>
      <c r="Q313" s="1406"/>
      <c r="R313" s="1406"/>
      <c r="S313" s="1406"/>
      <c r="T313" s="1406"/>
      <c r="U313" s="1406"/>
      <c r="V313" s="1406"/>
      <c r="W313" s="1406"/>
      <c r="X313" s="1406"/>
      <c r="Y313" s="1406"/>
      <c r="Z313" s="1406"/>
      <c r="AA313" s="1406"/>
      <c r="AB313" s="1406"/>
      <c r="AC313" s="1406"/>
      <c r="AD313" s="1406"/>
      <c r="AE313" s="1406"/>
      <c r="AF313" s="1406"/>
      <c r="AG313" s="1406"/>
      <c r="AH313" s="1406"/>
      <c r="AI313" s="1406"/>
      <c r="AJ313" s="1406"/>
      <c r="AK313" s="1406"/>
      <c r="AL313" s="1406"/>
      <c r="AM313" s="1406"/>
      <c r="AN313" s="1406"/>
      <c r="AO313" s="1405"/>
      <c r="AP313" s="1405"/>
      <c r="AQ313" s="1405"/>
      <c r="AR313" s="1405"/>
      <c r="AS313" s="1405"/>
      <c r="AT313" s="1405"/>
      <c r="AU313" s="1405"/>
      <c r="AV313" s="1405"/>
    </row>
    <row r="314" spans="1:48" s="1431" customFormat="1">
      <c r="A314" s="1399"/>
      <c r="B314" s="1429"/>
      <c r="C314" s="1430"/>
      <c r="D314" s="1400"/>
      <c r="E314" s="1401"/>
      <c r="F314" s="1401"/>
      <c r="G314" s="1402"/>
      <c r="H314" s="1403"/>
      <c r="I314" s="1404"/>
      <c r="J314" s="1405"/>
      <c r="K314" s="1405"/>
      <c r="L314" s="1406"/>
      <c r="M314" s="1406"/>
      <c r="N314" s="1406"/>
      <c r="O314" s="1406"/>
      <c r="P314" s="1406"/>
      <c r="Q314" s="1406"/>
      <c r="R314" s="1406"/>
      <c r="S314" s="1406"/>
      <c r="T314" s="1406"/>
      <c r="U314" s="1406"/>
      <c r="V314" s="1406"/>
      <c r="W314" s="1406"/>
      <c r="X314" s="1406"/>
      <c r="Y314" s="1406"/>
      <c r="Z314" s="1406"/>
      <c r="AA314" s="1406"/>
      <c r="AB314" s="1406"/>
      <c r="AC314" s="1406"/>
      <c r="AD314" s="1406"/>
      <c r="AE314" s="1406"/>
      <c r="AF314" s="1406"/>
      <c r="AG314" s="1406"/>
      <c r="AH314" s="1406"/>
      <c r="AI314" s="1406"/>
      <c r="AJ314" s="1406"/>
      <c r="AK314" s="1406"/>
      <c r="AL314" s="1406"/>
      <c r="AM314" s="1406"/>
      <c r="AN314" s="1406"/>
      <c r="AO314" s="1405"/>
      <c r="AP314" s="1405"/>
      <c r="AQ314" s="1405"/>
      <c r="AR314" s="1405"/>
      <c r="AS314" s="1405"/>
      <c r="AT314" s="1405"/>
      <c r="AU314" s="1405"/>
      <c r="AV314" s="1405"/>
    </row>
    <row r="315" spans="1:48" s="1431" customFormat="1">
      <c r="A315" s="1399"/>
      <c r="B315" s="1429"/>
      <c r="C315" s="1430"/>
      <c r="D315" s="1400"/>
      <c r="E315" s="1401"/>
      <c r="F315" s="1401"/>
      <c r="G315" s="1402"/>
      <c r="H315" s="1403"/>
      <c r="I315" s="1404"/>
      <c r="J315" s="1405"/>
      <c r="K315" s="1405"/>
      <c r="L315" s="1406"/>
      <c r="M315" s="1406"/>
      <c r="N315" s="1406"/>
      <c r="O315" s="1406"/>
      <c r="P315" s="1406"/>
      <c r="Q315" s="1406"/>
      <c r="R315" s="1406"/>
      <c r="S315" s="1406"/>
      <c r="T315" s="1406"/>
      <c r="U315" s="1406"/>
      <c r="V315" s="1406"/>
      <c r="W315" s="1406"/>
      <c r="X315" s="1406"/>
      <c r="Y315" s="1406"/>
      <c r="Z315" s="1406"/>
      <c r="AA315" s="1406"/>
      <c r="AB315" s="1406"/>
      <c r="AC315" s="1406"/>
      <c r="AD315" s="1406"/>
      <c r="AE315" s="1406"/>
      <c r="AF315" s="1406"/>
      <c r="AG315" s="1406"/>
      <c r="AH315" s="1406"/>
      <c r="AI315" s="1406"/>
      <c r="AJ315" s="1406"/>
      <c r="AK315" s="1406"/>
      <c r="AL315" s="1406"/>
      <c r="AM315" s="1406"/>
      <c r="AN315" s="1406"/>
      <c r="AO315" s="1405"/>
      <c r="AP315" s="1405"/>
      <c r="AQ315" s="1405"/>
      <c r="AR315" s="1405"/>
      <c r="AS315" s="1405"/>
      <c r="AT315" s="1405"/>
      <c r="AU315" s="1405"/>
      <c r="AV315" s="1405"/>
    </row>
    <row r="316" spans="1:48" s="1431" customFormat="1">
      <c r="A316" s="1399"/>
      <c r="B316" s="1429"/>
      <c r="C316" s="1430"/>
      <c r="D316" s="1400"/>
      <c r="E316" s="1401"/>
      <c r="F316" s="1401"/>
      <c r="G316" s="1402"/>
      <c r="H316" s="1403"/>
      <c r="I316" s="1404"/>
      <c r="J316" s="1405"/>
      <c r="K316" s="1405"/>
      <c r="L316" s="1406"/>
      <c r="M316" s="1406"/>
      <c r="N316" s="1406"/>
      <c r="O316" s="1406"/>
      <c r="P316" s="1406"/>
      <c r="Q316" s="1406"/>
      <c r="R316" s="1406"/>
      <c r="S316" s="1406"/>
      <c r="T316" s="1406"/>
      <c r="U316" s="1406"/>
      <c r="V316" s="1406"/>
      <c r="W316" s="1406"/>
      <c r="X316" s="1406"/>
      <c r="Y316" s="1406"/>
      <c r="Z316" s="1406"/>
      <c r="AA316" s="1406"/>
      <c r="AB316" s="1406"/>
      <c r="AC316" s="1406"/>
      <c r="AD316" s="1406"/>
      <c r="AE316" s="1406"/>
      <c r="AF316" s="1406"/>
      <c r="AG316" s="1406"/>
      <c r="AH316" s="1406"/>
      <c r="AI316" s="1406"/>
      <c r="AJ316" s="1406"/>
      <c r="AK316" s="1406"/>
      <c r="AL316" s="1406"/>
      <c r="AM316" s="1406"/>
      <c r="AN316" s="1406"/>
      <c r="AO316" s="1405"/>
      <c r="AP316" s="1405"/>
      <c r="AQ316" s="1405"/>
      <c r="AR316" s="1405"/>
      <c r="AS316" s="1405"/>
      <c r="AT316" s="1405"/>
      <c r="AU316" s="1405"/>
      <c r="AV316" s="1405"/>
    </row>
    <row r="317" spans="1:48" s="1431" customFormat="1">
      <c r="A317" s="1399"/>
      <c r="B317" s="1429"/>
      <c r="C317" s="1430"/>
      <c r="D317" s="1400"/>
      <c r="E317" s="1401"/>
      <c r="F317" s="1401"/>
      <c r="G317" s="1402"/>
      <c r="H317" s="1403"/>
      <c r="I317" s="1404"/>
      <c r="J317" s="1405"/>
      <c r="K317" s="1405"/>
      <c r="L317" s="1406"/>
      <c r="M317" s="1406"/>
      <c r="N317" s="1406"/>
      <c r="O317" s="1406"/>
      <c r="P317" s="1406"/>
      <c r="Q317" s="1406"/>
      <c r="R317" s="1406"/>
      <c r="S317" s="1406"/>
      <c r="T317" s="1406"/>
      <c r="U317" s="1406"/>
      <c r="V317" s="1406"/>
      <c r="W317" s="1406"/>
      <c r="X317" s="1406"/>
      <c r="Y317" s="1406"/>
      <c r="Z317" s="1406"/>
      <c r="AA317" s="1406"/>
      <c r="AB317" s="1406"/>
      <c r="AC317" s="1406"/>
      <c r="AD317" s="1406"/>
      <c r="AE317" s="1406"/>
      <c r="AF317" s="1406"/>
      <c r="AG317" s="1406"/>
      <c r="AH317" s="1406"/>
      <c r="AI317" s="1406"/>
      <c r="AJ317" s="1406"/>
      <c r="AK317" s="1406"/>
      <c r="AL317" s="1406"/>
      <c r="AM317" s="1406"/>
      <c r="AN317" s="1406"/>
      <c r="AO317" s="1405"/>
      <c r="AP317" s="1405"/>
      <c r="AQ317" s="1405"/>
      <c r="AR317" s="1405"/>
      <c r="AS317" s="1405"/>
      <c r="AT317" s="1405"/>
      <c r="AU317" s="1405"/>
      <c r="AV317" s="1405"/>
    </row>
    <row r="318" spans="1:48" s="1431" customFormat="1">
      <c r="A318" s="1399"/>
      <c r="B318" s="1429"/>
      <c r="C318" s="1430"/>
      <c r="D318" s="1400"/>
      <c r="E318" s="1401"/>
      <c r="F318" s="1401"/>
      <c r="G318" s="1402"/>
      <c r="H318" s="1403"/>
      <c r="I318" s="1404"/>
      <c r="J318" s="1405"/>
      <c r="K318" s="1405"/>
      <c r="L318" s="1406"/>
      <c r="M318" s="1406"/>
      <c r="N318" s="1406"/>
      <c r="O318" s="1406"/>
      <c r="P318" s="1406"/>
      <c r="Q318" s="1406"/>
      <c r="R318" s="1406"/>
      <c r="S318" s="1406"/>
      <c r="T318" s="1406"/>
      <c r="U318" s="1406"/>
      <c r="V318" s="1406"/>
      <c r="W318" s="1406"/>
      <c r="X318" s="1406"/>
      <c r="Y318" s="1406"/>
      <c r="Z318" s="1406"/>
      <c r="AA318" s="1406"/>
      <c r="AB318" s="1406"/>
      <c r="AC318" s="1406"/>
      <c r="AD318" s="1406"/>
      <c r="AE318" s="1406"/>
      <c r="AF318" s="1406"/>
      <c r="AG318" s="1406"/>
      <c r="AH318" s="1406"/>
      <c r="AI318" s="1406"/>
      <c r="AJ318" s="1406"/>
      <c r="AK318" s="1406"/>
      <c r="AL318" s="1406"/>
      <c r="AM318" s="1406"/>
      <c r="AN318" s="1406"/>
      <c r="AO318" s="1405"/>
      <c r="AP318" s="1405"/>
      <c r="AQ318" s="1405"/>
      <c r="AR318" s="1405"/>
      <c r="AS318" s="1405"/>
      <c r="AT318" s="1405"/>
      <c r="AU318" s="1405"/>
      <c r="AV318" s="1405"/>
    </row>
    <row r="319" spans="1:48" s="1431" customFormat="1">
      <c r="A319" s="1399"/>
      <c r="B319" s="1429"/>
      <c r="C319" s="1430"/>
      <c r="D319" s="1400"/>
      <c r="E319" s="1401"/>
      <c r="F319" s="1401"/>
      <c r="G319" s="1402"/>
      <c r="H319" s="1403"/>
      <c r="I319" s="1404"/>
      <c r="J319" s="1405"/>
      <c r="K319" s="1405"/>
      <c r="L319" s="1406"/>
      <c r="M319" s="1406"/>
      <c r="N319" s="1406"/>
      <c r="O319" s="1406"/>
      <c r="P319" s="1406"/>
      <c r="Q319" s="1406"/>
      <c r="R319" s="1406"/>
      <c r="S319" s="1406"/>
      <c r="T319" s="1406"/>
      <c r="U319" s="1406"/>
      <c r="V319" s="1406"/>
      <c r="W319" s="1406"/>
      <c r="X319" s="1406"/>
      <c r="Y319" s="1406"/>
      <c r="Z319" s="1406"/>
      <c r="AA319" s="1406"/>
      <c r="AB319" s="1406"/>
      <c r="AC319" s="1406"/>
      <c r="AD319" s="1406"/>
      <c r="AE319" s="1406"/>
      <c r="AF319" s="1406"/>
      <c r="AG319" s="1406"/>
      <c r="AH319" s="1406"/>
      <c r="AI319" s="1406"/>
      <c r="AJ319" s="1406"/>
      <c r="AK319" s="1406"/>
      <c r="AL319" s="1406"/>
      <c r="AM319" s="1406"/>
      <c r="AN319" s="1406"/>
      <c r="AO319" s="1405"/>
      <c r="AP319" s="1405"/>
      <c r="AQ319" s="1405"/>
      <c r="AR319" s="1405"/>
      <c r="AS319" s="1405"/>
      <c r="AT319" s="1405"/>
      <c r="AU319" s="1405"/>
      <c r="AV319" s="1405"/>
    </row>
    <row r="320" spans="1:48" s="1431" customFormat="1">
      <c r="A320" s="1399"/>
      <c r="B320" s="1429"/>
      <c r="C320" s="1430"/>
      <c r="D320" s="1400"/>
      <c r="E320" s="1401"/>
      <c r="F320" s="1401"/>
      <c r="G320" s="1402"/>
      <c r="H320" s="1403"/>
      <c r="I320" s="1404"/>
      <c r="J320" s="1405"/>
      <c r="K320" s="1405"/>
      <c r="L320" s="1406"/>
      <c r="M320" s="1406"/>
      <c r="N320" s="1406"/>
      <c r="O320" s="1406"/>
      <c r="P320" s="1406"/>
      <c r="Q320" s="1406"/>
      <c r="R320" s="1406"/>
      <c r="S320" s="1406"/>
      <c r="T320" s="1406"/>
      <c r="U320" s="1406"/>
      <c r="V320" s="1406"/>
      <c r="W320" s="1406"/>
      <c r="X320" s="1406"/>
      <c r="Y320" s="1406"/>
      <c r="Z320" s="1406"/>
      <c r="AA320" s="1406"/>
      <c r="AB320" s="1406"/>
      <c r="AC320" s="1406"/>
      <c r="AD320" s="1406"/>
      <c r="AE320" s="1406"/>
      <c r="AF320" s="1406"/>
      <c r="AG320" s="1406"/>
      <c r="AH320" s="1406"/>
      <c r="AI320" s="1406"/>
      <c r="AJ320" s="1406"/>
      <c r="AK320" s="1406"/>
      <c r="AL320" s="1406"/>
      <c r="AM320" s="1406"/>
      <c r="AN320" s="1406"/>
      <c r="AO320" s="1405"/>
      <c r="AP320" s="1405"/>
      <c r="AQ320" s="1405"/>
      <c r="AR320" s="1405"/>
      <c r="AS320" s="1405"/>
      <c r="AT320" s="1405"/>
      <c r="AU320" s="1405"/>
      <c r="AV320" s="1405"/>
    </row>
    <row r="321" spans="1:48" s="1431" customFormat="1">
      <c r="A321" s="1399"/>
      <c r="B321" s="1429"/>
      <c r="C321" s="1430"/>
      <c r="D321" s="1400"/>
      <c r="E321" s="1401"/>
      <c r="F321" s="1401"/>
      <c r="G321" s="1402"/>
      <c r="H321" s="1403"/>
      <c r="I321" s="1404"/>
      <c r="J321" s="1405"/>
      <c r="K321" s="1405"/>
      <c r="L321" s="1406"/>
      <c r="M321" s="1406"/>
      <c r="N321" s="1406"/>
      <c r="O321" s="1406"/>
      <c r="P321" s="1406"/>
      <c r="Q321" s="1406"/>
      <c r="R321" s="1406"/>
      <c r="S321" s="1406"/>
      <c r="T321" s="1406"/>
      <c r="U321" s="1406"/>
      <c r="V321" s="1406"/>
      <c r="W321" s="1406"/>
      <c r="X321" s="1406"/>
      <c r="Y321" s="1406"/>
      <c r="Z321" s="1406"/>
      <c r="AA321" s="1406"/>
      <c r="AB321" s="1406"/>
      <c r="AC321" s="1406"/>
      <c r="AD321" s="1406"/>
      <c r="AE321" s="1406"/>
      <c r="AF321" s="1406"/>
      <c r="AG321" s="1406"/>
      <c r="AH321" s="1406"/>
      <c r="AI321" s="1406"/>
      <c r="AJ321" s="1406"/>
      <c r="AK321" s="1406"/>
      <c r="AL321" s="1406"/>
      <c r="AM321" s="1406"/>
      <c r="AN321" s="1406"/>
      <c r="AO321" s="1405"/>
      <c r="AP321" s="1405"/>
      <c r="AQ321" s="1405"/>
      <c r="AR321" s="1405"/>
      <c r="AS321" s="1405"/>
      <c r="AT321" s="1405"/>
      <c r="AU321" s="1405"/>
      <c r="AV321" s="1405"/>
    </row>
    <row r="322" spans="1:48" s="1431" customFormat="1">
      <c r="A322" s="1399"/>
      <c r="B322" s="1429"/>
      <c r="C322" s="1430"/>
      <c r="D322" s="1400"/>
      <c r="E322" s="1401"/>
      <c r="F322" s="1401"/>
      <c r="G322" s="1402"/>
      <c r="H322" s="1403"/>
      <c r="I322" s="1404"/>
      <c r="J322" s="1405"/>
      <c r="K322" s="1405"/>
      <c r="L322" s="1406"/>
      <c r="M322" s="1406"/>
      <c r="N322" s="1406"/>
      <c r="O322" s="1406"/>
      <c r="P322" s="1406"/>
      <c r="Q322" s="1406"/>
      <c r="R322" s="1406"/>
      <c r="S322" s="1406"/>
      <c r="T322" s="1406"/>
      <c r="U322" s="1406"/>
      <c r="V322" s="1406"/>
      <c r="W322" s="1406"/>
      <c r="X322" s="1406"/>
      <c r="Y322" s="1406"/>
      <c r="Z322" s="1406"/>
      <c r="AA322" s="1406"/>
      <c r="AB322" s="1406"/>
      <c r="AC322" s="1406"/>
      <c r="AD322" s="1406"/>
      <c r="AE322" s="1406"/>
      <c r="AF322" s="1406"/>
      <c r="AG322" s="1406"/>
      <c r="AH322" s="1406"/>
      <c r="AI322" s="1406"/>
      <c r="AJ322" s="1406"/>
      <c r="AK322" s="1406"/>
      <c r="AL322" s="1406"/>
      <c r="AM322" s="1406"/>
      <c r="AN322" s="1406"/>
      <c r="AO322" s="1405"/>
      <c r="AP322" s="1405"/>
      <c r="AQ322" s="1405"/>
      <c r="AR322" s="1405"/>
      <c r="AS322" s="1405"/>
      <c r="AT322" s="1405"/>
      <c r="AU322" s="1405"/>
      <c r="AV322" s="1405"/>
    </row>
    <row r="323" spans="1:48" s="1431" customFormat="1">
      <c r="A323" s="1399"/>
      <c r="B323" s="1429"/>
      <c r="C323" s="1430"/>
      <c r="D323" s="1400"/>
      <c r="E323" s="1401"/>
      <c r="F323" s="1401"/>
      <c r="G323" s="1402"/>
      <c r="H323" s="1403"/>
      <c r="I323" s="1404"/>
      <c r="J323" s="1405"/>
      <c r="K323" s="1405"/>
      <c r="L323" s="1406"/>
      <c r="M323" s="1406"/>
      <c r="N323" s="1406"/>
      <c r="O323" s="1406"/>
      <c r="P323" s="1406"/>
      <c r="Q323" s="1406"/>
      <c r="R323" s="1406"/>
      <c r="S323" s="1406"/>
      <c r="T323" s="1406"/>
      <c r="U323" s="1406"/>
      <c r="V323" s="1406"/>
      <c r="W323" s="1406"/>
      <c r="X323" s="1406"/>
      <c r="Y323" s="1406"/>
      <c r="Z323" s="1406"/>
      <c r="AA323" s="1406"/>
      <c r="AB323" s="1406"/>
      <c r="AC323" s="1406"/>
      <c r="AD323" s="1406"/>
      <c r="AE323" s="1406"/>
      <c r="AF323" s="1406"/>
      <c r="AG323" s="1406"/>
      <c r="AH323" s="1406"/>
      <c r="AI323" s="1406"/>
      <c r="AJ323" s="1406"/>
      <c r="AK323" s="1406"/>
      <c r="AL323" s="1406"/>
      <c r="AM323" s="1406"/>
      <c r="AN323" s="1406"/>
      <c r="AO323" s="1405"/>
      <c r="AP323" s="1405"/>
      <c r="AQ323" s="1405"/>
      <c r="AR323" s="1405"/>
      <c r="AS323" s="1405"/>
      <c r="AT323" s="1405"/>
      <c r="AU323" s="1405"/>
      <c r="AV323" s="1405"/>
    </row>
    <row r="324" spans="1:48" s="1431" customFormat="1">
      <c r="A324" s="1399"/>
      <c r="B324" s="1429"/>
      <c r="C324" s="1430"/>
      <c r="D324" s="1400"/>
      <c r="E324" s="1401"/>
      <c r="F324" s="1401"/>
      <c r="G324" s="1402"/>
      <c r="H324" s="1403"/>
      <c r="I324" s="1404"/>
      <c r="J324" s="1405"/>
      <c r="K324" s="1405"/>
      <c r="L324" s="1406"/>
      <c r="M324" s="1406"/>
      <c r="N324" s="1406"/>
      <c r="O324" s="1406"/>
      <c r="P324" s="1406"/>
      <c r="Q324" s="1406"/>
      <c r="R324" s="1406"/>
      <c r="S324" s="1406"/>
      <c r="T324" s="1406"/>
      <c r="U324" s="1406"/>
      <c r="V324" s="1406"/>
      <c r="W324" s="1406"/>
      <c r="X324" s="1406"/>
      <c r="Y324" s="1406"/>
      <c r="Z324" s="1406"/>
      <c r="AA324" s="1406"/>
      <c r="AB324" s="1406"/>
      <c r="AC324" s="1406"/>
      <c r="AD324" s="1406"/>
      <c r="AE324" s="1406"/>
      <c r="AF324" s="1406"/>
      <c r="AG324" s="1406"/>
      <c r="AH324" s="1406"/>
      <c r="AI324" s="1406"/>
      <c r="AJ324" s="1406"/>
      <c r="AK324" s="1406"/>
      <c r="AL324" s="1406"/>
      <c r="AM324" s="1406"/>
      <c r="AN324" s="1406"/>
      <c r="AO324" s="1405"/>
      <c r="AP324" s="1405"/>
      <c r="AQ324" s="1405"/>
      <c r="AR324" s="1405"/>
      <c r="AS324" s="1405"/>
      <c r="AT324" s="1405"/>
      <c r="AU324" s="1405"/>
      <c r="AV324" s="1405"/>
    </row>
    <row r="325" spans="1:48" s="1431" customFormat="1">
      <c r="A325" s="1399"/>
      <c r="B325" s="1429"/>
      <c r="C325" s="1430"/>
      <c r="D325" s="1400"/>
      <c r="E325" s="1401"/>
      <c r="F325" s="1401"/>
      <c r="G325" s="1402"/>
      <c r="H325" s="1403"/>
      <c r="I325" s="1404"/>
      <c r="J325" s="1405"/>
      <c r="K325" s="1405"/>
      <c r="L325" s="1406"/>
      <c r="M325" s="1406"/>
      <c r="N325" s="1406"/>
      <c r="O325" s="1406"/>
      <c r="P325" s="1406"/>
      <c r="Q325" s="1406"/>
      <c r="R325" s="1406"/>
      <c r="S325" s="1406"/>
      <c r="T325" s="1406"/>
      <c r="U325" s="1406"/>
      <c r="V325" s="1406"/>
      <c r="W325" s="1406"/>
      <c r="X325" s="1406"/>
      <c r="Y325" s="1406"/>
      <c r="Z325" s="1406"/>
      <c r="AA325" s="1406"/>
      <c r="AB325" s="1406"/>
      <c r="AC325" s="1406"/>
      <c r="AD325" s="1406"/>
      <c r="AE325" s="1406"/>
      <c r="AF325" s="1406"/>
      <c r="AG325" s="1406"/>
      <c r="AH325" s="1406"/>
      <c r="AI325" s="1406"/>
      <c r="AJ325" s="1406"/>
      <c r="AK325" s="1406"/>
      <c r="AL325" s="1406"/>
      <c r="AM325" s="1406"/>
      <c r="AN325" s="1406"/>
      <c r="AO325" s="1405"/>
      <c r="AP325" s="1405"/>
      <c r="AQ325" s="1405"/>
      <c r="AR325" s="1405"/>
      <c r="AS325" s="1405"/>
      <c r="AT325" s="1405"/>
      <c r="AU325" s="1405"/>
      <c r="AV325" s="1405"/>
    </row>
    <row r="326" spans="1:48" s="1431" customFormat="1">
      <c r="A326" s="1399"/>
      <c r="B326" s="1429"/>
      <c r="C326" s="1430"/>
      <c r="D326" s="1400"/>
      <c r="E326" s="1401"/>
      <c r="F326" s="1401"/>
      <c r="G326" s="1402"/>
      <c r="H326" s="1403"/>
      <c r="I326" s="1404"/>
      <c r="J326" s="1405"/>
      <c r="K326" s="1405"/>
      <c r="L326" s="1406"/>
      <c r="M326" s="1406"/>
      <c r="N326" s="1406"/>
      <c r="O326" s="1406"/>
      <c r="P326" s="1406"/>
      <c r="Q326" s="1406"/>
      <c r="R326" s="1406"/>
      <c r="S326" s="1406"/>
      <c r="T326" s="1406"/>
      <c r="U326" s="1406"/>
      <c r="V326" s="1406"/>
      <c r="W326" s="1406"/>
      <c r="X326" s="1406"/>
      <c r="Y326" s="1406"/>
      <c r="Z326" s="1406"/>
      <c r="AA326" s="1406"/>
      <c r="AB326" s="1406"/>
      <c r="AC326" s="1406"/>
      <c r="AD326" s="1406"/>
      <c r="AE326" s="1406"/>
      <c r="AF326" s="1406"/>
      <c r="AG326" s="1406"/>
      <c r="AH326" s="1406"/>
      <c r="AI326" s="1406"/>
      <c r="AJ326" s="1406"/>
      <c r="AK326" s="1406"/>
      <c r="AL326" s="1406"/>
      <c r="AM326" s="1406"/>
      <c r="AN326" s="1406"/>
      <c r="AO326" s="1405"/>
      <c r="AP326" s="1405"/>
      <c r="AQ326" s="1405"/>
      <c r="AR326" s="1405"/>
      <c r="AS326" s="1405"/>
      <c r="AT326" s="1405"/>
      <c r="AU326" s="1405"/>
      <c r="AV326" s="1405"/>
    </row>
    <row r="327" spans="1:48" s="1431" customFormat="1">
      <c r="A327" s="1399"/>
      <c r="B327" s="1429"/>
      <c r="C327" s="1430"/>
      <c r="D327" s="1400"/>
      <c r="E327" s="1401"/>
      <c r="F327" s="1401"/>
      <c r="G327" s="1402"/>
      <c r="H327" s="1403"/>
      <c r="I327" s="1404"/>
      <c r="J327" s="1405"/>
      <c r="K327" s="1405"/>
      <c r="L327" s="1406"/>
      <c r="M327" s="1406"/>
      <c r="N327" s="1406"/>
      <c r="O327" s="1406"/>
      <c r="P327" s="1406"/>
      <c r="Q327" s="1406"/>
      <c r="R327" s="1406"/>
      <c r="S327" s="1406"/>
      <c r="T327" s="1406"/>
      <c r="U327" s="1406"/>
      <c r="V327" s="1406"/>
      <c r="W327" s="1406"/>
      <c r="X327" s="1406"/>
      <c r="Y327" s="1406"/>
      <c r="Z327" s="1406"/>
      <c r="AA327" s="1406"/>
      <c r="AB327" s="1406"/>
      <c r="AC327" s="1406"/>
      <c r="AD327" s="1406"/>
      <c r="AE327" s="1406"/>
      <c r="AF327" s="1406"/>
      <c r="AG327" s="1406"/>
      <c r="AH327" s="1406"/>
      <c r="AI327" s="1406"/>
      <c r="AJ327" s="1406"/>
      <c r="AK327" s="1406"/>
      <c r="AL327" s="1406"/>
      <c r="AM327" s="1406"/>
      <c r="AN327" s="1406"/>
      <c r="AO327" s="1405"/>
      <c r="AP327" s="1405"/>
      <c r="AQ327" s="1405"/>
      <c r="AR327" s="1405"/>
      <c r="AS327" s="1405"/>
      <c r="AT327" s="1405"/>
      <c r="AU327" s="1405"/>
      <c r="AV327" s="1405"/>
    </row>
    <row r="328" spans="1:48" s="1431" customFormat="1">
      <c r="A328" s="1399"/>
      <c r="B328" s="1429"/>
      <c r="C328" s="1430"/>
      <c r="D328" s="1400"/>
      <c r="E328" s="1401"/>
      <c r="F328" s="1401"/>
      <c r="G328" s="1402"/>
      <c r="H328" s="1403"/>
      <c r="I328" s="1404"/>
      <c r="J328" s="1405"/>
      <c r="K328" s="1405"/>
      <c r="L328" s="1406"/>
      <c r="M328" s="1406"/>
      <c r="N328" s="1406"/>
      <c r="O328" s="1406"/>
      <c r="P328" s="1406"/>
      <c r="Q328" s="1406"/>
      <c r="R328" s="1406"/>
      <c r="S328" s="1406"/>
      <c r="T328" s="1406"/>
      <c r="U328" s="1406"/>
      <c r="V328" s="1406"/>
      <c r="W328" s="1406"/>
      <c r="X328" s="1406"/>
      <c r="Y328" s="1406"/>
      <c r="Z328" s="1406"/>
      <c r="AA328" s="1406"/>
      <c r="AB328" s="1406"/>
      <c r="AC328" s="1406"/>
      <c r="AD328" s="1406"/>
      <c r="AE328" s="1406"/>
      <c r="AF328" s="1406"/>
      <c r="AG328" s="1406"/>
      <c r="AH328" s="1406"/>
      <c r="AI328" s="1406"/>
      <c r="AJ328" s="1406"/>
      <c r="AK328" s="1406"/>
      <c r="AL328" s="1406"/>
      <c r="AM328" s="1406"/>
      <c r="AN328" s="1406"/>
      <c r="AO328" s="1405"/>
      <c r="AP328" s="1405"/>
      <c r="AQ328" s="1405"/>
      <c r="AR328" s="1405"/>
      <c r="AS328" s="1405"/>
      <c r="AT328" s="1405"/>
      <c r="AU328" s="1405"/>
      <c r="AV328" s="1405"/>
    </row>
    <row r="329" spans="1:48" s="1431" customFormat="1">
      <c r="A329" s="1399"/>
      <c r="B329" s="1429"/>
      <c r="C329" s="1430"/>
      <c r="D329" s="1400"/>
      <c r="E329" s="1401"/>
      <c r="F329" s="1401"/>
      <c r="G329" s="1402"/>
      <c r="H329" s="1403"/>
      <c r="I329" s="1404"/>
      <c r="J329" s="1405"/>
      <c r="K329" s="1405"/>
      <c r="L329" s="1406"/>
      <c r="M329" s="1406"/>
      <c r="N329" s="1406"/>
      <c r="O329" s="1406"/>
      <c r="P329" s="1406"/>
      <c r="Q329" s="1406"/>
      <c r="R329" s="1406"/>
      <c r="S329" s="1406"/>
      <c r="T329" s="1406"/>
      <c r="U329" s="1406"/>
      <c r="V329" s="1406"/>
      <c r="W329" s="1406"/>
      <c r="X329" s="1406"/>
      <c r="Y329" s="1406"/>
      <c r="Z329" s="1406"/>
      <c r="AA329" s="1406"/>
      <c r="AB329" s="1406"/>
      <c r="AC329" s="1406"/>
      <c r="AD329" s="1406"/>
      <c r="AE329" s="1406"/>
      <c r="AF329" s="1406"/>
      <c r="AG329" s="1406"/>
      <c r="AH329" s="1406"/>
      <c r="AI329" s="1406"/>
      <c r="AJ329" s="1406"/>
      <c r="AK329" s="1406"/>
      <c r="AL329" s="1406"/>
      <c r="AM329" s="1406"/>
      <c r="AN329" s="1406"/>
      <c r="AO329" s="1405"/>
      <c r="AP329" s="1405"/>
      <c r="AQ329" s="1405"/>
      <c r="AR329" s="1405"/>
      <c r="AS329" s="1405"/>
      <c r="AT329" s="1405"/>
      <c r="AU329" s="1405"/>
      <c r="AV329" s="1405"/>
    </row>
    <row r="330" spans="1:48" s="1431" customFormat="1">
      <c r="A330" s="1399"/>
      <c r="B330" s="1429"/>
      <c r="C330" s="1430"/>
      <c r="D330" s="1400"/>
      <c r="E330" s="1401"/>
      <c r="F330" s="1401"/>
      <c r="G330" s="1402"/>
      <c r="H330" s="1403"/>
      <c r="I330" s="1404"/>
      <c r="J330" s="1405"/>
      <c r="K330" s="1405"/>
      <c r="L330" s="1406"/>
      <c r="M330" s="1406"/>
      <c r="N330" s="1406"/>
      <c r="O330" s="1406"/>
      <c r="P330" s="1406"/>
      <c r="Q330" s="1406"/>
      <c r="R330" s="1406"/>
      <c r="S330" s="1406"/>
      <c r="T330" s="1406"/>
      <c r="U330" s="1406"/>
      <c r="V330" s="1406"/>
      <c r="W330" s="1406"/>
      <c r="X330" s="1406"/>
      <c r="Y330" s="1406"/>
      <c r="Z330" s="1406"/>
      <c r="AA330" s="1406"/>
      <c r="AB330" s="1406"/>
      <c r="AC330" s="1406"/>
      <c r="AD330" s="1406"/>
      <c r="AE330" s="1406"/>
      <c r="AF330" s="1406"/>
      <c r="AG330" s="1406"/>
      <c r="AH330" s="1406"/>
      <c r="AI330" s="1406"/>
      <c r="AJ330" s="1406"/>
      <c r="AK330" s="1406"/>
      <c r="AL330" s="1406"/>
      <c r="AM330" s="1406"/>
      <c r="AN330" s="1406"/>
      <c r="AO330" s="1405"/>
      <c r="AP330" s="1405"/>
      <c r="AQ330" s="1405"/>
      <c r="AR330" s="1405"/>
      <c r="AS330" s="1405"/>
      <c r="AT330" s="1405"/>
      <c r="AU330" s="1405"/>
      <c r="AV330" s="1405"/>
    </row>
    <row r="331" spans="1:48" s="1431" customFormat="1">
      <c r="A331" s="1399"/>
      <c r="B331" s="1429"/>
      <c r="C331" s="1430"/>
      <c r="D331" s="1400"/>
      <c r="E331" s="1401"/>
      <c r="F331" s="1401"/>
      <c r="G331" s="1402"/>
      <c r="H331" s="1403"/>
      <c r="I331" s="1404"/>
      <c r="J331" s="1405"/>
      <c r="K331" s="1405"/>
      <c r="L331" s="1406"/>
      <c r="M331" s="1406"/>
      <c r="N331" s="1406"/>
      <c r="O331" s="1406"/>
      <c r="P331" s="1406"/>
      <c r="Q331" s="1406"/>
      <c r="R331" s="1406"/>
      <c r="S331" s="1406"/>
      <c r="T331" s="1406"/>
      <c r="U331" s="1406"/>
      <c r="V331" s="1406"/>
      <c r="W331" s="1406"/>
      <c r="X331" s="1406"/>
      <c r="Y331" s="1406"/>
      <c r="Z331" s="1406"/>
      <c r="AA331" s="1406"/>
      <c r="AB331" s="1406"/>
      <c r="AC331" s="1406"/>
      <c r="AD331" s="1406"/>
      <c r="AE331" s="1406"/>
      <c r="AF331" s="1406"/>
      <c r="AG331" s="1406"/>
      <c r="AH331" s="1406"/>
      <c r="AI331" s="1406"/>
      <c r="AJ331" s="1406"/>
      <c r="AK331" s="1406"/>
      <c r="AL331" s="1406"/>
      <c r="AM331" s="1406"/>
      <c r="AN331" s="1406"/>
      <c r="AO331" s="1405"/>
      <c r="AP331" s="1405"/>
      <c r="AQ331" s="1405"/>
      <c r="AR331" s="1405"/>
      <c r="AS331" s="1405"/>
      <c r="AT331" s="1405"/>
      <c r="AU331" s="1405"/>
      <c r="AV331" s="1405"/>
    </row>
    <row r="332" spans="1:48" s="1431" customFormat="1">
      <c r="A332" s="1399"/>
      <c r="B332" s="1429"/>
      <c r="C332" s="1430"/>
      <c r="D332" s="1400"/>
      <c r="E332" s="1401"/>
      <c r="F332" s="1401"/>
      <c r="G332" s="1402"/>
      <c r="H332" s="1403"/>
      <c r="I332" s="1404"/>
      <c r="J332" s="1405"/>
      <c r="K332" s="1405"/>
      <c r="L332" s="1406"/>
      <c r="M332" s="1406"/>
      <c r="N332" s="1406"/>
      <c r="O332" s="1406"/>
      <c r="P332" s="1406"/>
      <c r="Q332" s="1406"/>
      <c r="R332" s="1406"/>
      <c r="S332" s="1406"/>
      <c r="T332" s="1406"/>
      <c r="U332" s="1406"/>
      <c r="V332" s="1406"/>
      <c r="W332" s="1406"/>
      <c r="X332" s="1406"/>
      <c r="Y332" s="1406"/>
      <c r="Z332" s="1406"/>
      <c r="AA332" s="1406"/>
      <c r="AB332" s="1406"/>
      <c r="AC332" s="1406"/>
      <c r="AD332" s="1406"/>
      <c r="AE332" s="1406"/>
      <c r="AF332" s="1406"/>
      <c r="AG332" s="1406"/>
      <c r="AH332" s="1406"/>
      <c r="AI332" s="1406"/>
      <c r="AJ332" s="1406"/>
      <c r="AK332" s="1406"/>
      <c r="AL332" s="1406"/>
      <c r="AM332" s="1406"/>
      <c r="AN332" s="1406"/>
      <c r="AO332" s="1405"/>
      <c r="AP332" s="1405"/>
      <c r="AQ332" s="1405"/>
      <c r="AR332" s="1405"/>
      <c r="AS332" s="1405"/>
      <c r="AT332" s="1405"/>
      <c r="AU332" s="1405"/>
      <c r="AV332" s="1405"/>
    </row>
    <row r="333" spans="1:48" s="1431" customFormat="1">
      <c r="A333" s="1399"/>
      <c r="B333" s="1429"/>
      <c r="C333" s="1430"/>
      <c r="D333" s="1400"/>
      <c r="E333" s="1401"/>
      <c r="F333" s="1401"/>
      <c r="G333" s="1402"/>
      <c r="H333" s="1403"/>
      <c r="I333" s="1404"/>
      <c r="J333" s="1405"/>
      <c r="K333" s="1405"/>
      <c r="L333" s="1406"/>
      <c r="M333" s="1406"/>
      <c r="N333" s="1406"/>
      <c r="O333" s="1406"/>
      <c r="P333" s="1406"/>
      <c r="Q333" s="1406"/>
      <c r="R333" s="1406"/>
      <c r="S333" s="1406"/>
      <c r="T333" s="1406"/>
      <c r="U333" s="1406"/>
      <c r="V333" s="1406"/>
      <c r="W333" s="1406"/>
      <c r="X333" s="1406"/>
      <c r="Y333" s="1406"/>
      <c r="Z333" s="1406"/>
      <c r="AA333" s="1406"/>
      <c r="AB333" s="1406"/>
      <c r="AC333" s="1406"/>
      <c r="AD333" s="1406"/>
      <c r="AE333" s="1406"/>
      <c r="AF333" s="1406"/>
      <c r="AG333" s="1406"/>
      <c r="AH333" s="1406"/>
      <c r="AI333" s="1406"/>
      <c r="AJ333" s="1406"/>
      <c r="AK333" s="1406"/>
      <c r="AL333" s="1406"/>
      <c r="AM333" s="1406"/>
      <c r="AN333" s="1406"/>
      <c r="AO333" s="1405"/>
      <c r="AP333" s="1405"/>
      <c r="AQ333" s="1405"/>
      <c r="AR333" s="1405"/>
      <c r="AS333" s="1405"/>
      <c r="AT333" s="1405"/>
      <c r="AU333" s="1405"/>
      <c r="AV333" s="1405"/>
    </row>
    <row r="334" spans="1:48" s="1431" customFormat="1">
      <c r="A334" s="1399"/>
      <c r="B334" s="1429"/>
      <c r="C334" s="1430"/>
      <c r="D334" s="1400"/>
      <c r="E334" s="1401"/>
      <c r="F334" s="1401"/>
      <c r="G334" s="1402"/>
      <c r="H334" s="1403"/>
      <c r="I334" s="1404"/>
      <c r="J334" s="1405"/>
      <c r="K334" s="1405"/>
      <c r="L334" s="1406"/>
      <c r="M334" s="1406"/>
      <c r="N334" s="1406"/>
      <c r="O334" s="1406"/>
      <c r="P334" s="1406"/>
      <c r="Q334" s="1406"/>
      <c r="R334" s="1406"/>
      <c r="S334" s="1406"/>
      <c r="T334" s="1406"/>
      <c r="U334" s="1406"/>
      <c r="V334" s="1406"/>
      <c r="W334" s="1406"/>
      <c r="X334" s="1406"/>
      <c r="Y334" s="1406"/>
      <c r="Z334" s="1406"/>
      <c r="AA334" s="1406"/>
      <c r="AB334" s="1406"/>
      <c r="AC334" s="1406"/>
      <c r="AD334" s="1406"/>
      <c r="AE334" s="1406"/>
      <c r="AF334" s="1406"/>
      <c r="AG334" s="1406"/>
      <c r="AH334" s="1406"/>
      <c r="AI334" s="1406"/>
      <c r="AJ334" s="1406"/>
      <c r="AK334" s="1406"/>
      <c r="AL334" s="1406"/>
      <c r="AM334" s="1406"/>
      <c r="AN334" s="1406"/>
      <c r="AO334" s="1405"/>
      <c r="AP334" s="1405"/>
      <c r="AQ334" s="1405"/>
      <c r="AR334" s="1405"/>
      <c r="AS334" s="1405"/>
      <c r="AT334" s="1405"/>
      <c r="AU334" s="1405"/>
      <c r="AV334" s="1405"/>
    </row>
    <row r="335" spans="1:48" s="1431" customFormat="1">
      <c r="A335" s="1399"/>
      <c r="B335" s="1429"/>
      <c r="C335" s="1430"/>
      <c r="D335" s="1400"/>
      <c r="E335" s="1401"/>
      <c r="F335" s="1401"/>
      <c r="G335" s="1402"/>
      <c r="H335" s="1403"/>
      <c r="I335" s="1404"/>
      <c r="J335" s="1405"/>
      <c r="K335" s="1405"/>
      <c r="L335" s="1406"/>
      <c r="M335" s="1406"/>
      <c r="N335" s="1406"/>
      <c r="O335" s="1406"/>
      <c r="P335" s="1406"/>
      <c r="Q335" s="1406"/>
      <c r="R335" s="1406"/>
      <c r="S335" s="1406"/>
      <c r="T335" s="1406"/>
      <c r="U335" s="1406"/>
      <c r="V335" s="1406"/>
      <c r="W335" s="1406"/>
      <c r="X335" s="1406"/>
      <c r="Y335" s="1406"/>
      <c r="Z335" s="1406"/>
      <c r="AA335" s="1406"/>
      <c r="AB335" s="1406"/>
      <c r="AC335" s="1406"/>
      <c r="AD335" s="1406"/>
      <c r="AE335" s="1406"/>
      <c r="AF335" s="1406"/>
      <c r="AG335" s="1406"/>
      <c r="AH335" s="1406"/>
      <c r="AI335" s="1406"/>
      <c r="AJ335" s="1406"/>
      <c r="AK335" s="1406"/>
      <c r="AL335" s="1406"/>
      <c r="AM335" s="1406"/>
      <c r="AN335" s="1406"/>
      <c r="AO335" s="1405"/>
      <c r="AP335" s="1405"/>
      <c r="AQ335" s="1405"/>
      <c r="AR335" s="1405"/>
      <c r="AS335" s="1405"/>
      <c r="AT335" s="1405"/>
      <c r="AU335" s="1405"/>
      <c r="AV335" s="1405"/>
    </row>
    <row r="336" spans="1:48" s="1431" customFormat="1">
      <c r="A336" s="1399"/>
      <c r="B336" s="1429"/>
      <c r="C336" s="1430"/>
      <c r="D336" s="1400"/>
      <c r="E336" s="1401"/>
      <c r="F336" s="1401"/>
      <c r="G336" s="1402"/>
      <c r="H336" s="1403"/>
      <c r="I336" s="1404"/>
      <c r="J336" s="1405"/>
      <c r="K336" s="1405"/>
      <c r="L336" s="1406"/>
      <c r="M336" s="1406"/>
      <c r="N336" s="1406"/>
      <c r="O336" s="1406"/>
      <c r="P336" s="1406"/>
      <c r="Q336" s="1406"/>
      <c r="R336" s="1406"/>
      <c r="S336" s="1406"/>
      <c r="T336" s="1406"/>
      <c r="U336" s="1406"/>
      <c r="V336" s="1406"/>
      <c r="W336" s="1406"/>
      <c r="X336" s="1406"/>
      <c r="Y336" s="1406"/>
      <c r="Z336" s="1406"/>
      <c r="AA336" s="1406"/>
      <c r="AB336" s="1406"/>
      <c r="AC336" s="1406"/>
      <c r="AD336" s="1406"/>
      <c r="AE336" s="1406"/>
      <c r="AF336" s="1406"/>
      <c r="AG336" s="1406"/>
      <c r="AH336" s="1406"/>
      <c r="AI336" s="1406"/>
      <c r="AJ336" s="1406"/>
      <c r="AK336" s="1406"/>
      <c r="AL336" s="1406"/>
      <c r="AM336" s="1406"/>
      <c r="AN336" s="1406"/>
      <c r="AO336" s="1405"/>
      <c r="AP336" s="1405"/>
      <c r="AQ336" s="1405"/>
      <c r="AR336" s="1405"/>
      <c r="AS336" s="1405"/>
      <c r="AT336" s="1405"/>
      <c r="AU336" s="1405"/>
      <c r="AV336" s="1405"/>
    </row>
    <row r="337" spans="1:48" s="1431" customFormat="1">
      <c r="A337" s="1399"/>
      <c r="B337" s="1429"/>
      <c r="C337" s="1430"/>
      <c r="D337" s="1400"/>
      <c r="E337" s="1401"/>
      <c r="F337" s="1401"/>
      <c r="G337" s="1402"/>
      <c r="H337" s="1403"/>
      <c r="I337" s="1404"/>
      <c r="J337" s="1405"/>
      <c r="K337" s="1405"/>
      <c r="L337" s="1406"/>
      <c r="M337" s="1406"/>
      <c r="N337" s="1406"/>
      <c r="O337" s="1406"/>
      <c r="P337" s="1406"/>
      <c r="Q337" s="1406"/>
      <c r="R337" s="1406"/>
      <c r="S337" s="1406"/>
      <c r="T337" s="1406"/>
      <c r="U337" s="1406"/>
      <c r="V337" s="1406"/>
      <c r="W337" s="1406"/>
      <c r="X337" s="1406"/>
      <c r="Y337" s="1406"/>
      <c r="Z337" s="1406"/>
      <c r="AA337" s="1406"/>
      <c r="AB337" s="1406"/>
      <c r="AC337" s="1406"/>
      <c r="AD337" s="1406"/>
      <c r="AE337" s="1406"/>
      <c r="AF337" s="1406"/>
      <c r="AG337" s="1406"/>
      <c r="AH337" s="1406"/>
      <c r="AI337" s="1406"/>
      <c r="AJ337" s="1406"/>
      <c r="AK337" s="1406"/>
      <c r="AL337" s="1406"/>
      <c r="AM337" s="1406"/>
      <c r="AN337" s="1406"/>
      <c r="AO337" s="1405"/>
      <c r="AP337" s="1405"/>
      <c r="AQ337" s="1405"/>
      <c r="AR337" s="1405"/>
      <c r="AS337" s="1405"/>
      <c r="AT337" s="1405"/>
      <c r="AU337" s="1405"/>
      <c r="AV337" s="1405"/>
    </row>
    <row r="338" spans="1:48" s="1431" customFormat="1">
      <c r="A338" s="1399"/>
      <c r="B338" s="1429"/>
      <c r="C338" s="1430"/>
      <c r="D338" s="1400"/>
      <c r="E338" s="1401"/>
      <c r="F338" s="1401"/>
      <c r="G338" s="1402"/>
      <c r="H338" s="1403"/>
      <c r="I338" s="1404"/>
      <c r="J338" s="1405"/>
      <c r="K338" s="1405"/>
      <c r="L338" s="1406"/>
      <c r="M338" s="1406"/>
      <c r="N338" s="1406"/>
      <c r="O338" s="1406"/>
      <c r="P338" s="1406"/>
      <c r="Q338" s="1406"/>
      <c r="R338" s="1406"/>
      <c r="S338" s="1406"/>
      <c r="T338" s="1406"/>
      <c r="U338" s="1406"/>
      <c r="V338" s="1406"/>
      <c r="W338" s="1406"/>
      <c r="X338" s="1406"/>
      <c r="Y338" s="1406"/>
      <c r="Z338" s="1406"/>
      <c r="AA338" s="1406"/>
      <c r="AB338" s="1406"/>
      <c r="AC338" s="1406"/>
      <c r="AD338" s="1406"/>
      <c r="AE338" s="1406"/>
      <c r="AF338" s="1406"/>
      <c r="AG338" s="1406"/>
      <c r="AH338" s="1406"/>
      <c r="AI338" s="1406"/>
      <c r="AJ338" s="1406"/>
      <c r="AK338" s="1406"/>
      <c r="AL338" s="1406"/>
      <c r="AM338" s="1406"/>
      <c r="AN338" s="1406"/>
      <c r="AO338" s="1405"/>
      <c r="AP338" s="1405"/>
      <c r="AQ338" s="1405"/>
      <c r="AR338" s="1405"/>
      <c r="AS338" s="1405"/>
      <c r="AT338" s="1405"/>
      <c r="AU338" s="1405"/>
      <c r="AV338" s="1405"/>
    </row>
    <row r="339" spans="1:48" s="1431" customFormat="1">
      <c r="A339" s="1399"/>
      <c r="B339" s="1429"/>
      <c r="C339" s="1430"/>
      <c r="D339" s="1400"/>
      <c r="E339" s="1401"/>
      <c r="F339" s="1401"/>
      <c r="G339" s="1402"/>
      <c r="H339" s="1403"/>
      <c r="I339" s="1404"/>
      <c r="J339" s="1405"/>
      <c r="K339" s="1405"/>
      <c r="L339" s="1406"/>
      <c r="M339" s="1406"/>
      <c r="N339" s="1406"/>
      <c r="O339" s="1406"/>
      <c r="P339" s="1406"/>
      <c r="Q339" s="1406"/>
      <c r="R339" s="1406"/>
      <c r="S339" s="1406"/>
      <c r="T339" s="1406"/>
      <c r="U339" s="1406"/>
      <c r="V339" s="1406"/>
      <c r="W339" s="1406"/>
      <c r="X339" s="1406"/>
      <c r="Y339" s="1406"/>
      <c r="Z339" s="1406"/>
      <c r="AA339" s="1406"/>
      <c r="AB339" s="1406"/>
      <c r="AC339" s="1406"/>
      <c r="AD339" s="1406"/>
      <c r="AE339" s="1406"/>
      <c r="AF339" s="1406"/>
      <c r="AG339" s="1406"/>
      <c r="AH339" s="1406"/>
      <c r="AI339" s="1406"/>
      <c r="AJ339" s="1406"/>
      <c r="AK339" s="1406"/>
      <c r="AL339" s="1406"/>
      <c r="AM339" s="1406"/>
      <c r="AN339" s="1406"/>
      <c r="AO339" s="1405"/>
      <c r="AP339" s="1405"/>
      <c r="AQ339" s="1405"/>
      <c r="AR339" s="1405"/>
      <c r="AS339" s="1405"/>
      <c r="AT339" s="1405"/>
      <c r="AU339" s="1405"/>
      <c r="AV339" s="1405"/>
    </row>
    <row r="340" spans="1:48" s="1431" customFormat="1">
      <c r="A340" s="1399"/>
      <c r="B340" s="1429"/>
      <c r="C340" s="1430"/>
      <c r="D340" s="1400"/>
      <c r="E340" s="1401"/>
      <c r="F340" s="1401"/>
      <c r="G340" s="1402"/>
      <c r="H340" s="1403"/>
      <c r="I340" s="1404"/>
      <c r="J340" s="1405"/>
      <c r="K340" s="1405"/>
      <c r="L340" s="1406"/>
      <c r="M340" s="1406"/>
      <c r="N340" s="1406"/>
      <c r="O340" s="1406"/>
      <c r="P340" s="1406"/>
      <c r="Q340" s="1406"/>
      <c r="R340" s="1406"/>
      <c r="S340" s="1406"/>
      <c r="T340" s="1406"/>
      <c r="U340" s="1406"/>
      <c r="V340" s="1406"/>
      <c r="W340" s="1406"/>
      <c r="X340" s="1406"/>
      <c r="Y340" s="1406"/>
      <c r="Z340" s="1406"/>
      <c r="AA340" s="1406"/>
      <c r="AB340" s="1406"/>
      <c r="AC340" s="1406"/>
      <c r="AD340" s="1406"/>
      <c r="AE340" s="1406"/>
      <c r="AF340" s="1406"/>
      <c r="AG340" s="1406"/>
      <c r="AH340" s="1406"/>
      <c r="AI340" s="1406"/>
      <c r="AJ340" s="1406"/>
      <c r="AK340" s="1406"/>
      <c r="AL340" s="1406"/>
      <c r="AM340" s="1406"/>
      <c r="AN340" s="1406"/>
      <c r="AO340" s="1405"/>
      <c r="AP340" s="1405"/>
      <c r="AQ340" s="1405"/>
      <c r="AR340" s="1405"/>
      <c r="AS340" s="1405"/>
      <c r="AT340" s="1405"/>
      <c r="AU340" s="1405"/>
      <c r="AV340" s="1405"/>
    </row>
    <row r="341" spans="1:48" s="1431" customFormat="1">
      <c r="A341" s="1399"/>
      <c r="B341" s="1429"/>
      <c r="C341" s="1430"/>
      <c r="D341" s="1400"/>
      <c r="E341" s="1401"/>
      <c r="F341" s="1401"/>
      <c r="G341" s="1402"/>
      <c r="H341" s="1403"/>
      <c r="I341" s="1404"/>
      <c r="J341" s="1405"/>
      <c r="K341" s="1405"/>
      <c r="L341" s="1406"/>
      <c r="M341" s="1406"/>
      <c r="N341" s="1406"/>
      <c r="O341" s="1406"/>
      <c r="P341" s="1406"/>
      <c r="Q341" s="1406"/>
      <c r="R341" s="1406"/>
      <c r="S341" s="1406"/>
      <c r="T341" s="1406"/>
      <c r="U341" s="1406"/>
      <c r="V341" s="1406"/>
      <c r="W341" s="1406"/>
      <c r="X341" s="1406"/>
      <c r="Y341" s="1406"/>
      <c r="Z341" s="1406"/>
      <c r="AA341" s="1406"/>
      <c r="AB341" s="1406"/>
      <c r="AC341" s="1406"/>
      <c r="AD341" s="1406"/>
      <c r="AE341" s="1406"/>
      <c r="AF341" s="1406"/>
      <c r="AG341" s="1406"/>
      <c r="AH341" s="1406"/>
      <c r="AI341" s="1406"/>
      <c r="AJ341" s="1406"/>
      <c r="AK341" s="1406"/>
      <c r="AL341" s="1406"/>
      <c r="AM341" s="1406"/>
      <c r="AN341" s="1406"/>
      <c r="AO341" s="1405"/>
      <c r="AP341" s="1405"/>
      <c r="AQ341" s="1405"/>
      <c r="AR341" s="1405"/>
      <c r="AS341" s="1405"/>
      <c r="AT341" s="1405"/>
      <c r="AU341" s="1405"/>
      <c r="AV341" s="1405"/>
    </row>
    <row r="342" spans="1:48" s="1431" customFormat="1">
      <c r="A342" s="1399"/>
      <c r="B342" s="1429"/>
      <c r="C342" s="1430"/>
      <c r="D342" s="1400"/>
      <c r="E342" s="1401"/>
      <c r="F342" s="1401"/>
      <c r="G342" s="1402"/>
      <c r="H342" s="1403"/>
      <c r="I342" s="1404"/>
      <c r="J342" s="1405"/>
      <c r="K342" s="1405"/>
      <c r="L342" s="1406"/>
      <c r="M342" s="1406"/>
      <c r="N342" s="1406"/>
      <c r="O342" s="1406"/>
      <c r="P342" s="1406"/>
      <c r="Q342" s="1406"/>
      <c r="R342" s="1406"/>
      <c r="S342" s="1406"/>
      <c r="T342" s="1406"/>
      <c r="U342" s="1406"/>
      <c r="V342" s="1406"/>
      <c r="W342" s="1406"/>
      <c r="X342" s="1406"/>
      <c r="Y342" s="1406"/>
      <c r="Z342" s="1406"/>
      <c r="AA342" s="1406"/>
      <c r="AB342" s="1406"/>
      <c r="AC342" s="1406"/>
      <c r="AD342" s="1406"/>
      <c r="AE342" s="1406"/>
      <c r="AF342" s="1406"/>
      <c r="AG342" s="1406"/>
      <c r="AH342" s="1406"/>
      <c r="AI342" s="1406"/>
      <c r="AJ342" s="1406"/>
      <c r="AK342" s="1406"/>
      <c r="AL342" s="1406"/>
      <c r="AM342" s="1406"/>
      <c r="AN342" s="1406"/>
      <c r="AO342" s="1405"/>
      <c r="AP342" s="1405"/>
      <c r="AQ342" s="1405"/>
      <c r="AR342" s="1405"/>
      <c r="AS342" s="1405"/>
      <c r="AT342" s="1405"/>
      <c r="AU342" s="1405"/>
      <c r="AV342" s="1405"/>
    </row>
    <row r="343" spans="1:48" s="1431" customFormat="1">
      <c r="A343" s="1399"/>
      <c r="B343" s="1429"/>
      <c r="C343" s="1430"/>
      <c r="D343" s="1400"/>
      <c r="E343" s="1401"/>
      <c r="F343" s="1401"/>
      <c r="G343" s="1402"/>
      <c r="H343" s="1403"/>
      <c r="I343" s="1404"/>
      <c r="J343" s="1405"/>
      <c r="K343" s="1405"/>
      <c r="L343" s="1406"/>
      <c r="M343" s="1406"/>
      <c r="N343" s="1406"/>
      <c r="O343" s="1406"/>
      <c r="P343" s="1406"/>
      <c r="Q343" s="1406"/>
      <c r="R343" s="1406"/>
      <c r="S343" s="1406"/>
      <c r="T343" s="1406"/>
      <c r="U343" s="1406"/>
      <c r="V343" s="1406"/>
      <c r="W343" s="1406"/>
      <c r="X343" s="1406"/>
      <c r="Y343" s="1406"/>
      <c r="Z343" s="1406"/>
      <c r="AA343" s="1406"/>
      <c r="AB343" s="1406"/>
      <c r="AC343" s="1406"/>
      <c r="AD343" s="1406"/>
      <c r="AE343" s="1406"/>
      <c r="AF343" s="1406"/>
      <c r="AG343" s="1406"/>
      <c r="AH343" s="1406"/>
      <c r="AI343" s="1406"/>
      <c r="AJ343" s="1406"/>
      <c r="AK343" s="1406"/>
      <c r="AL343" s="1406"/>
      <c r="AM343" s="1406"/>
      <c r="AN343" s="1406"/>
      <c r="AO343" s="1405"/>
      <c r="AP343" s="1405"/>
      <c r="AQ343" s="1405"/>
      <c r="AR343" s="1405"/>
      <c r="AS343" s="1405"/>
      <c r="AT343" s="1405"/>
      <c r="AU343" s="1405"/>
      <c r="AV343" s="1405"/>
    </row>
    <row r="344" spans="1:48" s="1431" customFormat="1">
      <c r="A344" s="1399"/>
      <c r="B344" s="1429"/>
      <c r="C344" s="1430"/>
      <c r="D344" s="1400"/>
      <c r="E344" s="1401"/>
      <c r="F344" s="1401"/>
      <c r="G344" s="1402"/>
      <c r="H344" s="1403"/>
      <c r="I344" s="1404"/>
      <c r="J344" s="1405"/>
      <c r="K344" s="1405"/>
      <c r="L344" s="1406"/>
      <c r="M344" s="1406"/>
      <c r="N344" s="1406"/>
      <c r="O344" s="1406"/>
      <c r="P344" s="1406"/>
      <c r="Q344" s="1406"/>
      <c r="R344" s="1406"/>
      <c r="S344" s="1406"/>
      <c r="T344" s="1406"/>
      <c r="U344" s="1406"/>
      <c r="V344" s="1406"/>
      <c r="W344" s="1406"/>
      <c r="X344" s="1406"/>
      <c r="Y344" s="1406"/>
      <c r="Z344" s="1406"/>
      <c r="AA344" s="1406"/>
      <c r="AB344" s="1406"/>
      <c r="AC344" s="1406"/>
      <c r="AD344" s="1406"/>
      <c r="AE344" s="1406"/>
      <c r="AF344" s="1406"/>
      <c r="AG344" s="1406"/>
      <c r="AH344" s="1406"/>
      <c r="AI344" s="1406"/>
      <c r="AJ344" s="1406"/>
      <c r="AK344" s="1406"/>
      <c r="AL344" s="1406"/>
      <c r="AM344" s="1406"/>
      <c r="AN344" s="1406"/>
      <c r="AO344" s="1405"/>
      <c r="AP344" s="1405"/>
      <c r="AQ344" s="1405"/>
      <c r="AR344" s="1405"/>
      <c r="AS344" s="1405"/>
      <c r="AT344" s="1405"/>
      <c r="AU344" s="1405"/>
      <c r="AV344" s="1405"/>
    </row>
    <row r="345" spans="1:48" s="1431" customFormat="1">
      <c r="A345" s="1399"/>
      <c r="B345" s="1429"/>
      <c r="C345" s="1430"/>
      <c r="D345" s="1400"/>
      <c r="E345" s="1401"/>
      <c r="F345" s="1401"/>
      <c r="G345" s="1402"/>
      <c r="H345" s="1403"/>
      <c r="I345" s="1404"/>
      <c r="J345" s="1405"/>
      <c r="K345" s="1405"/>
      <c r="L345" s="1406"/>
      <c r="M345" s="1406"/>
      <c r="N345" s="1406"/>
      <c r="O345" s="1406"/>
      <c r="P345" s="1406"/>
      <c r="Q345" s="1406"/>
      <c r="R345" s="1406"/>
      <c r="S345" s="1406"/>
      <c r="T345" s="1406"/>
      <c r="U345" s="1406"/>
      <c r="V345" s="1406"/>
      <c r="W345" s="1406"/>
      <c r="X345" s="1406"/>
      <c r="Y345" s="1406"/>
      <c r="Z345" s="1406"/>
      <c r="AA345" s="1406"/>
      <c r="AB345" s="1406"/>
      <c r="AC345" s="1406"/>
      <c r="AD345" s="1406"/>
      <c r="AE345" s="1406"/>
      <c r="AF345" s="1406"/>
      <c r="AG345" s="1406"/>
      <c r="AH345" s="1406"/>
      <c r="AI345" s="1406"/>
      <c r="AJ345" s="1406"/>
      <c r="AK345" s="1406"/>
      <c r="AL345" s="1406"/>
      <c r="AM345" s="1406"/>
      <c r="AN345" s="1406"/>
      <c r="AO345" s="1405"/>
      <c r="AP345" s="1405"/>
      <c r="AQ345" s="1405"/>
      <c r="AR345" s="1405"/>
      <c r="AS345" s="1405"/>
      <c r="AT345" s="1405"/>
      <c r="AU345" s="1405"/>
      <c r="AV345" s="1405"/>
    </row>
    <row r="346" spans="1:48" s="1431" customFormat="1">
      <c r="A346" s="1399"/>
      <c r="B346" s="1429"/>
      <c r="C346" s="1430"/>
      <c r="D346" s="1400"/>
      <c r="E346" s="1401"/>
      <c r="F346" s="1401"/>
      <c r="G346" s="1402"/>
      <c r="H346" s="1403"/>
      <c r="I346" s="1404"/>
      <c r="J346" s="1405"/>
      <c r="K346" s="1405"/>
      <c r="L346" s="1406"/>
      <c r="M346" s="1406"/>
      <c r="N346" s="1406"/>
      <c r="O346" s="1406"/>
      <c r="P346" s="1406"/>
      <c r="Q346" s="1406"/>
      <c r="R346" s="1406"/>
      <c r="S346" s="1406"/>
      <c r="T346" s="1406"/>
      <c r="U346" s="1406"/>
      <c r="V346" s="1406"/>
      <c r="W346" s="1406"/>
      <c r="X346" s="1406"/>
      <c r="Y346" s="1406"/>
      <c r="Z346" s="1406"/>
      <c r="AA346" s="1406"/>
      <c r="AB346" s="1406"/>
      <c r="AC346" s="1406"/>
      <c r="AD346" s="1406"/>
      <c r="AE346" s="1406"/>
      <c r="AF346" s="1406"/>
      <c r="AG346" s="1406"/>
      <c r="AH346" s="1406"/>
      <c r="AI346" s="1406"/>
      <c r="AJ346" s="1406"/>
      <c r="AK346" s="1406"/>
      <c r="AL346" s="1406"/>
      <c r="AM346" s="1406"/>
      <c r="AN346" s="1406"/>
      <c r="AO346" s="1405"/>
      <c r="AP346" s="1405"/>
      <c r="AQ346" s="1405"/>
      <c r="AR346" s="1405"/>
      <c r="AS346" s="1405"/>
      <c r="AT346" s="1405"/>
      <c r="AU346" s="1405"/>
      <c r="AV346" s="1405"/>
    </row>
    <row r="347" spans="1:48" s="1431" customFormat="1">
      <c r="A347" s="1399"/>
      <c r="B347" s="1429"/>
      <c r="C347" s="1430"/>
      <c r="D347" s="1400"/>
      <c r="E347" s="1401"/>
      <c r="F347" s="1401"/>
      <c r="G347" s="1402"/>
      <c r="H347" s="1403"/>
      <c r="I347" s="1404"/>
      <c r="J347" s="1405"/>
      <c r="K347" s="1405"/>
      <c r="L347" s="1406"/>
      <c r="M347" s="1406"/>
      <c r="N347" s="1406"/>
      <c r="O347" s="1406"/>
      <c r="P347" s="1406"/>
      <c r="Q347" s="1406"/>
      <c r="R347" s="1406"/>
      <c r="S347" s="1406"/>
      <c r="T347" s="1406"/>
      <c r="U347" s="1406"/>
      <c r="V347" s="1406"/>
      <c r="W347" s="1406"/>
      <c r="X347" s="1406"/>
      <c r="Y347" s="1406"/>
      <c r="Z347" s="1406"/>
      <c r="AA347" s="1406"/>
      <c r="AB347" s="1406"/>
      <c r="AC347" s="1406"/>
      <c r="AD347" s="1406"/>
      <c r="AE347" s="1406"/>
      <c r="AF347" s="1406"/>
      <c r="AG347" s="1406"/>
      <c r="AH347" s="1406"/>
      <c r="AI347" s="1406"/>
      <c r="AJ347" s="1406"/>
      <c r="AK347" s="1406"/>
      <c r="AL347" s="1406"/>
      <c r="AM347" s="1406"/>
      <c r="AN347" s="1406"/>
      <c r="AO347" s="1405"/>
      <c r="AP347" s="1405"/>
      <c r="AQ347" s="1405"/>
      <c r="AR347" s="1405"/>
      <c r="AS347" s="1405"/>
      <c r="AT347" s="1405"/>
      <c r="AU347" s="1405"/>
      <c r="AV347" s="1405"/>
    </row>
    <row r="348" spans="1:48" s="1431" customFormat="1">
      <c r="A348" s="1399"/>
      <c r="B348" s="1429"/>
      <c r="C348" s="1430"/>
      <c r="D348" s="1400"/>
      <c r="E348" s="1401"/>
      <c r="F348" s="1401"/>
      <c r="G348" s="1402"/>
      <c r="H348" s="1403"/>
      <c r="I348" s="1404"/>
      <c r="J348" s="1405"/>
      <c r="K348" s="1405"/>
      <c r="L348" s="1406"/>
      <c r="M348" s="1406"/>
      <c r="N348" s="1406"/>
      <c r="O348" s="1406"/>
      <c r="P348" s="1406"/>
      <c r="Q348" s="1406"/>
      <c r="R348" s="1406"/>
      <c r="S348" s="1406"/>
      <c r="T348" s="1406"/>
      <c r="U348" s="1406"/>
      <c r="V348" s="1406"/>
      <c r="W348" s="1406"/>
      <c r="X348" s="1406"/>
      <c r="Y348" s="1406"/>
      <c r="Z348" s="1406"/>
      <c r="AA348" s="1406"/>
      <c r="AB348" s="1406"/>
      <c r="AC348" s="1406"/>
      <c r="AD348" s="1406"/>
      <c r="AE348" s="1406"/>
      <c r="AF348" s="1406"/>
      <c r="AG348" s="1406"/>
      <c r="AH348" s="1406"/>
      <c r="AI348" s="1406"/>
      <c r="AJ348" s="1406"/>
      <c r="AK348" s="1406"/>
      <c r="AL348" s="1406"/>
      <c r="AM348" s="1406"/>
      <c r="AN348" s="1406"/>
      <c r="AO348" s="1405"/>
      <c r="AP348" s="1405"/>
      <c r="AQ348" s="1405"/>
      <c r="AR348" s="1405"/>
      <c r="AS348" s="1405"/>
      <c r="AT348" s="1405"/>
      <c r="AU348" s="1405"/>
      <c r="AV348" s="1405"/>
    </row>
    <row r="349" spans="1:48" s="1431" customFormat="1">
      <c r="A349" s="1399"/>
      <c r="B349" s="1429"/>
      <c r="C349" s="1430"/>
      <c r="D349" s="1400"/>
      <c r="E349" s="1401"/>
      <c r="F349" s="1401"/>
      <c r="G349" s="1402"/>
      <c r="H349" s="1403"/>
      <c r="I349" s="1404"/>
      <c r="J349" s="1405"/>
      <c r="K349" s="1405"/>
      <c r="L349" s="1406"/>
      <c r="M349" s="1406"/>
      <c r="N349" s="1406"/>
      <c r="O349" s="1406"/>
      <c r="P349" s="1406"/>
      <c r="Q349" s="1406"/>
      <c r="R349" s="1406"/>
      <c r="S349" s="1406"/>
      <c r="T349" s="1406"/>
      <c r="U349" s="1406"/>
      <c r="V349" s="1406"/>
      <c r="W349" s="1406"/>
      <c r="X349" s="1406"/>
      <c r="Y349" s="1406"/>
      <c r="Z349" s="1406"/>
      <c r="AA349" s="1406"/>
      <c r="AB349" s="1406"/>
      <c r="AC349" s="1406"/>
      <c r="AD349" s="1406"/>
      <c r="AE349" s="1406"/>
      <c r="AF349" s="1406"/>
      <c r="AG349" s="1406"/>
      <c r="AH349" s="1406"/>
      <c r="AI349" s="1406"/>
      <c r="AJ349" s="1406"/>
      <c r="AK349" s="1406"/>
      <c r="AL349" s="1406"/>
      <c r="AM349" s="1406"/>
      <c r="AN349" s="1406"/>
      <c r="AO349" s="1405"/>
      <c r="AP349" s="1405"/>
      <c r="AQ349" s="1405"/>
      <c r="AR349" s="1405"/>
      <c r="AS349" s="1405"/>
      <c r="AT349" s="1405"/>
      <c r="AU349" s="1405"/>
      <c r="AV349" s="1405"/>
    </row>
    <row r="350" spans="1:48" s="1431" customFormat="1">
      <c r="A350" s="1399"/>
      <c r="B350" s="1429"/>
      <c r="C350" s="1430"/>
      <c r="D350" s="1400"/>
      <c r="E350" s="1401"/>
      <c r="F350" s="1401"/>
      <c r="G350" s="1402"/>
      <c r="H350" s="1403"/>
      <c r="I350" s="1404"/>
      <c r="J350" s="1405"/>
      <c r="K350" s="1405"/>
      <c r="L350" s="1406"/>
      <c r="M350" s="1406"/>
      <c r="N350" s="1406"/>
      <c r="O350" s="1406"/>
      <c r="P350" s="1406"/>
      <c r="Q350" s="1406"/>
      <c r="R350" s="1406"/>
      <c r="S350" s="1406"/>
      <c r="T350" s="1406"/>
      <c r="U350" s="1406"/>
      <c r="V350" s="1406"/>
      <c r="W350" s="1406"/>
      <c r="X350" s="1406"/>
      <c r="Y350" s="1406"/>
      <c r="Z350" s="1406"/>
      <c r="AA350" s="1406"/>
      <c r="AB350" s="1406"/>
      <c r="AC350" s="1406"/>
      <c r="AD350" s="1406"/>
      <c r="AE350" s="1406"/>
      <c r="AF350" s="1406"/>
      <c r="AG350" s="1406"/>
      <c r="AH350" s="1406"/>
      <c r="AI350" s="1406"/>
      <c r="AJ350" s="1406"/>
      <c r="AK350" s="1406"/>
      <c r="AL350" s="1406"/>
      <c r="AM350" s="1406"/>
      <c r="AN350" s="1406"/>
      <c r="AO350" s="1405"/>
      <c r="AP350" s="1405"/>
      <c r="AQ350" s="1405"/>
      <c r="AR350" s="1405"/>
      <c r="AS350" s="1405"/>
      <c r="AT350" s="1405"/>
      <c r="AU350" s="1405"/>
      <c r="AV350" s="1405"/>
    </row>
    <row r="351" spans="1:48" s="1431" customFormat="1">
      <c r="A351" s="1399"/>
      <c r="B351" s="1429"/>
      <c r="C351" s="1430"/>
      <c r="D351" s="1400"/>
      <c r="E351" s="1401"/>
      <c r="F351" s="1401"/>
      <c r="G351" s="1402"/>
      <c r="H351" s="1403"/>
      <c r="I351" s="1404"/>
      <c r="J351" s="1405"/>
      <c r="K351" s="1405"/>
      <c r="L351" s="1406"/>
      <c r="M351" s="1406"/>
      <c r="N351" s="1406"/>
      <c r="O351" s="1406"/>
      <c r="P351" s="1406"/>
      <c r="Q351" s="1406"/>
      <c r="R351" s="1406"/>
      <c r="S351" s="1406"/>
      <c r="T351" s="1406"/>
      <c r="U351" s="1406"/>
      <c r="V351" s="1406"/>
      <c r="W351" s="1406"/>
      <c r="X351" s="1406"/>
      <c r="Y351" s="1406"/>
      <c r="Z351" s="1406"/>
      <c r="AA351" s="1406"/>
      <c r="AB351" s="1406"/>
      <c r="AC351" s="1406"/>
      <c r="AD351" s="1406"/>
      <c r="AE351" s="1406"/>
      <c r="AF351" s="1406"/>
      <c r="AG351" s="1406"/>
      <c r="AH351" s="1406"/>
      <c r="AI351" s="1406"/>
      <c r="AJ351" s="1406"/>
      <c r="AK351" s="1406"/>
      <c r="AL351" s="1406"/>
      <c r="AM351" s="1406"/>
      <c r="AN351" s="1406"/>
      <c r="AO351" s="1405"/>
      <c r="AP351" s="1405"/>
      <c r="AQ351" s="1405"/>
      <c r="AR351" s="1405"/>
      <c r="AS351" s="1405"/>
      <c r="AT351" s="1405"/>
      <c r="AU351" s="1405"/>
      <c r="AV351" s="1405"/>
    </row>
    <row r="352" spans="1:48" s="1431" customFormat="1">
      <c r="A352" s="1399"/>
      <c r="B352" s="1429"/>
      <c r="C352" s="1430"/>
      <c r="D352" s="1400"/>
      <c r="E352" s="1401"/>
      <c r="F352" s="1401"/>
      <c r="G352" s="1402"/>
      <c r="H352" s="1403"/>
      <c r="I352" s="1404"/>
      <c r="J352" s="1405"/>
      <c r="K352" s="1405"/>
      <c r="L352" s="1406"/>
      <c r="M352" s="1406"/>
      <c r="N352" s="1406"/>
      <c r="O352" s="1406"/>
      <c r="P352" s="1406"/>
      <c r="Q352" s="1406"/>
      <c r="R352" s="1406"/>
      <c r="S352" s="1406"/>
      <c r="T352" s="1406"/>
      <c r="U352" s="1406"/>
      <c r="V352" s="1406"/>
      <c r="W352" s="1406"/>
      <c r="X352" s="1406"/>
      <c r="Y352" s="1406"/>
      <c r="Z352" s="1406"/>
      <c r="AA352" s="1406"/>
      <c r="AB352" s="1406"/>
      <c r="AC352" s="1406"/>
      <c r="AD352" s="1406"/>
      <c r="AE352" s="1406"/>
      <c r="AF352" s="1406"/>
      <c r="AG352" s="1406"/>
      <c r="AH352" s="1406"/>
      <c r="AI352" s="1406"/>
      <c r="AJ352" s="1406"/>
      <c r="AK352" s="1406"/>
      <c r="AL352" s="1406"/>
      <c r="AM352" s="1406"/>
      <c r="AN352" s="1406"/>
      <c r="AO352" s="1405"/>
      <c r="AP352" s="1405"/>
      <c r="AQ352" s="1405"/>
      <c r="AR352" s="1405"/>
      <c r="AS352" s="1405"/>
      <c r="AT352" s="1405"/>
      <c r="AU352" s="1405"/>
      <c r="AV352" s="1405"/>
    </row>
    <row r="353" spans="1:48" s="1431" customFormat="1">
      <c r="A353" s="1399"/>
      <c r="B353" s="1429"/>
      <c r="C353" s="1430"/>
      <c r="D353" s="1400"/>
      <c r="E353" s="1401"/>
      <c r="F353" s="1401"/>
      <c r="G353" s="1402"/>
      <c r="H353" s="1403"/>
      <c r="I353" s="1404"/>
      <c r="J353" s="1405"/>
      <c r="K353" s="1405"/>
      <c r="L353" s="1406"/>
      <c r="M353" s="1406"/>
      <c r="N353" s="1406"/>
      <c r="O353" s="1406"/>
      <c r="P353" s="1406"/>
      <c r="Q353" s="1406"/>
      <c r="R353" s="1406"/>
      <c r="S353" s="1406"/>
      <c r="T353" s="1406"/>
      <c r="U353" s="1406"/>
      <c r="V353" s="1406"/>
      <c r="W353" s="1406"/>
      <c r="X353" s="1406"/>
      <c r="Y353" s="1406"/>
      <c r="Z353" s="1406"/>
      <c r="AA353" s="1406"/>
      <c r="AB353" s="1406"/>
      <c r="AC353" s="1406"/>
      <c r="AD353" s="1406"/>
      <c r="AE353" s="1406"/>
      <c r="AF353" s="1406"/>
      <c r="AG353" s="1406"/>
      <c r="AH353" s="1406"/>
      <c r="AI353" s="1406"/>
      <c r="AJ353" s="1406"/>
      <c r="AK353" s="1406"/>
      <c r="AL353" s="1406"/>
      <c r="AM353" s="1406"/>
      <c r="AN353" s="1406"/>
      <c r="AO353" s="1405"/>
      <c r="AP353" s="1405"/>
      <c r="AQ353" s="1405"/>
      <c r="AR353" s="1405"/>
      <c r="AS353" s="1405"/>
      <c r="AT353" s="1405"/>
      <c r="AU353" s="1405"/>
      <c r="AV353" s="1405"/>
    </row>
    <row r="354" spans="1:48" s="1431" customFormat="1">
      <c r="A354" s="1399"/>
      <c r="B354" s="1429"/>
      <c r="C354" s="1430"/>
      <c r="D354" s="1400"/>
      <c r="E354" s="1401"/>
      <c r="F354" s="1401"/>
      <c r="G354" s="1402"/>
      <c r="H354" s="1403"/>
      <c r="I354" s="1404"/>
      <c r="J354" s="1405"/>
      <c r="K354" s="1405"/>
      <c r="L354" s="1406"/>
      <c r="M354" s="1406"/>
      <c r="N354" s="1406"/>
      <c r="O354" s="1406"/>
      <c r="P354" s="1406"/>
      <c r="Q354" s="1406"/>
      <c r="R354" s="1406"/>
      <c r="S354" s="1406"/>
      <c r="T354" s="1406"/>
      <c r="U354" s="1406"/>
      <c r="V354" s="1406"/>
      <c r="W354" s="1406"/>
      <c r="X354" s="1406"/>
      <c r="Y354" s="1406"/>
      <c r="Z354" s="1406"/>
      <c r="AA354" s="1406"/>
      <c r="AB354" s="1406"/>
      <c r="AC354" s="1406"/>
      <c r="AD354" s="1406"/>
      <c r="AE354" s="1406"/>
      <c r="AF354" s="1406"/>
      <c r="AG354" s="1406"/>
      <c r="AH354" s="1406"/>
      <c r="AI354" s="1406"/>
      <c r="AJ354" s="1406"/>
      <c r="AK354" s="1406"/>
      <c r="AL354" s="1406"/>
      <c r="AM354" s="1406"/>
      <c r="AN354" s="1406"/>
      <c r="AO354" s="1405"/>
      <c r="AP354" s="1405"/>
      <c r="AQ354" s="1405"/>
      <c r="AR354" s="1405"/>
      <c r="AS354" s="1405"/>
      <c r="AT354" s="1405"/>
      <c r="AU354" s="1405"/>
      <c r="AV354" s="1405"/>
    </row>
    <row r="355" spans="1:48" s="1431" customFormat="1">
      <c r="A355" s="1399"/>
      <c r="B355" s="1429"/>
      <c r="C355" s="1430"/>
      <c r="D355" s="1400"/>
      <c r="E355" s="1401"/>
      <c r="F355" s="1401"/>
      <c r="G355" s="1402"/>
      <c r="H355" s="1403"/>
      <c r="I355" s="1404"/>
      <c r="J355" s="1405"/>
      <c r="K355" s="1405"/>
      <c r="L355" s="1406"/>
      <c r="M355" s="1406"/>
      <c r="N355" s="1406"/>
      <c r="O355" s="1406"/>
      <c r="P355" s="1406"/>
      <c r="Q355" s="1406"/>
      <c r="R355" s="1406"/>
      <c r="S355" s="1406"/>
      <c r="T355" s="1406"/>
      <c r="U355" s="1406"/>
      <c r="V355" s="1406"/>
      <c r="W355" s="1406"/>
      <c r="X355" s="1406"/>
      <c r="Y355" s="1406"/>
      <c r="Z355" s="1406"/>
      <c r="AA355" s="1406"/>
      <c r="AB355" s="1406"/>
      <c r="AC355" s="1406"/>
      <c r="AD355" s="1406"/>
      <c r="AE355" s="1406"/>
      <c r="AF355" s="1406"/>
      <c r="AG355" s="1406"/>
      <c r="AH355" s="1406"/>
      <c r="AI355" s="1406"/>
      <c r="AJ355" s="1406"/>
      <c r="AK355" s="1406"/>
      <c r="AL355" s="1406"/>
      <c r="AM355" s="1406"/>
      <c r="AN355" s="1406"/>
      <c r="AO355" s="1405"/>
      <c r="AP355" s="1405"/>
      <c r="AQ355" s="1405"/>
      <c r="AR355" s="1405"/>
      <c r="AS355" s="1405"/>
      <c r="AT355" s="1405"/>
      <c r="AU355" s="1405"/>
      <c r="AV355" s="1405"/>
    </row>
    <row r="356" spans="1:48" s="1431" customFormat="1">
      <c r="A356" s="1399"/>
      <c r="B356" s="1429"/>
      <c r="C356" s="1430"/>
      <c r="D356" s="1400"/>
      <c r="E356" s="1401"/>
      <c r="F356" s="1401"/>
      <c r="G356" s="1402"/>
      <c r="H356" s="1403"/>
      <c r="I356" s="1404"/>
      <c r="J356" s="1405"/>
      <c r="K356" s="1405"/>
      <c r="L356" s="1406"/>
      <c r="M356" s="1406"/>
      <c r="N356" s="1406"/>
      <c r="O356" s="1406"/>
      <c r="P356" s="1406"/>
      <c r="Q356" s="1406"/>
      <c r="R356" s="1406"/>
      <c r="S356" s="1406"/>
      <c r="T356" s="1406"/>
      <c r="U356" s="1406"/>
      <c r="V356" s="1406"/>
      <c r="W356" s="1406"/>
      <c r="X356" s="1406"/>
      <c r="Y356" s="1406"/>
      <c r="Z356" s="1406"/>
      <c r="AA356" s="1406"/>
      <c r="AB356" s="1406"/>
      <c r="AC356" s="1406"/>
      <c r="AD356" s="1406"/>
      <c r="AE356" s="1406"/>
      <c r="AF356" s="1406"/>
      <c r="AG356" s="1406"/>
      <c r="AH356" s="1406"/>
      <c r="AI356" s="1406"/>
      <c r="AJ356" s="1406"/>
      <c r="AK356" s="1406"/>
      <c r="AL356" s="1406"/>
      <c r="AM356" s="1406"/>
      <c r="AN356" s="1406"/>
      <c r="AO356" s="1405"/>
      <c r="AP356" s="1405"/>
      <c r="AQ356" s="1405"/>
      <c r="AR356" s="1405"/>
      <c r="AS356" s="1405"/>
      <c r="AT356" s="1405"/>
      <c r="AU356" s="1405"/>
      <c r="AV356" s="1405"/>
    </row>
    <row r="357" spans="1:48" s="1431" customFormat="1">
      <c r="A357" s="1399"/>
      <c r="B357" s="1429"/>
      <c r="C357" s="1430"/>
      <c r="D357" s="1400"/>
      <c r="E357" s="1401"/>
      <c r="F357" s="1401"/>
      <c r="G357" s="1402"/>
      <c r="H357" s="1403"/>
      <c r="I357" s="1404"/>
      <c r="J357" s="1405"/>
      <c r="K357" s="1405"/>
      <c r="L357" s="1406"/>
      <c r="M357" s="1406"/>
      <c r="N357" s="1406"/>
      <c r="O357" s="1406"/>
      <c r="P357" s="1406"/>
      <c r="Q357" s="1406"/>
      <c r="R357" s="1406"/>
      <c r="S357" s="1406"/>
      <c r="T357" s="1406"/>
      <c r="U357" s="1406"/>
      <c r="V357" s="1406"/>
      <c r="W357" s="1406"/>
      <c r="X357" s="1406"/>
      <c r="Y357" s="1406"/>
      <c r="Z357" s="1406"/>
      <c r="AA357" s="1406"/>
      <c r="AB357" s="1406"/>
      <c r="AC357" s="1406"/>
      <c r="AD357" s="1406"/>
      <c r="AE357" s="1406"/>
      <c r="AF357" s="1406"/>
      <c r="AG357" s="1406"/>
      <c r="AH357" s="1406"/>
      <c r="AI357" s="1406"/>
      <c r="AJ357" s="1406"/>
      <c r="AK357" s="1406"/>
      <c r="AL357" s="1406"/>
      <c r="AM357" s="1406"/>
      <c r="AN357" s="1406"/>
      <c r="AO357" s="1405"/>
      <c r="AP357" s="1405"/>
      <c r="AQ357" s="1405"/>
      <c r="AR357" s="1405"/>
      <c r="AS357" s="1405"/>
      <c r="AT357" s="1405"/>
      <c r="AU357" s="1405"/>
      <c r="AV357" s="1405"/>
    </row>
    <row r="358" spans="1:48" s="1431" customFormat="1">
      <c r="A358" s="1399"/>
      <c r="B358" s="1429"/>
      <c r="C358" s="1430"/>
      <c r="D358" s="1400"/>
      <c r="E358" s="1401"/>
      <c r="F358" s="1401"/>
      <c r="G358" s="1402"/>
      <c r="H358" s="1403"/>
      <c r="I358" s="1404"/>
      <c r="J358" s="1405"/>
      <c r="K358" s="1405"/>
      <c r="L358" s="1406"/>
      <c r="M358" s="1406"/>
      <c r="N358" s="1406"/>
      <c r="O358" s="1406"/>
      <c r="P358" s="1406"/>
      <c r="Q358" s="1406"/>
      <c r="R358" s="1406"/>
      <c r="S358" s="1406"/>
      <c r="T358" s="1406"/>
      <c r="U358" s="1406"/>
      <c r="V358" s="1406"/>
      <c r="W358" s="1406"/>
      <c r="X358" s="1406"/>
      <c r="Y358" s="1406"/>
      <c r="Z358" s="1406"/>
      <c r="AA358" s="1406"/>
      <c r="AB358" s="1406"/>
      <c r="AC358" s="1406"/>
      <c r="AD358" s="1406"/>
      <c r="AE358" s="1406"/>
      <c r="AF358" s="1406"/>
      <c r="AG358" s="1406"/>
      <c r="AH358" s="1406"/>
      <c r="AI358" s="1406"/>
      <c r="AJ358" s="1406"/>
      <c r="AK358" s="1406"/>
      <c r="AL358" s="1406"/>
      <c r="AM358" s="1406"/>
      <c r="AN358" s="1406"/>
      <c r="AO358" s="1405"/>
      <c r="AP358" s="1405"/>
      <c r="AQ358" s="1405"/>
      <c r="AR358" s="1405"/>
      <c r="AS358" s="1405"/>
      <c r="AT358" s="1405"/>
      <c r="AU358" s="1405"/>
      <c r="AV358" s="1405"/>
    </row>
    <row r="359" spans="1:48" s="1431" customFormat="1">
      <c r="A359" s="1399"/>
      <c r="B359" s="1429"/>
      <c r="C359" s="1430"/>
      <c r="D359" s="1400"/>
      <c r="E359" s="1401"/>
      <c r="F359" s="1401"/>
      <c r="G359" s="1402"/>
      <c r="H359" s="1403"/>
      <c r="I359" s="1404"/>
      <c r="J359" s="1405"/>
      <c r="K359" s="1405"/>
      <c r="L359" s="1406"/>
      <c r="M359" s="1406"/>
      <c r="N359" s="1406"/>
      <c r="O359" s="1406"/>
      <c r="P359" s="1406"/>
      <c r="Q359" s="1406"/>
      <c r="R359" s="1406"/>
      <c r="S359" s="1406"/>
      <c r="T359" s="1406"/>
      <c r="U359" s="1406"/>
      <c r="V359" s="1406"/>
      <c r="W359" s="1406"/>
      <c r="X359" s="1406"/>
      <c r="Y359" s="1406"/>
      <c r="Z359" s="1406"/>
      <c r="AA359" s="1406"/>
      <c r="AB359" s="1406"/>
      <c r="AC359" s="1406"/>
      <c r="AD359" s="1406"/>
      <c r="AE359" s="1406"/>
      <c r="AF359" s="1406"/>
      <c r="AG359" s="1406"/>
      <c r="AH359" s="1406"/>
      <c r="AI359" s="1406"/>
      <c r="AJ359" s="1406"/>
      <c r="AK359" s="1406"/>
      <c r="AL359" s="1406"/>
      <c r="AM359" s="1406"/>
      <c r="AN359" s="1406"/>
      <c r="AO359" s="1405"/>
      <c r="AP359" s="1405"/>
      <c r="AQ359" s="1405"/>
      <c r="AR359" s="1405"/>
      <c r="AS359" s="1405"/>
      <c r="AT359" s="1405"/>
      <c r="AU359" s="1405"/>
      <c r="AV359" s="1405"/>
    </row>
    <row r="360" spans="1:48" s="1431" customFormat="1">
      <c r="A360" s="1399"/>
      <c r="B360" s="1429"/>
      <c r="C360" s="1430"/>
      <c r="D360" s="1400"/>
      <c r="E360" s="1401"/>
      <c r="F360" s="1401"/>
      <c r="G360" s="1402"/>
      <c r="H360" s="1403"/>
      <c r="I360" s="1404"/>
      <c r="J360" s="1405"/>
      <c r="K360" s="1405"/>
      <c r="L360" s="1406"/>
      <c r="M360" s="1406"/>
      <c r="N360" s="1406"/>
      <c r="O360" s="1406"/>
      <c r="P360" s="1406"/>
      <c r="Q360" s="1406"/>
      <c r="R360" s="1406"/>
      <c r="S360" s="1406"/>
      <c r="T360" s="1406"/>
      <c r="U360" s="1406"/>
      <c r="V360" s="1406"/>
      <c r="W360" s="1406"/>
      <c r="X360" s="1406"/>
      <c r="Y360" s="1406"/>
      <c r="Z360" s="1406"/>
      <c r="AA360" s="1406"/>
      <c r="AB360" s="1406"/>
      <c r="AC360" s="1406"/>
      <c r="AD360" s="1406"/>
      <c r="AE360" s="1406"/>
      <c r="AF360" s="1406"/>
      <c r="AG360" s="1406"/>
      <c r="AH360" s="1406"/>
      <c r="AI360" s="1406"/>
      <c r="AJ360" s="1406"/>
      <c r="AK360" s="1406"/>
      <c r="AL360" s="1406"/>
      <c r="AM360" s="1406"/>
      <c r="AN360" s="1406"/>
      <c r="AO360" s="1405"/>
      <c r="AP360" s="1405"/>
      <c r="AQ360" s="1405"/>
      <c r="AR360" s="1405"/>
      <c r="AS360" s="1405"/>
      <c r="AT360" s="1405"/>
      <c r="AU360" s="1405"/>
      <c r="AV360" s="1405"/>
    </row>
    <row r="361" spans="1:48" s="1431" customFormat="1">
      <c r="A361" s="1399"/>
      <c r="B361" s="1429"/>
      <c r="C361" s="1430"/>
      <c r="D361" s="1400"/>
      <c r="E361" s="1401"/>
      <c r="F361" s="1401"/>
      <c r="G361" s="1402"/>
      <c r="H361" s="1403"/>
      <c r="I361" s="1404"/>
      <c r="J361" s="1405"/>
      <c r="K361" s="1405"/>
      <c r="L361" s="1406"/>
      <c r="M361" s="1406"/>
      <c r="N361" s="1406"/>
      <c r="O361" s="1406"/>
      <c r="P361" s="1406"/>
      <c r="Q361" s="1406"/>
      <c r="R361" s="1406"/>
      <c r="S361" s="1406"/>
      <c r="T361" s="1406"/>
      <c r="U361" s="1406"/>
      <c r="V361" s="1406"/>
      <c r="W361" s="1406"/>
      <c r="X361" s="1406"/>
      <c r="Y361" s="1406"/>
      <c r="Z361" s="1406"/>
      <c r="AA361" s="1406"/>
      <c r="AB361" s="1406"/>
      <c r="AC361" s="1406"/>
      <c r="AD361" s="1406"/>
      <c r="AE361" s="1406"/>
      <c r="AF361" s="1406"/>
      <c r="AG361" s="1406"/>
      <c r="AH361" s="1406"/>
      <c r="AI361" s="1406"/>
      <c r="AJ361" s="1406"/>
      <c r="AK361" s="1406"/>
      <c r="AL361" s="1406"/>
      <c r="AM361" s="1406"/>
      <c r="AN361" s="1406"/>
      <c r="AO361" s="1405"/>
      <c r="AP361" s="1405"/>
      <c r="AQ361" s="1405"/>
      <c r="AR361" s="1405"/>
      <c r="AS361" s="1405"/>
      <c r="AT361" s="1405"/>
      <c r="AU361" s="1405"/>
      <c r="AV361" s="1405"/>
    </row>
    <row r="362" spans="1:48" s="1431" customFormat="1">
      <c r="A362" s="1399"/>
      <c r="B362" s="1429"/>
      <c r="C362" s="1430"/>
      <c r="D362" s="1400"/>
      <c r="E362" s="1401"/>
      <c r="F362" s="1401"/>
      <c r="G362" s="1402"/>
      <c r="H362" s="1403"/>
      <c r="I362" s="1404"/>
      <c r="J362" s="1405"/>
      <c r="K362" s="1405"/>
      <c r="L362" s="1406"/>
      <c r="M362" s="1406"/>
      <c r="N362" s="1406"/>
      <c r="O362" s="1406"/>
      <c r="P362" s="1406"/>
      <c r="Q362" s="1406"/>
      <c r="R362" s="1406"/>
      <c r="S362" s="1406"/>
      <c r="T362" s="1406"/>
      <c r="U362" s="1406"/>
      <c r="V362" s="1406"/>
      <c r="W362" s="1406"/>
      <c r="X362" s="1406"/>
      <c r="Y362" s="1406"/>
      <c r="Z362" s="1406"/>
      <c r="AA362" s="1406"/>
      <c r="AB362" s="1406"/>
      <c r="AC362" s="1406"/>
      <c r="AD362" s="1406"/>
      <c r="AE362" s="1406"/>
      <c r="AF362" s="1406"/>
      <c r="AG362" s="1406"/>
      <c r="AH362" s="1406"/>
      <c r="AI362" s="1406"/>
      <c r="AJ362" s="1406"/>
      <c r="AK362" s="1406"/>
      <c r="AL362" s="1406"/>
      <c r="AM362" s="1406"/>
      <c r="AN362" s="1406"/>
      <c r="AO362" s="1405"/>
      <c r="AP362" s="1405"/>
      <c r="AQ362" s="1405"/>
      <c r="AR362" s="1405"/>
      <c r="AS362" s="1405"/>
      <c r="AT362" s="1405"/>
      <c r="AU362" s="1405"/>
      <c r="AV362" s="1405"/>
    </row>
    <row r="363" spans="1:48" s="1431" customFormat="1">
      <c r="A363" s="1399"/>
      <c r="B363" s="1429"/>
      <c r="C363" s="1430"/>
      <c r="D363" s="1400"/>
      <c r="E363" s="1401"/>
      <c r="F363" s="1401"/>
      <c r="G363" s="1402"/>
      <c r="H363" s="1403"/>
      <c r="I363" s="1404"/>
      <c r="J363" s="1405"/>
      <c r="K363" s="1405"/>
      <c r="L363" s="1406"/>
      <c r="M363" s="1406"/>
      <c r="N363" s="1406"/>
      <c r="O363" s="1406"/>
      <c r="P363" s="1406"/>
      <c r="Q363" s="1406"/>
      <c r="R363" s="1406"/>
      <c r="S363" s="1406"/>
      <c r="T363" s="1406"/>
      <c r="U363" s="1406"/>
      <c r="V363" s="1406"/>
      <c r="W363" s="1406"/>
      <c r="X363" s="1406"/>
      <c r="Y363" s="1406"/>
      <c r="Z363" s="1406"/>
      <c r="AA363" s="1406"/>
      <c r="AB363" s="1406"/>
      <c r="AC363" s="1406"/>
      <c r="AD363" s="1406"/>
      <c r="AE363" s="1406"/>
      <c r="AF363" s="1406"/>
      <c r="AG363" s="1406"/>
      <c r="AH363" s="1406"/>
      <c r="AI363" s="1406"/>
      <c r="AJ363" s="1406"/>
      <c r="AK363" s="1406"/>
      <c r="AL363" s="1406"/>
      <c r="AM363" s="1406"/>
      <c r="AN363" s="1406"/>
      <c r="AO363" s="1405"/>
      <c r="AP363" s="1405"/>
      <c r="AQ363" s="1405"/>
      <c r="AR363" s="1405"/>
      <c r="AS363" s="1405"/>
      <c r="AT363" s="1405"/>
      <c r="AU363" s="1405"/>
      <c r="AV363" s="1405"/>
    </row>
    <row r="364" spans="1:48" s="1431" customFormat="1">
      <c r="A364" s="1399"/>
      <c r="B364" s="1429"/>
      <c r="C364" s="1430"/>
      <c r="D364" s="1400"/>
      <c r="E364" s="1401"/>
      <c r="F364" s="1401"/>
      <c r="G364" s="1402"/>
      <c r="H364" s="1403"/>
      <c r="I364" s="1404"/>
      <c r="J364" s="1405"/>
      <c r="K364" s="1405"/>
      <c r="L364" s="1406"/>
      <c r="M364" s="1406"/>
      <c r="N364" s="1406"/>
      <c r="O364" s="1406"/>
      <c r="P364" s="1406"/>
      <c r="Q364" s="1406"/>
      <c r="R364" s="1406"/>
      <c r="S364" s="1406"/>
      <c r="T364" s="1406"/>
      <c r="U364" s="1406"/>
      <c r="V364" s="1406"/>
      <c r="W364" s="1406"/>
      <c r="X364" s="1406"/>
      <c r="Y364" s="1406"/>
      <c r="Z364" s="1406"/>
      <c r="AA364" s="1406"/>
      <c r="AB364" s="1406"/>
      <c r="AC364" s="1406"/>
      <c r="AD364" s="1406"/>
      <c r="AE364" s="1406"/>
      <c r="AF364" s="1406"/>
      <c r="AG364" s="1406"/>
      <c r="AH364" s="1406"/>
      <c r="AI364" s="1406"/>
      <c r="AJ364" s="1406"/>
      <c r="AK364" s="1406"/>
      <c r="AL364" s="1406"/>
      <c r="AM364" s="1406"/>
      <c r="AN364" s="1406"/>
      <c r="AO364" s="1405"/>
      <c r="AP364" s="1405"/>
      <c r="AQ364" s="1405"/>
      <c r="AR364" s="1405"/>
      <c r="AS364" s="1405"/>
      <c r="AT364" s="1405"/>
      <c r="AU364" s="1405"/>
      <c r="AV364" s="1405"/>
    </row>
    <row r="365" spans="1:48" s="1431" customFormat="1">
      <c r="A365" s="1399"/>
      <c r="B365" s="1429"/>
      <c r="C365" s="1430"/>
      <c r="D365" s="1400"/>
      <c r="E365" s="1401"/>
      <c r="F365" s="1401"/>
      <c r="G365" s="1402"/>
      <c r="H365" s="1403"/>
      <c r="I365" s="1404"/>
      <c r="J365" s="1405"/>
      <c r="K365" s="1405"/>
      <c r="L365" s="1406"/>
      <c r="M365" s="1406"/>
      <c r="N365" s="1406"/>
      <c r="O365" s="1406"/>
      <c r="P365" s="1406"/>
      <c r="Q365" s="1406"/>
      <c r="R365" s="1406"/>
      <c r="S365" s="1406"/>
      <c r="T365" s="1406"/>
      <c r="U365" s="1406"/>
      <c r="V365" s="1406"/>
      <c r="W365" s="1406"/>
      <c r="X365" s="1406"/>
      <c r="Y365" s="1406"/>
      <c r="Z365" s="1406"/>
      <c r="AA365" s="1406"/>
      <c r="AB365" s="1406"/>
      <c r="AC365" s="1406"/>
      <c r="AD365" s="1406"/>
      <c r="AE365" s="1406"/>
      <c r="AF365" s="1406"/>
      <c r="AG365" s="1406"/>
      <c r="AH365" s="1406"/>
      <c r="AI365" s="1406"/>
      <c r="AJ365" s="1406"/>
      <c r="AK365" s="1406"/>
      <c r="AL365" s="1406"/>
      <c r="AM365" s="1406"/>
      <c r="AN365" s="1406"/>
      <c r="AO365" s="1405"/>
      <c r="AP365" s="1405"/>
      <c r="AQ365" s="1405"/>
      <c r="AR365" s="1405"/>
      <c r="AS365" s="1405"/>
      <c r="AT365" s="1405"/>
      <c r="AU365" s="1405"/>
      <c r="AV365" s="1405"/>
    </row>
    <row r="366" spans="1:48" s="1431" customFormat="1">
      <c r="A366" s="1399"/>
      <c r="B366" s="1429"/>
      <c r="C366" s="1430"/>
      <c r="D366" s="1400"/>
      <c r="E366" s="1401"/>
      <c r="F366" s="1401"/>
      <c r="G366" s="1402"/>
      <c r="H366" s="1403"/>
      <c r="I366" s="1404"/>
      <c r="J366" s="1405"/>
      <c r="K366" s="1405"/>
      <c r="L366" s="1406"/>
      <c r="M366" s="1406"/>
      <c r="N366" s="1406"/>
      <c r="O366" s="1406"/>
      <c r="P366" s="1406"/>
      <c r="Q366" s="1406"/>
      <c r="R366" s="1406"/>
      <c r="S366" s="1406"/>
      <c r="T366" s="1406"/>
      <c r="U366" s="1406"/>
      <c r="V366" s="1406"/>
      <c r="W366" s="1406"/>
      <c r="X366" s="1406"/>
      <c r="Y366" s="1406"/>
      <c r="Z366" s="1406"/>
      <c r="AA366" s="1406"/>
      <c r="AB366" s="1406"/>
      <c r="AC366" s="1406"/>
      <c r="AD366" s="1406"/>
      <c r="AE366" s="1406"/>
      <c r="AF366" s="1406"/>
      <c r="AG366" s="1406"/>
      <c r="AH366" s="1406"/>
      <c r="AI366" s="1406"/>
      <c r="AJ366" s="1406"/>
      <c r="AK366" s="1406"/>
      <c r="AL366" s="1406"/>
      <c r="AM366" s="1406"/>
      <c r="AN366" s="1406"/>
      <c r="AO366" s="1405"/>
      <c r="AP366" s="1405"/>
      <c r="AQ366" s="1405"/>
      <c r="AR366" s="1405"/>
      <c r="AS366" s="1405"/>
      <c r="AT366" s="1405"/>
      <c r="AU366" s="1405"/>
      <c r="AV366" s="1405"/>
    </row>
    <row r="367" spans="1:48" s="1431" customFormat="1">
      <c r="A367" s="1399"/>
      <c r="B367" s="1429"/>
      <c r="C367" s="1430"/>
      <c r="D367" s="1400"/>
      <c r="E367" s="1401"/>
      <c r="F367" s="1401"/>
      <c r="G367" s="1402"/>
      <c r="H367" s="1403"/>
      <c r="I367" s="1404"/>
      <c r="J367" s="1405"/>
      <c r="K367" s="1405"/>
      <c r="L367" s="1406"/>
      <c r="M367" s="1406"/>
      <c r="N367" s="1406"/>
      <c r="O367" s="1406"/>
      <c r="P367" s="1406"/>
      <c r="Q367" s="1406"/>
      <c r="R367" s="1406"/>
      <c r="S367" s="1406"/>
      <c r="T367" s="1406"/>
      <c r="U367" s="1406"/>
      <c r="V367" s="1406"/>
      <c r="W367" s="1406"/>
      <c r="X367" s="1406"/>
      <c r="Y367" s="1406"/>
      <c r="Z367" s="1406"/>
      <c r="AA367" s="1406"/>
      <c r="AB367" s="1406"/>
      <c r="AC367" s="1406"/>
      <c r="AD367" s="1406"/>
      <c r="AE367" s="1406"/>
      <c r="AF367" s="1406"/>
      <c r="AG367" s="1406"/>
      <c r="AH367" s="1406"/>
      <c r="AI367" s="1406"/>
      <c r="AJ367" s="1406"/>
      <c r="AK367" s="1406"/>
      <c r="AL367" s="1406"/>
      <c r="AM367" s="1406"/>
      <c r="AN367" s="1406"/>
      <c r="AO367" s="1405"/>
      <c r="AP367" s="1405"/>
      <c r="AQ367" s="1405"/>
      <c r="AR367" s="1405"/>
      <c r="AS367" s="1405"/>
      <c r="AT367" s="1405"/>
      <c r="AU367" s="1405"/>
      <c r="AV367" s="1405"/>
    </row>
    <row r="368" spans="1:48" s="1431" customFormat="1">
      <c r="A368" s="1399"/>
      <c r="B368" s="1429"/>
      <c r="C368" s="1430"/>
      <c r="D368" s="1400"/>
      <c r="E368" s="1401"/>
      <c r="F368" s="1401"/>
      <c r="G368" s="1402"/>
      <c r="H368" s="1403"/>
      <c r="I368" s="1404"/>
      <c r="J368" s="1405"/>
      <c r="K368" s="1405"/>
      <c r="L368" s="1406"/>
      <c r="M368" s="1406"/>
      <c r="N368" s="1406"/>
      <c r="O368" s="1406"/>
      <c r="P368" s="1406"/>
      <c r="Q368" s="1406"/>
      <c r="R368" s="1406"/>
      <c r="S368" s="1406"/>
      <c r="T368" s="1406"/>
      <c r="U368" s="1406"/>
      <c r="V368" s="1406"/>
      <c r="W368" s="1406"/>
      <c r="X368" s="1406"/>
      <c r="Y368" s="1406"/>
      <c r="Z368" s="1406"/>
      <c r="AA368" s="1406"/>
      <c r="AB368" s="1406"/>
      <c r="AC368" s="1406"/>
      <c r="AD368" s="1406"/>
      <c r="AE368" s="1406"/>
      <c r="AF368" s="1406"/>
      <c r="AG368" s="1406"/>
      <c r="AH368" s="1406"/>
      <c r="AI368" s="1406"/>
      <c r="AJ368" s="1406"/>
      <c r="AK368" s="1406"/>
      <c r="AL368" s="1406"/>
      <c r="AM368" s="1406"/>
      <c r="AN368" s="1406"/>
      <c r="AO368" s="1405"/>
      <c r="AP368" s="1405"/>
      <c r="AQ368" s="1405"/>
      <c r="AR368" s="1405"/>
      <c r="AS368" s="1405"/>
      <c r="AT368" s="1405"/>
      <c r="AU368" s="1405"/>
      <c r="AV368" s="1405"/>
    </row>
    <row r="369" spans="1:48" s="1431" customFormat="1">
      <c r="A369" s="1399"/>
      <c r="B369" s="1429"/>
      <c r="C369" s="1430"/>
      <c r="D369" s="1400"/>
      <c r="E369" s="1401"/>
      <c r="F369" s="1401"/>
      <c r="G369" s="1402"/>
      <c r="H369" s="1403"/>
      <c r="I369" s="1404"/>
      <c r="J369" s="1405"/>
      <c r="K369" s="1405"/>
      <c r="L369" s="1406"/>
      <c r="M369" s="1406"/>
      <c r="N369" s="1406"/>
      <c r="O369" s="1406"/>
      <c r="P369" s="1406"/>
      <c r="Q369" s="1406"/>
      <c r="R369" s="1406"/>
      <c r="S369" s="1406"/>
      <c r="T369" s="1406"/>
      <c r="U369" s="1406"/>
      <c r="V369" s="1406"/>
      <c r="W369" s="1406"/>
      <c r="X369" s="1406"/>
      <c r="Y369" s="1406"/>
      <c r="Z369" s="1406"/>
      <c r="AA369" s="1406"/>
      <c r="AB369" s="1406"/>
      <c r="AC369" s="1406"/>
      <c r="AD369" s="1406"/>
      <c r="AE369" s="1406"/>
      <c r="AF369" s="1406"/>
      <c r="AG369" s="1406"/>
      <c r="AH369" s="1406"/>
      <c r="AI369" s="1406"/>
      <c r="AJ369" s="1406"/>
      <c r="AK369" s="1406"/>
      <c r="AL369" s="1406"/>
      <c r="AM369" s="1406"/>
      <c r="AN369" s="1406"/>
      <c r="AO369" s="1405"/>
      <c r="AP369" s="1405"/>
      <c r="AQ369" s="1405"/>
      <c r="AR369" s="1405"/>
      <c r="AS369" s="1405"/>
      <c r="AT369" s="1405"/>
      <c r="AU369" s="1405"/>
      <c r="AV369" s="1405"/>
    </row>
    <row r="370" spans="1:48" s="1431" customFormat="1">
      <c r="A370" s="1399"/>
      <c r="B370" s="1429"/>
      <c r="C370" s="1430"/>
      <c r="D370" s="1400"/>
      <c r="E370" s="1401"/>
      <c r="F370" s="1401"/>
      <c r="G370" s="1402"/>
      <c r="H370" s="1403"/>
      <c r="I370" s="1404"/>
      <c r="J370" s="1405"/>
      <c r="K370" s="1405"/>
      <c r="L370" s="1406"/>
      <c r="M370" s="1406"/>
      <c r="N370" s="1406"/>
      <c r="O370" s="1406"/>
      <c r="P370" s="1406"/>
      <c r="Q370" s="1406"/>
      <c r="R370" s="1406"/>
      <c r="S370" s="1406"/>
      <c r="T370" s="1406"/>
      <c r="U370" s="1406"/>
      <c r="V370" s="1406"/>
      <c r="W370" s="1406"/>
      <c r="X370" s="1406"/>
      <c r="Y370" s="1406"/>
      <c r="Z370" s="1406"/>
      <c r="AA370" s="1406"/>
      <c r="AB370" s="1406"/>
      <c r="AC370" s="1406"/>
      <c r="AD370" s="1406"/>
      <c r="AE370" s="1406"/>
      <c r="AF370" s="1406"/>
      <c r="AG370" s="1406"/>
      <c r="AH370" s="1406"/>
      <c r="AI370" s="1406"/>
      <c r="AJ370" s="1406"/>
      <c r="AK370" s="1406"/>
      <c r="AL370" s="1406"/>
      <c r="AM370" s="1406"/>
      <c r="AN370" s="1406"/>
      <c r="AO370" s="1405"/>
      <c r="AP370" s="1405"/>
      <c r="AQ370" s="1405"/>
      <c r="AR370" s="1405"/>
      <c r="AS370" s="1405"/>
      <c r="AT370" s="1405"/>
      <c r="AU370" s="1405"/>
      <c r="AV370" s="1405"/>
    </row>
    <row r="371" spans="1:48" s="1431" customFormat="1">
      <c r="A371" s="1399"/>
      <c r="B371" s="1429"/>
      <c r="C371" s="1430"/>
      <c r="D371" s="1400"/>
      <c r="E371" s="1401"/>
      <c r="F371" s="1401"/>
      <c r="G371" s="1402"/>
      <c r="H371" s="1403"/>
      <c r="I371" s="1404"/>
      <c r="J371" s="1405"/>
      <c r="K371" s="1405"/>
      <c r="L371" s="1406"/>
      <c r="M371" s="1406"/>
      <c r="N371" s="1406"/>
      <c r="O371" s="1406"/>
      <c r="P371" s="1406"/>
      <c r="Q371" s="1406"/>
      <c r="R371" s="1406"/>
      <c r="S371" s="1406"/>
      <c r="T371" s="1406"/>
      <c r="U371" s="1406"/>
      <c r="V371" s="1406"/>
      <c r="W371" s="1406"/>
      <c r="X371" s="1406"/>
      <c r="Y371" s="1406"/>
      <c r="Z371" s="1406"/>
      <c r="AA371" s="1406"/>
      <c r="AB371" s="1406"/>
      <c r="AC371" s="1406"/>
      <c r="AD371" s="1406"/>
      <c r="AE371" s="1406"/>
      <c r="AF371" s="1406"/>
      <c r="AG371" s="1406"/>
      <c r="AH371" s="1406"/>
      <c r="AI371" s="1406"/>
      <c r="AJ371" s="1406"/>
      <c r="AK371" s="1406"/>
      <c r="AL371" s="1406"/>
      <c r="AM371" s="1406"/>
      <c r="AN371" s="1406"/>
      <c r="AO371" s="1405"/>
      <c r="AP371" s="1405"/>
      <c r="AQ371" s="1405"/>
      <c r="AR371" s="1405"/>
      <c r="AS371" s="1405"/>
      <c r="AT371" s="1405"/>
      <c r="AU371" s="1405"/>
      <c r="AV371" s="1405"/>
    </row>
    <row r="372" spans="1:48" s="1431" customFormat="1">
      <c r="A372" s="1399"/>
      <c r="B372" s="1429"/>
      <c r="C372" s="1430"/>
      <c r="D372" s="1400"/>
      <c r="E372" s="1401"/>
      <c r="F372" s="1401"/>
      <c r="G372" s="1402"/>
      <c r="H372" s="1403"/>
      <c r="I372" s="1404"/>
      <c r="J372" s="1405"/>
      <c r="K372" s="1405"/>
      <c r="L372" s="1406"/>
      <c r="M372" s="1406"/>
      <c r="N372" s="1406"/>
      <c r="O372" s="1406"/>
      <c r="P372" s="1406"/>
      <c r="Q372" s="1406"/>
      <c r="R372" s="1406"/>
      <c r="S372" s="1406"/>
      <c r="T372" s="1406"/>
      <c r="U372" s="1406"/>
      <c r="V372" s="1406"/>
      <c r="W372" s="1406"/>
      <c r="X372" s="1406"/>
      <c r="Y372" s="1406"/>
      <c r="Z372" s="1406"/>
      <c r="AA372" s="1406"/>
      <c r="AB372" s="1406"/>
      <c r="AC372" s="1406"/>
      <c r="AD372" s="1406"/>
      <c r="AE372" s="1406"/>
      <c r="AF372" s="1406"/>
      <c r="AG372" s="1406"/>
      <c r="AH372" s="1406"/>
      <c r="AI372" s="1406"/>
      <c r="AJ372" s="1406"/>
      <c r="AK372" s="1406"/>
      <c r="AL372" s="1406"/>
      <c r="AM372" s="1406"/>
      <c r="AN372" s="1406"/>
      <c r="AO372" s="1405"/>
      <c r="AP372" s="1405"/>
      <c r="AQ372" s="1405"/>
      <c r="AR372" s="1405"/>
      <c r="AS372" s="1405"/>
      <c r="AT372" s="1405"/>
      <c r="AU372" s="1405"/>
      <c r="AV372" s="1405"/>
    </row>
    <row r="373" spans="1:48" s="1431" customFormat="1">
      <c r="A373" s="1399"/>
      <c r="B373" s="1429"/>
      <c r="C373" s="1430"/>
      <c r="D373" s="1400"/>
      <c r="E373" s="1401"/>
      <c r="F373" s="1401"/>
      <c r="G373" s="1402"/>
      <c r="H373" s="1403"/>
      <c r="I373" s="1404"/>
      <c r="J373" s="1405"/>
      <c r="K373" s="1405"/>
      <c r="L373" s="1406"/>
      <c r="M373" s="1406"/>
      <c r="N373" s="1406"/>
      <c r="O373" s="1406"/>
      <c r="P373" s="1406"/>
      <c r="Q373" s="1406"/>
      <c r="R373" s="1406"/>
      <c r="S373" s="1406"/>
      <c r="T373" s="1406"/>
      <c r="U373" s="1406"/>
      <c r="V373" s="1406"/>
      <c r="W373" s="1406"/>
      <c r="X373" s="1406"/>
      <c r="Y373" s="1406"/>
      <c r="Z373" s="1406"/>
      <c r="AA373" s="1406"/>
      <c r="AB373" s="1406"/>
      <c r="AC373" s="1406"/>
      <c r="AD373" s="1406"/>
      <c r="AE373" s="1406"/>
      <c r="AF373" s="1406"/>
      <c r="AG373" s="1406"/>
      <c r="AH373" s="1406"/>
      <c r="AI373" s="1406"/>
      <c r="AJ373" s="1406"/>
      <c r="AK373" s="1406"/>
      <c r="AL373" s="1406"/>
      <c r="AM373" s="1406"/>
      <c r="AN373" s="1406"/>
      <c r="AO373" s="1405"/>
      <c r="AP373" s="1405"/>
      <c r="AQ373" s="1405"/>
      <c r="AR373" s="1405"/>
      <c r="AS373" s="1405"/>
      <c r="AT373" s="1405"/>
      <c r="AU373" s="1405"/>
      <c r="AV373" s="1405"/>
    </row>
    <row r="374" spans="1:48" s="1431" customFormat="1">
      <c r="A374" s="1399"/>
      <c r="B374" s="1429"/>
      <c r="C374" s="1430"/>
      <c r="D374" s="1400"/>
      <c r="E374" s="1401"/>
      <c r="F374" s="1401"/>
      <c r="G374" s="1402"/>
      <c r="H374" s="1403"/>
      <c r="I374" s="1404"/>
      <c r="J374" s="1405"/>
      <c r="K374" s="1405"/>
      <c r="L374" s="1406"/>
      <c r="M374" s="1406"/>
      <c r="N374" s="1406"/>
      <c r="O374" s="1406"/>
      <c r="P374" s="1406"/>
      <c r="Q374" s="1406"/>
      <c r="R374" s="1406"/>
      <c r="S374" s="1406"/>
      <c r="T374" s="1406"/>
      <c r="U374" s="1406"/>
      <c r="V374" s="1406"/>
      <c r="W374" s="1406"/>
      <c r="X374" s="1406"/>
      <c r="Y374" s="1406"/>
      <c r="Z374" s="1406"/>
      <c r="AA374" s="1406"/>
      <c r="AB374" s="1406"/>
      <c r="AC374" s="1406"/>
      <c r="AD374" s="1406"/>
      <c r="AE374" s="1406"/>
      <c r="AF374" s="1406"/>
      <c r="AG374" s="1406"/>
      <c r="AH374" s="1406"/>
      <c r="AI374" s="1406"/>
      <c r="AJ374" s="1406"/>
      <c r="AK374" s="1406"/>
      <c r="AL374" s="1406"/>
      <c r="AM374" s="1406"/>
      <c r="AN374" s="1406"/>
      <c r="AO374" s="1405"/>
      <c r="AP374" s="1405"/>
      <c r="AQ374" s="1405"/>
      <c r="AR374" s="1405"/>
      <c r="AS374" s="1405"/>
      <c r="AT374" s="1405"/>
      <c r="AU374" s="1405"/>
      <c r="AV374" s="1405"/>
    </row>
    <row r="375" spans="1:48" s="1431" customFormat="1">
      <c r="A375" s="1399"/>
      <c r="B375" s="1429"/>
      <c r="C375" s="1430"/>
      <c r="D375" s="1400"/>
      <c r="E375" s="1401"/>
      <c r="F375" s="1401"/>
      <c r="G375" s="1402"/>
      <c r="H375" s="1403"/>
      <c r="I375" s="1404"/>
      <c r="J375" s="1405"/>
      <c r="K375" s="1405"/>
      <c r="L375" s="1406"/>
      <c r="M375" s="1406"/>
      <c r="N375" s="1406"/>
      <c r="O375" s="1406"/>
      <c r="P375" s="1406"/>
      <c r="Q375" s="1406"/>
      <c r="R375" s="1406"/>
      <c r="S375" s="1406"/>
      <c r="T375" s="1406"/>
      <c r="U375" s="1406"/>
      <c r="V375" s="1406"/>
      <c r="W375" s="1406"/>
      <c r="X375" s="1406"/>
      <c r="Y375" s="1406"/>
      <c r="Z375" s="1406"/>
      <c r="AA375" s="1406"/>
      <c r="AB375" s="1406"/>
      <c r="AC375" s="1406"/>
      <c r="AD375" s="1406"/>
      <c r="AE375" s="1406"/>
      <c r="AF375" s="1406"/>
      <c r="AG375" s="1406"/>
      <c r="AH375" s="1406"/>
      <c r="AI375" s="1406"/>
      <c r="AJ375" s="1406"/>
      <c r="AK375" s="1406"/>
      <c r="AL375" s="1406"/>
      <c r="AM375" s="1406"/>
      <c r="AN375" s="1406"/>
      <c r="AO375" s="1405"/>
      <c r="AP375" s="1405"/>
      <c r="AQ375" s="1405"/>
      <c r="AR375" s="1405"/>
      <c r="AS375" s="1405"/>
      <c r="AT375" s="1405"/>
      <c r="AU375" s="1405"/>
      <c r="AV375" s="1405"/>
    </row>
    <row r="376" spans="1:48" s="1431" customFormat="1">
      <c r="A376" s="1399"/>
      <c r="B376" s="1429"/>
      <c r="C376" s="1430"/>
      <c r="D376" s="1400"/>
      <c r="E376" s="1401"/>
      <c r="F376" s="1401"/>
      <c r="G376" s="1402"/>
      <c r="H376" s="1403"/>
      <c r="I376" s="1404"/>
      <c r="J376" s="1405"/>
      <c r="K376" s="1405"/>
      <c r="L376" s="1406"/>
      <c r="M376" s="1406"/>
      <c r="N376" s="1406"/>
      <c r="O376" s="1406"/>
      <c r="P376" s="1406"/>
      <c r="Q376" s="1406"/>
      <c r="R376" s="1406"/>
      <c r="S376" s="1406"/>
      <c r="T376" s="1406"/>
      <c r="U376" s="1406"/>
      <c r="V376" s="1406"/>
      <c r="W376" s="1406"/>
      <c r="X376" s="1406"/>
      <c r="Y376" s="1406"/>
      <c r="Z376" s="1406"/>
      <c r="AA376" s="1406"/>
      <c r="AB376" s="1406"/>
      <c r="AC376" s="1406"/>
      <c r="AD376" s="1406"/>
      <c r="AE376" s="1406"/>
      <c r="AF376" s="1406"/>
      <c r="AG376" s="1406"/>
      <c r="AH376" s="1406"/>
      <c r="AI376" s="1406"/>
      <c r="AJ376" s="1406"/>
      <c r="AK376" s="1406"/>
      <c r="AL376" s="1406"/>
      <c r="AM376" s="1406"/>
      <c r="AN376" s="1406"/>
      <c r="AO376" s="1405"/>
      <c r="AP376" s="1405"/>
      <c r="AQ376" s="1405"/>
      <c r="AR376" s="1405"/>
      <c r="AS376" s="1405"/>
      <c r="AT376" s="1405"/>
      <c r="AU376" s="1405"/>
      <c r="AV376" s="1405"/>
    </row>
    <row r="377" spans="1:48" s="1431" customFormat="1">
      <c r="A377" s="1399"/>
      <c r="B377" s="1429"/>
      <c r="C377" s="1430"/>
      <c r="D377" s="1400"/>
      <c r="E377" s="1401"/>
      <c r="F377" s="1401"/>
      <c r="G377" s="1402"/>
      <c r="H377" s="1403"/>
      <c r="I377" s="1404"/>
      <c r="J377" s="1405"/>
      <c r="K377" s="1405"/>
      <c r="L377" s="1406"/>
      <c r="M377" s="1406"/>
      <c r="N377" s="1406"/>
      <c r="O377" s="1406"/>
      <c r="P377" s="1406"/>
      <c r="Q377" s="1406"/>
      <c r="R377" s="1406"/>
      <c r="S377" s="1406"/>
      <c r="T377" s="1406"/>
      <c r="U377" s="1406"/>
      <c r="V377" s="1406"/>
      <c r="W377" s="1406"/>
      <c r="X377" s="1406"/>
      <c r="Y377" s="1406"/>
      <c r="Z377" s="1406"/>
      <c r="AA377" s="1406"/>
      <c r="AB377" s="1406"/>
      <c r="AC377" s="1406"/>
      <c r="AD377" s="1406"/>
      <c r="AE377" s="1406"/>
      <c r="AF377" s="1406"/>
      <c r="AG377" s="1406"/>
      <c r="AH377" s="1406"/>
      <c r="AI377" s="1406"/>
      <c r="AJ377" s="1406"/>
      <c r="AK377" s="1406"/>
      <c r="AL377" s="1406"/>
      <c r="AM377" s="1406"/>
      <c r="AN377" s="1406"/>
      <c r="AO377" s="1405"/>
      <c r="AP377" s="1405"/>
      <c r="AQ377" s="1405"/>
      <c r="AR377" s="1405"/>
      <c r="AS377" s="1405"/>
      <c r="AT377" s="1405"/>
      <c r="AU377" s="1405"/>
      <c r="AV377" s="1405"/>
    </row>
    <row r="378" spans="1:48" s="1431" customFormat="1">
      <c r="A378" s="1399"/>
      <c r="B378" s="1429"/>
      <c r="C378" s="1430"/>
      <c r="D378" s="1400"/>
      <c r="E378" s="1401"/>
      <c r="F378" s="1401"/>
      <c r="G378" s="1402"/>
      <c r="H378" s="1403"/>
      <c r="I378" s="1404"/>
      <c r="J378" s="1405"/>
      <c r="K378" s="1405"/>
      <c r="L378" s="1406"/>
      <c r="M378" s="1406"/>
      <c r="N378" s="1406"/>
      <c r="O378" s="1406"/>
      <c r="P378" s="1406"/>
      <c r="Q378" s="1406"/>
      <c r="R378" s="1406"/>
      <c r="S378" s="1406"/>
      <c r="T378" s="1406"/>
      <c r="U378" s="1406"/>
      <c r="V378" s="1406"/>
      <c r="W378" s="1406"/>
      <c r="X378" s="1406"/>
      <c r="Y378" s="1406"/>
      <c r="Z378" s="1406"/>
      <c r="AA378" s="1406"/>
      <c r="AB378" s="1406"/>
      <c r="AC378" s="1406"/>
      <c r="AD378" s="1406"/>
      <c r="AE378" s="1406"/>
      <c r="AF378" s="1406"/>
      <c r="AG378" s="1406"/>
      <c r="AH378" s="1406"/>
      <c r="AI378" s="1406"/>
      <c r="AJ378" s="1406"/>
      <c r="AK378" s="1406"/>
      <c r="AL378" s="1406"/>
      <c r="AM378" s="1406"/>
      <c r="AN378" s="1406"/>
      <c r="AO378" s="1405"/>
      <c r="AP378" s="1405"/>
      <c r="AQ378" s="1405"/>
      <c r="AR378" s="1405"/>
      <c r="AS378" s="1405"/>
      <c r="AT378" s="1405"/>
      <c r="AU378" s="1405"/>
      <c r="AV378" s="1405"/>
    </row>
    <row r="379" spans="1:48" s="1431" customFormat="1">
      <c r="A379" s="1399"/>
      <c r="B379" s="1429"/>
      <c r="C379" s="1430"/>
      <c r="D379" s="1400"/>
      <c r="E379" s="1401"/>
      <c r="F379" s="1401"/>
      <c r="G379" s="1402"/>
      <c r="H379" s="1403"/>
      <c r="I379" s="1404"/>
      <c r="J379" s="1405"/>
      <c r="K379" s="1405"/>
      <c r="L379" s="1406"/>
      <c r="M379" s="1406"/>
      <c r="N379" s="1406"/>
      <c r="O379" s="1406"/>
      <c r="P379" s="1406"/>
      <c r="Q379" s="1406"/>
      <c r="R379" s="1406"/>
      <c r="S379" s="1406"/>
      <c r="T379" s="1406"/>
      <c r="U379" s="1406"/>
      <c r="V379" s="1406"/>
      <c r="W379" s="1406"/>
      <c r="X379" s="1406"/>
      <c r="Y379" s="1406"/>
      <c r="Z379" s="1406"/>
      <c r="AA379" s="1406"/>
      <c r="AB379" s="1406"/>
      <c r="AC379" s="1406"/>
      <c r="AD379" s="1406"/>
      <c r="AE379" s="1406"/>
      <c r="AF379" s="1406"/>
      <c r="AG379" s="1406"/>
      <c r="AH379" s="1406"/>
      <c r="AI379" s="1406"/>
      <c r="AJ379" s="1406"/>
      <c r="AK379" s="1406"/>
      <c r="AL379" s="1406"/>
      <c r="AM379" s="1406"/>
      <c r="AN379" s="1406"/>
      <c r="AO379" s="1405"/>
      <c r="AP379" s="1405"/>
      <c r="AQ379" s="1405"/>
      <c r="AR379" s="1405"/>
      <c r="AS379" s="1405"/>
      <c r="AT379" s="1405"/>
      <c r="AU379" s="1405"/>
      <c r="AV379" s="1405"/>
    </row>
    <row r="380" spans="1:48" s="1431" customFormat="1">
      <c r="A380" s="1399"/>
      <c r="B380" s="1429"/>
      <c r="C380" s="1430"/>
      <c r="D380" s="1400"/>
      <c r="E380" s="1401"/>
      <c r="F380" s="1401"/>
      <c r="G380" s="1402"/>
      <c r="H380" s="1403"/>
      <c r="I380" s="1404"/>
      <c r="J380" s="1405"/>
      <c r="K380" s="1405"/>
      <c r="L380" s="1406"/>
      <c r="M380" s="1406"/>
      <c r="N380" s="1406"/>
      <c r="O380" s="1406"/>
      <c r="P380" s="1406"/>
      <c r="Q380" s="1406"/>
      <c r="R380" s="1406"/>
      <c r="S380" s="1406"/>
      <c r="T380" s="1406"/>
      <c r="U380" s="1406"/>
      <c r="V380" s="1406"/>
      <c r="W380" s="1406"/>
      <c r="X380" s="1406"/>
      <c r="Y380" s="1406"/>
      <c r="Z380" s="1406"/>
      <c r="AA380" s="1406"/>
      <c r="AB380" s="1406"/>
      <c r="AC380" s="1406"/>
      <c r="AD380" s="1406"/>
      <c r="AE380" s="1406"/>
      <c r="AF380" s="1406"/>
      <c r="AG380" s="1406"/>
      <c r="AH380" s="1406"/>
      <c r="AI380" s="1406"/>
      <c r="AJ380" s="1406"/>
      <c r="AK380" s="1406"/>
      <c r="AL380" s="1406"/>
      <c r="AM380" s="1406"/>
      <c r="AN380" s="1406"/>
      <c r="AO380" s="1405"/>
      <c r="AP380" s="1405"/>
      <c r="AQ380" s="1405"/>
      <c r="AR380" s="1405"/>
      <c r="AS380" s="1405"/>
      <c r="AT380" s="1405"/>
      <c r="AU380" s="1405"/>
      <c r="AV380" s="1405"/>
    </row>
    <row r="381" spans="1:48" s="1431" customFormat="1">
      <c r="A381" s="1399"/>
      <c r="B381" s="1429"/>
      <c r="C381" s="1430"/>
      <c r="D381" s="1400"/>
      <c r="E381" s="1401"/>
      <c r="F381" s="1401"/>
      <c r="G381" s="1402"/>
      <c r="H381" s="1403"/>
      <c r="I381" s="1404"/>
      <c r="J381" s="1405"/>
      <c r="K381" s="1405"/>
      <c r="L381" s="1406"/>
      <c r="M381" s="1406"/>
      <c r="N381" s="1406"/>
      <c r="O381" s="1406"/>
      <c r="P381" s="1406"/>
      <c r="Q381" s="1406"/>
      <c r="R381" s="1406"/>
      <c r="S381" s="1406"/>
      <c r="T381" s="1406"/>
      <c r="U381" s="1406"/>
      <c r="V381" s="1406"/>
      <c r="W381" s="1406"/>
      <c r="X381" s="1406"/>
      <c r="Y381" s="1406"/>
      <c r="Z381" s="1406"/>
      <c r="AA381" s="1406"/>
      <c r="AB381" s="1406"/>
      <c r="AC381" s="1406"/>
      <c r="AD381" s="1406"/>
      <c r="AE381" s="1406"/>
      <c r="AF381" s="1406"/>
      <c r="AG381" s="1406"/>
      <c r="AH381" s="1406"/>
      <c r="AI381" s="1406"/>
      <c r="AJ381" s="1406"/>
      <c r="AK381" s="1406"/>
      <c r="AL381" s="1406"/>
      <c r="AM381" s="1406"/>
      <c r="AN381" s="1406"/>
      <c r="AO381" s="1405"/>
      <c r="AP381" s="1405"/>
      <c r="AQ381" s="1405"/>
      <c r="AR381" s="1405"/>
      <c r="AS381" s="1405"/>
      <c r="AT381" s="1405"/>
      <c r="AU381" s="1405"/>
      <c r="AV381" s="1405"/>
    </row>
    <row r="382" spans="1:48" s="1431" customFormat="1">
      <c r="A382" s="1399"/>
      <c r="B382" s="1429"/>
      <c r="C382" s="1430"/>
      <c r="D382" s="1400"/>
      <c r="E382" s="1401"/>
      <c r="F382" s="1401"/>
      <c r="G382" s="1402"/>
      <c r="H382" s="1403"/>
      <c r="I382" s="1404"/>
      <c r="J382" s="1405"/>
      <c r="K382" s="1405"/>
      <c r="L382" s="1406"/>
      <c r="M382" s="1406"/>
      <c r="N382" s="1406"/>
      <c r="O382" s="1406"/>
      <c r="P382" s="1406"/>
      <c r="Q382" s="1406"/>
      <c r="R382" s="1406"/>
      <c r="S382" s="1406"/>
      <c r="T382" s="1406"/>
      <c r="U382" s="1406"/>
      <c r="V382" s="1406"/>
      <c r="W382" s="1406"/>
      <c r="X382" s="1406"/>
      <c r="Y382" s="1406"/>
      <c r="Z382" s="1406"/>
      <c r="AA382" s="1406"/>
      <c r="AB382" s="1406"/>
      <c r="AC382" s="1406"/>
      <c r="AD382" s="1406"/>
      <c r="AE382" s="1406"/>
      <c r="AF382" s="1406"/>
      <c r="AG382" s="1406"/>
      <c r="AH382" s="1406"/>
      <c r="AI382" s="1406"/>
      <c r="AJ382" s="1406"/>
      <c r="AK382" s="1406"/>
      <c r="AL382" s="1406"/>
      <c r="AM382" s="1406"/>
      <c r="AN382" s="1406"/>
      <c r="AO382" s="1405"/>
      <c r="AP382" s="1405"/>
      <c r="AQ382" s="1405"/>
      <c r="AR382" s="1405"/>
      <c r="AS382" s="1405"/>
      <c r="AT382" s="1405"/>
      <c r="AU382" s="1405"/>
      <c r="AV382" s="1405"/>
    </row>
    <row r="383" spans="1:48" s="1431" customFormat="1">
      <c r="A383" s="1399"/>
      <c r="B383" s="1429"/>
      <c r="C383" s="1430"/>
      <c r="D383" s="1400"/>
      <c r="E383" s="1401"/>
      <c r="F383" s="1401"/>
      <c r="G383" s="1402"/>
      <c r="H383" s="1403"/>
      <c r="I383" s="1404"/>
      <c r="J383" s="1405"/>
      <c r="K383" s="1405"/>
      <c r="L383" s="1406"/>
      <c r="M383" s="1406"/>
      <c r="N383" s="1406"/>
      <c r="O383" s="1406"/>
      <c r="P383" s="1406"/>
      <c r="Q383" s="1406"/>
      <c r="R383" s="1406"/>
      <c r="S383" s="1406"/>
      <c r="T383" s="1406"/>
      <c r="U383" s="1406"/>
      <c r="V383" s="1406"/>
      <c r="W383" s="1406"/>
      <c r="X383" s="1406"/>
      <c r="Y383" s="1406"/>
      <c r="Z383" s="1406"/>
      <c r="AA383" s="1406"/>
      <c r="AB383" s="1406"/>
      <c r="AC383" s="1406"/>
      <c r="AD383" s="1406"/>
      <c r="AE383" s="1406"/>
      <c r="AF383" s="1406"/>
      <c r="AG383" s="1406"/>
      <c r="AH383" s="1406"/>
      <c r="AI383" s="1406"/>
      <c r="AJ383" s="1406"/>
      <c r="AK383" s="1406"/>
      <c r="AL383" s="1406"/>
      <c r="AM383" s="1406"/>
      <c r="AN383" s="1406"/>
      <c r="AO383" s="1405"/>
      <c r="AP383" s="1405"/>
      <c r="AQ383" s="1405"/>
      <c r="AR383" s="1405"/>
      <c r="AS383" s="1405"/>
      <c r="AT383" s="1405"/>
      <c r="AU383" s="1405"/>
      <c r="AV383" s="1405"/>
    </row>
    <row r="384" spans="1:48" s="1431" customFormat="1">
      <c r="A384" s="1399"/>
      <c r="B384" s="1429"/>
      <c r="C384" s="1430"/>
      <c r="D384" s="1400"/>
      <c r="E384" s="1401"/>
      <c r="F384" s="1401"/>
      <c r="G384" s="1402"/>
      <c r="H384" s="1403"/>
      <c r="I384" s="1404"/>
      <c r="J384" s="1405"/>
      <c r="K384" s="1405"/>
      <c r="L384" s="1406"/>
      <c r="M384" s="1406"/>
      <c r="N384" s="1406"/>
      <c r="O384" s="1406"/>
      <c r="P384" s="1406"/>
      <c r="Q384" s="1406"/>
      <c r="R384" s="1406"/>
      <c r="S384" s="1406"/>
      <c r="T384" s="1406"/>
      <c r="U384" s="1406"/>
      <c r="V384" s="1406"/>
      <c r="W384" s="1406"/>
      <c r="X384" s="1406"/>
      <c r="Y384" s="1406"/>
      <c r="Z384" s="1406"/>
      <c r="AA384" s="1406"/>
      <c r="AB384" s="1406"/>
      <c r="AC384" s="1406"/>
      <c r="AD384" s="1406"/>
      <c r="AE384" s="1406"/>
      <c r="AF384" s="1406"/>
      <c r="AG384" s="1406"/>
      <c r="AH384" s="1406"/>
      <c r="AI384" s="1406"/>
      <c r="AJ384" s="1406"/>
      <c r="AK384" s="1406"/>
      <c r="AL384" s="1406"/>
      <c r="AM384" s="1406"/>
      <c r="AN384" s="1406"/>
      <c r="AO384" s="1405"/>
      <c r="AP384" s="1405"/>
      <c r="AQ384" s="1405"/>
      <c r="AR384" s="1405"/>
      <c r="AS384" s="1405"/>
      <c r="AT384" s="1405"/>
      <c r="AU384" s="1405"/>
      <c r="AV384" s="1405"/>
    </row>
    <row r="385" spans="1:48" s="1431" customFormat="1">
      <c r="A385" s="1399"/>
      <c r="B385" s="1429"/>
      <c r="C385" s="1430"/>
      <c r="D385" s="1400"/>
      <c r="E385" s="1401"/>
      <c r="F385" s="1401"/>
      <c r="G385" s="1402"/>
      <c r="H385" s="1403"/>
      <c r="I385" s="1404"/>
      <c r="J385" s="1405"/>
      <c r="K385" s="1405"/>
      <c r="L385" s="1406"/>
      <c r="M385" s="1406"/>
      <c r="N385" s="1406"/>
      <c r="O385" s="1406"/>
      <c r="P385" s="1406"/>
      <c r="Q385" s="1406"/>
      <c r="R385" s="1406"/>
      <c r="S385" s="1406"/>
      <c r="T385" s="1406"/>
      <c r="U385" s="1406"/>
      <c r="V385" s="1406"/>
      <c r="W385" s="1406"/>
      <c r="X385" s="1406"/>
      <c r="Y385" s="1406"/>
      <c r="Z385" s="1406"/>
      <c r="AA385" s="1406"/>
      <c r="AB385" s="1406"/>
      <c r="AC385" s="1406"/>
      <c r="AD385" s="1406"/>
      <c r="AE385" s="1406"/>
      <c r="AF385" s="1406"/>
      <c r="AG385" s="1406"/>
      <c r="AH385" s="1406"/>
      <c r="AI385" s="1406"/>
      <c r="AJ385" s="1406"/>
      <c r="AK385" s="1406"/>
      <c r="AL385" s="1406"/>
      <c r="AM385" s="1406"/>
      <c r="AN385" s="1406"/>
      <c r="AO385" s="1405"/>
      <c r="AP385" s="1405"/>
      <c r="AQ385" s="1405"/>
      <c r="AR385" s="1405"/>
      <c r="AS385" s="1405"/>
      <c r="AT385" s="1405"/>
      <c r="AU385" s="1405"/>
      <c r="AV385" s="1405"/>
    </row>
    <row r="386" spans="1:48" s="1431" customFormat="1">
      <c r="A386" s="1399"/>
      <c r="B386" s="1429"/>
      <c r="C386" s="1430"/>
      <c r="D386" s="1400"/>
      <c r="E386" s="1401"/>
      <c r="F386" s="1401"/>
      <c r="G386" s="1402"/>
      <c r="H386" s="1403"/>
      <c r="I386" s="1404"/>
      <c r="J386" s="1405"/>
      <c r="K386" s="1405"/>
      <c r="L386" s="1406"/>
      <c r="M386" s="1406"/>
      <c r="N386" s="1406"/>
      <c r="O386" s="1406"/>
      <c r="P386" s="1406"/>
      <c r="Q386" s="1406"/>
      <c r="R386" s="1406"/>
      <c r="S386" s="1406"/>
      <c r="T386" s="1406"/>
      <c r="U386" s="1406"/>
      <c r="V386" s="1406"/>
      <c r="W386" s="1406"/>
      <c r="X386" s="1406"/>
      <c r="Y386" s="1406"/>
      <c r="Z386" s="1406"/>
      <c r="AA386" s="1406"/>
      <c r="AB386" s="1406"/>
      <c r="AC386" s="1406"/>
      <c r="AD386" s="1406"/>
      <c r="AE386" s="1406"/>
      <c r="AF386" s="1406"/>
      <c r="AG386" s="1406"/>
      <c r="AH386" s="1406"/>
      <c r="AI386" s="1406"/>
      <c r="AJ386" s="1406"/>
      <c r="AK386" s="1406"/>
      <c r="AL386" s="1406"/>
      <c r="AM386" s="1406"/>
      <c r="AN386" s="1406"/>
      <c r="AO386" s="1405"/>
      <c r="AP386" s="1405"/>
      <c r="AQ386" s="1405"/>
      <c r="AR386" s="1405"/>
      <c r="AS386" s="1405"/>
      <c r="AT386" s="1405"/>
      <c r="AU386" s="1405"/>
      <c r="AV386" s="1405"/>
    </row>
    <row r="387" spans="1:48" s="1431" customFormat="1">
      <c r="A387" s="1399"/>
      <c r="B387" s="1429"/>
      <c r="C387" s="1430"/>
      <c r="D387" s="1400"/>
      <c r="E387" s="1401"/>
      <c r="F387" s="1401"/>
      <c r="G387" s="1402"/>
      <c r="H387" s="1403"/>
      <c r="I387" s="1404"/>
      <c r="J387" s="1405"/>
      <c r="K387" s="1405"/>
      <c r="L387" s="1406"/>
      <c r="M387" s="1406"/>
      <c r="N387" s="1406"/>
      <c r="O387" s="1406"/>
      <c r="P387" s="1406"/>
      <c r="Q387" s="1406"/>
      <c r="R387" s="1406"/>
      <c r="S387" s="1406"/>
      <c r="T387" s="1406"/>
      <c r="U387" s="1406"/>
      <c r="V387" s="1406"/>
      <c r="W387" s="1406"/>
      <c r="X387" s="1406"/>
      <c r="Y387" s="1406"/>
      <c r="Z387" s="1406"/>
      <c r="AA387" s="1406"/>
      <c r="AB387" s="1406"/>
      <c r="AC387" s="1406"/>
      <c r="AD387" s="1406"/>
      <c r="AE387" s="1406"/>
      <c r="AF387" s="1406"/>
      <c r="AG387" s="1406"/>
      <c r="AH387" s="1406"/>
      <c r="AI387" s="1406"/>
      <c r="AJ387" s="1406"/>
      <c r="AK387" s="1406"/>
      <c r="AL387" s="1406"/>
      <c r="AM387" s="1406"/>
      <c r="AN387" s="1406"/>
      <c r="AO387" s="1405"/>
      <c r="AP387" s="1405"/>
      <c r="AQ387" s="1405"/>
      <c r="AR387" s="1405"/>
      <c r="AS387" s="1405"/>
      <c r="AT387" s="1405"/>
      <c r="AU387" s="1405"/>
      <c r="AV387" s="1405"/>
    </row>
    <row r="388" spans="1:48" s="1431" customFormat="1">
      <c r="A388" s="1399"/>
      <c r="B388" s="1429"/>
      <c r="C388" s="1430"/>
      <c r="D388" s="1400"/>
      <c r="E388" s="1401"/>
      <c r="F388" s="1401"/>
      <c r="G388" s="1402"/>
      <c r="H388" s="1403"/>
      <c r="I388" s="1404"/>
      <c r="J388" s="1405"/>
      <c r="K388" s="1405"/>
      <c r="L388" s="1406"/>
      <c r="M388" s="1406"/>
      <c r="N388" s="1406"/>
      <c r="O388" s="1406"/>
      <c r="P388" s="1406"/>
      <c r="Q388" s="1406"/>
      <c r="R388" s="1406"/>
      <c r="S388" s="1406"/>
      <c r="T388" s="1406"/>
      <c r="U388" s="1406"/>
      <c r="V388" s="1406"/>
      <c r="W388" s="1406"/>
      <c r="X388" s="1406"/>
      <c r="Y388" s="1406"/>
      <c r="Z388" s="1406"/>
      <c r="AA388" s="1406"/>
      <c r="AB388" s="1406"/>
      <c r="AC388" s="1406"/>
      <c r="AD388" s="1406"/>
      <c r="AE388" s="1406"/>
      <c r="AF388" s="1406"/>
      <c r="AG388" s="1406"/>
      <c r="AH388" s="1406"/>
      <c r="AI388" s="1406"/>
      <c r="AJ388" s="1406"/>
      <c r="AK388" s="1406"/>
      <c r="AL388" s="1406"/>
      <c r="AM388" s="1406"/>
      <c r="AN388" s="1406"/>
      <c r="AO388" s="1405"/>
      <c r="AP388" s="1405"/>
      <c r="AQ388" s="1405"/>
      <c r="AR388" s="1405"/>
      <c r="AS388" s="1405"/>
      <c r="AT388" s="1405"/>
      <c r="AU388" s="1405"/>
      <c r="AV388" s="1405"/>
    </row>
    <row r="389" spans="1:48" s="1431" customFormat="1">
      <c r="A389" s="1399"/>
      <c r="B389" s="1429"/>
      <c r="C389" s="1430"/>
      <c r="D389" s="1400"/>
      <c r="E389" s="1401"/>
      <c r="F389" s="1401"/>
      <c r="G389" s="1402"/>
      <c r="H389" s="1403"/>
      <c r="I389" s="1404"/>
      <c r="J389" s="1405"/>
      <c r="K389" s="1405"/>
      <c r="L389" s="1406"/>
      <c r="M389" s="1406"/>
      <c r="N389" s="1406"/>
      <c r="O389" s="1406"/>
      <c r="P389" s="1406"/>
      <c r="Q389" s="1406"/>
      <c r="R389" s="1406"/>
      <c r="S389" s="1406"/>
      <c r="T389" s="1406"/>
      <c r="U389" s="1406"/>
      <c r="V389" s="1406"/>
      <c r="W389" s="1406"/>
      <c r="X389" s="1406"/>
      <c r="Y389" s="1406"/>
      <c r="Z389" s="1406"/>
      <c r="AA389" s="1406"/>
      <c r="AB389" s="1406"/>
      <c r="AC389" s="1406"/>
      <c r="AD389" s="1406"/>
      <c r="AE389" s="1406"/>
      <c r="AF389" s="1406"/>
      <c r="AG389" s="1406"/>
      <c r="AH389" s="1406"/>
      <c r="AI389" s="1406"/>
      <c r="AJ389" s="1406"/>
      <c r="AK389" s="1406"/>
      <c r="AL389" s="1406"/>
      <c r="AM389" s="1406"/>
      <c r="AN389" s="1406"/>
      <c r="AO389" s="1405"/>
      <c r="AP389" s="1405"/>
      <c r="AQ389" s="1405"/>
      <c r="AR389" s="1405"/>
      <c r="AS389" s="1405"/>
      <c r="AT389" s="1405"/>
      <c r="AU389" s="1405"/>
      <c r="AV389" s="1405"/>
    </row>
    <row r="390" spans="1:48" s="1431" customFormat="1">
      <c r="A390" s="1399"/>
      <c r="B390" s="1429"/>
      <c r="C390" s="1430"/>
      <c r="D390" s="1400"/>
      <c r="E390" s="1401"/>
      <c r="F390" s="1401"/>
      <c r="G390" s="1402"/>
      <c r="H390" s="1403"/>
      <c r="I390" s="1404"/>
      <c r="J390" s="1405"/>
      <c r="K390" s="1405"/>
      <c r="L390" s="1406"/>
      <c r="M390" s="1406"/>
      <c r="N390" s="1406"/>
      <c r="O390" s="1406"/>
      <c r="P390" s="1406"/>
      <c r="Q390" s="1406"/>
      <c r="R390" s="1406"/>
      <c r="S390" s="1406"/>
      <c r="T390" s="1406"/>
      <c r="U390" s="1406"/>
      <c r="V390" s="1406"/>
      <c r="W390" s="1406"/>
      <c r="X390" s="1406"/>
      <c r="Y390" s="1406"/>
      <c r="Z390" s="1406"/>
      <c r="AA390" s="1406"/>
      <c r="AB390" s="1406"/>
      <c r="AC390" s="1406"/>
      <c r="AD390" s="1406"/>
      <c r="AE390" s="1406"/>
      <c r="AF390" s="1406"/>
      <c r="AG390" s="1406"/>
      <c r="AH390" s="1406"/>
      <c r="AI390" s="1406"/>
      <c r="AJ390" s="1406"/>
      <c r="AK390" s="1406"/>
      <c r="AL390" s="1406"/>
      <c r="AM390" s="1406"/>
      <c r="AN390" s="1406"/>
      <c r="AO390" s="1405"/>
      <c r="AP390" s="1405"/>
      <c r="AQ390" s="1405"/>
      <c r="AR390" s="1405"/>
      <c r="AS390" s="1405"/>
      <c r="AT390" s="1405"/>
      <c r="AU390" s="1405"/>
      <c r="AV390" s="1405"/>
    </row>
    <row r="391" spans="1:48" s="1431" customFormat="1">
      <c r="A391" s="1399"/>
      <c r="B391" s="1429"/>
      <c r="C391" s="1430"/>
      <c r="D391" s="1400"/>
      <c r="E391" s="1401"/>
      <c r="F391" s="1401"/>
      <c r="G391" s="1402"/>
      <c r="H391" s="1403"/>
      <c r="I391" s="1404"/>
      <c r="J391" s="1405"/>
      <c r="K391" s="1405"/>
      <c r="L391" s="1406"/>
      <c r="M391" s="1406"/>
      <c r="N391" s="1406"/>
      <c r="O391" s="1406"/>
      <c r="P391" s="1406"/>
      <c r="Q391" s="1406"/>
      <c r="R391" s="1406"/>
      <c r="S391" s="1406"/>
      <c r="T391" s="1406"/>
      <c r="U391" s="1406"/>
      <c r="V391" s="1406"/>
      <c r="W391" s="1406"/>
      <c r="X391" s="1406"/>
      <c r="Y391" s="1406"/>
      <c r="Z391" s="1406"/>
      <c r="AA391" s="1406"/>
      <c r="AB391" s="1406"/>
      <c r="AC391" s="1406"/>
      <c r="AD391" s="1406"/>
      <c r="AE391" s="1406"/>
      <c r="AF391" s="1406"/>
      <c r="AG391" s="1406"/>
      <c r="AH391" s="1406"/>
      <c r="AI391" s="1406"/>
      <c r="AJ391" s="1406"/>
      <c r="AK391" s="1406"/>
      <c r="AL391" s="1406"/>
      <c r="AM391" s="1406"/>
      <c r="AN391" s="1406"/>
      <c r="AO391" s="1405"/>
      <c r="AP391" s="1405"/>
      <c r="AQ391" s="1405"/>
      <c r="AR391" s="1405"/>
      <c r="AS391" s="1405"/>
      <c r="AT391" s="1405"/>
      <c r="AU391" s="1405"/>
      <c r="AV391" s="1405"/>
    </row>
    <row r="392" spans="1:48" s="1431" customFormat="1">
      <c r="A392" s="1399"/>
      <c r="B392" s="1429"/>
      <c r="C392" s="1430"/>
      <c r="D392" s="1400"/>
      <c r="E392" s="1401"/>
      <c r="F392" s="1401"/>
      <c r="G392" s="1402"/>
      <c r="H392" s="1403"/>
      <c r="I392" s="1404"/>
      <c r="J392" s="1405"/>
      <c r="K392" s="1405"/>
      <c r="L392" s="1406"/>
      <c r="M392" s="1406"/>
      <c r="N392" s="1406"/>
      <c r="O392" s="1406"/>
      <c r="P392" s="1406"/>
      <c r="Q392" s="1406"/>
      <c r="R392" s="1406"/>
      <c r="S392" s="1406"/>
      <c r="T392" s="1406"/>
      <c r="U392" s="1406"/>
      <c r="V392" s="1406"/>
      <c r="W392" s="1406"/>
      <c r="X392" s="1406"/>
      <c r="Y392" s="1406"/>
      <c r="Z392" s="1406"/>
      <c r="AA392" s="1406"/>
      <c r="AB392" s="1406"/>
      <c r="AC392" s="1406"/>
      <c r="AD392" s="1406"/>
      <c r="AE392" s="1406"/>
      <c r="AF392" s="1406"/>
      <c r="AG392" s="1406"/>
      <c r="AH392" s="1406"/>
      <c r="AI392" s="1406"/>
      <c r="AJ392" s="1406"/>
      <c r="AK392" s="1406"/>
      <c r="AL392" s="1406"/>
      <c r="AM392" s="1406"/>
      <c r="AN392" s="1406"/>
      <c r="AO392" s="1405"/>
      <c r="AP392" s="1405"/>
      <c r="AQ392" s="1405"/>
      <c r="AR392" s="1405"/>
      <c r="AS392" s="1405"/>
      <c r="AT392" s="1405"/>
      <c r="AU392" s="1405"/>
      <c r="AV392" s="1405"/>
    </row>
    <row r="393" spans="1:48" s="1431" customFormat="1">
      <c r="A393" s="1399"/>
      <c r="B393" s="1429"/>
      <c r="C393" s="1430"/>
      <c r="D393" s="1400"/>
      <c r="E393" s="1401"/>
      <c r="F393" s="1401"/>
      <c r="G393" s="1402"/>
      <c r="H393" s="1403"/>
      <c r="I393" s="1404"/>
      <c r="J393" s="1405"/>
      <c r="K393" s="1405"/>
      <c r="L393" s="1406"/>
      <c r="M393" s="1406"/>
      <c r="N393" s="1406"/>
      <c r="O393" s="1406"/>
      <c r="P393" s="1406"/>
      <c r="Q393" s="1406"/>
      <c r="R393" s="1406"/>
      <c r="S393" s="1406"/>
      <c r="T393" s="1406"/>
      <c r="U393" s="1406"/>
      <c r="V393" s="1406"/>
      <c r="W393" s="1406"/>
      <c r="X393" s="1406"/>
      <c r="Y393" s="1406"/>
      <c r="Z393" s="1406"/>
      <c r="AA393" s="1406"/>
      <c r="AB393" s="1406"/>
      <c r="AC393" s="1406"/>
      <c r="AD393" s="1406"/>
      <c r="AE393" s="1406"/>
      <c r="AF393" s="1406"/>
      <c r="AG393" s="1406"/>
      <c r="AH393" s="1406"/>
      <c r="AI393" s="1406"/>
      <c r="AJ393" s="1406"/>
      <c r="AK393" s="1406"/>
      <c r="AL393" s="1406"/>
      <c r="AM393" s="1406"/>
      <c r="AN393" s="1406"/>
      <c r="AO393" s="1405"/>
      <c r="AP393" s="1405"/>
      <c r="AQ393" s="1405"/>
      <c r="AR393" s="1405"/>
      <c r="AS393" s="1405"/>
      <c r="AT393" s="1405"/>
      <c r="AU393" s="1405"/>
      <c r="AV393" s="1405"/>
    </row>
    <row r="394" spans="1:48" s="1431" customFormat="1">
      <c r="A394" s="1399"/>
      <c r="B394" s="1429"/>
      <c r="C394" s="1430"/>
      <c r="D394" s="1400"/>
      <c r="E394" s="1401"/>
      <c r="F394" s="1401"/>
      <c r="G394" s="1402"/>
      <c r="H394" s="1403"/>
      <c r="I394" s="1404"/>
      <c r="J394" s="1405"/>
      <c r="K394" s="1405"/>
      <c r="L394" s="1406"/>
      <c r="M394" s="1406"/>
      <c r="N394" s="1406"/>
      <c r="O394" s="1406"/>
      <c r="P394" s="1406"/>
      <c r="Q394" s="1406"/>
      <c r="R394" s="1406"/>
      <c r="S394" s="1406"/>
      <c r="T394" s="1406"/>
      <c r="U394" s="1406"/>
      <c r="V394" s="1406"/>
      <c r="W394" s="1406"/>
      <c r="X394" s="1406"/>
      <c r="Y394" s="1406"/>
      <c r="Z394" s="1406"/>
      <c r="AA394" s="1406"/>
      <c r="AB394" s="1406"/>
      <c r="AC394" s="1406"/>
      <c r="AD394" s="1406"/>
      <c r="AE394" s="1406"/>
      <c r="AF394" s="1406"/>
      <c r="AG394" s="1406"/>
      <c r="AH394" s="1406"/>
      <c r="AI394" s="1406"/>
      <c r="AJ394" s="1406"/>
      <c r="AK394" s="1406"/>
      <c r="AL394" s="1406"/>
      <c r="AM394" s="1406"/>
      <c r="AN394" s="1406"/>
      <c r="AO394" s="1405"/>
      <c r="AP394" s="1405"/>
      <c r="AQ394" s="1405"/>
      <c r="AR394" s="1405"/>
      <c r="AS394" s="1405"/>
      <c r="AT394" s="1405"/>
      <c r="AU394" s="1405"/>
      <c r="AV394" s="1405"/>
    </row>
    <row r="395" spans="1:48" s="1431" customFormat="1">
      <c r="A395" s="1399"/>
      <c r="B395" s="1429"/>
      <c r="C395" s="1430"/>
      <c r="D395" s="1400"/>
      <c r="E395" s="1401"/>
      <c r="F395" s="1401"/>
      <c r="G395" s="1402"/>
      <c r="H395" s="1403"/>
      <c r="I395" s="1404"/>
      <c r="J395" s="1405"/>
      <c r="K395" s="1405"/>
      <c r="L395" s="1406"/>
      <c r="M395" s="1406"/>
      <c r="N395" s="1406"/>
      <c r="O395" s="1406"/>
      <c r="P395" s="1406"/>
      <c r="Q395" s="1406"/>
      <c r="R395" s="1406"/>
      <c r="S395" s="1406"/>
      <c r="T395" s="1406"/>
      <c r="U395" s="1406"/>
      <c r="V395" s="1406"/>
      <c r="W395" s="1406"/>
      <c r="X395" s="1406"/>
      <c r="Y395" s="1406"/>
      <c r="Z395" s="1406"/>
      <c r="AA395" s="1406"/>
      <c r="AB395" s="1406"/>
      <c r="AC395" s="1406"/>
      <c r="AD395" s="1406"/>
      <c r="AE395" s="1406"/>
      <c r="AF395" s="1406"/>
      <c r="AG395" s="1406"/>
      <c r="AH395" s="1406"/>
      <c r="AI395" s="1406"/>
      <c r="AJ395" s="1406"/>
      <c r="AK395" s="1406"/>
      <c r="AL395" s="1406"/>
      <c r="AM395" s="1406"/>
      <c r="AN395" s="1406"/>
      <c r="AO395" s="1405"/>
      <c r="AP395" s="1405"/>
      <c r="AQ395" s="1405"/>
      <c r="AR395" s="1405"/>
      <c r="AS395" s="1405"/>
      <c r="AT395" s="1405"/>
      <c r="AU395" s="1405"/>
      <c r="AV395" s="1405"/>
    </row>
    <row r="396" spans="1:48" s="1431" customFormat="1">
      <c r="A396" s="1399"/>
      <c r="B396" s="1429"/>
      <c r="C396" s="1430"/>
      <c r="D396" s="1400"/>
      <c r="E396" s="1401"/>
      <c r="F396" s="1401"/>
      <c r="G396" s="1402"/>
      <c r="H396" s="1403"/>
      <c r="I396" s="1404"/>
      <c r="J396" s="1405"/>
      <c r="K396" s="1405"/>
      <c r="L396" s="1406"/>
      <c r="M396" s="1406"/>
      <c r="N396" s="1406"/>
      <c r="O396" s="1406"/>
      <c r="P396" s="1406"/>
      <c r="Q396" s="1406"/>
      <c r="R396" s="1406"/>
      <c r="S396" s="1406"/>
      <c r="T396" s="1406"/>
      <c r="U396" s="1406"/>
      <c r="V396" s="1406"/>
      <c r="W396" s="1406"/>
      <c r="X396" s="1406"/>
      <c r="Y396" s="1406"/>
      <c r="Z396" s="1406"/>
      <c r="AA396" s="1406"/>
      <c r="AB396" s="1406"/>
      <c r="AC396" s="1406"/>
      <c r="AD396" s="1406"/>
      <c r="AE396" s="1406"/>
      <c r="AF396" s="1406"/>
      <c r="AG396" s="1406"/>
      <c r="AH396" s="1406"/>
      <c r="AI396" s="1406"/>
      <c r="AJ396" s="1406"/>
      <c r="AK396" s="1406"/>
      <c r="AL396" s="1406"/>
      <c r="AM396" s="1406"/>
      <c r="AN396" s="1406"/>
      <c r="AO396" s="1405"/>
      <c r="AP396" s="1405"/>
      <c r="AQ396" s="1405"/>
      <c r="AR396" s="1405"/>
      <c r="AS396" s="1405"/>
      <c r="AT396" s="1405"/>
      <c r="AU396" s="1405"/>
      <c r="AV396" s="1405"/>
    </row>
    <row r="397" spans="1:48" s="1431" customFormat="1">
      <c r="A397" s="1399"/>
      <c r="B397" s="1429"/>
      <c r="C397" s="1430"/>
      <c r="D397" s="1400"/>
      <c r="E397" s="1401"/>
      <c r="F397" s="1401"/>
      <c r="G397" s="1402"/>
      <c r="H397" s="1403"/>
      <c r="I397" s="1404"/>
      <c r="J397" s="1405"/>
      <c r="K397" s="1405"/>
      <c r="L397" s="1406"/>
      <c r="M397" s="1406"/>
      <c r="N397" s="1406"/>
      <c r="O397" s="1406"/>
      <c r="P397" s="1406"/>
      <c r="Q397" s="1406"/>
      <c r="R397" s="1406"/>
      <c r="S397" s="1406"/>
      <c r="T397" s="1406"/>
      <c r="U397" s="1406"/>
      <c r="V397" s="1406"/>
      <c r="W397" s="1406"/>
      <c r="X397" s="1406"/>
      <c r="Y397" s="1406"/>
      <c r="Z397" s="1406"/>
      <c r="AA397" s="1406"/>
      <c r="AB397" s="1406"/>
      <c r="AC397" s="1406"/>
      <c r="AD397" s="1406"/>
      <c r="AE397" s="1406"/>
      <c r="AF397" s="1406"/>
      <c r="AG397" s="1406"/>
      <c r="AH397" s="1406"/>
      <c r="AI397" s="1406"/>
      <c r="AJ397" s="1406"/>
      <c r="AK397" s="1406"/>
      <c r="AL397" s="1406"/>
      <c r="AM397" s="1406"/>
      <c r="AN397" s="1406"/>
      <c r="AO397" s="1405"/>
      <c r="AP397" s="1405"/>
      <c r="AQ397" s="1405"/>
      <c r="AR397" s="1405"/>
      <c r="AS397" s="1405"/>
      <c r="AT397" s="1405"/>
      <c r="AU397" s="1405"/>
      <c r="AV397" s="1405"/>
    </row>
    <row r="398" spans="1:48" s="1431" customFormat="1">
      <c r="A398" s="1399"/>
      <c r="B398" s="1429"/>
      <c r="C398" s="1430"/>
      <c r="D398" s="1400"/>
      <c r="E398" s="1401"/>
      <c r="F398" s="1401"/>
      <c r="G398" s="1402"/>
      <c r="H398" s="1403"/>
      <c r="I398" s="1404"/>
      <c r="J398" s="1405"/>
      <c r="K398" s="1405"/>
      <c r="L398" s="1406"/>
      <c r="M398" s="1406"/>
      <c r="N398" s="1406"/>
      <c r="O398" s="1406"/>
      <c r="P398" s="1406"/>
      <c r="Q398" s="1406"/>
      <c r="R398" s="1406"/>
      <c r="S398" s="1406"/>
      <c r="T398" s="1406"/>
      <c r="U398" s="1406"/>
      <c r="V398" s="1406"/>
      <c r="W398" s="1406"/>
      <c r="X398" s="1406"/>
      <c r="Y398" s="1406"/>
      <c r="Z398" s="1406"/>
      <c r="AA398" s="1406"/>
      <c r="AB398" s="1406"/>
      <c r="AC398" s="1406"/>
      <c r="AD398" s="1406"/>
      <c r="AE398" s="1406"/>
      <c r="AF398" s="1406"/>
      <c r="AG398" s="1406"/>
      <c r="AH398" s="1406"/>
      <c r="AI398" s="1406"/>
      <c r="AJ398" s="1406"/>
      <c r="AK398" s="1406"/>
      <c r="AL398" s="1406"/>
      <c r="AM398" s="1406"/>
      <c r="AN398" s="1406"/>
      <c r="AO398" s="1405"/>
      <c r="AP398" s="1405"/>
      <c r="AQ398" s="1405"/>
      <c r="AR398" s="1405"/>
      <c r="AS398" s="1405"/>
      <c r="AT398" s="1405"/>
      <c r="AU398" s="1405"/>
      <c r="AV398" s="1405"/>
    </row>
    <row r="399" spans="1:48" s="1431" customFormat="1">
      <c r="A399" s="1399"/>
      <c r="B399" s="1429"/>
      <c r="C399" s="1430"/>
      <c r="D399" s="1400"/>
      <c r="E399" s="1401"/>
      <c r="F399" s="1401"/>
      <c r="G399" s="1402"/>
      <c r="H399" s="1403"/>
      <c r="I399" s="1404"/>
      <c r="J399" s="1405"/>
      <c r="K399" s="1405"/>
      <c r="L399" s="1406"/>
      <c r="M399" s="1406"/>
      <c r="N399" s="1406"/>
      <c r="O399" s="1406"/>
      <c r="P399" s="1406"/>
      <c r="Q399" s="1406"/>
      <c r="R399" s="1406"/>
      <c r="S399" s="1406"/>
      <c r="T399" s="1406"/>
      <c r="U399" s="1406"/>
      <c r="V399" s="1406"/>
      <c r="W399" s="1406"/>
      <c r="X399" s="1406"/>
      <c r="Y399" s="1406"/>
      <c r="Z399" s="1406"/>
      <c r="AA399" s="1406"/>
      <c r="AB399" s="1406"/>
      <c r="AC399" s="1406"/>
      <c r="AD399" s="1406"/>
      <c r="AE399" s="1406"/>
      <c r="AF399" s="1406"/>
      <c r="AG399" s="1406"/>
      <c r="AH399" s="1406"/>
      <c r="AI399" s="1406"/>
      <c r="AJ399" s="1406"/>
      <c r="AK399" s="1406"/>
      <c r="AL399" s="1406"/>
      <c r="AM399" s="1406"/>
      <c r="AN399" s="1406"/>
      <c r="AO399" s="1405"/>
      <c r="AP399" s="1405"/>
      <c r="AQ399" s="1405"/>
      <c r="AR399" s="1405"/>
      <c r="AS399" s="1405"/>
      <c r="AT399" s="1405"/>
      <c r="AU399" s="1405"/>
      <c r="AV399" s="1405"/>
    </row>
    <row r="400" spans="1:48" s="1431" customFormat="1">
      <c r="A400" s="1399"/>
      <c r="B400" s="1429"/>
      <c r="C400" s="1430"/>
      <c r="D400" s="1400"/>
      <c r="E400" s="1401"/>
      <c r="F400" s="1401"/>
      <c r="G400" s="1402"/>
      <c r="H400" s="1403"/>
      <c r="I400" s="1404"/>
      <c r="J400" s="1405"/>
      <c r="K400" s="1405"/>
      <c r="L400" s="1406"/>
      <c r="M400" s="1406"/>
      <c r="N400" s="1406"/>
      <c r="O400" s="1406"/>
      <c r="P400" s="1406"/>
      <c r="Q400" s="1406"/>
      <c r="R400" s="1406"/>
      <c r="S400" s="1406"/>
      <c r="T400" s="1406"/>
      <c r="U400" s="1406"/>
      <c r="V400" s="1406"/>
      <c r="W400" s="1406"/>
      <c r="X400" s="1406"/>
      <c r="Y400" s="1406"/>
      <c r="Z400" s="1406"/>
      <c r="AA400" s="1406"/>
      <c r="AB400" s="1406"/>
      <c r="AC400" s="1406"/>
      <c r="AD400" s="1406"/>
      <c r="AE400" s="1406"/>
      <c r="AF400" s="1406"/>
      <c r="AG400" s="1406"/>
      <c r="AH400" s="1406"/>
      <c r="AI400" s="1406"/>
      <c r="AJ400" s="1406"/>
      <c r="AK400" s="1406"/>
      <c r="AL400" s="1406"/>
      <c r="AM400" s="1406"/>
      <c r="AN400" s="1406"/>
      <c r="AO400" s="1405"/>
      <c r="AP400" s="1405"/>
      <c r="AQ400" s="1405"/>
      <c r="AR400" s="1405"/>
      <c r="AS400" s="1405"/>
      <c r="AT400" s="1405"/>
      <c r="AU400" s="1405"/>
      <c r="AV400" s="1405"/>
    </row>
    <row r="401" spans="1:48" s="1431" customFormat="1">
      <c r="A401" s="1399"/>
      <c r="B401" s="1429"/>
      <c r="C401" s="1430"/>
      <c r="D401" s="1400"/>
      <c r="E401" s="1401"/>
      <c r="F401" s="1401"/>
      <c r="G401" s="1402"/>
      <c r="H401" s="1403"/>
      <c r="I401" s="1404"/>
      <c r="J401" s="1405"/>
      <c r="K401" s="1405"/>
      <c r="L401" s="1406"/>
      <c r="M401" s="1406"/>
      <c r="N401" s="1406"/>
      <c r="O401" s="1406"/>
      <c r="P401" s="1406"/>
      <c r="Q401" s="1406"/>
      <c r="R401" s="1406"/>
      <c r="S401" s="1406"/>
      <c r="T401" s="1406"/>
      <c r="U401" s="1406"/>
      <c r="V401" s="1406"/>
      <c r="W401" s="1406"/>
      <c r="X401" s="1406"/>
      <c r="Y401" s="1406"/>
      <c r="Z401" s="1406"/>
      <c r="AA401" s="1406"/>
      <c r="AB401" s="1406"/>
      <c r="AC401" s="1406"/>
      <c r="AD401" s="1406"/>
      <c r="AE401" s="1406"/>
      <c r="AF401" s="1406"/>
      <c r="AG401" s="1406"/>
      <c r="AH401" s="1406"/>
      <c r="AI401" s="1406"/>
      <c r="AJ401" s="1406"/>
      <c r="AK401" s="1406"/>
      <c r="AL401" s="1406"/>
      <c r="AM401" s="1406"/>
      <c r="AN401" s="1406"/>
      <c r="AO401" s="1405"/>
      <c r="AP401" s="1405"/>
      <c r="AQ401" s="1405"/>
      <c r="AR401" s="1405"/>
      <c r="AS401" s="1405"/>
      <c r="AT401" s="1405"/>
      <c r="AU401" s="1405"/>
      <c r="AV401" s="1405"/>
    </row>
    <row r="402" spans="1:48" s="1431" customFormat="1">
      <c r="A402" s="1399"/>
      <c r="B402" s="1429"/>
      <c r="C402" s="1430"/>
      <c r="D402" s="1400"/>
      <c r="E402" s="1401"/>
      <c r="F402" s="1401"/>
      <c r="G402" s="1402"/>
      <c r="H402" s="1403"/>
      <c r="I402" s="1404"/>
      <c r="J402" s="1405"/>
      <c r="K402" s="1405"/>
      <c r="L402" s="1406"/>
      <c r="M402" s="1406"/>
      <c r="N402" s="1406"/>
      <c r="O402" s="1406"/>
      <c r="P402" s="1406"/>
      <c r="Q402" s="1406"/>
      <c r="R402" s="1406"/>
      <c r="S402" s="1406"/>
      <c r="T402" s="1406"/>
      <c r="U402" s="1406"/>
      <c r="V402" s="1406"/>
      <c r="W402" s="1406"/>
      <c r="X402" s="1406"/>
      <c r="Y402" s="1406"/>
      <c r="Z402" s="1406"/>
      <c r="AA402" s="1406"/>
      <c r="AB402" s="1406"/>
      <c r="AC402" s="1406"/>
      <c r="AD402" s="1406"/>
      <c r="AE402" s="1406"/>
      <c r="AF402" s="1406"/>
      <c r="AG402" s="1406"/>
      <c r="AH402" s="1406"/>
      <c r="AI402" s="1406"/>
      <c r="AJ402" s="1406"/>
      <c r="AK402" s="1406"/>
      <c r="AL402" s="1406"/>
      <c r="AM402" s="1406"/>
      <c r="AN402" s="1406"/>
      <c r="AO402" s="1405"/>
      <c r="AP402" s="1405"/>
      <c r="AQ402" s="1405"/>
      <c r="AR402" s="1405"/>
      <c r="AS402" s="1405"/>
      <c r="AT402" s="1405"/>
      <c r="AU402" s="1405"/>
      <c r="AV402" s="1405"/>
    </row>
    <row r="403" spans="1:48" s="1431" customFormat="1">
      <c r="A403" s="1399"/>
      <c r="B403" s="1429"/>
      <c r="C403" s="1430"/>
      <c r="D403" s="1400"/>
      <c r="E403" s="1401"/>
      <c r="F403" s="1401"/>
      <c r="G403" s="1402"/>
      <c r="H403" s="1403"/>
      <c r="I403" s="1404"/>
      <c r="J403" s="1405"/>
      <c r="K403" s="1405"/>
      <c r="L403" s="1406"/>
      <c r="M403" s="1406"/>
      <c r="N403" s="1406"/>
      <c r="O403" s="1406"/>
      <c r="P403" s="1406"/>
      <c r="Q403" s="1406"/>
      <c r="R403" s="1406"/>
      <c r="S403" s="1406"/>
      <c r="T403" s="1406"/>
      <c r="U403" s="1406"/>
      <c r="V403" s="1406"/>
      <c r="W403" s="1406"/>
      <c r="X403" s="1406"/>
      <c r="Y403" s="1406"/>
      <c r="Z403" s="1406"/>
      <c r="AA403" s="1406"/>
      <c r="AB403" s="1406"/>
      <c r="AC403" s="1406"/>
      <c r="AD403" s="1406"/>
      <c r="AE403" s="1406"/>
      <c r="AF403" s="1406"/>
      <c r="AG403" s="1406"/>
      <c r="AH403" s="1406"/>
      <c r="AI403" s="1406"/>
      <c r="AJ403" s="1406"/>
      <c r="AK403" s="1406"/>
      <c r="AL403" s="1406"/>
      <c r="AM403" s="1406"/>
      <c r="AN403" s="1406"/>
      <c r="AO403" s="1405"/>
      <c r="AP403" s="1405"/>
      <c r="AQ403" s="1405"/>
      <c r="AR403" s="1405"/>
      <c r="AS403" s="1405"/>
      <c r="AT403" s="1405"/>
      <c r="AU403" s="1405"/>
      <c r="AV403" s="1405"/>
    </row>
    <row r="404" spans="1:48" s="1431" customFormat="1">
      <c r="A404" s="1399"/>
      <c r="B404" s="1429"/>
      <c r="C404" s="1430"/>
      <c r="D404" s="1400"/>
      <c r="E404" s="1401"/>
      <c r="F404" s="1401"/>
      <c r="G404" s="1402"/>
      <c r="H404" s="1403"/>
      <c r="I404" s="1404"/>
      <c r="J404" s="1405"/>
      <c r="K404" s="1405"/>
      <c r="L404" s="1406"/>
      <c r="M404" s="1406"/>
      <c r="N404" s="1406"/>
      <c r="O404" s="1406"/>
      <c r="P404" s="1406"/>
      <c r="Q404" s="1406"/>
      <c r="R404" s="1406"/>
      <c r="S404" s="1406"/>
      <c r="T404" s="1406"/>
      <c r="U404" s="1406"/>
      <c r="V404" s="1406"/>
      <c r="W404" s="1406"/>
      <c r="X404" s="1406"/>
      <c r="Y404" s="1406"/>
      <c r="Z404" s="1406"/>
      <c r="AA404" s="1406"/>
      <c r="AB404" s="1406"/>
      <c r="AC404" s="1406"/>
      <c r="AD404" s="1406"/>
      <c r="AE404" s="1406"/>
      <c r="AF404" s="1406"/>
      <c r="AG404" s="1406"/>
      <c r="AH404" s="1406"/>
      <c r="AI404" s="1406"/>
      <c r="AJ404" s="1406"/>
      <c r="AK404" s="1406"/>
      <c r="AL404" s="1406"/>
      <c r="AM404" s="1406"/>
      <c r="AN404" s="1406"/>
      <c r="AO404" s="1405"/>
      <c r="AP404" s="1405"/>
      <c r="AQ404" s="1405"/>
      <c r="AR404" s="1405"/>
      <c r="AS404" s="1405"/>
      <c r="AT404" s="1405"/>
      <c r="AU404" s="1405"/>
      <c r="AV404" s="1405"/>
    </row>
    <row r="405" spans="1:48" s="1431" customFormat="1">
      <c r="A405" s="1399"/>
      <c r="B405" s="1429"/>
      <c r="C405" s="1430"/>
      <c r="D405" s="1400"/>
      <c r="E405" s="1401"/>
      <c r="F405" s="1401"/>
      <c r="G405" s="1402"/>
      <c r="H405" s="1403"/>
      <c r="I405" s="1404"/>
      <c r="J405" s="1405"/>
      <c r="K405" s="1405"/>
      <c r="L405" s="1406"/>
      <c r="M405" s="1406"/>
      <c r="N405" s="1406"/>
      <c r="O405" s="1406"/>
      <c r="P405" s="1406"/>
      <c r="Q405" s="1406"/>
      <c r="R405" s="1406"/>
      <c r="S405" s="1406"/>
      <c r="T405" s="1406"/>
      <c r="U405" s="1406"/>
      <c r="V405" s="1406"/>
      <c r="W405" s="1406"/>
      <c r="X405" s="1406"/>
      <c r="Y405" s="1406"/>
      <c r="Z405" s="1406"/>
      <c r="AA405" s="1406"/>
      <c r="AB405" s="1406"/>
      <c r="AC405" s="1406"/>
      <c r="AD405" s="1406"/>
      <c r="AE405" s="1406"/>
      <c r="AF405" s="1406"/>
      <c r="AG405" s="1406"/>
      <c r="AH405" s="1406"/>
      <c r="AI405" s="1406"/>
      <c r="AJ405" s="1406"/>
      <c r="AK405" s="1406"/>
      <c r="AL405" s="1406"/>
      <c r="AM405" s="1406"/>
      <c r="AN405" s="1406"/>
      <c r="AO405" s="1405"/>
      <c r="AP405" s="1405"/>
      <c r="AQ405" s="1405"/>
      <c r="AR405" s="1405"/>
      <c r="AS405" s="1405"/>
      <c r="AT405" s="1405"/>
      <c r="AU405" s="1405"/>
      <c r="AV405" s="1405"/>
    </row>
    <row r="406" spans="1:48" s="1431" customFormat="1">
      <c r="A406" s="1399"/>
      <c r="B406" s="1429"/>
      <c r="C406" s="1430"/>
      <c r="D406" s="1400"/>
      <c r="E406" s="1401"/>
      <c r="F406" s="1401"/>
      <c r="G406" s="1402"/>
      <c r="H406" s="1403"/>
      <c r="I406" s="1404"/>
      <c r="J406" s="1405"/>
      <c r="K406" s="1405"/>
      <c r="L406" s="1406"/>
      <c r="M406" s="1406"/>
      <c r="N406" s="1406"/>
      <c r="O406" s="1406"/>
      <c r="P406" s="1406"/>
      <c r="Q406" s="1406"/>
      <c r="R406" s="1406"/>
      <c r="S406" s="1406"/>
      <c r="T406" s="1406"/>
      <c r="U406" s="1406"/>
      <c r="V406" s="1406"/>
      <c r="W406" s="1406"/>
      <c r="X406" s="1406"/>
      <c r="Y406" s="1406"/>
      <c r="Z406" s="1406"/>
      <c r="AA406" s="1406"/>
      <c r="AB406" s="1406"/>
      <c r="AC406" s="1406"/>
      <c r="AD406" s="1406"/>
      <c r="AE406" s="1406"/>
      <c r="AF406" s="1406"/>
      <c r="AG406" s="1406"/>
      <c r="AH406" s="1406"/>
      <c r="AI406" s="1406"/>
      <c r="AJ406" s="1406"/>
      <c r="AK406" s="1406"/>
      <c r="AL406" s="1406"/>
      <c r="AM406" s="1406"/>
      <c r="AN406" s="1406"/>
      <c r="AO406" s="1405"/>
      <c r="AP406" s="1405"/>
      <c r="AQ406" s="1405"/>
      <c r="AR406" s="1405"/>
      <c r="AS406" s="1405"/>
      <c r="AT406" s="1405"/>
      <c r="AU406" s="1405"/>
      <c r="AV406" s="1405"/>
    </row>
    <row r="407" spans="1:48" s="1431" customFormat="1">
      <c r="A407" s="1399"/>
      <c r="B407" s="1429"/>
      <c r="C407" s="1430"/>
      <c r="D407" s="1400"/>
      <c r="E407" s="1401"/>
      <c r="F407" s="1401"/>
      <c r="G407" s="1402"/>
      <c r="H407" s="1403"/>
      <c r="I407" s="1404"/>
      <c r="J407" s="1405"/>
      <c r="K407" s="1405"/>
      <c r="L407" s="1406"/>
      <c r="M407" s="1406"/>
      <c r="N407" s="1406"/>
      <c r="O407" s="1406"/>
      <c r="P407" s="1406"/>
      <c r="Q407" s="1406"/>
      <c r="R407" s="1406"/>
      <c r="S407" s="1406"/>
      <c r="T407" s="1406"/>
      <c r="U407" s="1406"/>
      <c r="V407" s="1406"/>
      <c r="W407" s="1406"/>
      <c r="X407" s="1406"/>
      <c r="Y407" s="1406"/>
      <c r="Z407" s="1406"/>
      <c r="AA407" s="1406"/>
      <c r="AB407" s="1406"/>
      <c r="AC407" s="1406"/>
      <c r="AD407" s="1406"/>
      <c r="AE407" s="1406"/>
      <c r="AF407" s="1406"/>
      <c r="AG407" s="1406"/>
      <c r="AH407" s="1406"/>
      <c r="AI407" s="1406"/>
      <c r="AJ407" s="1406"/>
      <c r="AK407" s="1406"/>
      <c r="AL407" s="1406"/>
      <c r="AM407" s="1406"/>
      <c r="AN407" s="1406"/>
      <c r="AO407" s="1405"/>
      <c r="AP407" s="1405"/>
      <c r="AQ407" s="1405"/>
      <c r="AR407" s="1405"/>
      <c r="AS407" s="1405"/>
      <c r="AT407" s="1405"/>
      <c r="AU407" s="1405"/>
      <c r="AV407" s="1405"/>
    </row>
    <row r="408" spans="1:48" s="1431" customFormat="1">
      <c r="A408" s="1399"/>
      <c r="B408" s="1429"/>
      <c r="C408" s="1430"/>
      <c r="D408" s="1400"/>
      <c r="E408" s="1401"/>
      <c r="F408" s="1401"/>
      <c r="G408" s="1402"/>
      <c r="H408" s="1403"/>
      <c r="I408" s="1404"/>
      <c r="J408" s="1405"/>
      <c r="K408" s="1405"/>
      <c r="L408" s="1406"/>
      <c r="M408" s="1406"/>
      <c r="N408" s="1406"/>
      <c r="O408" s="1406"/>
      <c r="P408" s="1406"/>
      <c r="Q408" s="1406"/>
      <c r="R408" s="1406"/>
      <c r="S408" s="1406"/>
      <c r="T408" s="1406"/>
      <c r="U408" s="1406"/>
      <c r="V408" s="1406"/>
      <c r="W408" s="1406"/>
      <c r="X408" s="1406"/>
      <c r="Y408" s="1406"/>
      <c r="Z408" s="1406"/>
      <c r="AA408" s="1406"/>
      <c r="AB408" s="1406"/>
      <c r="AC408" s="1406"/>
      <c r="AD408" s="1406"/>
      <c r="AE408" s="1406"/>
      <c r="AF408" s="1406"/>
      <c r="AG408" s="1406"/>
      <c r="AH408" s="1406"/>
      <c r="AI408" s="1406"/>
      <c r="AJ408" s="1406"/>
      <c r="AK408" s="1406"/>
      <c r="AL408" s="1406"/>
      <c r="AM408" s="1406"/>
      <c r="AN408" s="1406"/>
      <c r="AO408" s="1405"/>
      <c r="AP408" s="1405"/>
      <c r="AQ408" s="1405"/>
      <c r="AR408" s="1405"/>
      <c r="AS408" s="1405"/>
      <c r="AT408" s="1405"/>
      <c r="AU408" s="1405"/>
      <c r="AV408" s="1405"/>
    </row>
    <row r="409" spans="1:48" s="1431" customFormat="1">
      <c r="A409" s="1399"/>
      <c r="B409" s="1429"/>
      <c r="C409" s="1430"/>
      <c r="D409" s="1400"/>
      <c r="E409" s="1401"/>
      <c r="F409" s="1401"/>
      <c r="G409" s="1402"/>
      <c r="H409" s="1403"/>
      <c r="I409" s="1404"/>
      <c r="J409" s="1405"/>
      <c r="K409" s="1405"/>
      <c r="L409" s="1406"/>
      <c r="M409" s="1406"/>
      <c r="N409" s="1406"/>
      <c r="O409" s="1406"/>
      <c r="P409" s="1406"/>
      <c r="Q409" s="1406"/>
      <c r="R409" s="1406"/>
      <c r="S409" s="1406"/>
      <c r="T409" s="1406"/>
      <c r="U409" s="1406"/>
      <c r="V409" s="1406"/>
      <c r="W409" s="1406"/>
      <c r="X409" s="1406"/>
      <c r="Y409" s="1406"/>
      <c r="Z409" s="1406"/>
      <c r="AA409" s="1406"/>
      <c r="AB409" s="1406"/>
      <c r="AC409" s="1406"/>
      <c r="AD409" s="1406"/>
      <c r="AE409" s="1406"/>
      <c r="AF409" s="1406"/>
      <c r="AG409" s="1406"/>
      <c r="AH409" s="1406"/>
      <c r="AI409" s="1406"/>
      <c r="AJ409" s="1406"/>
      <c r="AK409" s="1406"/>
      <c r="AL409" s="1406"/>
      <c r="AM409" s="1406"/>
      <c r="AN409" s="1406"/>
      <c r="AO409" s="1405"/>
      <c r="AP409" s="1405"/>
      <c r="AQ409" s="1405"/>
      <c r="AR409" s="1405"/>
      <c r="AS409" s="1405"/>
      <c r="AT409" s="1405"/>
      <c r="AU409" s="1405"/>
      <c r="AV409" s="1405"/>
    </row>
    <row r="410" spans="1:48" s="1431" customFormat="1">
      <c r="A410" s="1399"/>
      <c r="B410" s="1429"/>
      <c r="C410" s="1430"/>
      <c r="D410" s="1400"/>
      <c r="E410" s="1401"/>
      <c r="F410" s="1401"/>
      <c r="G410" s="1402"/>
      <c r="H410" s="1403"/>
      <c r="I410" s="1404"/>
      <c r="J410" s="1405"/>
      <c r="K410" s="1405"/>
      <c r="L410" s="1406"/>
      <c r="M410" s="1406"/>
      <c r="N410" s="1406"/>
      <c r="O410" s="1406"/>
      <c r="P410" s="1406"/>
      <c r="Q410" s="1406"/>
      <c r="R410" s="1406"/>
      <c r="S410" s="1406"/>
      <c r="T410" s="1406"/>
      <c r="U410" s="1406"/>
      <c r="V410" s="1406"/>
      <c r="W410" s="1406"/>
      <c r="X410" s="1406"/>
      <c r="Y410" s="1406"/>
      <c r="Z410" s="1406"/>
      <c r="AA410" s="1406"/>
      <c r="AB410" s="1406"/>
      <c r="AC410" s="1406"/>
      <c r="AD410" s="1406"/>
      <c r="AE410" s="1406"/>
      <c r="AF410" s="1406"/>
      <c r="AG410" s="1406"/>
      <c r="AH410" s="1406"/>
      <c r="AI410" s="1406"/>
      <c r="AJ410" s="1406"/>
      <c r="AK410" s="1406"/>
      <c r="AL410" s="1406"/>
      <c r="AM410" s="1406"/>
      <c r="AN410" s="1406"/>
      <c r="AO410" s="1405"/>
      <c r="AP410" s="1405"/>
      <c r="AQ410" s="1405"/>
      <c r="AR410" s="1405"/>
      <c r="AS410" s="1405"/>
      <c r="AT410" s="1405"/>
      <c r="AU410" s="1405"/>
      <c r="AV410" s="1405"/>
    </row>
    <row r="411" spans="1:48" s="1431" customFormat="1">
      <c r="A411" s="1399"/>
      <c r="B411" s="1429"/>
      <c r="C411" s="1430"/>
      <c r="D411" s="1400"/>
      <c r="E411" s="1401"/>
      <c r="F411" s="1401"/>
      <c r="G411" s="1402"/>
      <c r="H411" s="1403"/>
      <c r="I411" s="1404"/>
      <c r="J411" s="1405"/>
      <c r="K411" s="1405"/>
      <c r="L411" s="1406"/>
      <c r="M411" s="1406"/>
      <c r="N411" s="1406"/>
      <c r="O411" s="1406"/>
      <c r="P411" s="1406"/>
      <c r="Q411" s="1406"/>
      <c r="R411" s="1406"/>
      <c r="S411" s="1406"/>
      <c r="T411" s="1406"/>
      <c r="U411" s="1406"/>
      <c r="V411" s="1406"/>
      <c r="W411" s="1406"/>
      <c r="X411" s="1406"/>
      <c r="Y411" s="1406"/>
      <c r="Z411" s="1406"/>
      <c r="AA411" s="1406"/>
      <c r="AB411" s="1406"/>
      <c r="AC411" s="1406"/>
      <c r="AD411" s="1406"/>
      <c r="AE411" s="1406"/>
      <c r="AF411" s="1406"/>
      <c r="AG411" s="1406"/>
      <c r="AH411" s="1406"/>
      <c r="AI411" s="1406"/>
      <c r="AJ411" s="1406"/>
      <c r="AK411" s="1406"/>
      <c r="AL411" s="1406"/>
      <c r="AM411" s="1406"/>
      <c r="AN411" s="1406"/>
      <c r="AO411" s="1405"/>
      <c r="AP411" s="1405"/>
      <c r="AQ411" s="1405"/>
      <c r="AR411" s="1405"/>
      <c r="AS411" s="1405"/>
      <c r="AT411" s="1405"/>
      <c r="AU411" s="1405"/>
      <c r="AV411" s="1405"/>
    </row>
    <row r="412" spans="1:48" s="1431" customFormat="1">
      <c r="A412" s="1399"/>
      <c r="B412" s="1429"/>
      <c r="C412" s="1430"/>
      <c r="D412" s="1400"/>
      <c r="E412" s="1401"/>
      <c r="F412" s="1401"/>
      <c r="G412" s="1402"/>
      <c r="H412" s="1403"/>
      <c r="I412" s="1404"/>
      <c r="J412" s="1405"/>
      <c r="K412" s="1405"/>
      <c r="L412" s="1406"/>
      <c r="M412" s="1406"/>
      <c r="N412" s="1406"/>
      <c r="O412" s="1406"/>
      <c r="P412" s="1406"/>
      <c r="Q412" s="1406"/>
      <c r="R412" s="1406"/>
      <c r="S412" s="1406"/>
      <c r="T412" s="1406"/>
      <c r="U412" s="1406"/>
      <c r="V412" s="1406"/>
      <c r="W412" s="1406"/>
      <c r="X412" s="1406"/>
      <c r="Y412" s="1406"/>
      <c r="Z412" s="1406"/>
      <c r="AA412" s="1406"/>
      <c r="AB412" s="1406"/>
      <c r="AC412" s="1406"/>
      <c r="AD412" s="1406"/>
      <c r="AE412" s="1406"/>
      <c r="AF412" s="1406"/>
      <c r="AG412" s="1406"/>
      <c r="AH412" s="1406"/>
      <c r="AI412" s="1406"/>
      <c r="AJ412" s="1406"/>
      <c r="AK412" s="1406"/>
      <c r="AL412" s="1406"/>
      <c r="AM412" s="1406"/>
      <c r="AN412" s="1406"/>
      <c r="AO412" s="1405"/>
      <c r="AP412" s="1405"/>
      <c r="AQ412" s="1405"/>
      <c r="AR412" s="1405"/>
      <c r="AS412" s="1405"/>
      <c r="AT412" s="1405"/>
      <c r="AU412" s="1405"/>
      <c r="AV412" s="1405"/>
    </row>
    <row r="413" spans="1:48" s="1431" customFormat="1">
      <c r="A413" s="1399"/>
      <c r="B413" s="1429"/>
      <c r="C413" s="1430"/>
      <c r="D413" s="1400"/>
      <c r="E413" s="1401"/>
      <c r="F413" s="1401"/>
      <c r="G413" s="1402"/>
      <c r="H413" s="1403"/>
      <c r="I413" s="1404"/>
      <c r="J413" s="1405"/>
      <c r="K413" s="1405"/>
      <c r="L413" s="1406"/>
      <c r="M413" s="1406"/>
      <c r="N413" s="1406"/>
      <c r="O413" s="1406"/>
      <c r="P413" s="1406"/>
      <c r="Q413" s="1406"/>
      <c r="R413" s="1406"/>
      <c r="S413" s="1406"/>
      <c r="T413" s="1406"/>
      <c r="U413" s="1406"/>
      <c r="V413" s="1406"/>
      <c r="W413" s="1406"/>
      <c r="X413" s="1406"/>
      <c r="Y413" s="1406"/>
      <c r="Z413" s="1406"/>
      <c r="AA413" s="1406"/>
      <c r="AB413" s="1406"/>
      <c r="AC413" s="1406"/>
      <c r="AD413" s="1406"/>
      <c r="AE413" s="1406"/>
      <c r="AF413" s="1406"/>
      <c r="AG413" s="1406"/>
      <c r="AH413" s="1406"/>
      <c r="AI413" s="1406"/>
      <c r="AJ413" s="1406"/>
      <c r="AK413" s="1406"/>
      <c r="AL413" s="1406"/>
      <c r="AM413" s="1406"/>
      <c r="AN413" s="1406"/>
      <c r="AO413" s="1405"/>
      <c r="AP413" s="1405"/>
      <c r="AQ413" s="1405"/>
      <c r="AR413" s="1405"/>
      <c r="AS413" s="1405"/>
      <c r="AT413" s="1405"/>
      <c r="AU413" s="1405"/>
      <c r="AV413" s="1405"/>
    </row>
    <row r="414" spans="1:48" s="1431" customFormat="1">
      <c r="A414" s="1399"/>
      <c r="B414" s="1429"/>
      <c r="C414" s="1430"/>
      <c r="D414" s="1400"/>
      <c r="E414" s="1401"/>
      <c r="F414" s="1401"/>
      <c r="G414" s="1402"/>
      <c r="H414" s="1403"/>
      <c r="I414" s="1404"/>
      <c r="J414" s="1405"/>
      <c r="K414" s="1405"/>
      <c r="L414" s="1406"/>
      <c r="M414" s="1406"/>
      <c r="N414" s="1406"/>
      <c r="O414" s="1406"/>
      <c r="P414" s="1406"/>
      <c r="Q414" s="1406"/>
      <c r="R414" s="1406"/>
      <c r="S414" s="1406"/>
      <c r="T414" s="1406"/>
      <c r="U414" s="1406"/>
      <c r="V414" s="1406"/>
      <c r="W414" s="1406"/>
      <c r="X414" s="1406"/>
      <c r="Y414" s="1406"/>
      <c r="Z414" s="1406"/>
      <c r="AA414" s="1406"/>
      <c r="AB414" s="1406"/>
      <c r="AC414" s="1406"/>
      <c r="AD414" s="1406"/>
      <c r="AE414" s="1406"/>
      <c r="AF414" s="1406"/>
      <c r="AG414" s="1406"/>
      <c r="AH414" s="1406"/>
      <c r="AI414" s="1406"/>
      <c r="AJ414" s="1406"/>
      <c r="AK414" s="1406"/>
      <c r="AL414" s="1406"/>
      <c r="AM414" s="1406"/>
      <c r="AN414" s="1406"/>
      <c r="AO414" s="1405"/>
      <c r="AP414" s="1405"/>
      <c r="AQ414" s="1405"/>
      <c r="AR414" s="1405"/>
      <c r="AS414" s="1405"/>
      <c r="AT414" s="1405"/>
      <c r="AU414" s="1405"/>
      <c r="AV414" s="1405"/>
    </row>
    <row r="415" spans="1:48" s="1431" customFormat="1">
      <c r="A415" s="1399"/>
      <c r="B415" s="1429"/>
      <c r="C415" s="1430"/>
      <c r="D415" s="1400"/>
      <c r="E415" s="1401"/>
      <c r="F415" s="1401"/>
      <c r="G415" s="1402"/>
      <c r="H415" s="1403"/>
      <c r="I415" s="1404"/>
      <c r="J415" s="1405"/>
      <c r="K415" s="1405"/>
      <c r="L415" s="1406"/>
      <c r="M415" s="1406"/>
      <c r="N415" s="1406"/>
      <c r="O415" s="1406"/>
      <c r="P415" s="1406"/>
      <c r="Q415" s="1406"/>
      <c r="R415" s="1406"/>
      <c r="S415" s="1406"/>
      <c r="T415" s="1406"/>
      <c r="U415" s="1406"/>
      <c r="V415" s="1406"/>
      <c r="W415" s="1406"/>
      <c r="X415" s="1406"/>
      <c r="Y415" s="1406"/>
      <c r="Z415" s="1406"/>
      <c r="AA415" s="1406"/>
      <c r="AB415" s="1406"/>
      <c r="AC415" s="1406"/>
      <c r="AD415" s="1406"/>
      <c r="AE415" s="1406"/>
      <c r="AF415" s="1406"/>
      <c r="AG415" s="1406"/>
      <c r="AH415" s="1406"/>
      <c r="AI415" s="1406"/>
      <c r="AJ415" s="1406"/>
      <c r="AK415" s="1406"/>
      <c r="AL415" s="1406"/>
      <c r="AM415" s="1406"/>
      <c r="AN415" s="1406"/>
      <c r="AO415" s="1405"/>
      <c r="AP415" s="1405"/>
      <c r="AQ415" s="1405"/>
      <c r="AR415" s="1405"/>
      <c r="AS415" s="1405"/>
      <c r="AT415" s="1405"/>
      <c r="AU415" s="1405"/>
      <c r="AV415" s="1405"/>
    </row>
    <row r="416" spans="1:48" s="1431" customFormat="1">
      <c r="A416" s="1399"/>
      <c r="B416" s="1429"/>
      <c r="C416" s="1430"/>
      <c r="D416" s="1400"/>
      <c r="E416" s="1401"/>
      <c r="F416" s="1401"/>
      <c r="G416" s="1402"/>
      <c r="H416" s="1403"/>
      <c r="I416" s="1404"/>
      <c r="J416" s="1405"/>
      <c r="K416" s="1405"/>
      <c r="L416" s="1406"/>
      <c r="M416" s="1406"/>
      <c r="N416" s="1406"/>
      <c r="O416" s="1406"/>
      <c r="P416" s="1406"/>
      <c r="Q416" s="1406"/>
      <c r="R416" s="1406"/>
      <c r="S416" s="1406"/>
      <c r="T416" s="1406"/>
      <c r="U416" s="1406"/>
      <c r="V416" s="1406"/>
      <c r="W416" s="1406"/>
      <c r="X416" s="1406"/>
      <c r="Y416" s="1406"/>
      <c r="Z416" s="1406"/>
      <c r="AA416" s="1406"/>
      <c r="AB416" s="1406"/>
      <c r="AC416" s="1406"/>
      <c r="AD416" s="1406"/>
      <c r="AE416" s="1406"/>
      <c r="AF416" s="1406"/>
      <c r="AG416" s="1406"/>
      <c r="AH416" s="1406"/>
      <c r="AI416" s="1406"/>
      <c r="AJ416" s="1406"/>
      <c r="AK416" s="1406"/>
      <c r="AL416" s="1406"/>
      <c r="AM416" s="1406"/>
      <c r="AN416" s="1406"/>
      <c r="AO416" s="1405"/>
      <c r="AP416" s="1405"/>
      <c r="AQ416" s="1405"/>
      <c r="AR416" s="1405"/>
      <c r="AS416" s="1405"/>
      <c r="AT416" s="1405"/>
      <c r="AU416" s="1405"/>
      <c r="AV416" s="1405"/>
    </row>
    <row r="417" spans="1:48" s="1431" customFormat="1">
      <c r="A417" s="1399"/>
      <c r="B417" s="1429"/>
      <c r="C417" s="1430"/>
      <c r="D417" s="1400"/>
      <c r="E417" s="1401"/>
      <c r="F417" s="1401"/>
      <c r="G417" s="1402"/>
      <c r="H417" s="1403"/>
      <c r="I417" s="1404"/>
      <c r="J417" s="1405"/>
      <c r="K417" s="1405"/>
      <c r="L417" s="1406"/>
      <c r="M417" s="1406"/>
      <c r="N417" s="1406"/>
      <c r="O417" s="1406"/>
      <c r="P417" s="1406"/>
      <c r="Q417" s="1406"/>
      <c r="R417" s="1406"/>
      <c r="S417" s="1406"/>
      <c r="T417" s="1406"/>
      <c r="U417" s="1406"/>
      <c r="V417" s="1406"/>
      <c r="W417" s="1406"/>
      <c r="X417" s="1406"/>
      <c r="Y417" s="1406"/>
      <c r="Z417" s="1406"/>
      <c r="AA417" s="1406"/>
      <c r="AB417" s="1406"/>
      <c r="AC417" s="1406"/>
      <c r="AD417" s="1406"/>
      <c r="AE417" s="1406"/>
      <c r="AF417" s="1406"/>
      <c r="AG417" s="1406"/>
      <c r="AH417" s="1406"/>
      <c r="AI417" s="1406"/>
      <c r="AJ417" s="1406"/>
      <c r="AK417" s="1406"/>
      <c r="AL417" s="1406"/>
      <c r="AM417" s="1406"/>
      <c r="AN417" s="1406"/>
      <c r="AO417" s="1405"/>
      <c r="AP417" s="1405"/>
      <c r="AQ417" s="1405"/>
      <c r="AR417" s="1405"/>
      <c r="AS417" s="1405"/>
      <c r="AT417" s="1405"/>
      <c r="AU417" s="1405"/>
      <c r="AV417" s="1405"/>
    </row>
    <row r="418" spans="1:48" s="1431" customFormat="1">
      <c r="A418" s="1399"/>
      <c r="B418" s="1429"/>
      <c r="C418" s="1430"/>
      <c r="D418" s="1400"/>
      <c r="E418" s="1401"/>
      <c r="F418" s="1401"/>
      <c r="G418" s="1402"/>
      <c r="H418" s="1403"/>
      <c r="I418" s="1404"/>
      <c r="J418" s="1405"/>
      <c r="K418" s="1405"/>
      <c r="L418" s="1406"/>
      <c r="M418" s="1406"/>
      <c r="N418" s="1406"/>
      <c r="O418" s="1406"/>
      <c r="P418" s="1406"/>
      <c r="Q418" s="1406"/>
      <c r="R418" s="1406"/>
      <c r="S418" s="1406"/>
      <c r="T418" s="1406"/>
      <c r="U418" s="1406"/>
      <c r="V418" s="1406"/>
      <c r="W418" s="1406"/>
      <c r="X418" s="1406"/>
      <c r="Y418" s="1406"/>
      <c r="Z418" s="1406"/>
      <c r="AA418" s="1406"/>
      <c r="AB418" s="1406"/>
      <c r="AC418" s="1406"/>
      <c r="AD418" s="1406"/>
      <c r="AE418" s="1406"/>
      <c r="AF418" s="1406"/>
      <c r="AG418" s="1406"/>
      <c r="AH418" s="1406"/>
      <c r="AI418" s="1406"/>
      <c r="AJ418" s="1406"/>
      <c r="AK418" s="1406"/>
      <c r="AL418" s="1406"/>
      <c r="AM418" s="1406"/>
      <c r="AN418" s="1406"/>
      <c r="AO418" s="1405"/>
      <c r="AP418" s="1405"/>
      <c r="AQ418" s="1405"/>
      <c r="AR418" s="1405"/>
      <c r="AS418" s="1405"/>
      <c r="AT418" s="1405"/>
      <c r="AU418" s="1405"/>
      <c r="AV418" s="1405"/>
    </row>
    <row r="419" spans="1:48" s="1431" customFormat="1">
      <c r="A419" s="1399"/>
      <c r="B419" s="1429"/>
      <c r="C419" s="1430"/>
      <c r="D419" s="1400"/>
      <c r="E419" s="1401"/>
      <c r="F419" s="1401"/>
      <c r="G419" s="1402"/>
      <c r="H419" s="1403"/>
      <c r="I419" s="1404"/>
      <c r="J419" s="1405"/>
      <c r="K419" s="1405"/>
      <c r="L419" s="1406"/>
      <c r="M419" s="1406"/>
      <c r="N419" s="1406"/>
      <c r="O419" s="1406"/>
      <c r="P419" s="1406"/>
      <c r="Q419" s="1406"/>
      <c r="R419" s="1406"/>
      <c r="S419" s="1406"/>
      <c r="T419" s="1406"/>
      <c r="U419" s="1406"/>
      <c r="V419" s="1406"/>
      <c r="W419" s="1406"/>
      <c r="X419" s="1406"/>
      <c r="Y419" s="1406"/>
      <c r="Z419" s="1406"/>
      <c r="AA419" s="1406"/>
      <c r="AB419" s="1406"/>
      <c r="AC419" s="1406"/>
      <c r="AD419" s="1406"/>
      <c r="AE419" s="1406"/>
      <c r="AF419" s="1406"/>
      <c r="AG419" s="1406"/>
      <c r="AH419" s="1406"/>
      <c r="AI419" s="1406"/>
      <c r="AJ419" s="1406"/>
      <c r="AK419" s="1406"/>
      <c r="AL419" s="1406"/>
      <c r="AM419" s="1406"/>
      <c r="AN419" s="1406"/>
      <c r="AO419" s="1405"/>
      <c r="AP419" s="1405"/>
      <c r="AQ419" s="1405"/>
      <c r="AR419" s="1405"/>
      <c r="AS419" s="1405"/>
      <c r="AT419" s="1405"/>
      <c r="AU419" s="1405"/>
      <c r="AV419" s="1405"/>
    </row>
    <row r="420" spans="1:48" s="1431" customFormat="1">
      <c r="A420" s="1399"/>
      <c r="B420" s="1429"/>
      <c r="C420" s="1430"/>
      <c r="D420" s="1400"/>
      <c r="E420" s="1401"/>
      <c r="F420" s="1401"/>
      <c r="G420" s="1402"/>
      <c r="H420" s="1403"/>
      <c r="I420" s="1404"/>
      <c r="J420" s="1405"/>
      <c r="K420" s="1405"/>
      <c r="L420" s="1406"/>
      <c r="M420" s="1406"/>
      <c r="N420" s="1406"/>
      <c r="O420" s="1406"/>
      <c r="P420" s="1406"/>
      <c r="Q420" s="1406"/>
      <c r="R420" s="1406"/>
      <c r="S420" s="1406"/>
      <c r="T420" s="1406"/>
      <c r="U420" s="1406"/>
      <c r="V420" s="1406"/>
      <c r="W420" s="1406"/>
      <c r="X420" s="1406"/>
      <c r="Y420" s="1406"/>
      <c r="Z420" s="1406"/>
      <c r="AA420" s="1406"/>
      <c r="AB420" s="1406"/>
      <c r="AC420" s="1406"/>
      <c r="AD420" s="1406"/>
      <c r="AE420" s="1406"/>
      <c r="AF420" s="1406"/>
      <c r="AG420" s="1406"/>
      <c r="AH420" s="1406"/>
      <c r="AI420" s="1406"/>
      <c r="AJ420" s="1406"/>
      <c r="AK420" s="1406"/>
      <c r="AL420" s="1406"/>
      <c r="AM420" s="1406"/>
      <c r="AN420" s="1406"/>
      <c r="AO420" s="1405"/>
      <c r="AP420" s="1405"/>
      <c r="AQ420" s="1405"/>
      <c r="AR420" s="1405"/>
      <c r="AS420" s="1405"/>
      <c r="AT420" s="1405"/>
      <c r="AU420" s="1405"/>
      <c r="AV420" s="1405"/>
    </row>
    <row r="421" spans="1:48" s="1431" customFormat="1">
      <c r="A421" s="1399"/>
      <c r="B421" s="1429"/>
      <c r="C421" s="1430"/>
      <c r="D421" s="1400"/>
      <c r="E421" s="1401"/>
      <c r="F421" s="1401"/>
      <c r="G421" s="1402"/>
      <c r="H421" s="1403"/>
      <c r="I421" s="1404"/>
      <c r="J421" s="1405"/>
      <c r="K421" s="1405"/>
      <c r="L421" s="1406"/>
      <c r="M421" s="1406"/>
      <c r="N421" s="1406"/>
      <c r="O421" s="1406"/>
      <c r="P421" s="1406"/>
      <c r="Q421" s="1406"/>
      <c r="R421" s="1406"/>
      <c r="S421" s="1406"/>
      <c r="T421" s="1406"/>
      <c r="U421" s="1406"/>
      <c r="V421" s="1406"/>
      <c r="W421" s="1406"/>
      <c r="X421" s="1406"/>
      <c r="Y421" s="1406"/>
      <c r="Z421" s="1406"/>
      <c r="AA421" s="1406"/>
      <c r="AB421" s="1406"/>
      <c r="AC421" s="1406"/>
      <c r="AD421" s="1406"/>
      <c r="AE421" s="1406"/>
      <c r="AF421" s="1406"/>
      <c r="AG421" s="1406"/>
      <c r="AH421" s="1406"/>
      <c r="AI421" s="1406"/>
      <c r="AJ421" s="1406"/>
      <c r="AK421" s="1406"/>
      <c r="AL421" s="1406"/>
      <c r="AM421" s="1406"/>
      <c r="AN421" s="1406"/>
      <c r="AO421" s="1405"/>
      <c r="AP421" s="1405"/>
      <c r="AQ421" s="1405"/>
      <c r="AR421" s="1405"/>
      <c r="AS421" s="1405"/>
      <c r="AT421" s="1405"/>
      <c r="AU421" s="1405"/>
      <c r="AV421" s="1405"/>
    </row>
    <row r="422" spans="1:48" s="1431" customFormat="1">
      <c r="A422" s="1399"/>
      <c r="B422" s="1429"/>
      <c r="C422" s="1430"/>
      <c r="D422" s="1400"/>
      <c r="E422" s="1401"/>
      <c r="F422" s="1401"/>
      <c r="G422" s="1402"/>
      <c r="H422" s="1403"/>
      <c r="I422" s="1404"/>
      <c r="J422" s="1405"/>
      <c r="K422" s="1405"/>
      <c r="L422" s="1406"/>
      <c r="M422" s="1406"/>
      <c r="N422" s="1406"/>
      <c r="O422" s="1406"/>
      <c r="P422" s="1406"/>
      <c r="Q422" s="1406"/>
      <c r="R422" s="1406"/>
      <c r="S422" s="1406"/>
      <c r="T422" s="1406"/>
      <c r="U422" s="1406"/>
      <c r="V422" s="1406"/>
      <c r="W422" s="1406"/>
      <c r="X422" s="1406"/>
      <c r="Y422" s="1406"/>
      <c r="Z422" s="1406"/>
      <c r="AA422" s="1406"/>
      <c r="AB422" s="1406"/>
      <c r="AC422" s="1406"/>
      <c r="AD422" s="1406"/>
      <c r="AE422" s="1406"/>
      <c r="AF422" s="1406"/>
      <c r="AG422" s="1406"/>
      <c r="AH422" s="1406"/>
      <c r="AI422" s="1406"/>
      <c r="AJ422" s="1406"/>
      <c r="AK422" s="1406"/>
      <c r="AL422" s="1406"/>
      <c r="AM422" s="1406"/>
      <c r="AN422" s="1406"/>
      <c r="AO422" s="1405"/>
      <c r="AP422" s="1405"/>
      <c r="AQ422" s="1405"/>
      <c r="AR422" s="1405"/>
      <c r="AS422" s="1405"/>
      <c r="AT422" s="1405"/>
      <c r="AU422" s="1405"/>
      <c r="AV422" s="1405"/>
    </row>
    <row r="423" spans="1:48" s="1431" customFormat="1">
      <c r="A423" s="1399"/>
      <c r="B423" s="1429"/>
      <c r="C423" s="1430"/>
      <c r="D423" s="1400"/>
      <c r="E423" s="1401"/>
      <c r="F423" s="1401"/>
      <c r="G423" s="1402"/>
      <c r="H423" s="1403"/>
      <c r="I423" s="1404"/>
      <c r="J423" s="1405"/>
      <c r="K423" s="1405"/>
      <c r="L423" s="1406"/>
      <c r="M423" s="1406"/>
      <c r="N423" s="1406"/>
      <c r="O423" s="1406"/>
      <c r="P423" s="1406"/>
      <c r="Q423" s="1406"/>
      <c r="R423" s="1406"/>
      <c r="S423" s="1406"/>
      <c r="T423" s="1406"/>
      <c r="U423" s="1406"/>
      <c r="V423" s="1406"/>
      <c r="W423" s="1406"/>
      <c r="X423" s="1406"/>
      <c r="Y423" s="1406"/>
      <c r="Z423" s="1406"/>
      <c r="AA423" s="1406"/>
      <c r="AB423" s="1406"/>
      <c r="AC423" s="1406"/>
      <c r="AD423" s="1406"/>
      <c r="AE423" s="1406"/>
      <c r="AF423" s="1406"/>
      <c r="AG423" s="1406"/>
      <c r="AH423" s="1406"/>
      <c r="AI423" s="1406"/>
      <c r="AJ423" s="1406"/>
      <c r="AK423" s="1406"/>
      <c r="AL423" s="1406"/>
      <c r="AM423" s="1406"/>
      <c r="AN423" s="1406"/>
      <c r="AO423" s="1405"/>
      <c r="AP423" s="1405"/>
      <c r="AQ423" s="1405"/>
      <c r="AR423" s="1405"/>
      <c r="AS423" s="1405"/>
      <c r="AT423" s="1405"/>
      <c r="AU423" s="1405"/>
      <c r="AV423" s="1405"/>
    </row>
    <row r="424" spans="1:48" s="1431" customFormat="1">
      <c r="A424" s="1399"/>
      <c r="B424" s="1429"/>
      <c r="C424" s="1430"/>
      <c r="D424" s="1400"/>
      <c r="E424" s="1401"/>
      <c r="F424" s="1401"/>
      <c r="G424" s="1402"/>
      <c r="H424" s="1403"/>
      <c r="I424" s="1404"/>
      <c r="J424" s="1405"/>
      <c r="K424" s="1405"/>
      <c r="L424" s="1406"/>
      <c r="M424" s="1406"/>
      <c r="N424" s="1406"/>
      <c r="O424" s="1406"/>
      <c r="P424" s="1406"/>
      <c r="Q424" s="1406"/>
      <c r="R424" s="1406"/>
      <c r="S424" s="1406"/>
      <c r="T424" s="1406"/>
      <c r="U424" s="1406"/>
      <c r="V424" s="1406"/>
      <c r="W424" s="1406"/>
      <c r="X424" s="1406"/>
      <c r="Y424" s="1406"/>
      <c r="Z424" s="1406"/>
      <c r="AA424" s="1406"/>
      <c r="AB424" s="1406"/>
      <c r="AC424" s="1406"/>
      <c r="AD424" s="1406"/>
      <c r="AE424" s="1406"/>
      <c r="AF424" s="1406"/>
      <c r="AG424" s="1406"/>
      <c r="AH424" s="1406"/>
      <c r="AI424" s="1406"/>
      <c r="AJ424" s="1406"/>
      <c r="AK424" s="1406"/>
      <c r="AL424" s="1406"/>
      <c r="AM424" s="1406"/>
      <c r="AN424" s="1406"/>
      <c r="AO424" s="1405"/>
      <c r="AP424" s="1405"/>
      <c r="AQ424" s="1405"/>
      <c r="AR424" s="1405"/>
      <c r="AS424" s="1405"/>
      <c r="AT424" s="1405"/>
      <c r="AU424" s="1405"/>
      <c r="AV424" s="1405"/>
    </row>
    <row r="425" spans="1:48" s="1431" customFormat="1">
      <c r="A425" s="1399"/>
      <c r="B425" s="1429"/>
      <c r="C425" s="1430"/>
      <c r="D425" s="1400"/>
      <c r="E425" s="1401"/>
      <c r="F425" s="1401"/>
      <c r="G425" s="1402"/>
      <c r="H425" s="1403"/>
      <c r="I425" s="1404"/>
      <c r="J425" s="1405"/>
      <c r="K425" s="1405"/>
      <c r="L425" s="1406"/>
      <c r="M425" s="1406"/>
      <c r="N425" s="1406"/>
      <c r="O425" s="1406"/>
      <c r="P425" s="1406"/>
      <c r="Q425" s="1406"/>
      <c r="R425" s="1406"/>
      <c r="S425" s="1406"/>
      <c r="T425" s="1406"/>
      <c r="U425" s="1406"/>
      <c r="V425" s="1406"/>
      <c r="W425" s="1406"/>
      <c r="X425" s="1406"/>
      <c r="Y425" s="1406"/>
      <c r="Z425" s="1406"/>
      <c r="AA425" s="1406"/>
      <c r="AB425" s="1406"/>
      <c r="AC425" s="1406"/>
      <c r="AD425" s="1406"/>
      <c r="AE425" s="1406"/>
      <c r="AF425" s="1406"/>
      <c r="AG425" s="1406"/>
      <c r="AH425" s="1406"/>
      <c r="AI425" s="1406"/>
      <c r="AJ425" s="1406"/>
      <c r="AK425" s="1406"/>
      <c r="AL425" s="1406"/>
      <c r="AM425" s="1406"/>
      <c r="AN425" s="1406"/>
      <c r="AO425" s="1405"/>
      <c r="AP425" s="1405"/>
      <c r="AQ425" s="1405"/>
      <c r="AR425" s="1405"/>
      <c r="AS425" s="1405"/>
      <c r="AT425" s="1405"/>
      <c r="AU425" s="1405"/>
      <c r="AV425" s="1405"/>
    </row>
    <row r="426" spans="1:48" s="1431" customFormat="1">
      <c r="A426" s="1399"/>
      <c r="B426" s="1429"/>
      <c r="C426" s="1430"/>
      <c r="D426" s="1400"/>
      <c r="E426" s="1401"/>
      <c r="F426" s="1401"/>
      <c r="G426" s="1402"/>
      <c r="H426" s="1403"/>
      <c r="I426" s="1404"/>
      <c r="J426" s="1405"/>
      <c r="K426" s="1405"/>
      <c r="L426" s="1406"/>
      <c r="M426" s="1406"/>
      <c r="N426" s="1406"/>
      <c r="O426" s="1406"/>
      <c r="P426" s="1406"/>
      <c r="Q426" s="1406"/>
      <c r="R426" s="1406"/>
      <c r="S426" s="1406"/>
      <c r="T426" s="1406"/>
      <c r="U426" s="1406"/>
      <c r="V426" s="1406"/>
      <c r="W426" s="1406"/>
      <c r="X426" s="1406"/>
      <c r="Y426" s="1406"/>
      <c r="Z426" s="1406"/>
      <c r="AA426" s="1406"/>
      <c r="AB426" s="1406"/>
      <c r="AC426" s="1406"/>
      <c r="AD426" s="1406"/>
      <c r="AE426" s="1406"/>
      <c r="AF426" s="1406"/>
      <c r="AG426" s="1406"/>
      <c r="AH426" s="1406"/>
      <c r="AI426" s="1406"/>
      <c r="AJ426" s="1406"/>
      <c r="AK426" s="1406"/>
      <c r="AL426" s="1406"/>
      <c r="AM426" s="1406"/>
      <c r="AN426" s="1406"/>
      <c r="AO426" s="1405"/>
      <c r="AP426" s="1405"/>
      <c r="AQ426" s="1405"/>
      <c r="AR426" s="1405"/>
      <c r="AS426" s="1405"/>
      <c r="AT426" s="1405"/>
      <c r="AU426" s="1405"/>
      <c r="AV426" s="1405"/>
    </row>
    <row r="427" spans="1:48" s="1431" customFormat="1">
      <c r="A427" s="1399"/>
      <c r="B427" s="1429"/>
      <c r="C427" s="1430"/>
      <c r="D427" s="1400"/>
      <c r="E427" s="1401"/>
      <c r="F427" s="1401"/>
      <c r="G427" s="1402"/>
      <c r="H427" s="1403"/>
      <c r="I427" s="1404"/>
      <c r="J427" s="1405"/>
      <c r="K427" s="1405"/>
      <c r="L427" s="1406"/>
      <c r="M427" s="1406"/>
      <c r="N427" s="1406"/>
      <c r="O427" s="1406"/>
      <c r="P427" s="1406"/>
      <c r="Q427" s="1406"/>
      <c r="R427" s="1406"/>
      <c r="S427" s="1406"/>
      <c r="T427" s="1406"/>
      <c r="U427" s="1406"/>
      <c r="V427" s="1406"/>
      <c r="W427" s="1406"/>
      <c r="X427" s="1406"/>
      <c r="Y427" s="1406"/>
      <c r="Z427" s="1406"/>
      <c r="AA427" s="1406"/>
      <c r="AB427" s="1406"/>
      <c r="AC427" s="1406"/>
      <c r="AD427" s="1406"/>
      <c r="AE427" s="1406"/>
      <c r="AF427" s="1406"/>
      <c r="AG427" s="1406"/>
      <c r="AH427" s="1406"/>
      <c r="AI427" s="1406"/>
      <c r="AJ427" s="1406"/>
      <c r="AK427" s="1406"/>
      <c r="AL427" s="1406"/>
      <c r="AM427" s="1406"/>
      <c r="AN427" s="1406"/>
      <c r="AO427" s="1405"/>
      <c r="AP427" s="1405"/>
      <c r="AQ427" s="1405"/>
      <c r="AR427" s="1405"/>
      <c r="AS427" s="1405"/>
      <c r="AT427" s="1405"/>
      <c r="AU427" s="1405"/>
      <c r="AV427" s="1405"/>
    </row>
    <row r="428" spans="1:48" s="1431" customFormat="1">
      <c r="A428" s="1399"/>
      <c r="B428" s="1429"/>
      <c r="C428" s="1430"/>
      <c r="D428" s="1400"/>
      <c r="E428" s="1401"/>
      <c r="F428" s="1401"/>
      <c r="G428" s="1402"/>
      <c r="H428" s="1403"/>
      <c r="I428" s="1404"/>
      <c r="J428" s="1405"/>
      <c r="K428" s="1405"/>
      <c r="L428" s="1406"/>
      <c r="M428" s="1406"/>
      <c r="N428" s="1406"/>
      <c r="O428" s="1406"/>
      <c r="P428" s="1406"/>
      <c r="Q428" s="1406"/>
      <c r="R428" s="1406"/>
      <c r="S428" s="1406"/>
      <c r="T428" s="1406"/>
      <c r="U428" s="1406"/>
      <c r="V428" s="1406"/>
      <c r="W428" s="1406"/>
      <c r="X428" s="1406"/>
      <c r="Y428" s="1406"/>
      <c r="Z428" s="1406"/>
      <c r="AA428" s="1406"/>
      <c r="AB428" s="1406"/>
      <c r="AC428" s="1406"/>
      <c r="AD428" s="1406"/>
      <c r="AE428" s="1406"/>
      <c r="AF428" s="1406"/>
      <c r="AG428" s="1406"/>
      <c r="AH428" s="1406"/>
      <c r="AI428" s="1406"/>
      <c r="AJ428" s="1406"/>
      <c r="AK428" s="1406"/>
      <c r="AL428" s="1406"/>
      <c r="AM428" s="1406"/>
      <c r="AN428" s="1406"/>
      <c r="AO428" s="1405"/>
      <c r="AP428" s="1405"/>
      <c r="AQ428" s="1405"/>
      <c r="AR428" s="1405"/>
      <c r="AS428" s="1405"/>
      <c r="AT428" s="1405"/>
      <c r="AU428" s="1405"/>
      <c r="AV428" s="1405"/>
    </row>
    <row r="429" spans="1:48" s="1431" customFormat="1">
      <c r="A429" s="1399"/>
      <c r="B429" s="1429"/>
      <c r="C429" s="1430"/>
      <c r="D429" s="1400"/>
      <c r="E429" s="1401"/>
      <c r="F429" s="1401"/>
      <c r="G429" s="1402"/>
      <c r="H429" s="1403"/>
      <c r="I429" s="1404"/>
      <c r="J429" s="1405"/>
      <c r="K429" s="1405"/>
      <c r="L429" s="1406"/>
      <c r="M429" s="1406"/>
      <c r="N429" s="1406"/>
      <c r="O429" s="1406"/>
      <c r="P429" s="1406"/>
      <c r="Q429" s="1406"/>
      <c r="R429" s="1406"/>
      <c r="S429" s="1406"/>
      <c r="T429" s="1406"/>
      <c r="U429" s="1406"/>
      <c r="V429" s="1406"/>
      <c r="W429" s="1406"/>
      <c r="X429" s="1406"/>
      <c r="Y429" s="1406"/>
      <c r="Z429" s="1406"/>
      <c r="AA429" s="1406"/>
      <c r="AB429" s="1406"/>
      <c r="AC429" s="1406"/>
      <c r="AD429" s="1406"/>
      <c r="AE429" s="1406"/>
      <c r="AF429" s="1406"/>
      <c r="AG429" s="1406"/>
      <c r="AH429" s="1406"/>
      <c r="AI429" s="1406"/>
      <c r="AJ429" s="1406"/>
      <c r="AK429" s="1406"/>
      <c r="AL429" s="1406"/>
      <c r="AM429" s="1406"/>
      <c r="AN429" s="1406"/>
      <c r="AO429" s="1405"/>
      <c r="AP429" s="1405"/>
      <c r="AQ429" s="1405"/>
      <c r="AR429" s="1405"/>
      <c r="AS429" s="1405"/>
      <c r="AT429" s="1405"/>
      <c r="AU429" s="1405"/>
      <c r="AV429" s="1405"/>
    </row>
    <row r="430" spans="1:48" s="1431" customFormat="1">
      <c r="A430" s="1399"/>
      <c r="B430" s="1429"/>
      <c r="C430" s="1430"/>
      <c r="D430" s="1400"/>
      <c r="E430" s="1401"/>
      <c r="F430" s="1401"/>
      <c r="G430" s="1402"/>
      <c r="H430" s="1403"/>
      <c r="I430" s="1404"/>
      <c r="J430" s="1405"/>
      <c r="K430" s="1405"/>
      <c r="L430" s="1406"/>
      <c r="M430" s="1406"/>
      <c r="N430" s="1406"/>
      <c r="O430" s="1406"/>
      <c r="P430" s="1406"/>
      <c r="Q430" s="1406"/>
      <c r="R430" s="1406"/>
      <c r="S430" s="1406"/>
      <c r="T430" s="1406"/>
      <c r="U430" s="1406"/>
      <c r="V430" s="1406"/>
      <c r="W430" s="1406"/>
      <c r="X430" s="1406"/>
      <c r="Y430" s="1406"/>
      <c r="Z430" s="1406"/>
      <c r="AA430" s="1406"/>
      <c r="AB430" s="1406"/>
      <c r="AC430" s="1406"/>
      <c r="AD430" s="1406"/>
      <c r="AE430" s="1406"/>
      <c r="AF430" s="1406"/>
      <c r="AG430" s="1406"/>
      <c r="AH430" s="1406"/>
      <c r="AI430" s="1406"/>
      <c r="AJ430" s="1406"/>
      <c r="AK430" s="1406"/>
      <c r="AL430" s="1406"/>
      <c r="AM430" s="1406"/>
      <c r="AN430" s="1406"/>
      <c r="AO430" s="1405"/>
      <c r="AP430" s="1405"/>
      <c r="AQ430" s="1405"/>
      <c r="AR430" s="1405"/>
      <c r="AS430" s="1405"/>
      <c r="AT430" s="1405"/>
      <c r="AU430" s="1405"/>
      <c r="AV430" s="1405"/>
    </row>
    <row r="431" spans="1:48" s="1431" customFormat="1">
      <c r="A431" s="1399"/>
      <c r="B431" s="1429"/>
      <c r="C431" s="1430"/>
      <c r="D431" s="1400"/>
      <c r="E431" s="1401"/>
      <c r="F431" s="1401"/>
      <c r="G431" s="1402"/>
      <c r="H431" s="1403"/>
      <c r="I431" s="1404"/>
      <c r="J431" s="1405"/>
      <c r="K431" s="1405"/>
      <c r="L431" s="1406"/>
      <c r="M431" s="1406"/>
      <c r="N431" s="1406"/>
      <c r="O431" s="1406"/>
      <c r="P431" s="1406"/>
      <c r="Q431" s="1406"/>
      <c r="R431" s="1406"/>
      <c r="S431" s="1406"/>
      <c r="T431" s="1406"/>
      <c r="U431" s="1406"/>
      <c r="V431" s="1406"/>
      <c r="W431" s="1406"/>
      <c r="X431" s="1406"/>
      <c r="Y431" s="1406"/>
      <c r="Z431" s="1406"/>
      <c r="AA431" s="1406"/>
      <c r="AB431" s="1406"/>
      <c r="AC431" s="1406"/>
      <c r="AD431" s="1406"/>
      <c r="AE431" s="1406"/>
      <c r="AF431" s="1406"/>
      <c r="AG431" s="1406"/>
      <c r="AH431" s="1406"/>
      <c r="AI431" s="1406"/>
      <c r="AJ431" s="1406"/>
      <c r="AK431" s="1406"/>
      <c r="AL431" s="1406"/>
      <c r="AM431" s="1406"/>
      <c r="AN431" s="1406"/>
      <c r="AO431" s="1405"/>
      <c r="AP431" s="1405"/>
      <c r="AQ431" s="1405"/>
      <c r="AR431" s="1405"/>
      <c r="AS431" s="1405"/>
      <c r="AT431" s="1405"/>
      <c r="AU431" s="1405"/>
      <c r="AV431" s="1405"/>
    </row>
    <row r="432" spans="1:48" s="1431" customFormat="1">
      <c r="A432" s="1399"/>
      <c r="B432" s="1429"/>
      <c r="C432" s="1430"/>
      <c r="D432" s="1400"/>
      <c r="E432" s="1401"/>
      <c r="F432" s="1401"/>
      <c r="G432" s="1402"/>
      <c r="H432" s="1403"/>
      <c r="I432" s="1404"/>
      <c r="J432" s="1405"/>
      <c r="K432" s="1405"/>
      <c r="L432" s="1406"/>
      <c r="M432" s="1406"/>
      <c r="N432" s="1406"/>
      <c r="O432" s="1406"/>
      <c r="P432" s="1406"/>
      <c r="Q432" s="1406"/>
      <c r="R432" s="1406"/>
      <c r="S432" s="1406"/>
      <c r="T432" s="1406"/>
      <c r="U432" s="1406"/>
      <c r="V432" s="1406"/>
      <c r="W432" s="1406"/>
      <c r="X432" s="1406"/>
      <c r="Y432" s="1406"/>
      <c r="Z432" s="1406"/>
      <c r="AA432" s="1406"/>
      <c r="AB432" s="1406"/>
      <c r="AC432" s="1406"/>
      <c r="AD432" s="1406"/>
      <c r="AE432" s="1406"/>
      <c r="AF432" s="1406"/>
      <c r="AG432" s="1406"/>
      <c r="AH432" s="1406"/>
      <c r="AI432" s="1406"/>
      <c r="AJ432" s="1406"/>
      <c r="AK432" s="1406"/>
      <c r="AL432" s="1406"/>
      <c r="AM432" s="1406"/>
      <c r="AN432" s="1406"/>
      <c r="AO432" s="1405"/>
      <c r="AP432" s="1405"/>
      <c r="AQ432" s="1405"/>
      <c r="AR432" s="1405"/>
      <c r="AS432" s="1405"/>
      <c r="AT432" s="1405"/>
      <c r="AU432" s="1405"/>
      <c r="AV432" s="1405"/>
    </row>
    <row r="433" spans="1:48" s="1431" customFormat="1">
      <c r="A433" s="1399"/>
      <c r="B433" s="1429"/>
      <c r="C433" s="1430"/>
      <c r="D433" s="1400"/>
      <c r="E433" s="1401"/>
      <c r="F433" s="1401"/>
      <c r="G433" s="1402"/>
      <c r="H433" s="1403"/>
      <c r="I433" s="1404"/>
      <c r="J433" s="1405"/>
      <c r="K433" s="1405"/>
      <c r="L433" s="1406"/>
      <c r="M433" s="1406"/>
      <c r="N433" s="1406"/>
      <c r="O433" s="1406"/>
      <c r="P433" s="1406"/>
      <c r="Q433" s="1406"/>
      <c r="R433" s="1406"/>
      <c r="S433" s="1406"/>
      <c r="T433" s="1406"/>
      <c r="U433" s="1406"/>
      <c r="V433" s="1406"/>
      <c r="W433" s="1406"/>
      <c r="X433" s="1406"/>
      <c r="Y433" s="1406"/>
      <c r="Z433" s="1406"/>
      <c r="AA433" s="1406"/>
      <c r="AB433" s="1406"/>
      <c r="AC433" s="1406"/>
      <c r="AD433" s="1406"/>
      <c r="AE433" s="1406"/>
      <c r="AF433" s="1406"/>
      <c r="AG433" s="1406"/>
      <c r="AH433" s="1406"/>
      <c r="AI433" s="1406"/>
      <c r="AJ433" s="1406"/>
      <c r="AK433" s="1406"/>
      <c r="AL433" s="1406"/>
      <c r="AM433" s="1406"/>
      <c r="AN433" s="1406"/>
      <c r="AO433" s="1405"/>
      <c r="AP433" s="1405"/>
      <c r="AQ433" s="1405"/>
      <c r="AR433" s="1405"/>
      <c r="AS433" s="1405"/>
      <c r="AT433" s="1405"/>
      <c r="AU433" s="1405"/>
      <c r="AV433" s="1405"/>
    </row>
    <row r="434" spans="1:48" s="1431" customFormat="1">
      <c r="A434" s="1399"/>
      <c r="B434" s="1429"/>
      <c r="C434" s="1430"/>
      <c r="D434" s="1400"/>
      <c r="E434" s="1401"/>
      <c r="F434" s="1401"/>
      <c r="G434" s="1402"/>
      <c r="H434" s="1403"/>
      <c r="I434" s="1404"/>
      <c r="J434" s="1405"/>
      <c r="K434" s="1405"/>
      <c r="L434" s="1406"/>
      <c r="M434" s="1406"/>
      <c r="N434" s="1406"/>
      <c r="O434" s="1406"/>
      <c r="P434" s="1406"/>
      <c r="Q434" s="1406"/>
      <c r="R434" s="1406"/>
      <c r="S434" s="1406"/>
      <c r="T434" s="1406"/>
      <c r="U434" s="1406"/>
      <c r="V434" s="1406"/>
      <c r="W434" s="1406"/>
      <c r="X434" s="1406"/>
      <c r="Y434" s="1406"/>
      <c r="Z434" s="1406"/>
      <c r="AA434" s="1406"/>
      <c r="AB434" s="1406"/>
      <c r="AC434" s="1406"/>
      <c r="AD434" s="1406"/>
      <c r="AE434" s="1406"/>
      <c r="AF434" s="1406"/>
      <c r="AG434" s="1406"/>
      <c r="AH434" s="1406"/>
      <c r="AI434" s="1406"/>
      <c r="AJ434" s="1406"/>
      <c r="AK434" s="1406"/>
      <c r="AL434" s="1406"/>
      <c r="AM434" s="1406"/>
      <c r="AN434" s="1406"/>
      <c r="AO434" s="1405"/>
      <c r="AP434" s="1405"/>
      <c r="AQ434" s="1405"/>
      <c r="AR434" s="1405"/>
      <c r="AS434" s="1405"/>
      <c r="AT434" s="1405"/>
      <c r="AU434" s="1405"/>
      <c r="AV434" s="1405"/>
    </row>
    <row r="435" spans="1:48" s="1431" customFormat="1">
      <c r="A435" s="1399"/>
      <c r="B435" s="1429"/>
      <c r="C435" s="1430"/>
      <c r="D435" s="1400"/>
      <c r="E435" s="1401"/>
      <c r="F435" s="1401"/>
      <c r="G435" s="1402"/>
      <c r="H435" s="1403"/>
      <c r="I435" s="1404"/>
      <c r="J435" s="1405"/>
      <c r="K435" s="1405"/>
      <c r="L435" s="1406"/>
      <c r="M435" s="1406"/>
      <c r="N435" s="1406"/>
      <c r="O435" s="1406"/>
      <c r="P435" s="1406"/>
      <c r="Q435" s="1406"/>
      <c r="R435" s="1406"/>
      <c r="S435" s="1406"/>
      <c r="T435" s="1406"/>
      <c r="U435" s="1406"/>
      <c r="V435" s="1406"/>
      <c r="W435" s="1406"/>
      <c r="X435" s="1406"/>
      <c r="Y435" s="1406"/>
      <c r="Z435" s="1406"/>
      <c r="AA435" s="1406"/>
      <c r="AB435" s="1406"/>
      <c r="AC435" s="1406"/>
      <c r="AD435" s="1406"/>
      <c r="AE435" s="1406"/>
      <c r="AF435" s="1406"/>
      <c r="AG435" s="1406"/>
      <c r="AH435" s="1406"/>
      <c r="AI435" s="1406"/>
      <c r="AJ435" s="1406"/>
      <c r="AK435" s="1406"/>
      <c r="AL435" s="1406"/>
      <c r="AM435" s="1406"/>
      <c r="AN435" s="1406"/>
      <c r="AO435" s="1405"/>
      <c r="AP435" s="1405"/>
      <c r="AQ435" s="1405"/>
      <c r="AR435" s="1405"/>
      <c r="AS435" s="1405"/>
      <c r="AT435" s="1405"/>
      <c r="AU435" s="1405"/>
      <c r="AV435" s="1405"/>
    </row>
    <row r="436" spans="1:48" s="1431" customFormat="1">
      <c r="A436" s="1399"/>
      <c r="B436" s="1429"/>
      <c r="C436" s="1430"/>
      <c r="D436" s="1400"/>
      <c r="E436" s="1401"/>
      <c r="F436" s="1401"/>
      <c r="G436" s="1402"/>
      <c r="H436" s="1403"/>
      <c r="I436" s="1404"/>
      <c r="J436" s="1405"/>
      <c r="K436" s="1405"/>
      <c r="L436" s="1406"/>
      <c r="M436" s="1406"/>
      <c r="N436" s="1406"/>
      <c r="O436" s="1406"/>
      <c r="P436" s="1406"/>
      <c r="Q436" s="1406"/>
      <c r="R436" s="1406"/>
      <c r="S436" s="1406"/>
      <c r="T436" s="1406"/>
      <c r="U436" s="1406"/>
      <c r="V436" s="1406"/>
      <c r="W436" s="1406"/>
      <c r="X436" s="1406"/>
      <c r="Y436" s="1406"/>
      <c r="Z436" s="1406"/>
      <c r="AA436" s="1406"/>
      <c r="AB436" s="1406"/>
      <c r="AC436" s="1406"/>
      <c r="AD436" s="1406"/>
      <c r="AE436" s="1406"/>
      <c r="AF436" s="1406"/>
      <c r="AG436" s="1406"/>
      <c r="AH436" s="1406"/>
      <c r="AI436" s="1406"/>
      <c r="AJ436" s="1406"/>
      <c r="AK436" s="1406"/>
      <c r="AL436" s="1406"/>
      <c r="AM436" s="1406"/>
      <c r="AN436" s="1406"/>
      <c r="AO436" s="1405"/>
      <c r="AP436" s="1405"/>
      <c r="AQ436" s="1405"/>
      <c r="AR436" s="1405"/>
      <c r="AS436" s="1405"/>
      <c r="AT436" s="1405"/>
      <c r="AU436" s="1405"/>
      <c r="AV436" s="1405"/>
    </row>
    <row r="437" spans="1:48" s="1431" customFormat="1">
      <c r="A437" s="1399"/>
      <c r="B437" s="1429"/>
      <c r="C437" s="1430"/>
      <c r="D437" s="1400"/>
      <c r="E437" s="1401"/>
      <c r="F437" s="1401"/>
      <c r="G437" s="1402"/>
      <c r="H437" s="1403"/>
      <c r="I437" s="1404"/>
      <c r="J437" s="1405"/>
      <c r="K437" s="1405"/>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6"/>
      <c r="AG437" s="1406"/>
      <c r="AH437" s="1406"/>
      <c r="AI437" s="1406"/>
      <c r="AJ437" s="1406"/>
      <c r="AK437" s="1406"/>
      <c r="AL437" s="1406"/>
      <c r="AM437" s="1406"/>
      <c r="AN437" s="1406"/>
      <c r="AO437" s="1405"/>
      <c r="AP437" s="1405"/>
      <c r="AQ437" s="1405"/>
      <c r="AR437" s="1405"/>
      <c r="AS437" s="1405"/>
      <c r="AT437" s="1405"/>
      <c r="AU437" s="1405"/>
      <c r="AV437" s="1405"/>
    </row>
    <row r="438" spans="1:48" s="1431" customFormat="1">
      <c r="A438" s="1399"/>
      <c r="B438" s="1429"/>
      <c r="C438" s="1430"/>
      <c r="D438" s="1400"/>
      <c r="E438" s="1401"/>
      <c r="F438" s="1401"/>
      <c r="G438" s="1402"/>
      <c r="H438" s="1403"/>
      <c r="I438" s="1404"/>
      <c r="J438" s="1405"/>
      <c r="K438" s="1405"/>
      <c r="L438" s="1406"/>
      <c r="M438" s="1406"/>
      <c r="N438" s="1406"/>
      <c r="O438" s="1406"/>
      <c r="P438" s="1406"/>
      <c r="Q438" s="1406"/>
      <c r="R438" s="1406"/>
      <c r="S438" s="1406"/>
      <c r="T438" s="1406"/>
      <c r="U438" s="1406"/>
      <c r="V438" s="1406"/>
      <c r="W438" s="1406"/>
      <c r="X438" s="1406"/>
      <c r="Y438" s="1406"/>
      <c r="Z438" s="1406"/>
      <c r="AA438" s="1406"/>
      <c r="AB438" s="1406"/>
      <c r="AC438" s="1406"/>
      <c r="AD438" s="1406"/>
      <c r="AE438" s="1406"/>
      <c r="AF438" s="1406"/>
      <c r="AG438" s="1406"/>
      <c r="AH438" s="1406"/>
      <c r="AI438" s="1406"/>
      <c r="AJ438" s="1406"/>
      <c r="AK438" s="1406"/>
      <c r="AL438" s="1406"/>
      <c r="AM438" s="1406"/>
      <c r="AN438" s="1406"/>
      <c r="AO438" s="1405"/>
      <c r="AP438" s="1405"/>
      <c r="AQ438" s="1405"/>
      <c r="AR438" s="1405"/>
      <c r="AS438" s="1405"/>
      <c r="AT438" s="1405"/>
      <c r="AU438" s="1405"/>
      <c r="AV438" s="1405"/>
    </row>
    <row r="439" spans="1:48" s="1431" customFormat="1">
      <c r="A439" s="1399"/>
      <c r="B439" s="1429"/>
      <c r="C439" s="1430"/>
      <c r="D439" s="1400"/>
      <c r="E439" s="1401"/>
      <c r="F439" s="1401"/>
      <c r="G439" s="1402"/>
      <c r="H439" s="1403"/>
      <c r="I439" s="1404"/>
      <c r="J439" s="1405"/>
      <c r="K439" s="1405"/>
      <c r="L439" s="1406"/>
      <c r="M439" s="1406"/>
      <c r="N439" s="1406"/>
      <c r="O439" s="1406"/>
      <c r="P439" s="1406"/>
      <c r="Q439" s="1406"/>
      <c r="R439" s="1406"/>
      <c r="S439" s="1406"/>
      <c r="T439" s="1406"/>
      <c r="U439" s="1406"/>
      <c r="V439" s="1406"/>
      <c r="W439" s="1406"/>
      <c r="X439" s="1406"/>
      <c r="Y439" s="1406"/>
      <c r="Z439" s="1406"/>
      <c r="AA439" s="1406"/>
      <c r="AB439" s="1406"/>
      <c r="AC439" s="1406"/>
      <c r="AD439" s="1406"/>
      <c r="AE439" s="1406"/>
      <c r="AF439" s="1406"/>
      <c r="AG439" s="1406"/>
      <c r="AH439" s="1406"/>
      <c r="AI439" s="1406"/>
      <c r="AJ439" s="1406"/>
      <c r="AK439" s="1406"/>
      <c r="AL439" s="1406"/>
      <c r="AM439" s="1406"/>
      <c r="AN439" s="1406"/>
      <c r="AO439" s="1405"/>
      <c r="AP439" s="1405"/>
      <c r="AQ439" s="1405"/>
      <c r="AR439" s="1405"/>
      <c r="AS439" s="1405"/>
      <c r="AT439" s="1405"/>
      <c r="AU439" s="1405"/>
      <c r="AV439" s="1405"/>
    </row>
    <row r="440" spans="1:48" s="1431" customFormat="1">
      <c r="A440" s="1399"/>
      <c r="B440" s="1429"/>
      <c r="C440" s="1430"/>
      <c r="D440" s="1400"/>
      <c r="E440" s="1401"/>
      <c r="F440" s="1401"/>
      <c r="G440" s="1402"/>
      <c r="H440" s="1403"/>
      <c r="I440" s="1404"/>
      <c r="J440" s="1405"/>
      <c r="K440" s="1405"/>
      <c r="L440" s="1406"/>
      <c r="M440" s="1406"/>
      <c r="N440" s="1406"/>
      <c r="O440" s="1406"/>
      <c r="P440" s="1406"/>
      <c r="Q440" s="1406"/>
      <c r="R440" s="1406"/>
      <c r="S440" s="1406"/>
      <c r="T440" s="1406"/>
      <c r="U440" s="1406"/>
      <c r="V440" s="1406"/>
      <c r="W440" s="1406"/>
      <c r="X440" s="1406"/>
      <c r="Y440" s="1406"/>
      <c r="Z440" s="1406"/>
      <c r="AA440" s="1406"/>
      <c r="AB440" s="1406"/>
      <c r="AC440" s="1406"/>
      <c r="AD440" s="1406"/>
      <c r="AE440" s="1406"/>
      <c r="AF440" s="1406"/>
      <c r="AG440" s="1406"/>
      <c r="AH440" s="1406"/>
      <c r="AI440" s="1406"/>
      <c r="AJ440" s="1406"/>
      <c r="AK440" s="1406"/>
      <c r="AL440" s="1406"/>
      <c r="AM440" s="1406"/>
      <c r="AN440" s="1406"/>
      <c r="AO440" s="1405"/>
      <c r="AP440" s="1405"/>
      <c r="AQ440" s="1405"/>
      <c r="AR440" s="1405"/>
      <c r="AS440" s="1405"/>
      <c r="AT440" s="1405"/>
      <c r="AU440" s="1405"/>
      <c r="AV440" s="1405"/>
    </row>
    <row r="441" spans="1:48" s="1431" customFormat="1">
      <c r="A441" s="1399"/>
      <c r="B441" s="1429"/>
      <c r="C441" s="1430"/>
      <c r="D441" s="1400"/>
      <c r="E441" s="1401"/>
      <c r="F441" s="1401"/>
      <c r="G441" s="1402"/>
      <c r="H441" s="1403"/>
      <c r="I441" s="1404"/>
      <c r="J441" s="1405"/>
      <c r="K441" s="1405"/>
      <c r="L441" s="1406"/>
      <c r="M441" s="1406"/>
      <c r="N441" s="1406"/>
      <c r="O441" s="1406"/>
      <c r="P441" s="1406"/>
      <c r="Q441" s="1406"/>
      <c r="R441" s="1406"/>
      <c r="S441" s="1406"/>
      <c r="T441" s="1406"/>
      <c r="U441" s="1406"/>
      <c r="V441" s="1406"/>
      <c r="W441" s="1406"/>
      <c r="X441" s="1406"/>
      <c r="Y441" s="1406"/>
      <c r="Z441" s="1406"/>
      <c r="AA441" s="1406"/>
      <c r="AB441" s="1406"/>
      <c r="AC441" s="1406"/>
      <c r="AD441" s="1406"/>
      <c r="AE441" s="1406"/>
      <c r="AF441" s="1406"/>
      <c r="AG441" s="1406"/>
      <c r="AH441" s="1406"/>
      <c r="AI441" s="1406"/>
      <c r="AJ441" s="1406"/>
      <c r="AK441" s="1406"/>
      <c r="AL441" s="1406"/>
      <c r="AM441" s="1406"/>
      <c r="AN441" s="1406"/>
      <c r="AO441" s="1405"/>
      <c r="AP441" s="1405"/>
      <c r="AQ441" s="1405"/>
      <c r="AR441" s="1405"/>
      <c r="AS441" s="1405"/>
      <c r="AT441" s="1405"/>
      <c r="AU441" s="1405"/>
      <c r="AV441" s="1405"/>
    </row>
    <row r="442" spans="1:48" s="1431" customFormat="1">
      <c r="A442" s="1399"/>
      <c r="B442" s="1429"/>
      <c r="C442" s="1430"/>
      <c r="D442" s="1400"/>
      <c r="E442" s="1401"/>
      <c r="F442" s="1401"/>
      <c r="G442" s="1402"/>
      <c r="H442" s="1403"/>
      <c r="I442" s="1404"/>
      <c r="J442" s="1405"/>
      <c r="K442" s="1405"/>
      <c r="L442" s="1406"/>
      <c r="M442" s="1406"/>
      <c r="N442" s="1406"/>
      <c r="O442" s="1406"/>
      <c r="P442" s="1406"/>
      <c r="Q442" s="1406"/>
      <c r="R442" s="1406"/>
      <c r="S442" s="1406"/>
      <c r="T442" s="1406"/>
      <c r="U442" s="1406"/>
      <c r="V442" s="1406"/>
      <c r="W442" s="1406"/>
      <c r="X442" s="1406"/>
      <c r="Y442" s="1406"/>
      <c r="Z442" s="1406"/>
      <c r="AA442" s="1406"/>
      <c r="AB442" s="1406"/>
      <c r="AC442" s="1406"/>
      <c r="AD442" s="1406"/>
      <c r="AE442" s="1406"/>
      <c r="AF442" s="1406"/>
      <c r="AG442" s="1406"/>
      <c r="AH442" s="1406"/>
      <c r="AI442" s="1406"/>
      <c r="AJ442" s="1406"/>
      <c r="AK442" s="1406"/>
      <c r="AL442" s="1406"/>
      <c r="AM442" s="1406"/>
      <c r="AN442" s="1406"/>
      <c r="AO442" s="1405"/>
      <c r="AP442" s="1405"/>
      <c r="AQ442" s="1405"/>
      <c r="AR442" s="1405"/>
      <c r="AS442" s="1405"/>
      <c r="AT442" s="1405"/>
      <c r="AU442" s="1405"/>
      <c r="AV442" s="1405"/>
    </row>
    <row r="443" spans="1:48" s="1431" customFormat="1">
      <c r="A443" s="1399"/>
      <c r="B443" s="1429"/>
      <c r="C443" s="1430"/>
      <c r="D443" s="1400"/>
      <c r="E443" s="1401"/>
      <c r="F443" s="1401"/>
      <c r="G443" s="1402"/>
      <c r="H443" s="1403"/>
      <c r="I443" s="1404"/>
      <c r="J443" s="1405"/>
      <c r="K443" s="1405"/>
      <c r="L443" s="1406"/>
      <c r="M443" s="1406"/>
      <c r="N443" s="1406"/>
      <c r="O443" s="1406"/>
      <c r="P443" s="1406"/>
      <c r="Q443" s="1406"/>
      <c r="R443" s="1406"/>
      <c r="S443" s="1406"/>
      <c r="T443" s="1406"/>
      <c r="U443" s="1406"/>
      <c r="V443" s="1406"/>
      <c r="W443" s="1406"/>
      <c r="X443" s="1406"/>
      <c r="Y443" s="1406"/>
      <c r="Z443" s="1406"/>
      <c r="AA443" s="1406"/>
      <c r="AB443" s="1406"/>
      <c r="AC443" s="1406"/>
      <c r="AD443" s="1406"/>
      <c r="AE443" s="1406"/>
      <c r="AF443" s="1406"/>
      <c r="AG443" s="1406"/>
      <c r="AH443" s="1406"/>
      <c r="AI443" s="1406"/>
      <c r="AJ443" s="1406"/>
      <c r="AK443" s="1406"/>
      <c r="AL443" s="1406"/>
      <c r="AM443" s="1406"/>
      <c r="AN443" s="1406"/>
      <c r="AO443" s="1405"/>
      <c r="AP443" s="1405"/>
      <c r="AQ443" s="1405"/>
      <c r="AR443" s="1405"/>
      <c r="AS443" s="1405"/>
      <c r="AT443" s="1405"/>
      <c r="AU443" s="1405"/>
      <c r="AV443" s="1405"/>
    </row>
    <row r="444" spans="1:48" s="1431" customFormat="1">
      <c r="A444" s="1399"/>
      <c r="B444" s="1429"/>
      <c r="C444" s="1430"/>
      <c r="D444" s="1400"/>
      <c r="E444" s="1401"/>
      <c r="F444" s="1401"/>
      <c r="G444" s="1402"/>
      <c r="H444" s="1403"/>
      <c r="I444" s="1404"/>
      <c r="J444" s="1405"/>
      <c r="K444" s="1405"/>
      <c r="L444" s="1406"/>
      <c r="M444" s="1406"/>
      <c r="N444" s="1406"/>
      <c r="O444" s="1406"/>
      <c r="P444" s="1406"/>
      <c r="Q444" s="1406"/>
      <c r="R444" s="1406"/>
      <c r="S444" s="1406"/>
      <c r="T444" s="1406"/>
      <c r="U444" s="1406"/>
      <c r="V444" s="1406"/>
      <c r="W444" s="1406"/>
      <c r="X444" s="1406"/>
      <c r="Y444" s="1406"/>
      <c r="Z444" s="1406"/>
      <c r="AA444" s="1406"/>
      <c r="AB444" s="1406"/>
      <c r="AC444" s="1406"/>
      <c r="AD444" s="1406"/>
      <c r="AE444" s="1406"/>
      <c r="AF444" s="1406"/>
      <c r="AG444" s="1406"/>
      <c r="AH444" s="1406"/>
      <c r="AI444" s="1406"/>
      <c r="AJ444" s="1406"/>
      <c r="AK444" s="1406"/>
      <c r="AL444" s="1406"/>
      <c r="AM444" s="1406"/>
      <c r="AN444" s="1406"/>
      <c r="AO444" s="1405"/>
      <c r="AP444" s="1405"/>
      <c r="AQ444" s="1405"/>
      <c r="AR444" s="1405"/>
      <c r="AS444" s="1405"/>
      <c r="AT444" s="1405"/>
      <c r="AU444" s="1405"/>
      <c r="AV444" s="1405"/>
    </row>
    <row r="445" spans="1:48" s="1431" customFormat="1">
      <c r="A445" s="1399"/>
      <c r="B445" s="1429"/>
      <c r="C445" s="1430"/>
      <c r="D445" s="1400"/>
      <c r="E445" s="1401"/>
      <c r="F445" s="1401"/>
      <c r="G445" s="1402"/>
      <c r="H445" s="1403"/>
      <c r="I445" s="1404"/>
      <c r="J445" s="1405"/>
      <c r="K445" s="1405"/>
      <c r="L445" s="1406"/>
      <c r="M445" s="1406"/>
      <c r="N445" s="1406"/>
      <c r="O445" s="1406"/>
      <c r="P445" s="1406"/>
      <c r="Q445" s="1406"/>
      <c r="R445" s="1406"/>
      <c r="S445" s="1406"/>
      <c r="T445" s="1406"/>
      <c r="U445" s="1406"/>
      <c r="V445" s="1406"/>
      <c r="W445" s="1406"/>
      <c r="X445" s="1406"/>
      <c r="Y445" s="1406"/>
      <c r="Z445" s="1406"/>
      <c r="AA445" s="1406"/>
      <c r="AB445" s="1406"/>
      <c r="AC445" s="1406"/>
      <c r="AD445" s="1406"/>
      <c r="AE445" s="1406"/>
      <c r="AF445" s="1406"/>
      <c r="AG445" s="1406"/>
      <c r="AH445" s="1406"/>
      <c r="AI445" s="1406"/>
      <c r="AJ445" s="1406"/>
      <c r="AK445" s="1406"/>
      <c r="AL445" s="1406"/>
      <c r="AM445" s="1406"/>
      <c r="AN445" s="1406"/>
      <c r="AO445" s="1405"/>
      <c r="AP445" s="1405"/>
      <c r="AQ445" s="1405"/>
      <c r="AR445" s="1405"/>
      <c r="AS445" s="1405"/>
      <c r="AT445" s="1405"/>
      <c r="AU445" s="1405"/>
      <c r="AV445" s="1405"/>
    </row>
    <row r="446" spans="1:48" s="1431" customFormat="1">
      <c r="A446" s="1399"/>
      <c r="B446" s="1429"/>
      <c r="C446" s="1430"/>
      <c r="D446" s="1400"/>
      <c r="E446" s="1401"/>
      <c r="F446" s="1401"/>
      <c r="G446" s="1402"/>
      <c r="H446" s="1403"/>
      <c r="I446" s="1404"/>
      <c r="J446" s="1405"/>
      <c r="K446" s="1405"/>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6"/>
      <c r="AG446" s="1406"/>
      <c r="AH446" s="1406"/>
      <c r="AI446" s="1406"/>
      <c r="AJ446" s="1406"/>
      <c r="AK446" s="1406"/>
      <c r="AL446" s="1406"/>
      <c r="AM446" s="1406"/>
      <c r="AN446" s="1406"/>
      <c r="AO446" s="1405"/>
      <c r="AP446" s="1405"/>
      <c r="AQ446" s="1405"/>
      <c r="AR446" s="1405"/>
      <c r="AS446" s="1405"/>
      <c r="AT446" s="1405"/>
      <c r="AU446" s="1405"/>
      <c r="AV446" s="1405"/>
    </row>
    <row r="447" spans="1:48" s="1431" customFormat="1">
      <c r="A447" s="1399"/>
      <c r="B447" s="1429"/>
      <c r="C447" s="1430"/>
      <c r="D447" s="1400"/>
      <c r="E447" s="1401"/>
      <c r="F447" s="1401"/>
      <c r="G447" s="1402"/>
      <c r="H447" s="1403"/>
      <c r="I447" s="1404"/>
      <c r="J447" s="1405"/>
      <c r="K447" s="1405"/>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6"/>
      <c r="AG447" s="1406"/>
      <c r="AH447" s="1406"/>
      <c r="AI447" s="1406"/>
      <c r="AJ447" s="1406"/>
      <c r="AK447" s="1406"/>
      <c r="AL447" s="1406"/>
      <c r="AM447" s="1406"/>
      <c r="AN447" s="1406"/>
      <c r="AO447" s="1405"/>
      <c r="AP447" s="1405"/>
      <c r="AQ447" s="1405"/>
      <c r="AR447" s="1405"/>
      <c r="AS447" s="1405"/>
      <c r="AT447" s="1405"/>
      <c r="AU447" s="1405"/>
      <c r="AV447" s="1405"/>
    </row>
    <row r="448" spans="1:48" s="1431" customFormat="1">
      <c r="A448" s="1399"/>
      <c r="B448" s="1429"/>
      <c r="C448" s="1430"/>
      <c r="D448" s="1400"/>
      <c r="E448" s="1401"/>
      <c r="F448" s="1401"/>
      <c r="G448" s="1402"/>
      <c r="H448" s="1403"/>
      <c r="I448" s="1404"/>
      <c r="J448" s="1405"/>
      <c r="K448" s="1405"/>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6"/>
      <c r="AG448" s="1406"/>
      <c r="AH448" s="1406"/>
      <c r="AI448" s="1406"/>
      <c r="AJ448" s="1406"/>
      <c r="AK448" s="1406"/>
      <c r="AL448" s="1406"/>
      <c r="AM448" s="1406"/>
      <c r="AN448" s="1406"/>
      <c r="AO448" s="1405"/>
      <c r="AP448" s="1405"/>
      <c r="AQ448" s="1405"/>
      <c r="AR448" s="1405"/>
      <c r="AS448" s="1405"/>
      <c r="AT448" s="1405"/>
      <c r="AU448" s="1405"/>
      <c r="AV448" s="1405"/>
    </row>
    <row r="449" spans="1:48" s="1431" customFormat="1">
      <c r="A449" s="1399"/>
      <c r="B449" s="1429"/>
      <c r="C449" s="1430"/>
      <c r="D449" s="1400"/>
      <c r="E449" s="1401"/>
      <c r="F449" s="1401"/>
      <c r="G449" s="1402"/>
      <c r="H449" s="1403"/>
      <c r="I449" s="1404"/>
      <c r="J449" s="1405"/>
      <c r="K449" s="1405"/>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6"/>
      <c r="AG449" s="1406"/>
      <c r="AH449" s="1406"/>
      <c r="AI449" s="1406"/>
      <c r="AJ449" s="1406"/>
      <c r="AK449" s="1406"/>
      <c r="AL449" s="1406"/>
      <c r="AM449" s="1406"/>
      <c r="AN449" s="1406"/>
      <c r="AO449" s="1405"/>
      <c r="AP449" s="1405"/>
      <c r="AQ449" s="1405"/>
      <c r="AR449" s="1405"/>
      <c r="AS449" s="1405"/>
      <c r="AT449" s="1405"/>
      <c r="AU449" s="1405"/>
      <c r="AV449" s="1405"/>
    </row>
    <row r="450" spans="1:48" s="1431" customFormat="1">
      <c r="A450" s="1399"/>
      <c r="B450" s="1429"/>
      <c r="C450" s="1430"/>
      <c r="D450" s="1400"/>
      <c r="E450" s="1401"/>
      <c r="F450" s="1401"/>
      <c r="G450" s="1402"/>
      <c r="H450" s="1403"/>
      <c r="I450" s="1404"/>
      <c r="J450" s="1405"/>
      <c r="K450" s="1405"/>
      <c r="L450" s="1406"/>
      <c r="M450" s="1406"/>
      <c r="N450" s="1406"/>
      <c r="O450" s="1406"/>
      <c r="P450" s="1406"/>
      <c r="Q450" s="1406"/>
      <c r="R450" s="1406"/>
      <c r="S450" s="1406"/>
      <c r="T450" s="1406"/>
      <c r="U450" s="1406"/>
      <c r="V450" s="1406"/>
      <c r="W450" s="1406"/>
      <c r="X450" s="1406"/>
      <c r="Y450" s="1406"/>
      <c r="Z450" s="1406"/>
      <c r="AA450" s="1406"/>
      <c r="AB450" s="1406"/>
      <c r="AC450" s="1406"/>
      <c r="AD450" s="1406"/>
      <c r="AE450" s="1406"/>
      <c r="AF450" s="1406"/>
      <c r="AG450" s="1406"/>
      <c r="AH450" s="1406"/>
      <c r="AI450" s="1406"/>
      <c r="AJ450" s="1406"/>
      <c r="AK450" s="1406"/>
      <c r="AL450" s="1406"/>
      <c r="AM450" s="1406"/>
      <c r="AN450" s="1406"/>
      <c r="AO450" s="1405"/>
      <c r="AP450" s="1405"/>
      <c r="AQ450" s="1405"/>
      <c r="AR450" s="1405"/>
      <c r="AS450" s="1405"/>
      <c r="AT450" s="1405"/>
      <c r="AU450" s="1405"/>
      <c r="AV450" s="1405"/>
    </row>
    <row r="451" spans="1:48" s="1431" customFormat="1">
      <c r="A451" s="1399"/>
      <c r="B451" s="1429"/>
      <c r="C451" s="1430"/>
      <c r="D451" s="1400"/>
      <c r="E451" s="1401"/>
      <c r="F451" s="1401"/>
      <c r="G451" s="1402"/>
      <c r="H451" s="1403"/>
      <c r="I451" s="1404"/>
      <c r="J451" s="1405"/>
      <c r="K451" s="1405"/>
      <c r="L451" s="1406"/>
      <c r="M451" s="1406"/>
      <c r="N451" s="1406"/>
      <c r="O451" s="1406"/>
      <c r="P451" s="1406"/>
      <c r="Q451" s="1406"/>
      <c r="R451" s="1406"/>
      <c r="S451" s="1406"/>
      <c r="T451" s="1406"/>
      <c r="U451" s="1406"/>
      <c r="V451" s="1406"/>
      <c r="W451" s="1406"/>
      <c r="X451" s="1406"/>
      <c r="Y451" s="1406"/>
      <c r="Z451" s="1406"/>
      <c r="AA451" s="1406"/>
      <c r="AB451" s="1406"/>
      <c r="AC451" s="1406"/>
      <c r="AD451" s="1406"/>
      <c r="AE451" s="1406"/>
      <c r="AF451" s="1406"/>
      <c r="AG451" s="1406"/>
      <c r="AH451" s="1406"/>
      <c r="AI451" s="1406"/>
      <c r="AJ451" s="1406"/>
      <c r="AK451" s="1406"/>
      <c r="AL451" s="1406"/>
      <c r="AM451" s="1406"/>
      <c r="AN451" s="1406"/>
      <c r="AO451" s="1405"/>
      <c r="AP451" s="1405"/>
      <c r="AQ451" s="1405"/>
      <c r="AR451" s="1405"/>
      <c r="AS451" s="1405"/>
      <c r="AT451" s="1405"/>
      <c r="AU451" s="1405"/>
      <c r="AV451" s="1405"/>
    </row>
    <row r="452" spans="1:48" s="1431" customFormat="1">
      <c r="A452" s="1399"/>
      <c r="B452" s="1429"/>
      <c r="C452" s="1430"/>
      <c r="D452" s="1400"/>
      <c r="E452" s="1401"/>
      <c r="F452" s="1401"/>
      <c r="G452" s="1402"/>
      <c r="H452" s="1403"/>
      <c r="I452" s="1404"/>
      <c r="J452" s="1405"/>
      <c r="K452" s="1405"/>
      <c r="L452" s="1406"/>
      <c r="M452" s="1406"/>
      <c r="N452" s="1406"/>
      <c r="O452" s="1406"/>
      <c r="P452" s="1406"/>
      <c r="Q452" s="1406"/>
      <c r="R452" s="1406"/>
      <c r="S452" s="1406"/>
      <c r="T452" s="1406"/>
      <c r="U452" s="1406"/>
      <c r="V452" s="1406"/>
      <c r="W452" s="1406"/>
      <c r="X452" s="1406"/>
      <c r="Y452" s="1406"/>
      <c r="Z452" s="1406"/>
      <c r="AA452" s="1406"/>
      <c r="AB452" s="1406"/>
      <c r="AC452" s="1406"/>
      <c r="AD452" s="1406"/>
      <c r="AE452" s="1406"/>
      <c r="AF452" s="1406"/>
      <c r="AG452" s="1406"/>
      <c r="AH452" s="1406"/>
      <c r="AI452" s="1406"/>
      <c r="AJ452" s="1406"/>
      <c r="AK452" s="1406"/>
      <c r="AL452" s="1406"/>
      <c r="AM452" s="1406"/>
      <c r="AN452" s="1406"/>
      <c r="AO452" s="1405"/>
      <c r="AP452" s="1405"/>
      <c r="AQ452" s="1405"/>
      <c r="AR452" s="1405"/>
      <c r="AS452" s="1405"/>
      <c r="AT452" s="1405"/>
      <c r="AU452" s="1405"/>
      <c r="AV452" s="1405"/>
    </row>
    <row r="453" spans="1:48" s="1431" customFormat="1">
      <c r="A453" s="1399"/>
      <c r="B453" s="1429"/>
      <c r="C453" s="1430"/>
      <c r="D453" s="1400"/>
      <c r="E453" s="1401"/>
      <c r="F453" s="1401"/>
      <c r="G453" s="1402"/>
      <c r="H453" s="1403"/>
      <c r="I453" s="1404"/>
      <c r="J453" s="1405"/>
      <c r="K453" s="1405"/>
      <c r="L453" s="1406"/>
      <c r="M453" s="1406"/>
      <c r="N453" s="1406"/>
      <c r="O453" s="1406"/>
      <c r="P453" s="1406"/>
      <c r="Q453" s="1406"/>
      <c r="R453" s="1406"/>
      <c r="S453" s="1406"/>
      <c r="T453" s="1406"/>
      <c r="U453" s="1406"/>
      <c r="V453" s="1406"/>
      <c r="W453" s="1406"/>
      <c r="X453" s="1406"/>
      <c r="Y453" s="1406"/>
      <c r="Z453" s="1406"/>
      <c r="AA453" s="1406"/>
      <c r="AB453" s="1406"/>
      <c r="AC453" s="1406"/>
      <c r="AD453" s="1406"/>
      <c r="AE453" s="1406"/>
      <c r="AF453" s="1406"/>
      <c r="AG453" s="1406"/>
      <c r="AH453" s="1406"/>
      <c r="AI453" s="1406"/>
      <c r="AJ453" s="1406"/>
      <c r="AK453" s="1406"/>
      <c r="AL453" s="1406"/>
      <c r="AM453" s="1406"/>
      <c r="AN453" s="1406"/>
      <c r="AO453" s="1405"/>
      <c r="AP453" s="1405"/>
      <c r="AQ453" s="1405"/>
      <c r="AR453" s="1405"/>
      <c r="AS453" s="1405"/>
      <c r="AT453" s="1405"/>
      <c r="AU453" s="1405"/>
      <c r="AV453" s="1405"/>
    </row>
    <row r="454" spans="1:48" s="1431" customFormat="1">
      <c r="A454" s="1399"/>
      <c r="B454" s="1429"/>
      <c r="C454" s="1430"/>
      <c r="D454" s="1400"/>
      <c r="E454" s="1401"/>
      <c r="F454" s="1401"/>
      <c r="G454" s="1402"/>
      <c r="H454" s="1403"/>
      <c r="I454" s="1404"/>
      <c r="J454" s="1405"/>
      <c r="K454" s="1405"/>
      <c r="L454" s="1406"/>
      <c r="M454" s="1406"/>
      <c r="N454" s="1406"/>
      <c r="O454" s="1406"/>
      <c r="P454" s="1406"/>
      <c r="Q454" s="1406"/>
      <c r="R454" s="1406"/>
      <c r="S454" s="1406"/>
      <c r="T454" s="1406"/>
      <c r="U454" s="1406"/>
      <c r="V454" s="1406"/>
      <c r="W454" s="1406"/>
      <c r="X454" s="1406"/>
      <c r="Y454" s="1406"/>
      <c r="Z454" s="1406"/>
      <c r="AA454" s="1406"/>
      <c r="AB454" s="1406"/>
      <c r="AC454" s="1406"/>
      <c r="AD454" s="1406"/>
      <c r="AE454" s="1406"/>
      <c r="AF454" s="1406"/>
      <c r="AG454" s="1406"/>
      <c r="AH454" s="1406"/>
      <c r="AI454" s="1406"/>
      <c r="AJ454" s="1406"/>
      <c r="AK454" s="1406"/>
      <c r="AL454" s="1406"/>
      <c r="AM454" s="1406"/>
      <c r="AN454" s="1406"/>
      <c r="AO454" s="1405"/>
      <c r="AP454" s="1405"/>
      <c r="AQ454" s="1405"/>
      <c r="AR454" s="1405"/>
      <c r="AS454" s="1405"/>
      <c r="AT454" s="1405"/>
      <c r="AU454" s="1405"/>
      <c r="AV454" s="1405"/>
    </row>
    <row r="455" spans="1:48" s="1431" customFormat="1">
      <c r="A455" s="1399"/>
      <c r="B455" s="1429"/>
      <c r="C455" s="1430"/>
      <c r="D455" s="1400"/>
      <c r="E455" s="1401"/>
      <c r="F455" s="1401"/>
      <c r="G455" s="1402"/>
      <c r="H455" s="1403"/>
      <c r="I455" s="1404"/>
      <c r="J455" s="1405"/>
      <c r="K455" s="1405"/>
      <c r="L455" s="1406"/>
      <c r="M455" s="1406"/>
      <c r="N455" s="1406"/>
      <c r="O455" s="1406"/>
      <c r="P455" s="1406"/>
      <c r="Q455" s="1406"/>
      <c r="R455" s="1406"/>
      <c r="S455" s="1406"/>
      <c r="T455" s="1406"/>
      <c r="U455" s="1406"/>
      <c r="V455" s="1406"/>
      <c r="W455" s="1406"/>
      <c r="X455" s="1406"/>
      <c r="Y455" s="1406"/>
      <c r="Z455" s="1406"/>
      <c r="AA455" s="1406"/>
      <c r="AB455" s="1406"/>
      <c r="AC455" s="1406"/>
      <c r="AD455" s="1406"/>
      <c r="AE455" s="1406"/>
      <c r="AF455" s="1406"/>
      <c r="AG455" s="1406"/>
      <c r="AH455" s="1406"/>
      <c r="AI455" s="1406"/>
      <c r="AJ455" s="1406"/>
      <c r="AK455" s="1406"/>
      <c r="AL455" s="1406"/>
      <c r="AM455" s="1406"/>
      <c r="AN455" s="1406"/>
      <c r="AO455" s="1405"/>
      <c r="AP455" s="1405"/>
      <c r="AQ455" s="1405"/>
      <c r="AR455" s="1405"/>
      <c r="AS455" s="1405"/>
      <c r="AT455" s="1405"/>
      <c r="AU455" s="1405"/>
      <c r="AV455" s="1405"/>
    </row>
    <row r="456" spans="1:48" s="1431" customFormat="1">
      <c r="A456" s="1399"/>
      <c r="B456" s="1429"/>
      <c r="C456" s="1430"/>
      <c r="D456" s="1400"/>
      <c r="E456" s="1401"/>
      <c r="F456" s="1401"/>
      <c r="G456" s="1402"/>
      <c r="H456" s="1403"/>
      <c r="I456" s="1404"/>
      <c r="J456" s="1405"/>
      <c r="K456" s="1405"/>
      <c r="L456" s="1406"/>
      <c r="M456" s="1406"/>
      <c r="N456" s="1406"/>
      <c r="O456" s="1406"/>
      <c r="P456" s="1406"/>
      <c r="Q456" s="1406"/>
      <c r="R456" s="1406"/>
      <c r="S456" s="1406"/>
      <c r="T456" s="1406"/>
      <c r="U456" s="1406"/>
      <c r="V456" s="1406"/>
      <c r="W456" s="1406"/>
      <c r="X456" s="1406"/>
      <c r="Y456" s="1406"/>
      <c r="Z456" s="1406"/>
      <c r="AA456" s="1406"/>
      <c r="AB456" s="1406"/>
      <c r="AC456" s="1406"/>
      <c r="AD456" s="1406"/>
      <c r="AE456" s="1406"/>
      <c r="AF456" s="1406"/>
      <c r="AG456" s="1406"/>
      <c r="AH456" s="1406"/>
      <c r="AI456" s="1406"/>
      <c r="AJ456" s="1406"/>
      <c r="AK456" s="1406"/>
      <c r="AL456" s="1406"/>
      <c r="AM456" s="1406"/>
      <c r="AN456" s="1406"/>
      <c r="AO456" s="1405"/>
      <c r="AP456" s="1405"/>
      <c r="AQ456" s="1405"/>
      <c r="AR456" s="1405"/>
      <c r="AS456" s="1405"/>
      <c r="AT456" s="1405"/>
      <c r="AU456" s="1405"/>
      <c r="AV456" s="1405"/>
    </row>
    <row r="457" spans="1:48" s="1431" customFormat="1">
      <c r="A457" s="1399"/>
      <c r="B457" s="1429"/>
      <c r="C457" s="1430"/>
      <c r="D457" s="1400"/>
      <c r="E457" s="1401"/>
      <c r="F457" s="1401"/>
      <c r="G457" s="1402"/>
      <c r="H457" s="1403"/>
      <c r="I457" s="1404"/>
      <c r="J457" s="1405"/>
      <c r="K457" s="1405"/>
      <c r="L457" s="1406"/>
      <c r="M457" s="1406"/>
      <c r="N457" s="1406"/>
      <c r="O457" s="1406"/>
      <c r="P457" s="1406"/>
      <c r="Q457" s="1406"/>
      <c r="R457" s="1406"/>
      <c r="S457" s="1406"/>
      <c r="T457" s="1406"/>
      <c r="U457" s="1406"/>
      <c r="V457" s="1406"/>
      <c r="W457" s="1406"/>
      <c r="X457" s="1406"/>
      <c r="Y457" s="1406"/>
      <c r="Z457" s="1406"/>
      <c r="AA457" s="1406"/>
      <c r="AB457" s="1406"/>
      <c r="AC457" s="1406"/>
      <c r="AD457" s="1406"/>
      <c r="AE457" s="1406"/>
      <c r="AF457" s="1406"/>
      <c r="AG457" s="1406"/>
      <c r="AH457" s="1406"/>
      <c r="AI457" s="1406"/>
      <c r="AJ457" s="1406"/>
      <c r="AK457" s="1406"/>
      <c r="AL457" s="1406"/>
      <c r="AM457" s="1406"/>
      <c r="AN457" s="1406"/>
      <c r="AO457" s="1405"/>
      <c r="AP457" s="1405"/>
      <c r="AQ457" s="1405"/>
      <c r="AR457" s="1405"/>
      <c r="AS457" s="1405"/>
      <c r="AT457" s="1405"/>
      <c r="AU457" s="1405"/>
      <c r="AV457" s="1405"/>
    </row>
    <row r="458" spans="1:48" s="1431" customFormat="1">
      <c r="A458" s="1399"/>
      <c r="B458" s="1429"/>
      <c r="C458" s="1430"/>
      <c r="D458" s="1400"/>
      <c r="E458" s="1401"/>
      <c r="F458" s="1401"/>
      <c r="G458" s="1402"/>
      <c r="H458" s="1403"/>
      <c r="I458" s="1404"/>
      <c r="J458" s="1405"/>
      <c r="K458" s="1405"/>
      <c r="L458" s="1406"/>
      <c r="M458" s="1406"/>
      <c r="N458" s="1406"/>
      <c r="O458" s="1406"/>
      <c r="P458" s="1406"/>
      <c r="Q458" s="1406"/>
      <c r="R458" s="1406"/>
      <c r="S458" s="1406"/>
      <c r="T458" s="1406"/>
      <c r="U458" s="1406"/>
      <c r="V458" s="1406"/>
      <c r="W458" s="1406"/>
      <c r="X458" s="1406"/>
      <c r="Y458" s="1406"/>
      <c r="Z458" s="1406"/>
      <c r="AA458" s="1406"/>
      <c r="AB458" s="1406"/>
      <c r="AC458" s="1406"/>
      <c r="AD458" s="1406"/>
      <c r="AE458" s="1406"/>
      <c r="AF458" s="1406"/>
      <c r="AG458" s="1406"/>
      <c r="AH458" s="1406"/>
      <c r="AI458" s="1406"/>
      <c r="AJ458" s="1406"/>
      <c r="AK458" s="1406"/>
      <c r="AL458" s="1406"/>
      <c r="AM458" s="1406"/>
      <c r="AN458" s="1406"/>
      <c r="AO458" s="1405"/>
      <c r="AP458" s="1405"/>
      <c r="AQ458" s="1405"/>
      <c r="AR458" s="1405"/>
      <c r="AS458" s="1405"/>
      <c r="AT458" s="1405"/>
      <c r="AU458" s="1405"/>
      <c r="AV458" s="1405"/>
    </row>
    <row r="459" spans="1:48" s="1431" customFormat="1">
      <c r="A459" s="1399"/>
      <c r="B459" s="1429"/>
      <c r="C459" s="1430"/>
      <c r="D459" s="1400"/>
      <c r="E459" s="1401"/>
      <c r="F459" s="1401"/>
      <c r="G459" s="1402"/>
      <c r="H459" s="1403"/>
      <c r="I459" s="1404"/>
      <c r="J459" s="1405"/>
      <c r="K459" s="1405"/>
      <c r="L459" s="1406"/>
      <c r="M459" s="1406"/>
      <c r="N459" s="1406"/>
      <c r="O459" s="1406"/>
      <c r="P459" s="1406"/>
      <c r="Q459" s="1406"/>
      <c r="R459" s="1406"/>
      <c r="S459" s="1406"/>
      <c r="T459" s="1406"/>
      <c r="U459" s="1406"/>
      <c r="V459" s="1406"/>
      <c r="W459" s="1406"/>
      <c r="X459" s="1406"/>
      <c r="Y459" s="1406"/>
      <c r="Z459" s="1406"/>
      <c r="AA459" s="1406"/>
      <c r="AB459" s="1406"/>
      <c r="AC459" s="1406"/>
      <c r="AD459" s="1406"/>
      <c r="AE459" s="1406"/>
      <c r="AF459" s="1406"/>
      <c r="AG459" s="1406"/>
      <c r="AH459" s="1406"/>
      <c r="AI459" s="1406"/>
      <c r="AJ459" s="1406"/>
      <c r="AK459" s="1406"/>
      <c r="AL459" s="1406"/>
      <c r="AM459" s="1406"/>
      <c r="AN459" s="1406"/>
      <c r="AO459" s="1405"/>
      <c r="AP459" s="1405"/>
      <c r="AQ459" s="1405"/>
      <c r="AR459" s="1405"/>
      <c r="AS459" s="1405"/>
      <c r="AT459" s="1405"/>
      <c r="AU459" s="1405"/>
      <c r="AV459" s="1405"/>
    </row>
    <row r="460" spans="1:48" s="1431" customFormat="1">
      <c r="A460" s="1399"/>
      <c r="B460" s="1429"/>
      <c r="C460" s="1430"/>
      <c r="D460" s="1400"/>
      <c r="E460" s="1401"/>
      <c r="F460" s="1401"/>
      <c r="G460" s="1402"/>
      <c r="H460" s="1403"/>
      <c r="I460" s="1404"/>
      <c r="J460" s="1405"/>
      <c r="K460" s="1405"/>
      <c r="L460" s="1406"/>
      <c r="M460" s="1406"/>
      <c r="N460" s="1406"/>
      <c r="O460" s="1406"/>
      <c r="P460" s="1406"/>
      <c r="Q460" s="1406"/>
      <c r="R460" s="1406"/>
      <c r="S460" s="1406"/>
      <c r="T460" s="1406"/>
      <c r="U460" s="1406"/>
      <c r="V460" s="1406"/>
      <c r="W460" s="1406"/>
      <c r="X460" s="1406"/>
      <c r="Y460" s="1406"/>
      <c r="Z460" s="1406"/>
      <c r="AA460" s="1406"/>
      <c r="AB460" s="1406"/>
      <c r="AC460" s="1406"/>
      <c r="AD460" s="1406"/>
      <c r="AE460" s="1406"/>
      <c r="AF460" s="1406"/>
      <c r="AG460" s="1406"/>
      <c r="AH460" s="1406"/>
      <c r="AI460" s="1406"/>
      <c r="AJ460" s="1406"/>
      <c r="AK460" s="1406"/>
      <c r="AL460" s="1406"/>
      <c r="AM460" s="1406"/>
      <c r="AN460" s="1406"/>
      <c r="AO460" s="1405"/>
      <c r="AP460" s="1405"/>
      <c r="AQ460" s="1405"/>
      <c r="AR460" s="1405"/>
      <c r="AS460" s="1405"/>
      <c r="AT460" s="1405"/>
      <c r="AU460" s="1405"/>
      <c r="AV460" s="1405"/>
    </row>
    <row r="461" spans="1:48" s="1431" customFormat="1">
      <c r="A461" s="1399"/>
      <c r="B461" s="1429"/>
      <c r="C461" s="1430"/>
      <c r="D461" s="1400"/>
      <c r="E461" s="1401"/>
      <c r="F461" s="1401"/>
      <c r="G461" s="1402"/>
      <c r="H461" s="1403"/>
      <c r="I461" s="1404"/>
      <c r="J461" s="1405"/>
      <c r="K461" s="1405"/>
      <c r="L461" s="1406"/>
      <c r="M461" s="1406"/>
      <c r="N461" s="1406"/>
      <c r="O461" s="1406"/>
      <c r="P461" s="1406"/>
      <c r="Q461" s="1406"/>
      <c r="R461" s="1406"/>
      <c r="S461" s="1406"/>
      <c r="T461" s="1406"/>
      <c r="U461" s="1406"/>
      <c r="V461" s="1406"/>
      <c r="W461" s="1406"/>
      <c r="X461" s="1406"/>
      <c r="Y461" s="1406"/>
      <c r="Z461" s="1406"/>
      <c r="AA461" s="1406"/>
      <c r="AB461" s="1406"/>
      <c r="AC461" s="1406"/>
      <c r="AD461" s="1406"/>
      <c r="AE461" s="1406"/>
      <c r="AF461" s="1406"/>
      <c r="AG461" s="1406"/>
      <c r="AH461" s="1406"/>
      <c r="AI461" s="1406"/>
      <c r="AJ461" s="1406"/>
      <c r="AK461" s="1406"/>
      <c r="AL461" s="1406"/>
      <c r="AM461" s="1406"/>
      <c r="AN461" s="1406"/>
      <c r="AO461" s="1405"/>
      <c r="AP461" s="1405"/>
      <c r="AQ461" s="1405"/>
      <c r="AR461" s="1405"/>
      <c r="AS461" s="1405"/>
      <c r="AT461" s="1405"/>
      <c r="AU461" s="1405"/>
      <c r="AV461" s="1405"/>
    </row>
    <row r="462" spans="1:48" s="1431" customFormat="1">
      <c r="A462" s="1399"/>
      <c r="B462" s="1429"/>
      <c r="C462" s="1430"/>
      <c r="D462" s="1400"/>
      <c r="E462" s="1401"/>
      <c r="F462" s="1401"/>
      <c r="G462" s="1402"/>
      <c r="H462" s="1403"/>
      <c r="I462" s="1404"/>
      <c r="J462" s="1405"/>
      <c r="K462" s="1405"/>
      <c r="L462" s="1406"/>
      <c r="M462" s="1406"/>
      <c r="N462" s="1406"/>
      <c r="O462" s="1406"/>
      <c r="P462" s="1406"/>
      <c r="Q462" s="1406"/>
      <c r="R462" s="1406"/>
      <c r="S462" s="1406"/>
      <c r="T462" s="1406"/>
      <c r="U462" s="1406"/>
      <c r="V462" s="1406"/>
      <c r="W462" s="1406"/>
      <c r="X462" s="1406"/>
      <c r="Y462" s="1406"/>
      <c r="Z462" s="1406"/>
      <c r="AA462" s="1406"/>
      <c r="AB462" s="1406"/>
      <c r="AC462" s="1406"/>
      <c r="AD462" s="1406"/>
      <c r="AE462" s="1406"/>
      <c r="AF462" s="1406"/>
      <c r="AG462" s="1406"/>
      <c r="AH462" s="1406"/>
      <c r="AI462" s="1406"/>
      <c r="AJ462" s="1406"/>
      <c r="AK462" s="1406"/>
      <c r="AL462" s="1406"/>
      <c r="AM462" s="1406"/>
      <c r="AN462" s="1406"/>
      <c r="AO462" s="1405"/>
      <c r="AP462" s="1405"/>
      <c r="AQ462" s="1405"/>
      <c r="AR462" s="1405"/>
      <c r="AS462" s="1405"/>
      <c r="AT462" s="1405"/>
      <c r="AU462" s="1405"/>
      <c r="AV462" s="1405"/>
    </row>
    <row r="463" spans="1:48" s="1431" customFormat="1">
      <c r="A463" s="1399"/>
      <c r="B463" s="1429"/>
      <c r="C463" s="1430"/>
      <c r="D463" s="1400"/>
      <c r="E463" s="1401"/>
      <c r="F463" s="1401"/>
      <c r="G463" s="1402"/>
      <c r="H463" s="1403"/>
      <c r="I463" s="1404"/>
      <c r="J463" s="1405"/>
      <c r="K463" s="1405"/>
      <c r="L463" s="1406"/>
      <c r="M463" s="1406"/>
      <c r="N463" s="1406"/>
      <c r="O463" s="1406"/>
      <c r="P463" s="1406"/>
      <c r="Q463" s="1406"/>
      <c r="R463" s="1406"/>
      <c r="S463" s="1406"/>
      <c r="T463" s="1406"/>
      <c r="U463" s="1406"/>
      <c r="V463" s="1406"/>
      <c r="W463" s="1406"/>
      <c r="X463" s="1406"/>
      <c r="Y463" s="1406"/>
      <c r="Z463" s="1406"/>
      <c r="AA463" s="1406"/>
      <c r="AB463" s="1406"/>
      <c r="AC463" s="1406"/>
      <c r="AD463" s="1406"/>
      <c r="AE463" s="1406"/>
      <c r="AF463" s="1406"/>
      <c r="AG463" s="1406"/>
      <c r="AH463" s="1406"/>
      <c r="AI463" s="1406"/>
      <c r="AJ463" s="1406"/>
      <c r="AK463" s="1406"/>
      <c r="AL463" s="1406"/>
      <c r="AM463" s="1406"/>
      <c r="AN463" s="1406"/>
      <c r="AO463" s="1405"/>
      <c r="AP463" s="1405"/>
      <c r="AQ463" s="1405"/>
      <c r="AR463" s="1405"/>
      <c r="AS463" s="1405"/>
      <c r="AT463" s="1405"/>
      <c r="AU463" s="1405"/>
      <c r="AV463" s="1405"/>
    </row>
    <row r="464" spans="1:48" s="1431" customFormat="1">
      <c r="A464" s="1399"/>
      <c r="B464" s="1429"/>
      <c r="C464" s="1430"/>
      <c r="D464" s="1400"/>
      <c r="E464" s="1401"/>
      <c r="F464" s="1401"/>
      <c r="G464" s="1402"/>
      <c r="H464" s="1403"/>
      <c r="I464" s="1404"/>
      <c r="J464" s="1405"/>
      <c r="K464" s="1405"/>
      <c r="L464" s="1406"/>
      <c r="M464" s="1406"/>
      <c r="N464" s="1406"/>
      <c r="O464" s="1406"/>
      <c r="P464" s="1406"/>
      <c r="Q464" s="1406"/>
      <c r="R464" s="1406"/>
      <c r="S464" s="1406"/>
      <c r="T464" s="1406"/>
      <c r="U464" s="1406"/>
      <c r="V464" s="1406"/>
      <c r="W464" s="1406"/>
      <c r="X464" s="1406"/>
      <c r="Y464" s="1406"/>
      <c r="Z464" s="1406"/>
      <c r="AA464" s="1406"/>
      <c r="AB464" s="1406"/>
      <c r="AC464" s="1406"/>
      <c r="AD464" s="1406"/>
      <c r="AE464" s="1406"/>
      <c r="AF464" s="1406"/>
      <c r="AG464" s="1406"/>
      <c r="AH464" s="1406"/>
      <c r="AI464" s="1406"/>
      <c r="AJ464" s="1406"/>
      <c r="AK464" s="1406"/>
      <c r="AL464" s="1406"/>
      <c r="AM464" s="1406"/>
      <c r="AN464" s="1406"/>
      <c r="AO464" s="1405"/>
      <c r="AP464" s="1405"/>
      <c r="AQ464" s="1405"/>
      <c r="AR464" s="1405"/>
      <c r="AS464" s="1405"/>
      <c r="AT464" s="1405"/>
      <c r="AU464" s="1405"/>
      <c r="AV464" s="1405"/>
    </row>
    <row r="465" spans="1:48" s="1431" customFormat="1">
      <c r="A465" s="1399"/>
      <c r="B465" s="1429"/>
      <c r="C465" s="1430"/>
      <c r="D465" s="1400"/>
      <c r="E465" s="1401"/>
      <c r="F465" s="1401"/>
      <c r="G465" s="1402"/>
      <c r="H465" s="1403"/>
      <c r="I465" s="1404"/>
      <c r="J465" s="1405"/>
      <c r="K465" s="1405"/>
      <c r="L465" s="1406"/>
      <c r="M465" s="1406"/>
      <c r="N465" s="1406"/>
      <c r="O465" s="1406"/>
      <c r="P465" s="1406"/>
      <c r="Q465" s="1406"/>
      <c r="R465" s="1406"/>
      <c r="S465" s="1406"/>
      <c r="T465" s="1406"/>
      <c r="U465" s="1406"/>
      <c r="V465" s="1406"/>
      <c r="W465" s="1406"/>
      <c r="X465" s="1406"/>
      <c r="Y465" s="1406"/>
      <c r="Z465" s="1406"/>
      <c r="AA465" s="1406"/>
      <c r="AB465" s="1406"/>
      <c r="AC465" s="1406"/>
      <c r="AD465" s="1406"/>
      <c r="AE465" s="1406"/>
      <c r="AF465" s="1406"/>
      <c r="AG465" s="1406"/>
      <c r="AH465" s="1406"/>
      <c r="AI465" s="1406"/>
      <c r="AJ465" s="1406"/>
      <c r="AK465" s="1406"/>
      <c r="AL465" s="1406"/>
      <c r="AM465" s="1406"/>
      <c r="AN465" s="1406"/>
      <c r="AO465" s="1405"/>
      <c r="AP465" s="1405"/>
      <c r="AQ465" s="1405"/>
      <c r="AR465" s="1405"/>
      <c r="AS465" s="1405"/>
      <c r="AT465" s="1405"/>
      <c r="AU465" s="1405"/>
      <c r="AV465" s="1405"/>
    </row>
    <row r="466" spans="1:48" s="1431" customFormat="1">
      <c r="A466" s="1399"/>
      <c r="B466" s="1429"/>
      <c r="C466" s="1430"/>
      <c r="D466" s="1400"/>
      <c r="E466" s="1401"/>
      <c r="F466" s="1401"/>
      <c r="G466" s="1402"/>
      <c r="H466" s="1403"/>
      <c r="I466" s="1404"/>
      <c r="J466" s="1405"/>
      <c r="K466" s="1405"/>
      <c r="L466" s="1406"/>
      <c r="M466" s="1406"/>
      <c r="N466" s="1406"/>
      <c r="O466" s="1406"/>
      <c r="P466" s="1406"/>
      <c r="Q466" s="1406"/>
      <c r="R466" s="1406"/>
      <c r="S466" s="1406"/>
      <c r="T466" s="1406"/>
      <c r="U466" s="1406"/>
      <c r="V466" s="1406"/>
      <c r="W466" s="1406"/>
      <c r="X466" s="1406"/>
      <c r="Y466" s="1406"/>
      <c r="Z466" s="1406"/>
      <c r="AA466" s="1406"/>
      <c r="AB466" s="1406"/>
      <c r="AC466" s="1406"/>
      <c r="AD466" s="1406"/>
      <c r="AE466" s="1406"/>
      <c r="AF466" s="1406"/>
      <c r="AG466" s="1406"/>
      <c r="AH466" s="1406"/>
      <c r="AI466" s="1406"/>
      <c r="AJ466" s="1406"/>
      <c r="AK466" s="1406"/>
      <c r="AL466" s="1406"/>
      <c r="AM466" s="1406"/>
      <c r="AN466" s="1406"/>
      <c r="AO466" s="1405"/>
      <c r="AP466" s="1405"/>
      <c r="AQ466" s="1405"/>
      <c r="AR466" s="1405"/>
      <c r="AS466" s="1405"/>
      <c r="AT466" s="1405"/>
      <c r="AU466" s="1405"/>
      <c r="AV466" s="1405"/>
    </row>
    <row r="467" spans="1:48" s="1431" customFormat="1">
      <c r="A467" s="1399"/>
      <c r="B467" s="1429"/>
      <c r="C467" s="1430"/>
      <c r="D467" s="1400"/>
      <c r="E467" s="1401"/>
      <c r="F467" s="1401"/>
      <c r="G467" s="1402"/>
      <c r="H467" s="1403"/>
      <c r="I467" s="1404"/>
      <c r="J467" s="1405"/>
      <c r="K467" s="1405"/>
      <c r="L467" s="1406"/>
      <c r="M467" s="1406"/>
      <c r="N467" s="1406"/>
      <c r="O467" s="1406"/>
      <c r="P467" s="1406"/>
      <c r="Q467" s="1406"/>
      <c r="R467" s="1406"/>
      <c r="S467" s="1406"/>
      <c r="T467" s="1406"/>
      <c r="U467" s="1406"/>
      <c r="V467" s="1406"/>
      <c r="W467" s="1406"/>
      <c r="X467" s="1406"/>
      <c r="Y467" s="1406"/>
      <c r="Z467" s="1406"/>
      <c r="AA467" s="1406"/>
      <c r="AB467" s="1406"/>
      <c r="AC467" s="1406"/>
      <c r="AD467" s="1406"/>
      <c r="AE467" s="1406"/>
      <c r="AF467" s="1406"/>
      <c r="AG467" s="1406"/>
      <c r="AH467" s="1406"/>
      <c r="AI467" s="1406"/>
      <c r="AJ467" s="1406"/>
      <c r="AK467" s="1406"/>
      <c r="AL467" s="1406"/>
      <c r="AM467" s="1406"/>
      <c r="AN467" s="1406"/>
      <c r="AO467" s="1405"/>
      <c r="AP467" s="1405"/>
      <c r="AQ467" s="1405"/>
      <c r="AR467" s="1405"/>
      <c r="AS467" s="1405"/>
      <c r="AT467" s="1405"/>
      <c r="AU467" s="1405"/>
      <c r="AV467" s="1405"/>
    </row>
    <row r="468" spans="1:48" s="1431" customFormat="1">
      <c r="A468" s="1399"/>
      <c r="B468" s="1429"/>
      <c r="C468" s="1430"/>
      <c r="D468" s="1400"/>
      <c r="E468" s="1401"/>
      <c r="F468" s="1401"/>
      <c r="G468" s="1402"/>
      <c r="H468" s="1403"/>
      <c r="I468" s="1404"/>
      <c r="J468" s="1405"/>
      <c r="K468" s="1405"/>
      <c r="L468" s="1406"/>
      <c r="M468" s="1406"/>
      <c r="N468" s="1406"/>
      <c r="O468" s="1406"/>
      <c r="P468" s="1406"/>
      <c r="Q468" s="1406"/>
      <c r="R468" s="1406"/>
      <c r="S468" s="1406"/>
      <c r="T468" s="1406"/>
      <c r="U468" s="1406"/>
      <c r="V468" s="1406"/>
      <c r="W468" s="1406"/>
      <c r="X468" s="1406"/>
      <c r="Y468" s="1406"/>
      <c r="Z468" s="1406"/>
      <c r="AA468" s="1406"/>
      <c r="AB468" s="1406"/>
      <c r="AC468" s="1406"/>
      <c r="AD468" s="1406"/>
      <c r="AE468" s="1406"/>
      <c r="AF468" s="1406"/>
      <c r="AG468" s="1406"/>
      <c r="AH468" s="1406"/>
      <c r="AI468" s="1406"/>
      <c r="AJ468" s="1406"/>
      <c r="AK468" s="1406"/>
      <c r="AL468" s="1406"/>
      <c r="AM468" s="1406"/>
      <c r="AN468" s="1406"/>
      <c r="AO468" s="1405"/>
      <c r="AP468" s="1405"/>
      <c r="AQ468" s="1405"/>
      <c r="AR468" s="1405"/>
      <c r="AS468" s="1405"/>
      <c r="AT468" s="1405"/>
      <c r="AU468" s="1405"/>
      <c r="AV468" s="1405"/>
    </row>
    <row r="469" spans="1:48" s="1431" customFormat="1">
      <c r="A469" s="1399"/>
      <c r="B469" s="1429"/>
      <c r="C469" s="1430"/>
      <c r="D469" s="1400"/>
      <c r="E469" s="1401"/>
      <c r="F469" s="1401"/>
      <c r="G469" s="1402"/>
      <c r="H469" s="1403"/>
      <c r="I469" s="1404"/>
      <c r="J469" s="1405"/>
      <c r="K469" s="1405"/>
      <c r="L469" s="1406"/>
      <c r="M469" s="1406"/>
      <c r="N469" s="1406"/>
      <c r="O469" s="1406"/>
      <c r="P469" s="1406"/>
      <c r="Q469" s="1406"/>
      <c r="R469" s="1406"/>
      <c r="S469" s="1406"/>
      <c r="T469" s="1406"/>
      <c r="U469" s="1406"/>
      <c r="V469" s="1406"/>
      <c r="W469" s="1406"/>
      <c r="X469" s="1406"/>
      <c r="Y469" s="1406"/>
      <c r="Z469" s="1406"/>
      <c r="AA469" s="1406"/>
      <c r="AB469" s="1406"/>
      <c r="AC469" s="1406"/>
      <c r="AD469" s="1406"/>
      <c r="AE469" s="1406"/>
      <c r="AF469" s="1406"/>
      <c r="AG469" s="1406"/>
      <c r="AH469" s="1406"/>
      <c r="AI469" s="1406"/>
      <c r="AJ469" s="1406"/>
      <c r="AK469" s="1406"/>
      <c r="AL469" s="1406"/>
      <c r="AM469" s="1406"/>
      <c r="AN469" s="1406"/>
      <c r="AO469" s="1405"/>
      <c r="AP469" s="1405"/>
      <c r="AQ469" s="1405"/>
      <c r="AR469" s="1405"/>
      <c r="AS469" s="1405"/>
      <c r="AT469" s="1405"/>
      <c r="AU469" s="1405"/>
      <c r="AV469" s="1405"/>
    </row>
    <row r="470" spans="1:48" s="1431" customFormat="1">
      <c r="A470" s="1399"/>
      <c r="B470" s="1429"/>
      <c r="C470" s="1430"/>
      <c r="D470" s="1400"/>
      <c r="E470" s="1401"/>
      <c r="F470" s="1401"/>
      <c r="G470" s="1402"/>
      <c r="H470" s="1403"/>
      <c r="I470" s="1404"/>
      <c r="J470" s="1405"/>
      <c r="K470" s="1405"/>
      <c r="L470" s="1406"/>
      <c r="M470" s="1406"/>
      <c r="N470" s="1406"/>
      <c r="O470" s="1406"/>
      <c r="P470" s="1406"/>
      <c r="Q470" s="1406"/>
      <c r="R470" s="1406"/>
      <c r="S470" s="1406"/>
      <c r="T470" s="1406"/>
      <c r="U470" s="1406"/>
      <c r="V470" s="1406"/>
      <c r="W470" s="1406"/>
      <c r="X470" s="1406"/>
      <c r="Y470" s="1406"/>
      <c r="Z470" s="1406"/>
      <c r="AA470" s="1406"/>
      <c r="AB470" s="1406"/>
      <c r="AC470" s="1406"/>
      <c r="AD470" s="1406"/>
      <c r="AE470" s="1406"/>
      <c r="AF470" s="1406"/>
      <c r="AG470" s="1406"/>
      <c r="AH470" s="1406"/>
      <c r="AI470" s="1406"/>
      <c r="AJ470" s="1406"/>
      <c r="AK470" s="1406"/>
      <c r="AL470" s="1406"/>
      <c r="AM470" s="1406"/>
      <c r="AN470" s="1406"/>
      <c r="AO470" s="1405"/>
      <c r="AP470" s="1405"/>
      <c r="AQ470" s="1405"/>
      <c r="AR470" s="1405"/>
      <c r="AS470" s="1405"/>
      <c r="AT470" s="1405"/>
      <c r="AU470" s="1405"/>
      <c r="AV470" s="1405"/>
    </row>
    <row r="471" spans="1:48" s="1431" customFormat="1">
      <c r="A471" s="1399"/>
      <c r="B471" s="1429"/>
      <c r="C471" s="1430"/>
      <c r="D471" s="1400"/>
      <c r="E471" s="1401"/>
      <c r="F471" s="1401"/>
      <c r="G471" s="1402"/>
      <c r="H471" s="1403"/>
      <c r="I471" s="1404"/>
      <c r="J471" s="1405"/>
      <c r="K471" s="1405"/>
      <c r="L471" s="1406"/>
      <c r="M471" s="1406"/>
      <c r="N471" s="1406"/>
      <c r="O471" s="1406"/>
      <c r="P471" s="1406"/>
      <c r="Q471" s="1406"/>
      <c r="R471" s="1406"/>
      <c r="S471" s="1406"/>
      <c r="T471" s="1406"/>
      <c r="U471" s="1406"/>
      <c r="V471" s="1406"/>
      <c r="W471" s="1406"/>
      <c r="X471" s="1406"/>
      <c r="Y471" s="1406"/>
      <c r="Z471" s="1406"/>
      <c r="AA471" s="1406"/>
      <c r="AB471" s="1406"/>
      <c r="AC471" s="1406"/>
      <c r="AD471" s="1406"/>
      <c r="AE471" s="1406"/>
      <c r="AF471" s="1406"/>
      <c r="AG471" s="1406"/>
      <c r="AH471" s="1406"/>
      <c r="AI471" s="1406"/>
      <c r="AJ471" s="1406"/>
      <c r="AK471" s="1406"/>
      <c r="AL471" s="1406"/>
      <c r="AM471" s="1406"/>
      <c r="AN471" s="1406"/>
      <c r="AO471" s="1405"/>
      <c r="AP471" s="1405"/>
      <c r="AQ471" s="1405"/>
      <c r="AR471" s="1405"/>
      <c r="AS471" s="1405"/>
      <c r="AT471" s="1405"/>
      <c r="AU471" s="1405"/>
      <c r="AV471" s="1405"/>
    </row>
    <row r="472" spans="1:48" s="1431" customFormat="1">
      <c r="A472" s="1399"/>
      <c r="B472" s="1429"/>
      <c r="C472" s="1430"/>
      <c r="D472" s="1400"/>
      <c r="E472" s="1401"/>
      <c r="F472" s="1401"/>
      <c r="G472" s="1402"/>
      <c r="H472" s="1403"/>
      <c r="I472" s="1404"/>
      <c r="J472" s="1405"/>
      <c r="K472" s="1405"/>
      <c r="L472" s="1406"/>
      <c r="M472" s="1406"/>
      <c r="N472" s="1406"/>
      <c r="O472" s="1406"/>
      <c r="P472" s="1406"/>
      <c r="Q472" s="1406"/>
      <c r="R472" s="1406"/>
      <c r="S472" s="1406"/>
      <c r="T472" s="1406"/>
      <c r="U472" s="1406"/>
      <c r="V472" s="1406"/>
      <c r="W472" s="1406"/>
      <c r="X472" s="1406"/>
      <c r="Y472" s="1406"/>
      <c r="Z472" s="1406"/>
      <c r="AA472" s="1406"/>
      <c r="AB472" s="1406"/>
      <c r="AC472" s="1406"/>
      <c r="AD472" s="1406"/>
      <c r="AE472" s="1406"/>
      <c r="AF472" s="1406"/>
      <c r="AG472" s="1406"/>
      <c r="AH472" s="1406"/>
      <c r="AI472" s="1406"/>
      <c r="AJ472" s="1406"/>
      <c r="AK472" s="1406"/>
      <c r="AL472" s="1406"/>
      <c r="AM472" s="1406"/>
      <c r="AN472" s="1406"/>
      <c r="AO472" s="1405"/>
      <c r="AP472" s="1405"/>
      <c r="AQ472" s="1405"/>
      <c r="AR472" s="1405"/>
      <c r="AS472" s="1405"/>
      <c r="AT472" s="1405"/>
      <c r="AU472" s="1405"/>
      <c r="AV472" s="1405"/>
    </row>
    <row r="473" spans="1:48" s="1431" customFormat="1">
      <c r="A473" s="1399"/>
      <c r="B473" s="1429"/>
      <c r="C473" s="1430"/>
      <c r="D473" s="1400"/>
      <c r="E473" s="1401"/>
      <c r="F473" s="1401"/>
      <c r="G473" s="1402"/>
      <c r="H473" s="1403"/>
      <c r="I473" s="1404"/>
      <c r="J473" s="1405"/>
      <c r="K473" s="1405"/>
      <c r="L473" s="1406"/>
      <c r="M473" s="1406"/>
      <c r="N473" s="1406"/>
      <c r="O473" s="1406"/>
      <c r="P473" s="1406"/>
      <c r="Q473" s="1406"/>
      <c r="R473" s="1406"/>
      <c r="S473" s="1406"/>
      <c r="T473" s="1406"/>
      <c r="U473" s="1406"/>
      <c r="V473" s="1406"/>
      <c r="W473" s="1406"/>
      <c r="X473" s="1406"/>
      <c r="Y473" s="1406"/>
      <c r="Z473" s="1406"/>
      <c r="AA473" s="1406"/>
      <c r="AB473" s="1406"/>
      <c r="AC473" s="1406"/>
      <c r="AD473" s="1406"/>
      <c r="AE473" s="1406"/>
      <c r="AF473" s="1406"/>
      <c r="AG473" s="1406"/>
      <c r="AH473" s="1406"/>
      <c r="AI473" s="1406"/>
      <c r="AJ473" s="1406"/>
      <c r="AK473" s="1406"/>
      <c r="AL473" s="1406"/>
      <c r="AM473" s="1406"/>
      <c r="AN473" s="1406"/>
      <c r="AO473" s="1405"/>
      <c r="AP473" s="1405"/>
      <c r="AQ473" s="1405"/>
      <c r="AR473" s="1405"/>
      <c r="AS473" s="1405"/>
      <c r="AT473" s="1405"/>
      <c r="AU473" s="1405"/>
      <c r="AV473" s="1405"/>
    </row>
    <row r="474" spans="1:48" s="1431" customFormat="1">
      <c r="A474" s="1399"/>
      <c r="B474" s="1429"/>
      <c r="C474" s="1430"/>
      <c r="D474" s="1400"/>
      <c r="E474" s="1401"/>
      <c r="F474" s="1401"/>
      <c r="G474" s="1402"/>
      <c r="H474" s="1403"/>
      <c r="I474" s="1404"/>
      <c r="J474" s="1405"/>
      <c r="K474" s="1405"/>
      <c r="L474" s="1406"/>
      <c r="M474" s="1406"/>
      <c r="N474" s="1406"/>
      <c r="O474" s="1406"/>
      <c r="P474" s="1406"/>
      <c r="Q474" s="1406"/>
      <c r="R474" s="1406"/>
      <c r="S474" s="1406"/>
      <c r="T474" s="1406"/>
      <c r="U474" s="1406"/>
      <c r="V474" s="1406"/>
      <c r="W474" s="1406"/>
      <c r="X474" s="1406"/>
      <c r="Y474" s="1406"/>
      <c r="Z474" s="1406"/>
      <c r="AA474" s="1406"/>
      <c r="AB474" s="1406"/>
      <c r="AC474" s="1406"/>
      <c r="AD474" s="1406"/>
      <c r="AE474" s="1406"/>
      <c r="AF474" s="1406"/>
      <c r="AG474" s="1406"/>
      <c r="AH474" s="1406"/>
      <c r="AI474" s="1406"/>
      <c r="AJ474" s="1406"/>
      <c r="AK474" s="1406"/>
      <c r="AL474" s="1406"/>
      <c r="AM474" s="1406"/>
      <c r="AN474" s="1406"/>
      <c r="AO474" s="1405"/>
      <c r="AP474" s="1405"/>
      <c r="AQ474" s="1405"/>
      <c r="AR474" s="1405"/>
      <c r="AS474" s="1405"/>
      <c r="AT474" s="1405"/>
      <c r="AU474" s="1405"/>
      <c r="AV474" s="1405"/>
    </row>
    <row r="475" spans="1:48" s="1431" customFormat="1">
      <c r="A475" s="1399"/>
      <c r="B475" s="1429"/>
      <c r="C475" s="1430"/>
      <c r="D475" s="1400"/>
      <c r="E475" s="1401"/>
      <c r="F475" s="1401"/>
      <c r="G475" s="1402"/>
      <c r="H475" s="1403"/>
      <c r="I475" s="1404"/>
      <c r="J475" s="1405"/>
      <c r="K475" s="1405"/>
      <c r="L475" s="1406"/>
      <c r="M475" s="1406"/>
      <c r="N475" s="1406"/>
      <c r="O475" s="1406"/>
      <c r="P475" s="1406"/>
      <c r="Q475" s="1406"/>
      <c r="R475" s="1406"/>
      <c r="S475" s="1406"/>
      <c r="T475" s="1406"/>
      <c r="U475" s="1406"/>
      <c r="V475" s="1406"/>
      <c r="W475" s="1406"/>
      <c r="X475" s="1406"/>
      <c r="Y475" s="1406"/>
      <c r="Z475" s="1406"/>
      <c r="AA475" s="1406"/>
      <c r="AB475" s="1406"/>
      <c r="AC475" s="1406"/>
      <c r="AD475" s="1406"/>
      <c r="AE475" s="1406"/>
      <c r="AF475" s="1406"/>
      <c r="AG475" s="1406"/>
      <c r="AH475" s="1406"/>
      <c r="AI475" s="1406"/>
      <c r="AJ475" s="1406"/>
      <c r="AK475" s="1406"/>
      <c r="AL475" s="1406"/>
      <c r="AM475" s="1406"/>
      <c r="AN475" s="1406"/>
      <c r="AO475" s="1405"/>
      <c r="AP475" s="1405"/>
      <c r="AQ475" s="1405"/>
      <c r="AR475" s="1405"/>
      <c r="AS475" s="1405"/>
      <c r="AT475" s="1405"/>
      <c r="AU475" s="1405"/>
      <c r="AV475" s="1405"/>
    </row>
    <row r="476" spans="1:48" s="1431" customFormat="1">
      <c r="A476" s="1399"/>
      <c r="B476" s="1429"/>
      <c r="C476" s="1430"/>
      <c r="D476" s="1400"/>
      <c r="E476" s="1401"/>
      <c r="F476" s="1401"/>
      <c r="G476" s="1402"/>
      <c r="H476" s="1403"/>
      <c r="I476" s="1404"/>
      <c r="J476" s="1405"/>
      <c r="K476" s="1405"/>
      <c r="L476" s="1406"/>
      <c r="M476" s="1406"/>
      <c r="N476" s="1406"/>
      <c r="O476" s="1406"/>
      <c r="P476" s="1406"/>
      <c r="Q476" s="1406"/>
      <c r="R476" s="1406"/>
      <c r="S476" s="1406"/>
      <c r="T476" s="1406"/>
      <c r="U476" s="1406"/>
      <c r="V476" s="1406"/>
      <c r="W476" s="1406"/>
      <c r="X476" s="1406"/>
      <c r="Y476" s="1406"/>
      <c r="Z476" s="1406"/>
      <c r="AA476" s="1406"/>
      <c r="AB476" s="1406"/>
      <c r="AC476" s="1406"/>
      <c r="AD476" s="1406"/>
      <c r="AE476" s="1406"/>
      <c r="AF476" s="1406"/>
      <c r="AG476" s="1406"/>
      <c r="AH476" s="1406"/>
      <c r="AI476" s="1406"/>
      <c r="AJ476" s="1406"/>
      <c r="AK476" s="1406"/>
      <c r="AL476" s="1406"/>
      <c r="AM476" s="1406"/>
      <c r="AN476" s="1406"/>
      <c r="AO476" s="1405"/>
      <c r="AP476" s="1405"/>
      <c r="AQ476" s="1405"/>
      <c r="AR476" s="1405"/>
      <c r="AS476" s="1405"/>
      <c r="AT476" s="1405"/>
      <c r="AU476" s="1405"/>
      <c r="AV476" s="1405"/>
    </row>
    <row r="477" spans="1:48" s="1431" customFormat="1">
      <c r="A477" s="1399"/>
      <c r="B477" s="1429"/>
      <c r="C477" s="1430"/>
      <c r="D477" s="1400"/>
      <c r="E477" s="1401"/>
      <c r="F477" s="1401"/>
      <c r="G477" s="1402"/>
      <c r="H477" s="1403"/>
      <c r="I477" s="1404"/>
      <c r="J477" s="1405"/>
      <c r="K477" s="1405"/>
      <c r="L477" s="1406"/>
      <c r="M477" s="1406"/>
      <c r="N477" s="1406"/>
      <c r="O477" s="1406"/>
      <c r="P477" s="1406"/>
      <c r="Q477" s="1406"/>
      <c r="R477" s="1406"/>
      <c r="S477" s="1406"/>
      <c r="T477" s="1406"/>
      <c r="U477" s="1406"/>
      <c r="V477" s="1406"/>
      <c r="W477" s="1406"/>
      <c r="X477" s="1406"/>
      <c r="Y477" s="1406"/>
      <c r="Z477" s="1406"/>
      <c r="AA477" s="1406"/>
      <c r="AB477" s="1406"/>
      <c r="AC477" s="1406"/>
      <c r="AD477" s="1406"/>
      <c r="AE477" s="1406"/>
      <c r="AF477" s="1406"/>
      <c r="AG477" s="1406"/>
      <c r="AH477" s="1406"/>
      <c r="AI477" s="1406"/>
      <c r="AJ477" s="1406"/>
      <c r="AK477" s="1406"/>
      <c r="AL477" s="1406"/>
      <c r="AM477" s="1406"/>
      <c r="AN477" s="1406"/>
      <c r="AO477" s="1405"/>
      <c r="AP477" s="1405"/>
      <c r="AQ477" s="1405"/>
      <c r="AR477" s="1405"/>
      <c r="AS477" s="1405"/>
      <c r="AT477" s="1405"/>
      <c r="AU477" s="1405"/>
      <c r="AV477" s="1405"/>
    </row>
    <row r="478" spans="1:48" s="1431" customFormat="1">
      <c r="A478" s="1399"/>
      <c r="B478" s="1429"/>
      <c r="C478" s="1430"/>
      <c r="D478" s="1400"/>
      <c r="E478" s="1401"/>
      <c r="F478" s="1401"/>
      <c r="G478" s="1402"/>
      <c r="H478" s="1403"/>
      <c r="I478" s="1404"/>
      <c r="J478" s="1405"/>
      <c r="K478" s="1405"/>
      <c r="L478" s="1406"/>
      <c r="M478" s="1406"/>
      <c r="N478" s="1406"/>
      <c r="O478" s="1406"/>
      <c r="P478" s="1406"/>
      <c r="Q478" s="1406"/>
      <c r="R478" s="1406"/>
      <c r="S478" s="1406"/>
      <c r="T478" s="1406"/>
      <c r="U478" s="1406"/>
      <c r="V478" s="1406"/>
      <c r="W478" s="1406"/>
      <c r="X478" s="1406"/>
      <c r="Y478" s="1406"/>
      <c r="Z478" s="1406"/>
      <c r="AA478" s="1406"/>
      <c r="AB478" s="1406"/>
      <c r="AC478" s="1406"/>
      <c r="AD478" s="1406"/>
      <c r="AE478" s="1406"/>
      <c r="AF478" s="1406"/>
      <c r="AG478" s="1406"/>
      <c r="AH478" s="1406"/>
      <c r="AI478" s="1406"/>
      <c r="AJ478" s="1406"/>
      <c r="AK478" s="1406"/>
      <c r="AL478" s="1406"/>
      <c r="AM478" s="1406"/>
      <c r="AN478" s="1406"/>
      <c r="AO478" s="1405"/>
      <c r="AP478" s="1405"/>
      <c r="AQ478" s="1405"/>
      <c r="AR478" s="1405"/>
      <c r="AS478" s="1405"/>
      <c r="AT478" s="1405"/>
      <c r="AU478" s="1405"/>
      <c r="AV478" s="1405"/>
    </row>
    <row r="479" spans="1:48" s="1431" customFormat="1">
      <c r="A479" s="1399"/>
      <c r="B479" s="1429"/>
      <c r="C479" s="1430"/>
      <c r="D479" s="1400"/>
      <c r="E479" s="1401"/>
      <c r="F479" s="1401"/>
      <c r="G479" s="1402"/>
      <c r="H479" s="1403"/>
      <c r="I479" s="1404"/>
      <c r="J479" s="1405"/>
      <c r="K479" s="1405"/>
      <c r="L479" s="1406"/>
      <c r="M479" s="1406"/>
      <c r="N479" s="1406"/>
      <c r="O479" s="1406"/>
      <c r="P479" s="1406"/>
      <c r="Q479" s="1406"/>
      <c r="R479" s="1406"/>
      <c r="S479" s="1406"/>
      <c r="T479" s="1406"/>
      <c r="U479" s="1406"/>
      <c r="V479" s="1406"/>
      <c r="W479" s="1406"/>
      <c r="X479" s="1406"/>
      <c r="Y479" s="1406"/>
      <c r="Z479" s="1406"/>
      <c r="AA479" s="1406"/>
      <c r="AB479" s="1406"/>
      <c r="AC479" s="1406"/>
      <c r="AD479" s="1406"/>
      <c r="AE479" s="1406"/>
      <c r="AF479" s="1406"/>
      <c r="AG479" s="1406"/>
      <c r="AH479" s="1406"/>
      <c r="AI479" s="1406"/>
      <c r="AJ479" s="1406"/>
      <c r="AK479" s="1406"/>
      <c r="AL479" s="1406"/>
      <c r="AM479" s="1406"/>
      <c r="AN479" s="1406"/>
      <c r="AO479" s="1405"/>
      <c r="AP479" s="1405"/>
      <c r="AQ479" s="1405"/>
      <c r="AR479" s="1405"/>
      <c r="AS479" s="1405"/>
      <c r="AT479" s="1405"/>
      <c r="AU479" s="1405"/>
      <c r="AV479" s="1405"/>
    </row>
    <row r="480" spans="1:48" s="1431" customFormat="1">
      <c r="A480" s="1399"/>
      <c r="B480" s="1429"/>
      <c r="C480" s="1430"/>
      <c r="D480" s="1400"/>
      <c r="E480" s="1401"/>
      <c r="F480" s="1401"/>
      <c r="G480" s="1402"/>
      <c r="H480" s="1403"/>
      <c r="I480" s="1404"/>
      <c r="J480" s="1405"/>
      <c r="K480" s="1405"/>
      <c r="L480" s="1406"/>
      <c r="M480" s="1406"/>
      <c r="N480" s="1406"/>
      <c r="O480" s="1406"/>
      <c r="P480" s="1406"/>
      <c r="Q480" s="1406"/>
      <c r="R480" s="1406"/>
      <c r="S480" s="1406"/>
      <c r="T480" s="1406"/>
      <c r="U480" s="1406"/>
      <c r="V480" s="1406"/>
      <c r="W480" s="1406"/>
      <c r="X480" s="1406"/>
      <c r="Y480" s="1406"/>
      <c r="Z480" s="1406"/>
      <c r="AA480" s="1406"/>
      <c r="AB480" s="1406"/>
      <c r="AC480" s="1406"/>
      <c r="AD480" s="1406"/>
      <c r="AE480" s="1406"/>
      <c r="AF480" s="1406"/>
      <c r="AG480" s="1406"/>
      <c r="AH480" s="1406"/>
      <c r="AI480" s="1406"/>
      <c r="AJ480" s="1406"/>
      <c r="AK480" s="1406"/>
      <c r="AL480" s="1406"/>
      <c r="AM480" s="1406"/>
      <c r="AN480" s="1406"/>
      <c r="AO480" s="1405"/>
      <c r="AP480" s="1405"/>
      <c r="AQ480" s="1405"/>
      <c r="AR480" s="1405"/>
      <c r="AS480" s="1405"/>
      <c r="AT480" s="1405"/>
      <c r="AU480" s="1405"/>
      <c r="AV480" s="1405"/>
    </row>
    <row r="481" spans="1:48" s="1431" customFormat="1">
      <c r="A481" s="1399"/>
      <c r="B481" s="1429"/>
      <c r="C481" s="1430"/>
      <c r="D481" s="1400"/>
      <c r="E481" s="1401"/>
      <c r="F481" s="1401"/>
      <c r="G481" s="1402"/>
      <c r="H481" s="1403"/>
      <c r="I481" s="1404"/>
      <c r="J481" s="1405"/>
      <c r="K481" s="1405"/>
      <c r="L481" s="1406"/>
      <c r="M481" s="1406"/>
      <c r="N481" s="1406"/>
      <c r="O481" s="1406"/>
      <c r="P481" s="1406"/>
      <c r="Q481" s="1406"/>
      <c r="R481" s="1406"/>
      <c r="S481" s="1406"/>
      <c r="T481" s="1406"/>
      <c r="U481" s="1406"/>
      <c r="V481" s="1406"/>
      <c r="W481" s="1406"/>
      <c r="X481" s="1406"/>
      <c r="Y481" s="1406"/>
      <c r="Z481" s="1406"/>
      <c r="AA481" s="1406"/>
      <c r="AB481" s="1406"/>
      <c r="AC481" s="1406"/>
      <c r="AD481" s="1406"/>
      <c r="AE481" s="1406"/>
      <c r="AF481" s="1406"/>
      <c r="AG481" s="1406"/>
      <c r="AH481" s="1406"/>
      <c r="AI481" s="1406"/>
      <c r="AJ481" s="1406"/>
      <c r="AK481" s="1406"/>
      <c r="AL481" s="1406"/>
      <c r="AM481" s="1406"/>
      <c r="AN481" s="1406"/>
      <c r="AO481" s="1405"/>
      <c r="AP481" s="1405"/>
      <c r="AQ481" s="1405"/>
      <c r="AR481" s="1405"/>
      <c r="AS481" s="1405"/>
      <c r="AT481" s="1405"/>
      <c r="AU481" s="1405"/>
      <c r="AV481" s="1405"/>
    </row>
    <row r="482" spans="1:48" s="1431" customFormat="1">
      <c r="A482" s="1399"/>
      <c r="B482" s="1429"/>
      <c r="C482" s="1430"/>
      <c r="D482" s="1400"/>
      <c r="E482" s="1401"/>
      <c r="F482" s="1401"/>
      <c r="G482" s="1402"/>
      <c r="H482" s="1403"/>
      <c r="I482" s="1404"/>
      <c r="J482" s="1405"/>
      <c r="K482" s="1405"/>
      <c r="L482" s="1406"/>
      <c r="M482" s="1406"/>
      <c r="N482" s="1406"/>
      <c r="O482" s="1406"/>
      <c r="P482" s="1406"/>
      <c r="Q482" s="1406"/>
      <c r="R482" s="1406"/>
      <c r="S482" s="1406"/>
      <c r="T482" s="1406"/>
      <c r="U482" s="1406"/>
      <c r="V482" s="1406"/>
      <c r="W482" s="1406"/>
      <c r="X482" s="1406"/>
      <c r="Y482" s="1406"/>
      <c r="Z482" s="1406"/>
      <c r="AA482" s="1406"/>
      <c r="AB482" s="1406"/>
      <c r="AC482" s="1406"/>
      <c r="AD482" s="1406"/>
      <c r="AE482" s="1406"/>
      <c r="AF482" s="1406"/>
      <c r="AG482" s="1406"/>
      <c r="AH482" s="1406"/>
      <c r="AI482" s="1406"/>
      <c r="AJ482" s="1406"/>
      <c r="AK482" s="1406"/>
      <c r="AL482" s="1406"/>
      <c r="AM482" s="1406"/>
      <c r="AN482" s="1406"/>
      <c r="AO482" s="1405"/>
      <c r="AP482" s="1405"/>
      <c r="AQ482" s="1405"/>
      <c r="AR482" s="1405"/>
      <c r="AS482" s="1405"/>
      <c r="AT482" s="1405"/>
      <c r="AU482" s="1405"/>
      <c r="AV482" s="1405"/>
    </row>
    <row r="483" spans="1:48" s="1431" customFormat="1">
      <c r="A483" s="1399"/>
      <c r="B483" s="1429"/>
      <c r="C483" s="1430"/>
      <c r="D483" s="1400"/>
      <c r="E483" s="1401"/>
      <c r="F483" s="1401"/>
      <c r="G483" s="1402"/>
      <c r="H483" s="1403"/>
      <c r="I483" s="1404"/>
      <c r="J483" s="1405"/>
      <c r="K483" s="1405"/>
      <c r="L483" s="1406"/>
      <c r="M483" s="1406"/>
      <c r="N483" s="1406"/>
      <c r="O483" s="1406"/>
      <c r="P483" s="1406"/>
      <c r="Q483" s="1406"/>
      <c r="R483" s="1406"/>
      <c r="S483" s="1406"/>
      <c r="T483" s="1406"/>
      <c r="U483" s="1406"/>
      <c r="V483" s="1406"/>
      <c r="W483" s="1406"/>
      <c r="X483" s="1406"/>
      <c r="Y483" s="1406"/>
      <c r="Z483" s="1406"/>
      <c r="AA483" s="1406"/>
      <c r="AB483" s="1406"/>
      <c r="AC483" s="1406"/>
      <c r="AD483" s="1406"/>
      <c r="AE483" s="1406"/>
      <c r="AF483" s="1406"/>
      <c r="AG483" s="1406"/>
      <c r="AH483" s="1406"/>
      <c r="AI483" s="1406"/>
      <c r="AJ483" s="1406"/>
      <c r="AK483" s="1406"/>
      <c r="AL483" s="1406"/>
      <c r="AM483" s="1406"/>
      <c r="AN483" s="1406"/>
      <c r="AO483" s="1405"/>
      <c r="AP483" s="1405"/>
      <c r="AQ483" s="1405"/>
      <c r="AR483" s="1405"/>
      <c r="AS483" s="1405"/>
      <c r="AT483" s="1405"/>
      <c r="AU483" s="1405"/>
      <c r="AV483" s="1405"/>
    </row>
    <row r="484" spans="1:48" s="1431" customFormat="1">
      <c r="A484" s="1399"/>
      <c r="B484" s="1429"/>
      <c r="C484" s="1430"/>
      <c r="D484" s="1400"/>
      <c r="E484" s="1401"/>
      <c r="F484" s="1401"/>
      <c r="G484" s="1402"/>
      <c r="H484" s="1403"/>
      <c r="I484" s="1404"/>
      <c r="J484" s="1405"/>
      <c r="K484" s="1405"/>
      <c r="L484" s="1406"/>
      <c r="M484" s="1406"/>
      <c r="N484" s="1406"/>
      <c r="O484" s="1406"/>
      <c r="P484" s="1406"/>
      <c r="Q484" s="1406"/>
      <c r="R484" s="1406"/>
      <c r="S484" s="1406"/>
      <c r="T484" s="1406"/>
      <c r="U484" s="1406"/>
      <c r="V484" s="1406"/>
      <c r="W484" s="1406"/>
      <c r="X484" s="1406"/>
      <c r="Y484" s="1406"/>
      <c r="Z484" s="1406"/>
      <c r="AA484" s="1406"/>
      <c r="AB484" s="1406"/>
      <c r="AC484" s="1406"/>
      <c r="AD484" s="1406"/>
      <c r="AE484" s="1406"/>
      <c r="AF484" s="1406"/>
      <c r="AG484" s="1406"/>
      <c r="AH484" s="1406"/>
      <c r="AI484" s="1406"/>
      <c r="AJ484" s="1406"/>
      <c r="AK484" s="1406"/>
      <c r="AL484" s="1406"/>
      <c r="AM484" s="1406"/>
      <c r="AN484" s="1406"/>
      <c r="AO484" s="1405"/>
      <c r="AP484" s="1405"/>
      <c r="AQ484" s="1405"/>
      <c r="AR484" s="1405"/>
      <c r="AS484" s="1405"/>
      <c r="AT484" s="1405"/>
      <c r="AU484" s="1405"/>
      <c r="AV484" s="1405"/>
    </row>
    <row r="485" spans="1:48" s="1431" customFormat="1">
      <c r="A485" s="1399"/>
      <c r="B485" s="1429"/>
      <c r="C485" s="1430"/>
      <c r="D485" s="1400"/>
      <c r="E485" s="1401"/>
      <c r="F485" s="1401"/>
      <c r="G485" s="1402"/>
      <c r="H485" s="1403"/>
      <c r="I485" s="1404"/>
      <c r="J485" s="1405"/>
      <c r="K485" s="1405"/>
      <c r="L485" s="1406"/>
      <c r="M485" s="1406"/>
      <c r="N485" s="1406"/>
      <c r="O485" s="1406"/>
      <c r="P485" s="1406"/>
      <c r="Q485" s="1406"/>
      <c r="R485" s="1406"/>
      <c r="S485" s="1406"/>
      <c r="T485" s="1406"/>
      <c r="U485" s="1406"/>
      <c r="V485" s="1406"/>
      <c r="W485" s="1406"/>
      <c r="X485" s="1406"/>
      <c r="Y485" s="1406"/>
      <c r="Z485" s="1406"/>
      <c r="AA485" s="1406"/>
      <c r="AB485" s="1406"/>
      <c r="AC485" s="1406"/>
      <c r="AD485" s="1406"/>
      <c r="AE485" s="1406"/>
      <c r="AF485" s="1406"/>
      <c r="AG485" s="1406"/>
      <c r="AH485" s="1406"/>
      <c r="AI485" s="1406"/>
      <c r="AJ485" s="1406"/>
      <c r="AK485" s="1406"/>
      <c r="AL485" s="1406"/>
      <c r="AM485" s="1406"/>
      <c r="AN485" s="1406"/>
      <c r="AO485" s="1405"/>
      <c r="AP485" s="1405"/>
      <c r="AQ485" s="1405"/>
      <c r="AR485" s="1405"/>
      <c r="AS485" s="1405"/>
      <c r="AT485" s="1405"/>
      <c r="AU485" s="1405"/>
      <c r="AV485" s="1405"/>
    </row>
    <row r="486" spans="1:48" s="1431" customFormat="1">
      <c r="A486" s="1399"/>
      <c r="B486" s="1429"/>
      <c r="C486" s="1430"/>
      <c r="D486" s="1400"/>
      <c r="E486" s="1401"/>
      <c r="F486" s="1401"/>
      <c r="G486" s="1402"/>
      <c r="H486" s="1403"/>
      <c r="I486" s="1404"/>
      <c r="J486" s="1405"/>
      <c r="K486" s="1405"/>
      <c r="L486" s="1406"/>
      <c r="M486" s="1406"/>
      <c r="N486" s="1406"/>
      <c r="O486" s="1406"/>
      <c r="P486" s="1406"/>
      <c r="Q486" s="1406"/>
      <c r="R486" s="1406"/>
      <c r="S486" s="1406"/>
      <c r="T486" s="1406"/>
      <c r="U486" s="1406"/>
      <c r="V486" s="1406"/>
      <c r="W486" s="1406"/>
      <c r="X486" s="1406"/>
      <c r="Y486" s="1406"/>
      <c r="Z486" s="1406"/>
      <c r="AA486" s="1406"/>
      <c r="AB486" s="1406"/>
      <c r="AC486" s="1406"/>
      <c r="AD486" s="1406"/>
      <c r="AE486" s="1406"/>
      <c r="AF486" s="1406"/>
      <c r="AG486" s="1406"/>
      <c r="AH486" s="1406"/>
      <c r="AI486" s="1406"/>
      <c r="AJ486" s="1406"/>
      <c r="AK486" s="1406"/>
      <c r="AL486" s="1406"/>
      <c r="AM486" s="1406"/>
      <c r="AN486" s="1406"/>
      <c r="AO486" s="1405"/>
      <c r="AP486" s="1405"/>
      <c r="AQ486" s="1405"/>
      <c r="AR486" s="1405"/>
      <c r="AS486" s="1405"/>
      <c r="AT486" s="1405"/>
      <c r="AU486" s="1405"/>
      <c r="AV486" s="1405"/>
    </row>
    <row r="487" spans="1:48" s="1431" customFormat="1">
      <c r="A487" s="1399"/>
      <c r="B487" s="1429"/>
      <c r="C487" s="1430"/>
      <c r="D487" s="1400"/>
      <c r="E487" s="1401"/>
      <c r="F487" s="1401"/>
      <c r="G487" s="1402"/>
      <c r="H487" s="1403"/>
      <c r="I487" s="1404"/>
      <c r="J487" s="1405"/>
      <c r="K487" s="1405"/>
      <c r="L487" s="1406"/>
      <c r="M487" s="1406"/>
      <c r="N487" s="1406"/>
      <c r="O487" s="1406"/>
      <c r="P487" s="1406"/>
      <c r="Q487" s="1406"/>
      <c r="R487" s="1406"/>
      <c r="S487" s="1406"/>
      <c r="T487" s="1406"/>
      <c r="U487" s="1406"/>
      <c r="V487" s="1406"/>
      <c r="W487" s="1406"/>
      <c r="X487" s="1406"/>
      <c r="Y487" s="1406"/>
      <c r="Z487" s="1406"/>
      <c r="AA487" s="1406"/>
      <c r="AB487" s="1406"/>
      <c r="AC487" s="1406"/>
      <c r="AD487" s="1406"/>
      <c r="AE487" s="1406"/>
      <c r="AF487" s="1406"/>
      <c r="AG487" s="1406"/>
      <c r="AH487" s="1406"/>
      <c r="AI487" s="1406"/>
      <c r="AJ487" s="1406"/>
      <c r="AK487" s="1406"/>
      <c r="AL487" s="1406"/>
      <c r="AM487" s="1406"/>
      <c r="AN487" s="1406"/>
      <c r="AO487" s="1405"/>
      <c r="AP487" s="1405"/>
      <c r="AQ487" s="1405"/>
      <c r="AR487" s="1405"/>
      <c r="AS487" s="1405"/>
      <c r="AT487" s="1405"/>
      <c r="AU487" s="1405"/>
      <c r="AV487" s="1405"/>
    </row>
    <row r="488" spans="1:48" s="1431" customFormat="1">
      <c r="A488" s="1399"/>
      <c r="B488" s="1429"/>
      <c r="C488" s="1430"/>
      <c r="D488" s="1400"/>
      <c r="E488" s="1401"/>
      <c r="F488" s="1401"/>
      <c r="G488" s="1402"/>
      <c r="H488" s="1403"/>
      <c r="I488" s="1404"/>
      <c r="J488" s="1405"/>
      <c r="K488" s="1405"/>
      <c r="L488" s="1406"/>
      <c r="M488" s="1406"/>
      <c r="N488" s="1406"/>
      <c r="O488" s="1406"/>
      <c r="P488" s="1406"/>
      <c r="Q488" s="1406"/>
      <c r="R488" s="1406"/>
      <c r="S488" s="1406"/>
      <c r="T488" s="1406"/>
      <c r="U488" s="1406"/>
      <c r="V488" s="1406"/>
      <c r="W488" s="1406"/>
      <c r="X488" s="1406"/>
      <c r="Y488" s="1406"/>
      <c r="Z488" s="1406"/>
      <c r="AA488" s="1406"/>
      <c r="AB488" s="1406"/>
      <c r="AC488" s="1406"/>
      <c r="AD488" s="1406"/>
      <c r="AE488" s="1406"/>
      <c r="AF488" s="1406"/>
      <c r="AG488" s="1406"/>
      <c r="AH488" s="1406"/>
      <c r="AI488" s="1406"/>
      <c r="AJ488" s="1406"/>
      <c r="AK488" s="1406"/>
      <c r="AL488" s="1406"/>
      <c r="AM488" s="1406"/>
      <c r="AN488" s="1406"/>
      <c r="AO488" s="1405"/>
      <c r="AP488" s="1405"/>
      <c r="AQ488" s="1405"/>
      <c r="AR488" s="1405"/>
      <c r="AS488" s="1405"/>
      <c r="AT488" s="1405"/>
      <c r="AU488" s="1405"/>
      <c r="AV488" s="1405"/>
    </row>
    <row r="489" spans="1:48" s="1431" customFormat="1">
      <c r="A489" s="1399"/>
      <c r="B489" s="1429"/>
      <c r="C489" s="1430"/>
      <c r="D489" s="1400"/>
      <c r="E489" s="1401"/>
      <c r="F489" s="1401"/>
      <c r="G489" s="1402"/>
      <c r="H489" s="1403"/>
      <c r="I489" s="1404"/>
      <c r="J489" s="1405"/>
      <c r="K489" s="1405"/>
      <c r="L489" s="1406"/>
      <c r="M489" s="1406"/>
      <c r="N489" s="1406"/>
      <c r="O489" s="1406"/>
      <c r="P489" s="1406"/>
      <c r="Q489" s="1406"/>
      <c r="R489" s="1406"/>
      <c r="S489" s="1406"/>
      <c r="T489" s="1406"/>
      <c r="U489" s="1406"/>
      <c r="V489" s="1406"/>
      <c r="W489" s="1406"/>
      <c r="X489" s="1406"/>
      <c r="Y489" s="1406"/>
      <c r="Z489" s="1406"/>
      <c r="AA489" s="1406"/>
      <c r="AB489" s="1406"/>
      <c r="AC489" s="1406"/>
      <c r="AD489" s="1406"/>
      <c r="AE489" s="1406"/>
      <c r="AF489" s="1406"/>
      <c r="AG489" s="1406"/>
      <c r="AH489" s="1406"/>
      <c r="AI489" s="1406"/>
      <c r="AJ489" s="1406"/>
      <c r="AK489" s="1406"/>
      <c r="AL489" s="1406"/>
      <c r="AM489" s="1406"/>
      <c r="AN489" s="1406"/>
      <c r="AO489" s="1405"/>
      <c r="AP489" s="1405"/>
      <c r="AQ489" s="1405"/>
      <c r="AR489" s="1405"/>
      <c r="AS489" s="1405"/>
      <c r="AT489" s="1405"/>
      <c r="AU489" s="1405"/>
      <c r="AV489" s="1405"/>
    </row>
    <row r="490" spans="1:48" s="1431" customFormat="1">
      <c r="A490" s="1399"/>
      <c r="B490" s="1429"/>
      <c r="C490" s="1430"/>
      <c r="D490" s="1400"/>
      <c r="E490" s="1401"/>
      <c r="F490" s="1401"/>
      <c r="G490" s="1402"/>
      <c r="H490" s="1403"/>
      <c r="I490" s="1404"/>
      <c r="J490" s="1405"/>
      <c r="K490" s="1405"/>
      <c r="L490" s="1406"/>
      <c r="M490" s="1406"/>
      <c r="N490" s="1406"/>
      <c r="O490" s="1406"/>
      <c r="P490" s="1406"/>
      <c r="Q490" s="1406"/>
      <c r="R490" s="1406"/>
      <c r="S490" s="1406"/>
      <c r="T490" s="1406"/>
      <c r="U490" s="1406"/>
      <c r="V490" s="1406"/>
      <c r="W490" s="1406"/>
      <c r="X490" s="1406"/>
      <c r="Y490" s="1406"/>
      <c r="Z490" s="1406"/>
      <c r="AA490" s="1406"/>
      <c r="AB490" s="1406"/>
      <c r="AC490" s="1406"/>
      <c r="AD490" s="1406"/>
      <c r="AE490" s="1406"/>
      <c r="AF490" s="1406"/>
      <c r="AG490" s="1406"/>
      <c r="AH490" s="1406"/>
      <c r="AI490" s="1406"/>
      <c r="AJ490" s="1406"/>
      <c r="AK490" s="1406"/>
      <c r="AL490" s="1406"/>
      <c r="AM490" s="1406"/>
      <c r="AN490" s="1406"/>
      <c r="AO490" s="1405"/>
      <c r="AP490" s="1405"/>
      <c r="AQ490" s="1405"/>
      <c r="AR490" s="1405"/>
      <c r="AS490" s="1405"/>
      <c r="AT490" s="1405"/>
      <c r="AU490" s="1405"/>
      <c r="AV490" s="1405"/>
    </row>
    <row r="491" spans="1:48" s="1431" customFormat="1">
      <c r="A491" s="1399"/>
      <c r="B491" s="1429"/>
      <c r="C491" s="1430"/>
      <c r="D491" s="1400"/>
      <c r="E491" s="1401"/>
      <c r="F491" s="1401"/>
      <c r="G491" s="1402"/>
      <c r="H491" s="1403"/>
      <c r="I491" s="1404"/>
      <c r="J491" s="1405"/>
      <c r="K491" s="1405"/>
      <c r="L491" s="1406"/>
      <c r="M491" s="1406"/>
      <c r="N491" s="1406"/>
      <c r="O491" s="1406"/>
      <c r="P491" s="1406"/>
      <c r="Q491" s="1406"/>
      <c r="R491" s="1406"/>
      <c r="S491" s="1406"/>
      <c r="T491" s="1406"/>
      <c r="U491" s="1406"/>
      <c r="V491" s="1406"/>
      <c r="W491" s="1406"/>
      <c r="X491" s="1406"/>
      <c r="Y491" s="1406"/>
      <c r="Z491" s="1406"/>
      <c r="AA491" s="1406"/>
      <c r="AB491" s="1406"/>
      <c r="AC491" s="1406"/>
      <c r="AD491" s="1406"/>
      <c r="AE491" s="1406"/>
      <c r="AF491" s="1406"/>
      <c r="AG491" s="1406"/>
      <c r="AH491" s="1406"/>
      <c r="AI491" s="1406"/>
      <c r="AJ491" s="1406"/>
      <c r="AK491" s="1406"/>
      <c r="AL491" s="1406"/>
      <c r="AM491" s="1406"/>
      <c r="AN491" s="1406"/>
      <c r="AO491" s="1405"/>
      <c r="AP491" s="1405"/>
      <c r="AQ491" s="1405"/>
      <c r="AR491" s="1405"/>
      <c r="AS491" s="1405"/>
      <c r="AT491" s="1405"/>
      <c r="AU491" s="1405"/>
      <c r="AV491" s="1405"/>
    </row>
    <row r="492" spans="1:48" s="1431" customFormat="1">
      <c r="A492" s="1399"/>
      <c r="B492" s="1429"/>
      <c r="C492" s="1430"/>
      <c r="D492" s="1400"/>
      <c r="E492" s="1401"/>
      <c r="F492" s="1401"/>
      <c r="G492" s="1402"/>
      <c r="H492" s="1403"/>
      <c r="I492" s="1404"/>
      <c r="J492" s="1405"/>
      <c r="K492" s="1405"/>
      <c r="L492" s="1406"/>
      <c r="M492" s="1406"/>
      <c r="N492" s="1406"/>
      <c r="O492" s="1406"/>
      <c r="P492" s="1406"/>
      <c r="Q492" s="1406"/>
      <c r="R492" s="1406"/>
      <c r="S492" s="1406"/>
      <c r="T492" s="1406"/>
      <c r="U492" s="1406"/>
      <c r="V492" s="1406"/>
      <c r="W492" s="1406"/>
      <c r="X492" s="1406"/>
      <c r="Y492" s="1406"/>
      <c r="Z492" s="1406"/>
      <c r="AA492" s="1406"/>
      <c r="AB492" s="1406"/>
      <c r="AC492" s="1406"/>
      <c r="AD492" s="1406"/>
      <c r="AE492" s="1406"/>
      <c r="AF492" s="1406"/>
      <c r="AG492" s="1406"/>
      <c r="AH492" s="1406"/>
      <c r="AI492" s="1406"/>
      <c r="AJ492" s="1406"/>
      <c r="AK492" s="1406"/>
      <c r="AL492" s="1406"/>
      <c r="AM492" s="1406"/>
      <c r="AN492" s="1406"/>
      <c r="AO492" s="1405"/>
      <c r="AP492" s="1405"/>
      <c r="AQ492" s="1405"/>
      <c r="AR492" s="1405"/>
      <c r="AS492" s="1405"/>
      <c r="AT492" s="1405"/>
      <c r="AU492" s="1405"/>
      <c r="AV492" s="1405"/>
    </row>
    <row r="493" spans="1:48" s="1431" customFormat="1">
      <c r="A493" s="1399"/>
      <c r="B493" s="1429"/>
      <c r="C493" s="1430"/>
      <c r="D493" s="1400"/>
      <c r="E493" s="1401"/>
      <c r="F493" s="1401"/>
      <c r="G493" s="1402"/>
      <c r="H493" s="1403"/>
      <c r="I493" s="1404"/>
      <c r="J493" s="1405"/>
      <c r="K493" s="1405"/>
      <c r="L493" s="1406"/>
      <c r="M493" s="1406"/>
      <c r="N493" s="1406"/>
      <c r="O493" s="1406"/>
      <c r="P493" s="1406"/>
      <c r="Q493" s="1406"/>
      <c r="R493" s="1406"/>
      <c r="S493" s="1406"/>
      <c r="T493" s="1406"/>
      <c r="U493" s="1406"/>
      <c r="V493" s="1406"/>
      <c r="W493" s="1406"/>
      <c r="X493" s="1406"/>
      <c r="Y493" s="1406"/>
      <c r="Z493" s="1406"/>
      <c r="AA493" s="1406"/>
      <c r="AB493" s="1406"/>
      <c r="AC493" s="1406"/>
      <c r="AD493" s="1406"/>
      <c r="AE493" s="1406"/>
      <c r="AF493" s="1406"/>
      <c r="AG493" s="1406"/>
      <c r="AH493" s="1406"/>
      <c r="AI493" s="1406"/>
      <c r="AJ493" s="1406"/>
      <c r="AK493" s="1406"/>
      <c r="AL493" s="1406"/>
      <c r="AM493" s="1406"/>
      <c r="AN493" s="1406"/>
      <c r="AO493" s="1405"/>
      <c r="AP493" s="1405"/>
      <c r="AQ493" s="1405"/>
      <c r="AR493" s="1405"/>
      <c r="AS493" s="1405"/>
      <c r="AT493" s="1405"/>
      <c r="AU493" s="1405"/>
      <c r="AV493" s="1405"/>
    </row>
    <row r="494" spans="1:48" s="1431" customFormat="1">
      <c r="A494" s="1399"/>
      <c r="B494" s="1429"/>
      <c r="C494" s="1430"/>
      <c r="D494" s="1400"/>
      <c r="E494" s="1401"/>
      <c r="F494" s="1401"/>
      <c r="G494" s="1402"/>
      <c r="H494" s="1403"/>
      <c r="I494" s="1404"/>
      <c r="J494" s="1405"/>
      <c r="K494" s="1405"/>
      <c r="L494" s="1406"/>
      <c r="M494" s="1406"/>
      <c r="N494" s="1406"/>
      <c r="O494" s="1406"/>
      <c r="P494" s="1406"/>
      <c r="Q494" s="1406"/>
      <c r="R494" s="1406"/>
      <c r="S494" s="1406"/>
      <c r="T494" s="1406"/>
      <c r="U494" s="1406"/>
      <c r="V494" s="1406"/>
      <c r="W494" s="1406"/>
      <c r="X494" s="1406"/>
      <c r="Y494" s="1406"/>
      <c r="Z494" s="1406"/>
      <c r="AA494" s="1406"/>
      <c r="AB494" s="1406"/>
      <c r="AC494" s="1406"/>
      <c r="AD494" s="1406"/>
      <c r="AE494" s="1406"/>
      <c r="AF494" s="1406"/>
      <c r="AG494" s="1406"/>
      <c r="AH494" s="1406"/>
      <c r="AI494" s="1406"/>
      <c r="AJ494" s="1406"/>
      <c r="AK494" s="1406"/>
      <c r="AL494" s="1406"/>
      <c r="AM494" s="1406"/>
      <c r="AN494" s="1406"/>
      <c r="AO494" s="1405"/>
      <c r="AP494" s="1405"/>
      <c r="AQ494" s="1405"/>
      <c r="AR494" s="1405"/>
      <c r="AS494" s="1405"/>
      <c r="AT494" s="1405"/>
      <c r="AU494" s="1405"/>
      <c r="AV494" s="1405"/>
    </row>
    <row r="495" spans="1:48" s="1431" customFormat="1">
      <c r="A495" s="1399"/>
      <c r="B495" s="1429"/>
      <c r="C495" s="1430"/>
      <c r="D495" s="1400"/>
      <c r="E495" s="1401"/>
      <c r="F495" s="1401"/>
      <c r="G495" s="1402"/>
      <c r="H495" s="1403"/>
      <c r="I495" s="1404"/>
      <c r="J495" s="1405"/>
      <c r="K495" s="1405"/>
      <c r="L495" s="1406"/>
      <c r="M495" s="1406"/>
      <c r="N495" s="1406"/>
      <c r="O495" s="1406"/>
      <c r="P495" s="1406"/>
      <c r="Q495" s="1406"/>
      <c r="R495" s="1406"/>
      <c r="S495" s="1406"/>
      <c r="T495" s="1406"/>
      <c r="U495" s="1406"/>
      <c r="V495" s="1406"/>
      <c r="W495" s="1406"/>
      <c r="X495" s="1406"/>
      <c r="Y495" s="1406"/>
      <c r="Z495" s="1406"/>
      <c r="AA495" s="1406"/>
      <c r="AB495" s="1406"/>
      <c r="AC495" s="1406"/>
      <c r="AD495" s="1406"/>
      <c r="AE495" s="1406"/>
      <c r="AF495" s="1406"/>
      <c r="AG495" s="1406"/>
      <c r="AH495" s="1406"/>
      <c r="AI495" s="1406"/>
      <c r="AJ495" s="1406"/>
      <c r="AK495" s="1406"/>
      <c r="AL495" s="1406"/>
      <c r="AM495" s="1406"/>
      <c r="AN495" s="1406"/>
      <c r="AO495" s="1405"/>
      <c r="AP495" s="1405"/>
      <c r="AQ495" s="1405"/>
      <c r="AR495" s="1405"/>
      <c r="AS495" s="1405"/>
      <c r="AT495" s="1405"/>
      <c r="AU495" s="1405"/>
      <c r="AV495" s="1405"/>
    </row>
    <row r="496" spans="1:48" s="1431" customFormat="1">
      <c r="A496" s="1399"/>
      <c r="B496" s="1429"/>
      <c r="C496" s="1430"/>
      <c r="D496" s="1400"/>
      <c r="E496" s="1401"/>
      <c r="F496" s="1401"/>
      <c r="G496" s="1402"/>
      <c r="H496" s="1403"/>
      <c r="I496" s="1404"/>
      <c r="J496" s="1405"/>
      <c r="K496" s="1405"/>
      <c r="L496" s="1406"/>
      <c r="M496" s="1406"/>
      <c r="N496" s="1406"/>
      <c r="O496" s="1406"/>
      <c r="P496" s="1406"/>
      <c r="Q496" s="1406"/>
      <c r="R496" s="1406"/>
      <c r="S496" s="1406"/>
      <c r="T496" s="1406"/>
      <c r="U496" s="1406"/>
      <c r="V496" s="1406"/>
      <c r="W496" s="1406"/>
      <c r="X496" s="1406"/>
      <c r="Y496" s="1406"/>
      <c r="Z496" s="1406"/>
      <c r="AA496" s="1406"/>
      <c r="AB496" s="1406"/>
      <c r="AC496" s="1406"/>
      <c r="AD496" s="1406"/>
      <c r="AE496" s="1406"/>
      <c r="AF496" s="1406"/>
      <c r="AG496" s="1406"/>
      <c r="AH496" s="1406"/>
      <c r="AI496" s="1406"/>
      <c r="AJ496" s="1406"/>
      <c r="AK496" s="1406"/>
      <c r="AL496" s="1406"/>
      <c r="AM496" s="1406"/>
      <c r="AN496" s="1406"/>
      <c r="AO496" s="1405"/>
      <c r="AP496" s="1405"/>
      <c r="AQ496" s="1405"/>
      <c r="AR496" s="1405"/>
      <c r="AS496" s="1405"/>
      <c r="AT496" s="1405"/>
      <c r="AU496" s="1405"/>
      <c r="AV496" s="1405"/>
    </row>
    <row r="497" spans="1:48" s="1431" customFormat="1">
      <c r="A497" s="1399"/>
      <c r="B497" s="1429"/>
      <c r="C497" s="1430"/>
      <c r="D497" s="1400"/>
      <c r="E497" s="1401"/>
      <c r="F497" s="1401"/>
      <c r="G497" s="1402"/>
      <c r="H497" s="1403"/>
      <c r="I497" s="1404"/>
      <c r="J497" s="1405"/>
      <c r="K497" s="1405"/>
      <c r="L497" s="1406"/>
      <c r="M497" s="1406"/>
      <c r="N497" s="1406"/>
      <c r="O497" s="1406"/>
      <c r="P497" s="1406"/>
      <c r="Q497" s="1406"/>
      <c r="R497" s="1406"/>
      <c r="S497" s="1406"/>
      <c r="T497" s="1406"/>
      <c r="U497" s="1406"/>
      <c r="V497" s="1406"/>
      <c r="W497" s="1406"/>
      <c r="X497" s="1406"/>
      <c r="Y497" s="1406"/>
      <c r="Z497" s="1406"/>
      <c r="AA497" s="1406"/>
      <c r="AB497" s="1406"/>
      <c r="AC497" s="1406"/>
      <c r="AD497" s="1406"/>
      <c r="AE497" s="1406"/>
      <c r="AF497" s="1406"/>
      <c r="AG497" s="1406"/>
      <c r="AH497" s="1406"/>
      <c r="AI497" s="1406"/>
      <c r="AJ497" s="1406"/>
      <c r="AK497" s="1406"/>
      <c r="AL497" s="1406"/>
      <c r="AM497" s="1406"/>
      <c r="AN497" s="1406"/>
      <c r="AO497" s="1405"/>
      <c r="AP497" s="1405"/>
      <c r="AQ497" s="1405"/>
      <c r="AR497" s="1405"/>
      <c r="AS497" s="1405"/>
      <c r="AT497" s="1405"/>
      <c r="AU497" s="1405"/>
      <c r="AV497" s="1405"/>
    </row>
    <row r="498" spans="1:48" s="1431" customFormat="1">
      <c r="A498" s="1399"/>
      <c r="B498" s="1429"/>
      <c r="C498" s="1430"/>
      <c r="D498" s="1400"/>
      <c r="E498" s="1401"/>
      <c r="F498" s="1401"/>
      <c r="G498" s="1402"/>
      <c r="H498" s="1403"/>
      <c r="I498" s="1404"/>
      <c r="J498" s="1405"/>
      <c r="K498" s="1405"/>
      <c r="L498" s="1406"/>
      <c r="M498" s="1406"/>
      <c r="N498" s="1406"/>
      <c r="O498" s="1406"/>
      <c r="P498" s="1406"/>
      <c r="Q498" s="1406"/>
      <c r="R498" s="1406"/>
      <c r="S498" s="1406"/>
      <c r="T498" s="1406"/>
      <c r="U498" s="1406"/>
      <c r="V498" s="1406"/>
      <c r="W498" s="1406"/>
      <c r="X498" s="1406"/>
      <c r="Y498" s="1406"/>
      <c r="Z498" s="1406"/>
      <c r="AA498" s="1406"/>
      <c r="AB498" s="1406"/>
      <c r="AC498" s="1406"/>
      <c r="AD498" s="1406"/>
      <c r="AE498" s="1406"/>
      <c r="AF498" s="1406"/>
      <c r="AG498" s="1406"/>
      <c r="AH498" s="1406"/>
      <c r="AI498" s="1406"/>
      <c r="AJ498" s="1406"/>
      <c r="AK498" s="1406"/>
      <c r="AL498" s="1406"/>
      <c r="AM498" s="1406"/>
      <c r="AN498" s="1406"/>
      <c r="AO498" s="1405"/>
      <c r="AP498" s="1405"/>
      <c r="AQ498" s="1405"/>
      <c r="AR498" s="1405"/>
      <c r="AS498" s="1405"/>
      <c r="AT498" s="1405"/>
      <c r="AU498" s="1405"/>
      <c r="AV498" s="1405"/>
    </row>
    <row r="499" spans="1:48" s="1431" customFormat="1">
      <c r="A499" s="1399"/>
      <c r="B499" s="1429"/>
      <c r="C499" s="1430"/>
      <c r="D499" s="1400"/>
      <c r="E499" s="1401"/>
      <c r="F499" s="1401"/>
      <c r="G499" s="1402"/>
      <c r="H499" s="1403"/>
      <c r="I499" s="1404"/>
      <c r="J499" s="1405"/>
      <c r="K499" s="1405"/>
      <c r="L499" s="1406"/>
      <c r="M499" s="1406"/>
      <c r="N499" s="1406"/>
      <c r="O499" s="1406"/>
      <c r="P499" s="1406"/>
      <c r="Q499" s="1406"/>
      <c r="R499" s="1406"/>
      <c r="S499" s="1406"/>
      <c r="T499" s="1406"/>
      <c r="U499" s="1406"/>
      <c r="V499" s="1406"/>
      <c r="W499" s="1406"/>
      <c r="X499" s="1406"/>
      <c r="Y499" s="1406"/>
      <c r="Z499" s="1406"/>
      <c r="AA499" s="1406"/>
      <c r="AB499" s="1406"/>
      <c r="AC499" s="1406"/>
      <c r="AD499" s="1406"/>
      <c r="AE499" s="1406"/>
      <c r="AF499" s="1406"/>
      <c r="AG499" s="1406"/>
      <c r="AH499" s="1406"/>
      <c r="AI499" s="1406"/>
      <c r="AJ499" s="1406"/>
      <c r="AK499" s="1406"/>
      <c r="AL499" s="1406"/>
      <c r="AM499" s="1406"/>
      <c r="AN499" s="1406"/>
      <c r="AO499" s="1405"/>
      <c r="AP499" s="1405"/>
      <c r="AQ499" s="1405"/>
      <c r="AR499" s="1405"/>
      <c r="AS499" s="1405"/>
      <c r="AT499" s="1405"/>
      <c r="AU499" s="1405"/>
      <c r="AV499" s="1405"/>
    </row>
    <row r="500" spans="1:48" s="1431" customFormat="1">
      <c r="A500" s="1399"/>
      <c r="B500" s="1429"/>
      <c r="C500" s="1430"/>
      <c r="D500" s="1400"/>
      <c r="E500" s="1401"/>
      <c r="F500" s="1401"/>
      <c r="G500" s="1402"/>
      <c r="H500" s="1403"/>
      <c r="I500" s="1404"/>
      <c r="J500" s="1405"/>
      <c r="K500" s="1405"/>
      <c r="L500" s="1406"/>
      <c r="M500" s="1406"/>
      <c r="N500" s="1406"/>
      <c r="O500" s="1406"/>
      <c r="P500" s="1406"/>
      <c r="Q500" s="1406"/>
      <c r="R500" s="1406"/>
      <c r="S500" s="1406"/>
      <c r="T500" s="1406"/>
      <c r="U500" s="1406"/>
      <c r="V500" s="1406"/>
      <c r="W500" s="1406"/>
      <c r="X500" s="1406"/>
      <c r="Y500" s="1406"/>
      <c r="Z500" s="1406"/>
      <c r="AA500" s="1406"/>
      <c r="AB500" s="1406"/>
      <c r="AC500" s="1406"/>
      <c r="AD500" s="1406"/>
      <c r="AE500" s="1406"/>
      <c r="AF500" s="1406"/>
      <c r="AG500" s="1406"/>
      <c r="AH500" s="1406"/>
      <c r="AI500" s="1406"/>
      <c r="AJ500" s="1406"/>
      <c r="AK500" s="1406"/>
      <c r="AL500" s="1406"/>
      <c r="AM500" s="1406"/>
      <c r="AN500" s="1406"/>
      <c r="AO500" s="1405"/>
      <c r="AP500" s="1405"/>
      <c r="AQ500" s="1405"/>
      <c r="AR500" s="1405"/>
      <c r="AS500" s="1405"/>
      <c r="AT500" s="1405"/>
      <c r="AU500" s="1405"/>
      <c r="AV500" s="1405"/>
    </row>
    <row r="501" spans="1:48" s="1431" customFormat="1">
      <c r="A501" s="1399"/>
      <c r="B501" s="1429"/>
      <c r="C501" s="1430"/>
      <c r="D501" s="1400"/>
      <c r="E501" s="1401"/>
      <c r="F501" s="1401"/>
      <c r="G501" s="1402"/>
      <c r="H501" s="1403"/>
      <c r="I501" s="1404"/>
      <c r="J501" s="1405"/>
      <c r="K501" s="1405"/>
      <c r="L501" s="1406"/>
      <c r="M501" s="1406"/>
      <c r="N501" s="1406"/>
      <c r="O501" s="1406"/>
      <c r="P501" s="1406"/>
      <c r="Q501" s="1406"/>
      <c r="R501" s="1406"/>
      <c r="S501" s="1406"/>
      <c r="T501" s="1406"/>
      <c r="U501" s="1406"/>
      <c r="V501" s="1406"/>
      <c r="W501" s="1406"/>
      <c r="X501" s="1406"/>
      <c r="Y501" s="1406"/>
      <c r="Z501" s="1406"/>
      <c r="AA501" s="1406"/>
      <c r="AB501" s="1406"/>
      <c r="AC501" s="1406"/>
      <c r="AD501" s="1406"/>
      <c r="AE501" s="1406"/>
      <c r="AF501" s="1406"/>
      <c r="AG501" s="1406"/>
      <c r="AH501" s="1406"/>
      <c r="AI501" s="1406"/>
      <c r="AJ501" s="1406"/>
      <c r="AK501" s="1406"/>
      <c r="AL501" s="1406"/>
      <c r="AM501" s="1406"/>
      <c r="AN501" s="1406"/>
      <c r="AO501" s="1405"/>
      <c r="AP501" s="1405"/>
      <c r="AQ501" s="1405"/>
      <c r="AR501" s="1405"/>
      <c r="AS501" s="1405"/>
      <c r="AT501" s="1405"/>
      <c r="AU501" s="1405"/>
      <c r="AV501" s="1405"/>
    </row>
    <row r="502" spans="1:48" s="1431" customFormat="1">
      <c r="A502" s="1399"/>
      <c r="B502" s="1429"/>
      <c r="C502" s="1430"/>
      <c r="D502" s="1400"/>
      <c r="E502" s="1401"/>
      <c r="F502" s="1401"/>
      <c r="G502" s="1402"/>
      <c r="H502" s="1403"/>
      <c r="I502" s="1404"/>
      <c r="J502" s="1405"/>
      <c r="K502" s="1405"/>
      <c r="L502" s="1406"/>
      <c r="M502" s="1406"/>
      <c r="N502" s="1406"/>
      <c r="O502" s="1406"/>
      <c r="P502" s="1406"/>
      <c r="Q502" s="1406"/>
      <c r="R502" s="1406"/>
      <c r="S502" s="1406"/>
      <c r="T502" s="1406"/>
      <c r="U502" s="1406"/>
      <c r="V502" s="1406"/>
      <c r="W502" s="1406"/>
      <c r="X502" s="1406"/>
      <c r="Y502" s="1406"/>
      <c r="Z502" s="1406"/>
      <c r="AA502" s="1406"/>
      <c r="AB502" s="1406"/>
      <c r="AC502" s="1406"/>
      <c r="AD502" s="1406"/>
      <c r="AE502" s="1406"/>
      <c r="AF502" s="1406"/>
      <c r="AG502" s="1406"/>
      <c r="AH502" s="1406"/>
      <c r="AI502" s="1406"/>
      <c r="AJ502" s="1406"/>
      <c r="AK502" s="1406"/>
      <c r="AL502" s="1406"/>
      <c r="AM502" s="1406"/>
      <c r="AN502" s="1406"/>
      <c r="AO502" s="1405"/>
      <c r="AP502" s="1405"/>
      <c r="AQ502" s="1405"/>
      <c r="AR502" s="1405"/>
      <c r="AS502" s="1405"/>
      <c r="AT502" s="1405"/>
      <c r="AU502" s="1405"/>
      <c r="AV502" s="1405"/>
    </row>
    <row r="503" spans="1:48" s="1431" customFormat="1">
      <c r="A503" s="1399"/>
      <c r="B503" s="1429"/>
      <c r="C503" s="1430"/>
      <c r="D503" s="1400"/>
      <c r="E503" s="1401"/>
      <c r="F503" s="1401"/>
      <c r="G503" s="1402"/>
      <c r="H503" s="1403"/>
      <c r="I503" s="1404"/>
      <c r="J503" s="1405"/>
      <c r="K503" s="1405"/>
      <c r="L503" s="1406"/>
      <c r="M503" s="1406"/>
      <c r="N503" s="1406"/>
      <c r="O503" s="1406"/>
      <c r="P503" s="1406"/>
      <c r="Q503" s="1406"/>
      <c r="R503" s="1406"/>
      <c r="S503" s="1406"/>
      <c r="T503" s="1406"/>
      <c r="U503" s="1406"/>
      <c r="V503" s="1406"/>
      <c r="W503" s="1406"/>
      <c r="X503" s="1406"/>
      <c r="Y503" s="1406"/>
      <c r="Z503" s="1406"/>
      <c r="AA503" s="1406"/>
      <c r="AB503" s="1406"/>
      <c r="AC503" s="1406"/>
      <c r="AD503" s="1406"/>
      <c r="AE503" s="1406"/>
      <c r="AF503" s="1406"/>
      <c r="AG503" s="1406"/>
      <c r="AH503" s="1406"/>
      <c r="AI503" s="1406"/>
      <c r="AJ503" s="1406"/>
      <c r="AK503" s="1406"/>
      <c r="AL503" s="1406"/>
      <c r="AM503" s="1406"/>
      <c r="AN503" s="1406"/>
      <c r="AO503" s="1405"/>
      <c r="AP503" s="1405"/>
      <c r="AQ503" s="1405"/>
      <c r="AR503" s="1405"/>
      <c r="AS503" s="1405"/>
      <c r="AT503" s="1405"/>
      <c r="AU503" s="1405"/>
      <c r="AV503" s="1405"/>
    </row>
    <row r="504" spans="1:48" s="1431" customFormat="1">
      <c r="A504" s="1399"/>
      <c r="B504" s="1429"/>
      <c r="C504" s="1430"/>
      <c r="D504" s="1400"/>
      <c r="E504" s="1401"/>
      <c r="F504" s="1401"/>
      <c r="G504" s="1402"/>
      <c r="H504" s="1403"/>
      <c r="I504" s="1404"/>
      <c r="J504" s="1405"/>
      <c r="K504" s="1405"/>
      <c r="L504" s="1406"/>
      <c r="M504" s="1406"/>
      <c r="N504" s="1406"/>
      <c r="O504" s="1406"/>
      <c r="P504" s="1406"/>
      <c r="Q504" s="1406"/>
      <c r="R504" s="1406"/>
      <c r="S504" s="1406"/>
      <c r="T504" s="1406"/>
      <c r="U504" s="1406"/>
      <c r="V504" s="1406"/>
      <c r="W504" s="1406"/>
      <c r="X504" s="1406"/>
      <c r="Y504" s="1406"/>
      <c r="Z504" s="1406"/>
      <c r="AA504" s="1406"/>
      <c r="AB504" s="1406"/>
      <c r="AC504" s="1406"/>
      <c r="AD504" s="1406"/>
      <c r="AE504" s="1406"/>
      <c r="AF504" s="1406"/>
      <c r="AG504" s="1406"/>
      <c r="AH504" s="1406"/>
      <c r="AI504" s="1406"/>
      <c r="AJ504" s="1406"/>
      <c r="AK504" s="1406"/>
      <c r="AL504" s="1406"/>
      <c r="AM504" s="1406"/>
      <c r="AN504" s="1406"/>
      <c r="AO504" s="1405"/>
      <c r="AP504" s="1405"/>
      <c r="AQ504" s="1405"/>
      <c r="AR504" s="1405"/>
      <c r="AS504" s="1405"/>
      <c r="AT504" s="1405"/>
      <c r="AU504" s="1405"/>
      <c r="AV504" s="1405"/>
    </row>
    <row r="505" spans="1:48" s="1431" customFormat="1">
      <c r="A505" s="1399"/>
      <c r="B505" s="1429"/>
      <c r="C505" s="1430"/>
      <c r="D505" s="1400"/>
      <c r="E505" s="1401"/>
      <c r="F505" s="1401"/>
      <c r="G505" s="1402"/>
      <c r="H505" s="1403"/>
      <c r="I505" s="1404"/>
      <c r="J505" s="1405"/>
      <c r="K505" s="1405"/>
      <c r="L505" s="1406"/>
      <c r="M505" s="1406"/>
      <c r="N505" s="1406"/>
      <c r="O505" s="1406"/>
      <c r="P505" s="1406"/>
      <c r="Q505" s="1406"/>
      <c r="R505" s="1406"/>
      <c r="S505" s="1406"/>
      <c r="T505" s="1406"/>
      <c r="U505" s="1406"/>
      <c r="V505" s="1406"/>
      <c r="W505" s="1406"/>
      <c r="X505" s="1406"/>
      <c r="Y505" s="1406"/>
      <c r="Z505" s="1406"/>
      <c r="AA505" s="1406"/>
      <c r="AB505" s="1406"/>
      <c r="AC505" s="1406"/>
      <c r="AD505" s="1406"/>
      <c r="AE505" s="1406"/>
      <c r="AF505" s="1406"/>
      <c r="AG505" s="1406"/>
      <c r="AH505" s="1406"/>
      <c r="AI505" s="1406"/>
      <c r="AJ505" s="1406"/>
      <c r="AK505" s="1406"/>
      <c r="AL505" s="1406"/>
      <c r="AM505" s="1406"/>
      <c r="AN505" s="1406"/>
      <c r="AO505" s="1405"/>
      <c r="AP505" s="1405"/>
      <c r="AQ505" s="1405"/>
      <c r="AR505" s="1405"/>
      <c r="AS505" s="1405"/>
      <c r="AT505" s="1405"/>
      <c r="AU505" s="1405"/>
      <c r="AV505" s="1405"/>
    </row>
    <row r="506" spans="1:48" s="1431" customFormat="1">
      <c r="A506" s="1399"/>
      <c r="B506" s="1429"/>
      <c r="C506" s="1430"/>
      <c r="D506" s="1400"/>
      <c r="E506" s="1401"/>
      <c r="F506" s="1401"/>
      <c r="G506" s="1402"/>
      <c r="H506" s="1403"/>
      <c r="I506" s="1404"/>
      <c r="J506" s="1405"/>
      <c r="K506" s="1405"/>
      <c r="L506" s="1406"/>
      <c r="M506" s="1406"/>
      <c r="N506" s="1406"/>
      <c r="O506" s="1406"/>
      <c r="P506" s="1406"/>
      <c r="Q506" s="1406"/>
      <c r="R506" s="1406"/>
      <c r="S506" s="1406"/>
      <c r="T506" s="1406"/>
      <c r="U506" s="1406"/>
      <c r="V506" s="1406"/>
      <c r="W506" s="1406"/>
      <c r="X506" s="1406"/>
      <c r="Y506" s="1406"/>
      <c r="Z506" s="1406"/>
      <c r="AA506" s="1406"/>
      <c r="AB506" s="1406"/>
      <c r="AC506" s="1406"/>
      <c r="AD506" s="1406"/>
      <c r="AE506" s="1406"/>
      <c r="AF506" s="1406"/>
      <c r="AG506" s="1406"/>
      <c r="AH506" s="1406"/>
      <c r="AI506" s="1406"/>
      <c r="AJ506" s="1406"/>
      <c r="AK506" s="1406"/>
      <c r="AL506" s="1406"/>
      <c r="AM506" s="1406"/>
      <c r="AN506" s="1406"/>
      <c r="AO506" s="1405"/>
      <c r="AP506" s="1405"/>
      <c r="AQ506" s="1405"/>
      <c r="AR506" s="1405"/>
      <c r="AS506" s="1405"/>
      <c r="AT506" s="1405"/>
      <c r="AU506" s="1405"/>
      <c r="AV506" s="1405"/>
    </row>
    <row r="507" spans="1:48" s="1431" customFormat="1">
      <c r="A507" s="1399"/>
      <c r="B507" s="1429"/>
      <c r="C507" s="1430"/>
      <c r="D507" s="1400"/>
      <c r="E507" s="1401"/>
      <c r="F507" s="1401"/>
      <c r="G507" s="1402"/>
      <c r="H507" s="1403"/>
      <c r="I507" s="1404"/>
      <c r="J507" s="1405"/>
      <c r="K507" s="1405"/>
      <c r="L507" s="1406"/>
      <c r="M507" s="1406"/>
      <c r="N507" s="1406"/>
      <c r="O507" s="1406"/>
      <c r="P507" s="1406"/>
      <c r="Q507" s="1406"/>
      <c r="R507" s="1406"/>
      <c r="S507" s="1406"/>
      <c r="T507" s="1406"/>
      <c r="U507" s="1406"/>
      <c r="V507" s="1406"/>
      <c r="W507" s="1406"/>
      <c r="X507" s="1406"/>
      <c r="Y507" s="1406"/>
      <c r="Z507" s="1406"/>
      <c r="AA507" s="1406"/>
      <c r="AB507" s="1406"/>
      <c r="AC507" s="1406"/>
      <c r="AD507" s="1406"/>
      <c r="AE507" s="1406"/>
      <c r="AF507" s="1406"/>
      <c r="AG507" s="1406"/>
      <c r="AH507" s="1406"/>
      <c r="AI507" s="1406"/>
      <c r="AJ507" s="1406"/>
      <c r="AK507" s="1406"/>
      <c r="AL507" s="1406"/>
      <c r="AM507" s="1406"/>
      <c r="AN507" s="1406"/>
      <c r="AO507" s="1405"/>
      <c r="AP507" s="1405"/>
      <c r="AQ507" s="1405"/>
      <c r="AR507" s="1405"/>
      <c r="AS507" s="1405"/>
      <c r="AT507" s="1405"/>
      <c r="AU507" s="1405"/>
      <c r="AV507" s="1405"/>
    </row>
    <row r="508" spans="1:48" s="1431" customFormat="1">
      <c r="A508" s="1399"/>
      <c r="B508" s="1429"/>
      <c r="C508" s="1430"/>
      <c r="D508" s="1400"/>
      <c r="E508" s="1401"/>
      <c r="F508" s="1401"/>
      <c r="G508" s="1402"/>
      <c r="H508" s="1403"/>
      <c r="I508" s="1404"/>
      <c r="J508" s="1405"/>
      <c r="K508" s="1405"/>
      <c r="L508" s="1406"/>
      <c r="M508" s="1406"/>
      <c r="N508" s="1406"/>
      <c r="O508" s="1406"/>
      <c r="P508" s="1406"/>
      <c r="Q508" s="1406"/>
      <c r="R508" s="1406"/>
      <c r="S508" s="1406"/>
      <c r="T508" s="1406"/>
      <c r="U508" s="1406"/>
      <c r="V508" s="1406"/>
      <c r="W508" s="1406"/>
      <c r="X508" s="1406"/>
      <c r="Y508" s="1406"/>
      <c r="Z508" s="1406"/>
      <c r="AA508" s="1406"/>
      <c r="AB508" s="1406"/>
      <c r="AC508" s="1406"/>
      <c r="AD508" s="1406"/>
      <c r="AE508" s="1406"/>
      <c r="AF508" s="1406"/>
      <c r="AG508" s="1406"/>
      <c r="AH508" s="1406"/>
      <c r="AI508" s="1406"/>
      <c r="AJ508" s="1406"/>
      <c r="AK508" s="1406"/>
      <c r="AL508" s="1406"/>
      <c r="AM508" s="1406"/>
      <c r="AN508" s="1406"/>
      <c r="AO508" s="1405"/>
      <c r="AP508" s="1405"/>
      <c r="AQ508" s="1405"/>
      <c r="AR508" s="1405"/>
      <c r="AS508" s="1405"/>
      <c r="AT508" s="1405"/>
      <c r="AU508" s="1405"/>
      <c r="AV508" s="1405"/>
    </row>
    <row r="509" spans="1:48" s="1431" customFormat="1">
      <c r="A509" s="1399"/>
      <c r="B509" s="1429"/>
      <c r="C509" s="1430"/>
      <c r="D509" s="1400"/>
      <c r="E509" s="1401"/>
      <c r="F509" s="1401"/>
      <c r="G509" s="1402"/>
      <c r="H509" s="1403"/>
      <c r="I509" s="1404"/>
      <c r="J509" s="1405"/>
      <c r="K509" s="1405"/>
      <c r="L509" s="1406"/>
      <c r="M509" s="1406"/>
      <c r="N509" s="1406"/>
      <c r="O509" s="1406"/>
      <c r="P509" s="1406"/>
      <c r="Q509" s="1406"/>
      <c r="R509" s="1406"/>
      <c r="S509" s="1406"/>
      <c r="T509" s="1406"/>
      <c r="U509" s="1406"/>
      <c r="V509" s="1406"/>
      <c r="W509" s="1406"/>
      <c r="X509" s="1406"/>
      <c r="Y509" s="1406"/>
      <c r="Z509" s="1406"/>
      <c r="AA509" s="1406"/>
      <c r="AB509" s="1406"/>
      <c r="AC509" s="1406"/>
      <c r="AD509" s="1406"/>
      <c r="AE509" s="1406"/>
      <c r="AF509" s="1406"/>
      <c r="AG509" s="1406"/>
      <c r="AH509" s="1406"/>
      <c r="AI509" s="1406"/>
      <c r="AJ509" s="1406"/>
      <c r="AK509" s="1406"/>
      <c r="AL509" s="1406"/>
      <c r="AM509" s="1406"/>
      <c r="AN509" s="1406"/>
      <c r="AO509" s="1405"/>
      <c r="AP509" s="1405"/>
      <c r="AQ509" s="1405"/>
      <c r="AR509" s="1405"/>
      <c r="AS509" s="1405"/>
      <c r="AT509" s="1405"/>
      <c r="AU509" s="1405"/>
      <c r="AV509" s="1405"/>
    </row>
    <row r="510" spans="1:48" s="1431" customFormat="1">
      <c r="A510" s="1399"/>
      <c r="B510" s="1429"/>
      <c r="C510" s="1430"/>
      <c r="D510" s="1400"/>
      <c r="E510" s="1401"/>
      <c r="F510" s="1401"/>
      <c r="G510" s="1402"/>
      <c r="H510" s="1403"/>
      <c r="I510" s="1404"/>
      <c r="J510" s="1405"/>
      <c r="K510" s="1405"/>
      <c r="L510" s="1406"/>
      <c r="M510" s="1406"/>
      <c r="N510" s="1406"/>
      <c r="O510" s="1406"/>
      <c r="P510" s="1406"/>
      <c r="Q510" s="1406"/>
      <c r="R510" s="1406"/>
      <c r="S510" s="1406"/>
      <c r="T510" s="1406"/>
      <c r="U510" s="1406"/>
      <c r="V510" s="1406"/>
      <c r="W510" s="1406"/>
      <c r="X510" s="1406"/>
      <c r="Y510" s="1406"/>
      <c r="Z510" s="1406"/>
      <c r="AA510" s="1406"/>
      <c r="AB510" s="1406"/>
      <c r="AC510" s="1406"/>
      <c r="AD510" s="1406"/>
      <c r="AE510" s="1406"/>
      <c r="AF510" s="1406"/>
      <c r="AG510" s="1406"/>
      <c r="AH510" s="1406"/>
      <c r="AI510" s="1406"/>
      <c r="AJ510" s="1406"/>
      <c r="AK510" s="1406"/>
      <c r="AL510" s="1406"/>
      <c r="AM510" s="1406"/>
      <c r="AN510" s="1406"/>
      <c r="AO510" s="1405"/>
      <c r="AP510" s="1405"/>
      <c r="AQ510" s="1405"/>
      <c r="AR510" s="1405"/>
      <c r="AS510" s="1405"/>
      <c r="AT510" s="1405"/>
      <c r="AU510" s="1405"/>
      <c r="AV510" s="1405"/>
    </row>
    <row r="511" spans="1:48" s="1431" customFormat="1">
      <c r="A511" s="1399"/>
      <c r="B511" s="1429"/>
      <c r="C511" s="1430"/>
      <c r="D511" s="1400"/>
      <c r="E511" s="1401"/>
      <c r="F511" s="1401"/>
      <c r="G511" s="1402"/>
      <c r="H511" s="1403"/>
      <c r="I511" s="1404"/>
      <c r="J511" s="1405"/>
      <c r="K511" s="1405"/>
      <c r="L511" s="1406"/>
      <c r="M511" s="1406"/>
      <c r="N511" s="1406"/>
      <c r="O511" s="1406"/>
      <c r="P511" s="1406"/>
      <c r="Q511" s="1406"/>
      <c r="R511" s="1406"/>
      <c r="S511" s="1406"/>
      <c r="T511" s="1406"/>
      <c r="U511" s="1406"/>
      <c r="V511" s="1406"/>
      <c r="W511" s="1406"/>
      <c r="X511" s="1406"/>
      <c r="Y511" s="1406"/>
      <c r="Z511" s="1406"/>
      <c r="AA511" s="1406"/>
      <c r="AB511" s="1406"/>
      <c r="AC511" s="1406"/>
      <c r="AD511" s="1406"/>
      <c r="AE511" s="1406"/>
      <c r="AF511" s="1406"/>
      <c r="AG511" s="1406"/>
      <c r="AH511" s="1406"/>
      <c r="AI511" s="1406"/>
      <c r="AJ511" s="1406"/>
      <c r="AK511" s="1406"/>
      <c r="AL511" s="1406"/>
      <c r="AM511" s="1406"/>
      <c r="AN511" s="1406"/>
      <c r="AO511" s="1405"/>
      <c r="AP511" s="1405"/>
      <c r="AQ511" s="1405"/>
      <c r="AR511" s="1405"/>
      <c r="AS511" s="1405"/>
      <c r="AT511" s="1405"/>
      <c r="AU511" s="1405"/>
      <c r="AV511" s="1405"/>
    </row>
    <row r="512" spans="1:48" s="1431" customFormat="1">
      <c r="A512" s="1399"/>
      <c r="B512" s="1429"/>
      <c r="C512" s="1430"/>
      <c r="D512" s="1400"/>
      <c r="E512" s="1401"/>
      <c r="F512" s="1401"/>
      <c r="G512" s="1402"/>
      <c r="H512" s="1403"/>
      <c r="I512" s="1404"/>
      <c r="J512" s="1405"/>
      <c r="K512" s="1405"/>
      <c r="L512" s="1406"/>
      <c r="M512" s="1406"/>
      <c r="N512" s="1406"/>
      <c r="O512" s="1406"/>
      <c r="P512" s="1406"/>
      <c r="Q512" s="1406"/>
      <c r="R512" s="1406"/>
      <c r="S512" s="1406"/>
      <c r="T512" s="1406"/>
      <c r="U512" s="1406"/>
      <c r="V512" s="1406"/>
      <c r="W512" s="1406"/>
      <c r="X512" s="1406"/>
      <c r="Y512" s="1406"/>
      <c r="Z512" s="1406"/>
      <c r="AA512" s="1406"/>
      <c r="AB512" s="1406"/>
      <c r="AC512" s="1406"/>
      <c r="AD512" s="1406"/>
      <c r="AE512" s="1406"/>
      <c r="AF512" s="1406"/>
      <c r="AG512" s="1406"/>
      <c r="AH512" s="1406"/>
      <c r="AI512" s="1406"/>
      <c r="AJ512" s="1406"/>
      <c r="AK512" s="1406"/>
      <c r="AL512" s="1406"/>
      <c r="AM512" s="1406"/>
      <c r="AN512" s="1406"/>
      <c r="AO512" s="1405"/>
      <c r="AP512" s="1405"/>
      <c r="AQ512" s="1405"/>
      <c r="AR512" s="1405"/>
      <c r="AS512" s="1405"/>
      <c r="AT512" s="1405"/>
      <c r="AU512" s="1405"/>
      <c r="AV512" s="1405"/>
    </row>
    <row r="513" spans="1:48" s="1431" customFormat="1">
      <c r="A513" s="1399"/>
      <c r="B513" s="1429"/>
      <c r="C513" s="1430"/>
      <c r="D513" s="1400"/>
      <c r="E513" s="1401"/>
      <c r="F513" s="1401"/>
      <c r="G513" s="1402"/>
      <c r="H513" s="1403"/>
      <c r="I513" s="1404"/>
      <c r="J513" s="1405"/>
      <c r="K513" s="1405"/>
      <c r="L513" s="1406"/>
      <c r="M513" s="1406"/>
      <c r="N513" s="1406"/>
      <c r="O513" s="1406"/>
      <c r="P513" s="1406"/>
      <c r="Q513" s="1406"/>
      <c r="R513" s="1406"/>
      <c r="S513" s="1406"/>
      <c r="T513" s="1406"/>
      <c r="U513" s="1406"/>
      <c r="V513" s="1406"/>
      <c r="W513" s="1406"/>
      <c r="X513" s="1406"/>
      <c r="Y513" s="1406"/>
      <c r="Z513" s="1406"/>
      <c r="AA513" s="1406"/>
      <c r="AB513" s="1406"/>
      <c r="AC513" s="1406"/>
      <c r="AD513" s="1406"/>
      <c r="AE513" s="1406"/>
      <c r="AF513" s="1406"/>
      <c r="AG513" s="1406"/>
      <c r="AH513" s="1406"/>
      <c r="AI513" s="1406"/>
      <c r="AJ513" s="1406"/>
      <c r="AK513" s="1406"/>
      <c r="AL513" s="1406"/>
      <c r="AM513" s="1406"/>
      <c r="AN513" s="1406"/>
      <c r="AO513" s="1405"/>
      <c r="AP513" s="1405"/>
      <c r="AQ513" s="1405"/>
      <c r="AR513" s="1405"/>
      <c r="AS513" s="1405"/>
      <c r="AT513" s="1405"/>
      <c r="AU513" s="1405"/>
      <c r="AV513" s="1405"/>
    </row>
    <row r="514" spans="1:48" s="1431" customFormat="1">
      <c r="A514" s="1399"/>
      <c r="B514" s="1429"/>
      <c r="C514" s="1430"/>
      <c r="D514" s="1400"/>
      <c r="E514" s="1401"/>
      <c r="F514" s="1401"/>
      <c r="G514" s="1402"/>
      <c r="H514" s="1403"/>
      <c r="I514" s="1404"/>
      <c r="J514" s="1405"/>
      <c r="K514" s="1405"/>
      <c r="L514" s="1406"/>
      <c r="M514" s="1406"/>
      <c r="N514" s="1406"/>
      <c r="O514" s="1406"/>
      <c r="P514" s="1406"/>
      <c r="Q514" s="1406"/>
      <c r="R514" s="1406"/>
      <c r="S514" s="1406"/>
      <c r="T514" s="1406"/>
      <c r="U514" s="1406"/>
      <c r="V514" s="1406"/>
      <c r="W514" s="1406"/>
      <c r="X514" s="1406"/>
      <c r="Y514" s="1406"/>
      <c r="Z514" s="1406"/>
      <c r="AA514" s="1406"/>
      <c r="AB514" s="1406"/>
      <c r="AC514" s="1406"/>
      <c r="AD514" s="1406"/>
      <c r="AE514" s="1406"/>
      <c r="AF514" s="1406"/>
      <c r="AG514" s="1406"/>
      <c r="AH514" s="1406"/>
      <c r="AI514" s="1406"/>
      <c r="AJ514" s="1406"/>
      <c r="AK514" s="1406"/>
      <c r="AL514" s="1406"/>
      <c r="AM514" s="1406"/>
      <c r="AN514" s="1406"/>
      <c r="AO514" s="1405"/>
      <c r="AP514" s="1405"/>
      <c r="AQ514" s="1405"/>
      <c r="AR514" s="1405"/>
      <c r="AS514" s="1405"/>
      <c r="AT514" s="1405"/>
      <c r="AU514" s="1405"/>
      <c r="AV514" s="1405"/>
    </row>
    <row r="515" spans="1:48" s="1431" customFormat="1">
      <c r="A515" s="1399"/>
      <c r="B515" s="1429"/>
      <c r="C515" s="1430"/>
      <c r="D515" s="1400"/>
      <c r="E515" s="1401"/>
      <c r="F515" s="1401"/>
      <c r="G515" s="1402"/>
      <c r="H515" s="1403"/>
      <c r="I515" s="1404"/>
      <c r="J515" s="1405"/>
      <c r="K515" s="1405"/>
      <c r="L515" s="1406"/>
      <c r="M515" s="1406"/>
      <c r="N515" s="1406"/>
      <c r="O515" s="1406"/>
      <c r="P515" s="1406"/>
      <c r="Q515" s="1406"/>
      <c r="R515" s="1406"/>
      <c r="S515" s="1406"/>
      <c r="T515" s="1406"/>
      <c r="U515" s="1406"/>
      <c r="V515" s="1406"/>
      <c r="W515" s="1406"/>
      <c r="X515" s="1406"/>
      <c r="Y515" s="1406"/>
      <c r="Z515" s="1406"/>
      <c r="AA515" s="1406"/>
      <c r="AB515" s="1406"/>
      <c r="AC515" s="1406"/>
      <c r="AD515" s="1406"/>
      <c r="AE515" s="1406"/>
      <c r="AF515" s="1406"/>
      <c r="AG515" s="1406"/>
      <c r="AH515" s="1406"/>
      <c r="AI515" s="1406"/>
      <c r="AJ515" s="1406"/>
      <c r="AK515" s="1406"/>
      <c r="AL515" s="1406"/>
      <c r="AM515" s="1406"/>
      <c r="AN515" s="1406"/>
      <c r="AO515" s="1405"/>
      <c r="AP515" s="1405"/>
      <c r="AQ515" s="1405"/>
      <c r="AR515" s="1405"/>
      <c r="AS515" s="1405"/>
      <c r="AT515" s="1405"/>
      <c r="AU515" s="1405"/>
      <c r="AV515" s="1405"/>
    </row>
    <row r="516" spans="1:48" s="1431" customFormat="1">
      <c r="A516" s="1399"/>
      <c r="B516" s="1429"/>
      <c r="C516" s="1430"/>
      <c r="D516" s="1400"/>
      <c r="E516" s="1401"/>
      <c r="F516" s="1401"/>
      <c r="G516" s="1402"/>
      <c r="H516" s="1403"/>
      <c r="I516" s="1404"/>
      <c r="J516" s="1405"/>
      <c r="K516" s="1405"/>
      <c r="L516" s="1406"/>
      <c r="M516" s="1406"/>
      <c r="N516" s="1406"/>
      <c r="O516" s="1406"/>
      <c r="P516" s="1406"/>
      <c r="Q516" s="1406"/>
      <c r="R516" s="1406"/>
      <c r="S516" s="1406"/>
      <c r="T516" s="1406"/>
      <c r="U516" s="1406"/>
      <c r="V516" s="1406"/>
      <c r="W516" s="1406"/>
      <c r="X516" s="1406"/>
      <c r="Y516" s="1406"/>
      <c r="Z516" s="1406"/>
      <c r="AA516" s="1406"/>
      <c r="AB516" s="1406"/>
      <c r="AC516" s="1406"/>
      <c r="AD516" s="1406"/>
      <c r="AE516" s="1406"/>
      <c r="AF516" s="1406"/>
      <c r="AG516" s="1406"/>
      <c r="AH516" s="1406"/>
      <c r="AI516" s="1406"/>
      <c r="AJ516" s="1406"/>
      <c r="AK516" s="1406"/>
      <c r="AL516" s="1406"/>
      <c r="AM516" s="1406"/>
      <c r="AN516" s="1406"/>
      <c r="AO516" s="1405"/>
      <c r="AP516" s="1405"/>
      <c r="AQ516" s="1405"/>
      <c r="AR516" s="1405"/>
      <c r="AS516" s="1405"/>
      <c r="AT516" s="1405"/>
      <c r="AU516" s="1405"/>
      <c r="AV516" s="1405"/>
    </row>
    <row r="517" spans="1:48" s="1431" customFormat="1">
      <c r="A517" s="1399"/>
      <c r="B517" s="1429"/>
      <c r="C517" s="1430"/>
      <c r="D517" s="1400"/>
      <c r="E517" s="1401"/>
      <c r="F517" s="1401"/>
      <c r="G517" s="1402"/>
      <c r="H517" s="1403"/>
      <c r="I517" s="1404"/>
      <c r="J517" s="1405"/>
      <c r="K517" s="1405"/>
      <c r="L517" s="1406"/>
      <c r="M517" s="1406"/>
      <c r="N517" s="1406"/>
      <c r="O517" s="1406"/>
      <c r="P517" s="1406"/>
      <c r="Q517" s="1406"/>
      <c r="R517" s="1406"/>
      <c r="S517" s="1406"/>
      <c r="T517" s="1406"/>
      <c r="U517" s="1406"/>
      <c r="V517" s="1406"/>
      <c r="W517" s="1406"/>
      <c r="X517" s="1406"/>
      <c r="Y517" s="1406"/>
      <c r="Z517" s="1406"/>
      <c r="AA517" s="1406"/>
      <c r="AB517" s="1406"/>
      <c r="AC517" s="1406"/>
      <c r="AD517" s="1406"/>
      <c r="AE517" s="1406"/>
      <c r="AF517" s="1406"/>
      <c r="AG517" s="1406"/>
      <c r="AH517" s="1406"/>
      <c r="AI517" s="1406"/>
      <c r="AJ517" s="1406"/>
      <c r="AK517" s="1406"/>
      <c r="AL517" s="1406"/>
      <c r="AM517" s="1406"/>
      <c r="AN517" s="1406"/>
      <c r="AO517" s="1405"/>
      <c r="AP517" s="1405"/>
      <c r="AQ517" s="1405"/>
      <c r="AR517" s="1405"/>
      <c r="AS517" s="1405"/>
      <c r="AT517" s="1405"/>
      <c r="AU517" s="1405"/>
      <c r="AV517" s="1405"/>
    </row>
    <row r="518" spans="1:48" s="1431" customFormat="1">
      <c r="A518" s="1399"/>
      <c r="B518" s="1429"/>
      <c r="C518" s="1430"/>
      <c r="D518" s="1400"/>
      <c r="E518" s="1401"/>
      <c r="F518" s="1401"/>
      <c r="G518" s="1402"/>
      <c r="H518" s="1403"/>
      <c r="I518" s="1404"/>
      <c r="J518" s="1405"/>
      <c r="K518" s="1405"/>
      <c r="L518" s="1406"/>
      <c r="M518" s="1406"/>
      <c r="N518" s="1406"/>
      <c r="O518" s="1406"/>
      <c r="P518" s="1406"/>
      <c r="Q518" s="1406"/>
      <c r="R518" s="1406"/>
      <c r="S518" s="1406"/>
      <c r="T518" s="1406"/>
      <c r="U518" s="1406"/>
      <c r="V518" s="1406"/>
      <c r="W518" s="1406"/>
      <c r="X518" s="1406"/>
      <c r="Y518" s="1406"/>
      <c r="Z518" s="1406"/>
      <c r="AA518" s="1406"/>
      <c r="AB518" s="1406"/>
      <c r="AC518" s="1406"/>
      <c r="AD518" s="1406"/>
      <c r="AE518" s="1406"/>
      <c r="AF518" s="1406"/>
      <c r="AG518" s="1406"/>
      <c r="AH518" s="1406"/>
      <c r="AI518" s="1406"/>
      <c r="AJ518" s="1406"/>
      <c r="AK518" s="1406"/>
      <c r="AL518" s="1406"/>
      <c r="AM518" s="1406"/>
      <c r="AN518" s="1406"/>
      <c r="AO518" s="1405"/>
      <c r="AP518" s="1405"/>
      <c r="AQ518" s="1405"/>
      <c r="AR518" s="1405"/>
      <c r="AS518" s="1405"/>
      <c r="AT518" s="1405"/>
      <c r="AU518" s="1405"/>
      <c r="AV518" s="1405"/>
    </row>
    <row r="519" spans="1:48" s="1431" customFormat="1">
      <c r="A519" s="1399"/>
      <c r="B519" s="1429"/>
      <c r="C519" s="1430"/>
      <c r="D519" s="1400"/>
      <c r="E519" s="1401"/>
      <c r="F519" s="1401"/>
      <c r="G519" s="1402"/>
      <c r="H519" s="1403"/>
      <c r="I519" s="1404"/>
      <c r="J519" s="1405"/>
      <c r="K519" s="1405"/>
      <c r="L519" s="1406"/>
      <c r="M519" s="1406"/>
      <c r="N519" s="1406"/>
      <c r="O519" s="1406"/>
      <c r="P519" s="1406"/>
      <c r="Q519" s="1406"/>
      <c r="R519" s="1406"/>
      <c r="S519" s="1406"/>
      <c r="T519" s="1406"/>
      <c r="U519" s="1406"/>
      <c r="V519" s="1406"/>
      <c r="W519" s="1406"/>
      <c r="X519" s="1406"/>
      <c r="Y519" s="1406"/>
      <c r="Z519" s="1406"/>
      <c r="AA519" s="1406"/>
      <c r="AB519" s="1406"/>
      <c r="AC519" s="1406"/>
      <c r="AD519" s="1406"/>
      <c r="AE519" s="1406"/>
      <c r="AF519" s="1406"/>
      <c r="AG519" s="1406"/>
      <c r="AH519" s="1406"/>
      <c r="AI519" s="1406"/>
      <c r="AJ519" s="1406"/>
      <c r="AK519" s="1406"/>
      <c r="AL519" s="1406"/>
      <c r="AM519" s="1406"/>
      <c r="AN519" s="1406"/>
      <c r="AO519" s="1405"/>
      <c r="AP519" s="1405"/>
      <c r="AQ519" s="1405"/>
      <c r="AR519" s="1405"/>
      <c r="AS519" s="1405"/>
      <c r="AT519" s="1405"/>
      <c r="AU519" s="1405"/>
      <c r="AV519" s="1405"/>
    </row>
    <row r="520" spans="1:48" s="1431" customFormat="1">
      <c r="A520" s="1399"/>
      <c r="B520" s="1429"/>
      <c r="C520" s="1430"/>
      <c r="D520" s="1400"/>
      <c r="E520" s="1401"/>
      <c r="F520" s="1401"/>
      <c r="G520" s="1402"/>
      <c r="H520" s="1403"/>
      <c r="I520" s="1404"/>
      <c r="J520" s="1405"/>
      <c r="K520" s="1405"/>
      <c r="L520" s="1406"/>
      <c r="M520" s="1406"/>
      <c r="N520" s="1406"/>
      <c r="O520" s="1406"/>
      <c r="P520" s="1406"/>
      <c r="Q520" s="1406"/>
      <c r="R520" s="1406"/>
      <c r="S520" s="1406"/>
      <c r="T520" s="1406"/>
      <c r="U520" s="1406"/>
      <c r="V520" s="1406"/>
      <c r="W520" s="1406"/>
      <c r="X520" s="1406"/>
      <c r="Y520" s="1406"/>
      <c r="Z520" s="1406"/>
      <c r="AA520" s="1406"/>
      <c r="AB520" s="1406"/>
      <c r="AC520" s="1406"/>
      <c r="AD520" s="1406"/>
      <c r="AE520" s="1406"/>
      <c r="AF520" s="1406"/>
      <c r="AG520" s="1406"/>
      <c r="AH520" s="1406"/>
      <c r="AI520" s="1406"/>
      <c r="AJ520" s="1406"/>
      <c r="AK520" s="1406"/>
      <c r="AL520" s="1406"/>
      <c r="AM520" s="1406"/>
      <c r="AN520" s="1406"/>
      <c r="AO520" s="1405"/>
      <c r="AP520" s="1405"/>
      <c r="AQ520" s="1405"/>
      <c r="AR520" s="1405"/>
      <c r="AS520" s="1405"/>
      <c r="AT520" s="1405"/>
      <c r="AU520" s="1405"/>
      <c r="AV520" s="1405"/>
    </row>
    <row r="521" spans="1:48" s="1431" customFormat="1">
      <c r="A521" s="1399"/>
      <c r="B521" s="1429"/>
      <c r="C521" s="1430"/>
      <c r="D521" s="1400"/>
      <c r="E521" s="1401"/>
      <c r="F521" s="1401"/>
      <c r="G521" s="1402"/>
      <c r="H521" s="1403"/>
      <c r="I521" s="1404"/>
      <c r="J521" s="1405"/>
      <c r="K521" s="1405"/>
      <c r="L521" s="1406"/>
      <c r="M521" s="1406"/>
      <c r="N521" s="1406"/>
      <c r="O521" s="1406"/>
      <c r="P521" s="1406"/>
      <c r="Q521" s="1406"/>
      <c r="R521" s="1406"/>
      <c r="S521" s="1406"/>
      <c r="T521" s="1406"/>
      <c r="U521" s="1406"/>
      <c r="V521" s="1406"/>
      <c r="W521" s="1406"/>
      <c r="X521" s="1406"/>
      <c r="Y521" s="1406"/>
      <c r="Z521" s="1406"/>
      <c r="AA521" s="1406"/>
      <c r="AB521" s="1406"/>
      <c r="AC521" s="1406"/>
      <c r="AD521" s="1406"/>
      <c r="AE521" s="1406"/>
      <c r="AF521" s="1406"/>
      <c r="AG521" s="1406"/>
      <c r="AH521" s="1406"/>
      <c r="AI521" s="1406"/>
      <c r="AJ521" s="1406"/>
      <c r="AK521" s="1406"/>
      <c r="AL521" s="1406"/>
      <c r="AM521" s="1406"/>
      <c r="AN521" s="1406"/>
      <c r="AO521" s="1405"/>
      <c r="AP521" s="1405"/>
      <c r="AQ521" s="1405"/>
      <c r="AR521" s="1405"/>
      <c r="AS521" s="1405"/>
      <c r="AT521" s="1405"/>
      <c r="AU521" s="1405"/>
      <c r="AV521" s="1405"/>
    </row>
    <row r="522" spans="1:48" s="1431" customFormat="1">
      <c r="A522" s="1399"/>
      <c r="B522" s="1429"/>
      <c r="C522" s="1430"/>
      <c r="D522" s="1400"/>
      <c r="E522" s="1401"/>
      <c r="F522" s="1401"/>
      <c r="G522" s="1402"/>
      <c r="H522" s="1403"/>
      <c r="I522" s="1404"/>
      <c r="J522" s="1405"/>
      <c r="K522" s="1405"/>
      <c r="L522" s="1406"/>
      <c r="M522" s="1406"/>
      <c r="N522" s="1406"/>
      <c r="O522" s="1406"/>
      <c r="P522" s="1406"/>
      <c r="Q522" s="1406"/>
      <c r="R522" s="1406"/>
      <c r="S522" s="1406"/>
      <c r="T522" s="1406"/>
      <c r="U522" s="1406"/>
      <c r="V522" s="1406"/>
      <c r="W522" s="1406"/>
      <c r="X522" s="1406"/>
      <c r="Y522" s="1406"/>
      <c r="Z522" s="1406"/>
      <c r="AA522" s="1406"/>
      <c r="AB522" s="1406"/>
      <c r="AC522" s="1406"/>
      <c r="AD522" s="1406"/>
      <c r="AE522" s="1406"/>
      <c r="AF522" s="1406"/>
      <c r="AG522" s="1406"/>
      <c r="AH522" s="1406"/>
      <c r="AI522" s="1406"/>
      <c r="AJ522" s="1406"/>
      <c r="AK522" s="1406"/>
      <c r="AL522" s="1406"/>
      <c r="AM522" s="1406"/>
      <c r="AN522" s="1406"/>
      <c r="AO522" s="1405"/>
      <c r="AP522" s="1405"/>
      <c r="AQ522" s="1405"/>
      <c r="AR522" s="1405"/>
      <c r="AS522" s="1405"/>
      <c r="AT522" s="1405"/>
      <c r="AU522" s="1405"/>
      <c r="AV522" s="1405"/>
    </row>
    <row r="523" spans="1:48" s="1431" customFormat="1">
      <c r="A523" s="1399"/>
      <c r="B523" s="1429"/>
      <c r="C523" s="1430"/>
      <c r="D523" s="1400"/>
      <c r="E523" s="1401"/>
      <c r="F523" s="1401"/>
      <c r="G523" s="1402"/>
      <c r="H523" s="1403"/>
      <c r="I523" s="1404"/>
      <c r="J523" s="1405"/>
      <c r="K523" s="1405"/>
      <c r="L523" s="1406"/>
      <c r="M523" s="1406"/>
      <c r="N523" s="1406"/>
      <c r="O523" s="1406"/>
      <c r="P523" s="1406"/>
      <c r="Q523" s="1406"/>
      <c r="R523" s="1406"/>
      <c r="S523" s="1406"/>
      <c r="T523" s="1406"/>
      <c r="U523" s="1406"/>
      <c r="V523" s="1406"/>
      <c r="W523" s="1406"/>
      <c r="X523" s="1406"/>
      <c r="Y523" s="1406"/>
      <c r="Z523" s="1406"/>
      <c r="AA523" s="1406"/>
      <c r="AB523" s="1406"/>
      <c r="AC523" s="1406"/>
      <c r="AD523" s="1406"/>
      <c r="AE523" s="1406"/>
      <c r="AF523" s="1406"/>
      <c r="AG523" s="1406"/>
      <c r="AH523" s="1406"/>
      <c r="AI523" s="1406"/>
      <c r="AJ523" s="1406"/>
      <c r="AK523" s="1406"/>
      <c r="AL523" s="1406"/>
      <c r="AM523" s="1406"/>
      <c r="AN523" s="1406"/>
      <c r="AO523" s="1405"/>
      <c r="AP523" s="1405"/>
      <c r="AQ523" s="1405"/>
      <c r="AR523" s="1405"/>
      <c r="AS523" s="1405"/>
      <c r="AT523" s="1405"/>
      <c r="AU523" s="1405"/>
      <c r="AV523" s="1405"/>
    </row>
    <row r="524" spans="1:48" s="1431" customFormat="1">
      <c r="A524" s="1399"/>
      <c r="B524" s="1429"/>
      <c r="C524" s="1430"/>
      <c r="D524" s="1400"/>
      <c r="E524" s="1401"/>
      <c r="F524" s="1401"/>
      <c r="G524" s="1402"/>
      <c r="H524" s="1403"/>
      <c r="I524" s="1404"/>
      <c r="J524" s="1405"/>
      <c r="K524" s="1405"/>
      <c r="L524" s="1406"/>
      <c r="M524" s="1406"/>
      <c r="N524" s="1406"/>
      <c r="O524" s="1406"/>
      <c r="P524" s="1406"/>
      <c r="Q524" s="1406"/>
      <c r="R524" s="1406"/>
      <c r="S524" s="1406"/>
      <c r="T524" s="1406"/>
      <c r="U524" s="1406"/>
      <c r="V524" s="1406"/>
      <c r="W524" s="1406"/>
      <c r="X524" s="1406"/>
      <c r="Y524" s="1406"/>
      <c r="Z524" s="1406"/>
      <c r="AA524" s="1406"/>
      <c r="AB524" s="1406"/>
      <c r="AC524" s="1406"/>
      <c r="AD524" s="1406"/>
      <c r="AE524" s="1406"/>
      <c r="AF524" s="1406"/>
      <c r="AG524" s="1406"/>
      <c r="AH524" s="1406"/>
      <c r="AI524" s="1406"/>
      <c r="AJ524" s="1406"/>
      <c r="AK524" s="1406"/>
      <c r="AL524" s="1406"/>
      <c r="AM524" s="1406"/>
      <c r="AN524" s="1406"/>
      <c r="AO524" s="1405"/>
      <c r="AP524" s="1405"/>
      <c r="AQ524" s="1405"/>
      <c r="AR524" s="1405"/>
      <c r="AS524" s="1405"/>
      <c r="AT524" s="1405"/>
      <c r="AU524" s="1405"/>
      <c r="AV524" s="1405"/>
    </row>
    <row r="525" spans="1:48" s="1431" customFormat="1">
      <c r="A525" s="1399"/>
      <c r="B525" s="1429"/>
      <c r="C525" s="1430"/>
      <c r="D525" s="1400"/>
      <c r="E525" s="1401"/>
      <c r="F525" s="1401"/>
      <c r="G525" s="1402"/>
      <c r="H525" s="1403"/>
      <c r="I525" s="1404"/>
      <c r="J525" s="1405"/>
      <c r="K525" s="1405"/>
      <c r="L525" s="1406"/>
      <c r="M525" s="1406"/>
      <c r="N525" s="1406"/>
      <c r="O525" s="1406"/>
      <c r="P525" s="1406"/>
      <c r="Q525" s="1406"/>
      <c r="R525" s="1406"/>
      <c r="S525" s="1406"/>
      <c r="T525" s="1406"/>
      <c r="U525" s="1406"/>
      <c r="V525" s="1406"/>
      <c r="W525" s="1406"/>
      <c r="X525" s="1406"/>
      <c r="Y525" s="1406"/>
      <c r="Z525" s="1406"/>
      <c r="AA525" s="1406"/>
      <c r="AB525" s="1406"/>
      <c r="AC525" s="1406"/>
      <c r="AD525" s="1406"/>
      <c r="AE525" s="1406"/>
      <c r="AF525" s="1406"/>
      <c r="AG525" s="1406"/>
      <c r="AH525" s="1406"/>
      <c r="AI525" s="1406"/>
      <c r="AJ525" s="1406"/>
      <c r="AK525" s="1406"/>
      <c r="AL525" s="1406"/>
      <c r="AM525" s="1406"/>
      <c r="AN525" s="1406"/>
      <c r="AO525" s="1405"/>
      <c r="AP525" s="1405"/>
      <c r="AQ525" s="1405"/>
      <c r="AR525" s="1405"/>
      <c r="AS525" s="1405"/>
      <c r="AT525" s="1405"/>
      <c r="AU525" s="1405"/>
      <c r="AV525" s="1405"/>
    </row>
    <row r="526" spans="1:48" s="1431" customFormat="1">
      <c r="A526" s="1399"/>
      <c r="B526" s="1429"/>
      <c r="C526" s="1430"/>
      <c r="D526" s="1400"/>
      <c r="E526" s="1401"/>
      <c r="F526" s="1401"/>
      <c r="G526" s="1402"/>
      <c r="H526" s="1403"/>
      <c r="I526" s="1404"/>
      <c r="J526" s="1405"/>
      <c r="K526" s="1405"/>
      <c r="L526" s="1406"/>
      <c r="M526" s="1406"/>
      <c r="N526" s="1406"/>
      <c r="O526" s="1406"/>
      <c r="P526" s="1406"/>
      <c r="Q526" s="1406"/>
      <c r="R526" s="1406"/>
      <c r="S526" s="1406"/>
      <c r="T526" s="1406"/>
      <c r="U526" s="1406"/>
      <c r="V526" s="1406"/>
      <c r="W526" s="1406"/>
      <c r="X526" s="1406"/>
      <c r="Y526" s="1406"/>
      <c r="Z526" s="1406"/>
      <c r="AA526" s="1406"/>
      <c r="AB526" s="1406"/>
      <c r="AC526" s="1406"/>
      <c r="AD526" s="1406"/>
      <c r="AE526" s="1406"/>
      <c r="AF526" s="1406"/>
      <c r="AG526" s="1406"/>
      <c r="AH526" s="1406"/>
      <c r="AI526" s="1406"/>
      <c r="AJ526" s="1406"/>
      <c r="AK526" s="1406"/>
      <c r="AL526" s="1406"/>
      <c r="AM526" s="1406"/>
      <c r="AN526" s="1406"/>
      <c r="AO526" s="1405"/>
      <c r="AP526" s="1405"/>
      <c r="AQ526" s="1405"/>
      <c r="AR526" s="1405"/>
      <c r="AS526" s="1405"/>
      <c r="AT526" s="1405"/>
      <c r="AU526" s="1405"/>
      <c r="AV526" s="1405"/>
    </row>
    <row r="527" spans="1:48" s="1431" customFormat="1">
      <c r="A527" s="1399"/>
      <c r="B527" s="1429"/>
      <c r="C527" s="1430"/>
      <c r="D527" s="1400"/>
      <c r="E527" s="1401"/>
      <c r="F527" s="1401"/>
      <c r="G527" s="1402"/>
      <c r="H527" s="1403"/>
      <c r="I527" s="1404"/>
      <c r="J527" s="1405"/>
      <c r="K527" s="1405"/>
      <c r="L527" s="1406"/>
      <c r="M527" s="1406"/>
      <c r="N527" s="1406"/>
      <c r="O527" s="1406"/>
      <c r="P527" s="1406"/>
      <c r="Q527" s="1406"/>
      <c r="R527" s="1406"/>
      <c r="S527" s="1406"/>
      <c r="T527" s="1406"/>
      <c r="U527" s="1406"/>
      <c r="V527" s="1406"/>
      <c r="W527" s="1406"/>
      <c r="X527" s="1406"/>
      <c r="Y527" s="1406"/>
      <c r="Z527" s="1406"/>
      <c r="AA527" s="1406"/>
      <c r="AB527" s="1406"/>
      <c r="AC527" s="1406"/>
      <c r="AD527" s="1406"/>
      <c r="AE527" s="1406"/>
      <c r="AF527" s="1406"/>
      <c r="AG527" s="1406"/>
      <c r="AH527" s="1406"/>
      <c r="AI527" s="1406"/>
      <c r="AJ527" s="1406"/>
      <c r="AK527" s="1406"/>
      <c r="AL527" s="1406"/>
      <c r="AM527" s="1406"/>
      <c r="AN527" s="1406"/>
      <c r="AO527" s="1405"/>
      <c r="AP527" s="1405"/>
      <c r="AQ527" s="1405"/>
      <c r="AR527" s="1405"/>
      <c r="AS527" s="1405"/>
      <c r="AT527" s="1405"/>
      <c r="AU527" s="1405"/>
      <c r="AV527" s="1405"/>
    </row>
    <row r="528" spans="1:48" s="1431" customFormat="1">
      <c r="A528" s="1399"/>
      <c r="B528" s="1429"/>
      <c r="C528" s="1430"/>
      <c r="D528" s="1400"/>
      <c r="E528" s="1401"/>
      <c r="F528" s="1401"/>
      <c r="G528" s="1402"/>
      <c r="H528" s="1403"/>
      <c r="I528" s="1404"/>
      <c r="J528" s="1405"/>
      <c r="K528" s="1405"/>
      <c r="L528" s="1406"/>
      <c r="M528" s="1406"/>
      <c r="N528" s="1406"/>
      <c r="O528" s="1406"/>
      <c r="P528" s="1406"/>
      <c r="Q528" s="1406"/>
      <c r="R528" s="1406"/>
      <c r="S528" s="1406"/>
      <c r="T528" s="1406"/>
      <c r="U528" s="1406"/>
      <c r="V528" s="1406"/>
      <c r="W528" s="1406"/>
      <c r="X528" s="1406"/>
      <c r="Y528" s="1406"/>
      <c r="Z528" s="1406"/>
      <c r="AA528" s="1406"/>
      <c r="AB528" s="1406"/>
      <c r="AC528" s="1406"/>
      <c r="AD528" s="1406"/>
      <c r="AE528" s="1406"/>
      <c r="AF528" s="1406"/>
      <c r="AG528" s="1406"/>
      <c r="AH528" s="1406"/>
      <c r="AI528" s="1406"/>
      <c r="AJ528" s="1406"/>
      <c r="AK528" s="1406"/>
      <c r="AL528" s="1406"/>
      <c r="AM528" s="1406"/>
      <c r="AN528" s="1406"/>
      <c r="AO528" s="1405"/>
      <c r="AP528" s="1405"/>
      <c r="AQ528" s="1405"/>
      <c r="AR528" s="1405"/>
      <c r="AS528" s="1405"/>
      <c r="AT528" s="1405"/>
      <c r="AU528" s="1405"/>
      <c r="AV528" s="1405"/>
    </row>
    <row r="529" spans="1:48" s="1431" customFormat="1">
      <c r="A529" s="1399"/>
      <c r="B529" s="1429"/>
      <c r="C529" s="1430"/>
      <c r="D529" s="1400"/>
      <c r="E529" s="1401"/>
      <c r="F529" s="1401"/>
      <c r="G529" s="1402"/>
      <c r="H529" s="1403"/>
      <c r="I529" s="1404"/>
      <c r="J529" s="1405"/>
      <c r="K529" s="1405"/>
      <c r="L529" s="1406"/>
      <c r="M529" s="1406"/>
      <c r="N529" s="1406"/>
      <c r="O529" s="1406"/>
      <c r="P529" s="1406"/>
      <c r="Q529" s="1406"/>
      <c r="R529" s="1406"/>
      <c r="S529" s="1406"/>
      <c r="T529" s="1406"/>
      <c r="U529" s="1406"/>
      <c r="V529" s="1406"/>
      <c r="W529" s="1406"/>
      <c r="X529" s="1406"/>
      <c r="Y529" s="1406"/>
      <c r="Z529" s="1406"/>
      <c r="AA529" s="1406"/>
      <c r="AB529" s="1406"/>
      <c r="AC529" s="1406"/>
      <c r="AD529" s="1406"/>
      <c r="AE529" s="1406"/>
      <c r="AF529" s="1406"/>
      <c r="AG529" s="1406"/>
      <c r="AH529" s="1406"/>
      <c r="AI529" s="1406"/>
      <c r="AJ529" s="1406"/>
      <c r="AK529" s="1406"/>
      <c r="AL529" s="1406"/>
      <c r="AM529" s="1406"/>
      <c r="AN529" s="1406"/>
      <c r="AO529" s="1405"/>
      <c r="AP529" s="1405"/>
      <c r="AQ529" s="1405"/>
      <c r="AR529" s="1405"/>
      <c r="AS529" s="1405"/>
      <c r="AT529" s="1405"/>
      <c r="AU529" s="1405"/>
      <c r="AV529" s="1405"/>
    </row>
    <row r="530" spans="1:48" s="1431" customFormat="1">
      <c r="A530" s="1399"/>
      <c r="B530" s="1429"/>
      <c r="C530" s="1430"/>
      <c r="D530" s="1400"/>
      <c r="E530" s="1401"/>
      <c r="F530" s="1401"/>
      <c r="G530" s="1402"/>
      <c r="H530" s="1403"/>
      <c r="I530" s="1404"/>
      <c r="J530" s="1405"/>
      <c r="K530" s="1405"/>
      <c r="L530" s="1406"/>
      <c r="M530" s="1406"/>
      <c r="N530" s="1406"/>
      <c r="O530" s="1406"/>
      <c r="P530" s="1406"/>
      <c r="Q530" s="1406"/>
      <c r="R530" s="1406"/>
      <c r="S530" s="1406"/>
      <c r="T530" s="1406"/>
      <c r="U530" s="1406"/>
      <c r="V530" s="1406"/>
      <c r="W530" s="1406"/>
      <c r="X530" s="1406"/>
      <c r="Y530" s="1406"/>
      <c r="Z530" s="1406"/>
      <c r="AA530" s="1406"/>
      <c r="AB530" s="1406"/>
      <c r="AC530" s="1406"/>
      <c r="AD530" s="1406"/>
      <c r="AE530" s="1406"/>
      <c r="AF530" s="1406"/>
      <c r="AG530" s="1406"/>
      <c r="AH530" s="1406"/>
      <c r="AI530" s="1406"/>
      <c r="AJ530" s="1406"/>
      <c r="AK530" s="1406"/>
      <c r="AL530" s="1406"/>
      <c r="AM530" s="1406"/>
      <c r="AN530" s="1406"/>
      <c r="AO530" s="1405"/>
      <c r="AP530" s="1405"/>
      <c r="AQ530" s="1405"/>
      <c r="AR530" s="1405"/>
      <c r="AS530" s="1405"/>
      <c r="AT530" s="1405"/>
      <c r="AU530" s="1405"/>
      <c r="AV530" s="1405"/>
    </row>
    <row r="531" spans="1:48" s="1431" customFormat="1">
      <c r="A531" s="1399"/>
      <c r="B531" s="1429"/>
      <c r="C531" s="1430"/>
      <c r="D531" s="1400"/>
      <c r="E531" s="1401"/>
      <c r="F531" s="1401"/>
      <c r="G531" s="1402"/>
      <c r="H531" s="1403"/>
      <c r="I531" s="1404"/>
      <c r="J531" s="1405"/>
      <c r="K531" s="1405"/>
      <c r="L531" s="1406"/>
      <c r="M531" s="1406"/>
      <c r="N531" s="1406"/>
      <c r="O531" s="1406"/>
      <c r="P531" s="1406"/>
      <c r="Q531" s="1406"/>
      <c r="R531" s="1406"/>
      <c r="S531" s="1406"/>
      <c r="T531" s="1406"/>
      <c r="U531" s="1406"/>
      <c r="V531" s="1406"/>
      <c r="W531" s="1406"/>
      <c r="X531" s="1406"/>
      <c r="Y531" s="1406"/>
      <c r="Z531" s="1406"/>
      <c r="AA531" s="1406"/>
      <c r="AB531" s="1406"/>
      <c r="AC531" s="1406"/>
      <c r="AD531" s="1406"/>
      <c r="AE531" s="1406"/>
      <c r="AF531" s="1406"/>
      <c r="AG531" s="1406"/>
      <c r="AH531" s="1406"/>
      <c r="AI531" s="1406"/>
      <c r="AJ531" s="1406"/>
      <c r="AK531" s="1406"/>
      <c r="AL531" s="1406"/>
      <c r="AM531" s="1406"/>
      <c r="AN531" s="1406"/>
      <c r="AO531" s="1405"/>
      <c r="AP531" s="1405"/>
      <c r="AQ531" s="1405"/>
      <c r="AR531" s="1405"/>
      <c r="AS531" s="1405"/>
      <c r="AT531" s="1405"/>
      <c r="AU531" s="1405"/>
      <c r="AV531" s="1405"/>
    </row>
    <row r="532" spans="1:48" s="1431" customFormat="1">
      <c r="A532" s="1399"/>
      <c r="B532" s="1429"/>
      <c r="C532" s="1430"/>
      <c r="D532" s="1400"/>
      <c r="E532" s="1401"/>
      <c r="F532" s="1401"/>
      <c r="G532" s="1402"/>
      <c r="H532" s="1403"/>
      <c r="I532" s="1404"/>
      <c r="J532" s="1405"/>
      <c r="K532" s="1405"/>
      <c r="L532" s="1406"/>
      <c r="M532" s="1406"/>
      <c r="N532" s="1406"/>
      <c r="O532" s="1406"/>
      <c r="P532" s="1406"/>
      <c r="Q532" s="1406"/>
      <c r="R532" s="1406"/>
      <c r="S532" s="1406"/>
      <c r="T532" s="1406"/>
      <c r="U532" s="1406"/>
      <c r="V532" s="1406"/>
      <c r="W532" s="1406"/>
      <c r="X532" s="1406"/>
      <c r="Y532" s="1406"/>
      <c r="Z532" s="1406"/>
      <c r="AA532" s="1406"/>
      <c r="AB532" s="1406"/>
      <c r="AC532" s="1406"/>
      <c r="AD532" s="1406"/>
      <c r="AE532" s="1406"/>
      <c r="AF532" s="1406"/>
      <c r="AG532" s="1406"/>
      <c r="AH532" s="1406"/>
      <c r="AI532" s="1406"/>
      <c r="AJ532" s="1406"/>
      <c r="AK532" s="1406"/>
      <c r="AL532" s="1406"/>
      <c r="AM532" s="1406"/>
      <c r="AN532" s="1406"/>
      <c r="AO532" s="1405"/>
      <c r="AP532" s="1405"/>
      <c r="AQ532" s="1405"/>
      <c r="AR532" s="1405"/>
      <c r="AS532" s="1405"/>
      <c r="AT532" s="1405"/>
      <c r="AU532" s="1405"/>
      <c r="AV532" s="1405"/>
    </row>
    <row r="533" spans="1:48" s="1431" customFormat="1">
      <c r="A533" s="1399"/>
      <c r="B533" s="1429"/>
      <c r="C533" s="1430"/>
      <c r="D533" s="1400"/>
      <c r="E533" s="1401"/>
      <c r="F533" s="1401"/>
      <c r="G533" s="1402"/>
      <c r="H533" s="1403"/>
      <c r="I533" s="1404"/>
      <c r="J533" s="1405"/>
      <c r="K533" s="1405"/>
      <c r="L533" s="1406"/>
      <c r="M533" s="1406"/>
      <c r="N533" s="1406"/>
      <c r="O533" s="1406"/>
      <c r="P533" s="1406"/>
      <c r="Q533" s="1406"/>
      <c r="R533" s="1406"/>
      <c r="S533" s="1406"/>
      <c r="T533" s="1406"/>
      <c r="U533" s="1406"/>
      <c r="V533" s="1406"/>
      <c r="W533" s="1406"/>
      <c r="X533" s="1406"/>
      <c r="Y533" s="1406"/>
      <c r="Z533" s="1406"/>
      <c r="AA533" s="1406"/>
      <c r="AB533" s="1406"/>
      <c r="AC533" s="1406"/>
      <c r="AD533" s="1406"/>
      <c r="AE533" s="1406"/>
      <c r="AF533" s="1406"/>
      <c r="AG533" s="1406"/>
      <c r="AH533" s="1406"/>
      <c r="AI533" s="1406"/>
      <c r="AJ533" s="1406"/>
      <c r="AK533" s="1406"/>
      <c r="AL533" s="1406"/>
      <c r="AM533" s="1406"/>
      <c r="AN533" s="1406"/>
      <c r="AO533" s="1405"/>
      <c r="AP533" s="1405"/>
      <c r="AQ533" s="1405"/>
      <c r="AR533" s="1405"/>
      <c r="AS533" s="1405"/>
      <c r="AT533" s="1405"/>
      <c r="AU533" s="1405"/>
      <c r="AV533" s="1405"/>
    </row>
    <row r="534" spans="1:48" s="1431" customFormat="1">
      <c r="A534" s="1399"/>
      <c r="B534" s="1429"/>
      <c r="C534" s="1430"/>
      <c r="D534" s="1400"/>
      <c r="E534" s="1401"/>
      <c r="F534" s="1401"/>
      <c r="G534" s="1402"/>
      <c r="H534" s="1403"/>
      <c r="I534" s="1404"/>
      <c r="J534" s="1405"/>
      <c r="K534" s="1405"/>
      <c r="L534" s="1406"/>
      <c r="M534" s="1406"/>
      <c r="N534" s="1406"/>
      <c r="O534" s="1406"/>
      <c r="P534" s="1406"/>
      <c r="Q534" s="1406"/>
      <c r="R534" s="1406"/>
      <c r="S534" s="1406"/>
      <c r="T534" s="1406"/>
      <c r="U534" s="1406"/>
      <c r="V534" s="1406"/>
      <c r="W534" s="1406"/>
      <c r="X534" s="1406"/>
      <c r="Y534" s="1406"/>
      <c r="Z534" s="1406"/>
      <c r="AA534" s="1406"/>
      <c r="AB534" s="1406"/>
      <c r="AC534" s="1406"/>
      <c r="AD534" s="1406"/>
      <c r="AE534" s="1406"/>
      <c r="AF534" s="1406"/>
      <c r="AG534" s="1406"/>
      <c r="AH534" s="1406"/>
      <c r="AI534" s="1406"/>
      <c r="AJ534" s="1406"/>
      <c r="AK534" s="1406"/>
      <c r="AL534" s="1406"/>
      <c r="AM534" s="1406"/>
      <c r="AN534" s="1406"/>
      <c r="AO534" s="1405"/>
      <c r="AP534" s="1405"/>
      <c r="AQ534" s="1405"/>
      <c r="AR534" s="1405"/>
      <c r="AS534" s="1405"/>
      <c r="AT534" s="1405"/>
      <c r="AU534" s="1405"/>
      <c r="AV534" s="1405"/>
    </row>
    <row r="535" spans="1:48" s="1431" customFormat="1">
      <c r="A535" s="1399"/>
      <c r="B535" s="1429"/>
      <c r="C535" s="1430"/>
      <c r="D535" s="1400"/>
      <c r="E535" s="1401"/>
      <c r="F535" s="1401"/>
      <c r="G535" s="1402"/>
      <c r="H535" s="1403"/>
      <c r="I535" s="1404"/>
      <c r="J535" s="1405"/>
      <c r="K535" s="1405"/>
      <c r="L535" s="1406"/>
      <c r="M535" s="1406"/>
      <c r="N535" s="1406"/>
      <c r="O535" s="1406"/>
      <c r="P535" s="1406"/>
      <c r="Q535" s="1406"/>
      <c r="R535" s="1406"/>
      <c r="S535" s="1406"/>
      <c r="T535" s="1406"/>
      <c r="U535" s="1406"/>
      <c r="V535" s="1406"/>
      <c r="W535" s="1406"/>
      <c r="X535" s="1406"/>
      <c r="Y535" s="1406"/>
      <c r="Z535" s="1406"/>
      <c r="AA535" s="1406"/>
      <c r="AB535" s="1406"/>
      <c r="AC535" s="1406"/>
      <c r="AD535" s="1406"/>
      <c r="AE535" s="1406"/>
      <c r="AF535" s="1406"/>
      <c r="AG535" s="1406"/>
      <c r="AH535" s="1406"/>
      <c r="AI535" s="1406"/>
      <c r="AJ535" s="1406"/>
      <c r="AK535" s="1406"/>
      <c r="AL535" s="1406"/>
      <c r="AM535" s="1406"/>
      <c r="AN535" s="1406"/>
      <c r="AO535" s="1405"/>
      <c r="AP535" s="1405"/>
      <c r="AQ535" s="1405"/>
      <c r="AR535" s="1405"/>
      <c r="AS535" s="1405"/>
      <c r="AT535" s="1405"/>
      <c r="AU535" s="1405"/>
      <c r="AV535" s="1405"/>
    </row>
    <row r="536" spans="1:48" s="1431" customFormat="1">
      <c r="A536" s="1399"/>
      <c r="B536" s="1429"/>
      <c r="C536" s="1430"/>
      <c r="D536" s="1400"/>
      <c r="E536" s="1401"/>
      <c r="F536" s="1401"/>
      <c r="G536" s="1402"/>
      <c r="H536" s="1403"/>
      <c r="I536" s="1404"/>
      <c r="J536" s="1405"/>
      <c r="K536" s="1405"/>
      <c r="L536" s="1406"/>
      <c r="M536" s="1406"/>
      <c r="N536" s="1406"/>
      <c r="O536" s="1406"/>
      <c r="P536" s="1406"/>
      <c r="Q536" s="1406"/>
      <c r="R536" s="1406"/>
      <c r="S536" s="1406"/>
      <c r="T536" s="1406"/>
      <c r="U536" s="1406"/>
      <c r="V536" s="1406"/>
      <c r="W536" s="1406"/>
      <c r="X536" s="1406"/>
      <c r="Y536" s="1406"/>
      <c r="Z536" s="1406"/>
      <c r="AA536" s="1406"/>
      <c r="AB536" s="1406"/>
      <c r="AC536" s="1406"/>
      <c r="AD536" s="1406"/>
      <c r="AE536" s="1406"/>
      <c r="AF536" s="1406"/>
      <c r="AG536" s="1406"/>
      <c r="AH536" s="1406"/>
      <c r="AI536" s="1406"/>
      <c r="AJ536" s="1406"/>
      <c r="AK536" s="1406"/>
      <c r="AL536" s="1406"/>
      <c r="AM536" s="1406"/>
      <c r="AN536" s="1406"/>
      <c r="AO536" s="1405"/>
      <c r="AP536" s="1405"/>
      <c r="AQ536" s="1405"/>
      <c r="AR536" s="1405"/>
      <c r="AS536" s="1405"/>
      <c r="AT536" s="1405"/>
      <c r="AU536" s="1405"/>
      <c r="AV536" s="1405"/>
    </row>
    <row r="537" spans="1:48" s="1431" customFormat="1">
      <c r="A537" s="1399"/>
      <c r="B537" s="1429"/>
      <c r="C537" s="1430"/>
      <c r="D537" s="1400"/>
      <c r="E537" s="1401"/>
      <c r="F537" s="1401"/>
      <c r="G537" s="1402"/>
      <c r="H537" s="1403"/>
      <c r="I537" s="1404"/>
      <c r="J537" s="1405"/>
      <c r="K537" s="1405"/>
      <c r="L537" s="1406"/>
      <c r="M537" s="1406"/>
      <c r="N537" s="1406"/>
      <c r="O537" s="1406"/>
      <c r="P537" s="1406"/>
      <c r="Q537" s="1406"/>
      <c r="R537" s="1406"/>
      <c r="S537" s="1406"/>
      <c r="T537" s="1406"/>
      <c r="U537" s="1406"/>
      <c r="V537" s="1406"/>
      <c r="W537" s="1406"/>
      <c r="X537" s="1406"/>
      <c r="Y537" s="1406"/>
      <c r="Z537" s="1406"/>
      <c r="AA537" s="1406"/>
      <c r="AB537" s="1406"/>
      <c r="AC537" s="1406"/>
      <c r="AD537" s="1406"/>
      <c r="AE537" s="1406"/>
      <c r="AF537" s="1406"/>
      <c r="AG537" s="1406"/>
      <c r="AH537" s="1406"/>
      <c r="AI537" s="1406"/>
      <c r="AJ537" s="1406"/>
      <c r="AK537" s="1406"/>
      <c r="AL537" s="1406"/>
      <c r="AM537" s="1406"/>
      <c r="AN537" s="1406"/>
      <c r="AO537" s="1405"/>
      <c r="AP537" s="1405"/>
      <c r="AQ537" s="1405"/>
      <c r="AR537" s="1405"/>
      <c r="AS537" s="1405"/>
      <c r="AT537" s="1405"/>
      <c r="AU537" s="1405"/>
      <c r="AV537" s="1405"/>
    </row>
    <row r="538" spans="1:48" s="1431" customFormat="1">
      <c r="A538" s="1399"/>
      <c r="B538" s="1429"/>
      <c r="C538" s="1430"/>
      <c r="D538" s="1400"/>
      <c r="E538" s="1401"/>
      <c r="F538" s="1401"/>
      <c r="G538" s="1402"/>
      <c r="H538" s="1403"/>
      <c r="I538" s="1404"/>
      <c r="J538" s="1405"/>
      <c r="K538" s="1405"/>
      <c r="L538" s="1406"/>
      <c r="M538" s="1406"/>
      <c r="N538" s="1406"/>
      <c r="O538" s="1406"/>
      <c r="P538" s="1406"/>
      <c r="Q538" s="1406"/>
      <c r="R538" s="1406"/>
      <c r="S538" s="1406"/>
      <c r="T538" s="1406"/>
      <c r="U538" s="1406"/>
      <c r="V538" s="1406"/>
      <c r="W538" s="1406"/>
      <c r="X538" s="1406"/>
      <c r="Y538" s="1406"/>
      <c r="Z538" s="1406"/>
      <c r="AA538" s="1406"/>
      <c r="AB538" s="1406"/>
      <c r="AC538" s="1406"/>
      <c r="AD538" s="1406"/>
      <c r="AE538" s="1406"/>
      <c r="AF538" s="1406"/>
      <c r="AG538" s="1406"/>
      <c r="AH538" s="1406"/>
      <c r="AI538" s="1406"/>
      <c r="AJ538" s="1406"/>
      <c r="AK538" s="1406"/>
      <c r="AL538" s="1406"/>
      <c r="AM538" s="1406"/>
      <c r="AN538" s="1406"/>
      <c r="AO538" s="1405"/>
      <c r="AP538" s="1405"/>
      <c r="AQ538" s="1405"/>
      <c r="AR538" s="1405"/>
      <c r="AS538" s="1405"/>
      <c r="AT538" s="1405"/>
      <c r="AU538" s="1405"/>
      <c r="AV538" s="1405"/>
    </row>
    <row r="539" spans="1:48" s="1431" customFormat="1">
      <c r="A539" s="1399"/>
      <c r="B539" s="1429"/>
      <c r="C539" s="1430"/>
      <c r="D539" s="1400"/>
      <c r="E539" s="1401"/>
      <c r="F539" s="1401"/>
      <c r="G539" s="1402"/>
      <c r="H539" s="1403"/>
      <c r="I539" s="1404"/>
      <c r="J539" s="1405"/>
      <c r="K539" s="1405"/>
      <c r="L539" s="1406"/>
      <c r="M539" s="1406"/>
      <c r="N539" s="1406"/>
      <c r="O539" s="1406"/>
      <c r="P539" s="1406"/>
      <c r="Q539" s="1406"/>
      <c r="R539" s="1406"/>
      <c r="S539" s="1406"/>
      <c r="T539" s="1406"/>
      <c r="U539" s="1406"/>
      <c r="V539" s="1406"/>
      <c r="W539" s="1406"/>
      <c r="X539" s="1406"/>
      <c r="Y539" s="1406"/>
      <c r="Z539" s="1406"/>
      <c r="AA539" s="1406"/>
      <c r="AB539" s="1406"/>
      <c r="AC539" s="1406"/>
      <c r="AD539" s="1406"/>
      <c r="AE539" s="1406"/>
      <c r="AF539" s="1406"/>
      <c r="AG539" s="1406"/>
      <c r="AH539" s="1406"/>
      <c r="AI539" s="1406"/>
      <c r="AJ539" s="1406"/>
      <c r="AK539" s="1406"/>
      <c r="AL539" s="1406"/>
      <c r="AM539" s="1406"/>
      <c r="AN539" s="1406"/>
      <c r="AO539" s="1405"/>
      <c r="AP539" s="1405"/>
      <c r="AQ539" s="1405"/>
      <c r="AR539" s="1405"/>
      <c r="AS539" s="1405"/>
      <c r="AT539" s="1405"/>
      <c r="AU539" s="1405"/>
      <c r="AV539" s="1405"/>
    </row>
    <row r="540" spans="1:48" s="1431" customFormat="1">
      <c r="A540" s="1399"/>
      <c r="B540" s="1429"/>
      <c r="C540" s="1430"/>
      <c r="D540" s="1400"/>
      <c r="E540" s="1401"/>
      <c r="F540" s="1401"/>
      <c r="G540" s="1402"/>
      <c r="H540" s="1403"/>
      <c r="I540" s="1404"/>
      <c r="J540" s="1405"/>
      <c r="K540" s="1405"/>
      <c r="L540" s="1406"/>
      <c r="M540" s="1406"/>
      <c r="N540" s="1406"/>
      <c r="O540" s="1406"/>
      <c r="P540" s="1406"/>
      <c r="Q540" s="1406"/>
      <c r="R540" s="1406"/>
      <c r="S540" s="1406"/>
      <c r="T540" s="1406"/>
      <c r="U540" s="1406"/>
      <c r="V540" s="1406"/>
      <c r="W540" s="1406"/>
      <c r="X540" s="1406"/>
      <c r="Y540" s="1406"/>
      <c r="Z540" s="1406"/>
      <c r="AA540" s="1406"/>
      <c r="AB540" s="1406"/>
      <c r="AC540" s="1406"/>
      <c r="AD540" s="1406"/>
      <c r="AE540" s="1406"/>
      <c r="AF540" s="1406"/>
      <c r="AG540" s="1406"/>
      <c r="AH540" s="1406"/>
      <c r="AI540" s="1406"/>
      <c r="AJ540" s="1406"/>
      <c r="AK540" s="1406"/>
      <c r="AL540" s="1406"/>
      <c r="AM540" s="1406"/>
      <c r="AN540" s="1406"/>
      <c r="AO540" s="1405"/>
      <c r="AP540" s="1405"/>
      <c r="AQ540" s="1405"/>
      <c r="AR540" s="1405"/>
      <c r="AS540" s="1405"/>
      <c r="AT540" s="1405"/>
      <c r="AU540" s="1405"/>
      <c r="AV540" s="1405"/>
    </row>
    <row r="541" spans="1:48" s="1431" customFormat="1">
      <c r="A541" s="1399"/>
      <c r="B541" s="1429"/>
      <c r="C541" s="1430"/>
      <c r="D541" s="1400"/>
      <c r="E541" s="1401"/>
      <c r="F541" s="1401"/>
      <c r="G541" s="1402"/>
      <c r="H541" s="1403"/>
      <c r="I541" s="1404"/>
      <c r="J541" s="1405"/>
      <c r="K541" s="1405"/>
      <c r="L541" s="1406"/>
      <c r="M541" s="1406"/>
      <c r="N541" s="1406"/>
      <c r="O541" s="1406"/>
      <c r="P541" s="1406"/>
      <c r="Q541" s="1406"/>
      <c r="R541" s="1406"/>
      <c r="S541" s="1406"/>
      <c r="T541" s="1406"/>
      <c r="U541" s="1406"/>
      <c r="V541" s="1406"/>
      <c r="W541" s="1406"/>
      <c r="X541" s="1406"/>
      <c r="Y541" s="1406"/>
      <c r="Z541" s="1406"/>
      <c r="AA541" s="1406"/>
      <c r="AB541" s="1406"/>
      <c r="AC541" s="1406"/>
      <c r="AD541" s="1406"/>
      <c r="AE541" s="1406"/>
      <c r="AF541" s="1406"/>
      <c r="AG541" s="1406"/>
      <c r="AH541" s="1406"/>
      <c r="AI541" s="1406"/>
      <c r="AJ541" s="1406"/>
      <c r="AK541" s="1406"/>
      <c r="AL541" s="1406"/>
      <c r="AM541" s="1406"/>
      <c r="AN541" s="1406"/>
      <c r="AO541" s="1405"/>
      <c r="AP541" s="1405"/>
      <c r="AQ541" s="1405"/>
      <c r="AR541" s="1405"/>
      <c r="AS541" s="1405"/>
      <c r="AT541" s="1405"/>
      <c r="AU541" s="1405"/>
      <c r="AV541" s="1405"/>
    </row>
    <row r="542" spans="1:48" s="1431" customFormat="1">
      <c r="A542" s="1399"/>
      <c r="B542" s="1429"/>
      <c r="C542" s="1430"/>
      <c r="D542" s="1400"/>
      <c r="E542" s="1401"/>
      <c r="F542" s="1401"/>
      <c r="G542" s="1402"/>
      <c r="H542" s="1403"/>
      <c r="I542" s="1404"/>
      <c r="J542" s="1405"/>
      <c r="K542" s="1405"/>
      <c r="L542" s="1406"/>
      <c r="M542" s="1406"/>
      <c r="N542" s="1406"/>
      <c r="O542" s="1406"/>
      <c r="P542" s="1406"/>
      <c r="Q542" s="1406"/>
      <c r="R542" s="1406"/>
      <c r="S542" s="1406"/>
      <c r="T542" s="1406"/>
      <c r="U542" s="1406"/>
      <c r="V542" s="1406"/>
      <c r="W542" s="1406"/>
      <c r="X542" s="1406"/>
      <c r="Y542" s="1406"/>
      <c r="Z542" s="1406"/>
      <c r="AA542" s="1406"/>
      <c r="AB542" s="1406"/>
      <c r="AC542" s="1406"/>
      <c r="AD542" s="1406"/>
      <c r="AE542" s="1406"/>
      <c r="AF542" s="1406"/>
      <c r="AG542" s="1406"/>
      <c r="AH542" s="1406"/>
      <c r="AI542" s="1406"/>
      <c r="AJ542" s="1406"/>
      <c r="AK542" s="1406"/>
      <c r="AL542" s="1406"/>
      <c r="AM542" s="1406"/>
      <c r="AN542" s="1406"/>
      <c r="AO542" s="1405"/>
      <c r="AP542" s="1405"/>
      <c r="AQ542" s="1405"/>
      <c r="AR542" s="1405"/>
      <c r="AS542" s="1405"/>
      <c r="AT542" s="1405"/>
      <c r="AU542" s="1405"/>
      <c r="AV542" s="1405"/>
    </row>
    <row r="543" spans="1:48" s="1431" customFormat="1">
      <c r="A543" s="1399"/>
      <c r="B543" s="1429"/>
      <c r="C543" s="1430"/>
      <c r="D543" s="1400"/>
      <c r="E543" s="1401"/>
      <c r="F543" s="1401"/>
      <c r="G543" s="1402"/>
      <c r="H543" s="1403"/>
      <c r="I543" s="1404"/>
      <c r="J543" s="1405"/>
      <c r="K543" s="1405"/>
      <c r="L543" s="1406"/>
      <c r="M543" s="1406"/>
      <c r="N543" s="1406"/>
      <c r="O543" s="1406"/>
      <c r="P543" s="1406"/>
      <c r="Q543" s="1406"/>
      <c r="R543" s="1406"/>
      <c r="S543" s="1406"/>
      <c r="T543" s="1406"/>
      <c r="U543" s="1406"/>
      <c r="V543" s="1406"/>
      <c r="W543" s="1406"/>
      <c r="X543" s="1406"/>
      <c r="Y543" s="1406"/>
      <c r="Z543" s="1406"/>
      <c r="AA543" s="1406"/>
      <c r="AB543" s="1406"/>
      <c r="AC543" s="1406"/>
      <c r="AD543" s="1406"/>
      <c r="AE543" s="1406"/>
      <c r="AF543" s="1406"/>
      <c r="AG543" s="1406"/>
      <c r="AH543" s="1406"/>
      <c r="AI543" s="1406"/>
      <c r="AJ543" s="1406"/>
      <c r="AK543" s="1406"/>
      <c r="AL543" s="1406"/>
      <c r="AM543" s="1406"/>
      <c r="AN543" s="1406"/>
      <c r="AO543" s="1405"/>
      <c r="AP543" s="1405"/>
      <c r="AQ543" s="1405"/>
      <c r="AR543" s="1405"/>
      <c r="AS543" s="1405"/>
      <c r="AT543" s="1405"/>
      <c r="AU543" s="1405"/>
      <c r="AV543" s="1405"/>
    </row>
    <row r="544" spans="1:48" s="1431" customFormat="1">
      <c r="A544" s="1399"/>
      <c r="B544" s="1429"/>
      <c r="C544" s="1430"/>
      <c r="D544" s="1400"/>
      <c r="E544" s="1401"/>
      <c r="F544" s="1401"/>
      <c r="G544" s="1402"/>
      <c r="H544" s="1403"/>
      <c r="I544" s="1404"/>
      <c r="J544" s="1405"/>
      <c r="K544" s="1405"/>
      <c r="L544" s="1406"/>
      <c r="M544" s="1406"/>
      <c r="N544" s="1406"/>
      <c r="O544" s="1406"/>
      <c r="P544" s="1406"/>
      <c r="Q544" s="1406"/>
      <c r="R544" s="1406"/>
      <c r="S544" s="1406"/>
      <c r="T544" s="1406"/>
      <c r="U544" s="1406"/>
      <c r="V544" s="1406"/>
      <c r="W544" s="1406"/>
      <c r="X544" s="1406"/>
      <c r="Y544" s="1406"/>
      <c r="Z544" s="1406"/>
      <c r="AA544" s="1406"/>
      <c r="AB544" s="1406"/>
      <c r="AC544" s="1406"/>
      <c r="AD544" s="1406"/>
      <c r="AE544" s="1406"/>
      <c r="AF544" s="1406"/>
      <c r="AG544" s="1406"/>
      <c r="AH544" s="1406"/>
      <c r="AI544" s="1406"/>
      <c r="AJ544" s="1406"/>
      <c r="AK544" s="1406"/>
      <c r="AL544" s="1406"/>
      <c r="AM544" s="1406"/>
      <c r="AN544" s="1406"/>
      <c r="AO544" s="1405"/>
      <c r="AP544" s="1405"/>
      <c r="AQ544" s="1405"/>
      <c r="AR544" s="1405"/>
      <c r="AS544" s="1405"/>
      <c r="AT544" s="1405"/>
      <c r="AU544" s="1405"/>
      <c r="AV544" s="1405"/>
    </row>
    <row r="545" spans="1:48" s="1431" customFormat="1">
      <c r="A545" s="1399"/>
      <c r="B545" s="1429"/>
      <c r="C545" s="1430"/>
      <c r="D545" s="1400"/>
      <c r="E545" s="1401"/>
      <c r="F545" s="1401"/>
      <c r="G545" s="1402"/>
      <c r="H545" s="1403"/>
      <c r="I545" s="1404"/>
      <c r="J545" s="1405"/>
      <c r="K545" s="1405"/>
      <c r="L545" s="1406"/>
      <c r="M545" s="1406"/>
      <c r="N545" s="1406"/>
      <c r="O545" s="1406"/>
      <c r="P545" s="1406"/>
      <c r="Q545" s="1406"/>
      <c r="R545" s="1406"/>
      <c r="S545" s="1406"/>
      <c r="T545" s="1406"/>
      <c r="U545" s="1406"/>
      <c r="V545" s="1406"/>
      <c r="W545" s="1406"/>
      <c r="X545" s="1406"/>
      <c r="Y545" s="1406"/>
      <c r="Z545" s="1406"/>
      <c r="AA545" s="1406"/>
      <c r="AB545" s="1406"/>
      <c r="AC545" s="1406"/>
      <c r="AD545" s="1406"/>
      <c r="AE545" s="1406"/>
      <c r="AF545" s="1406"/>
      <c r="AG545" s="1406"/>
      <c r="AH545" s="1406"/>
      <c r="AI545" s="1406"/>
      <c r="AJ545" s="1406"/>
      <c r="AK545" s="1406"/>
      <c r="AL545" s="1406"/>
      <c r="AM545" s="1406"/>
      <c r="AN545" s="1406"/>
      <c r="AO545" s="1405"/>
      <c r="AP545" s="1405"/>
      <c r="AQ545" s="1405"/>
      <c r="AR545" s="1405"/>
      <c r="AS545" s="1405"/>
      <c r="AT545" s="1405"/>
      <c r="AU545" s="1405"/>
      <c r="AV545" s="1405"/>
    </row>
    <row r="546" spans="1:48" s="1431" customFormat="1">
      <c r="A546" s="1399"/>
      <c r="B546" s="1429"/>
      <c r="C546" s="1430"/>
      <c r="D546" s="1400"/>
      <c r="E546" s="1401"/>
      <c r="F546" s="1401"/>
      <c r="G546" s="1402"/>
      <c r="H546" s="1403"/>
      <c r="I546" s="1404"/>
      <c r="J546" s="1405"/>
      <c r="K546" s="1405"/>
      <c r="L546" s="1406"/>
      <c r="M546" s="1406"/>
      <c r="N546" s="1406"/>
      <c r="O546" s="1406"/>
      <c r="P546" s="1406"/>
      <c r="Q546" s="1406"/>
      <c r="R546" s="1406"/>
      <c r="S546" s="1406"/>
      <c r="T546" s="1406"/>
      <c r="U546" s="1406"/>
      <c r="V546" s="1406"/>
      <c r="W546" s="1406"/>
      <c r="X546" s="1406"/>
      <c r="Y546" s="1406"/>
      <c r="Z546" s="1406"/>
      <c r="AA546" s="1406"/>
      <c r="AB546" s="1406"/>
      <c r="AC546" s="1406"/>
      <c r="AD546" s="1406"/>
      <c r="AE546" s="1406"/>
      <c r="AF546" s="1406"/>
      <c r="AG546" s="1406"/>
      <c r="AH546" s="1406"/>
      <c r="AI546" s="1406"/>
      <c r="AJ546" s="1406"/>
      <c r="AK546" s="1406"/>
      <c r="AL546" s="1406"/>
      <c r="AM546" s="1406"/>
      <c r="AN546" s="1406"/>
      <c r="AO546" s="1405"/>
      <c r="AP546" s="1405"/>
      <c r="AQ546" s="1405"/>
      <c r="AR546" s="1405"/>
      <c r="AS546" s="1405"/>
      <c r="AT546" s="1405"/>
      <c r="AU546" s="1405"/>
      <c r="AV546" s="1405"/>
    </row>
    <row r="547" spans="1:48" s="1431" customFormat="1">
      <c r="A547" s="1399"/>
      <c r="B547" s="1429"/>
      <c r="C547" s="1430"/>
      <c r="D547" s="1400"/>
      <c r="E547" s="1401"/>
      <c r="F547" s="1401"/>
      <c r="G547" s="1402"/>
      <c r="H547" s="1403"/>
      <c r="I547" s="1404"/>
      <c r="J547" s="1405"/>
      <c r="K547" s="1405"/>
      <c r="L547" s="1406"/>
      <c r="M547" s="1406"/>
      <c r="N547" s="1406"/>
      <c r="O547" s="1406"/>
      <c r="P547" s="1406"/>
      <c r="Q547" s="1406"/>
      <c r="R547" s="1406"/>
      <c r="S547" s="1406"/>
      <c r="T547" s="1406"/>
      <c r="U547" s="1406"/>
      <c r="V547" s="1406"/>
      <c r="W547" s="1406"/>
      <c r="X547" s="1406"/>
      <c r="Y547" s="1406"/>
      <c r="Z547" s="1406"/>
      <c r="AA547" s="1406"/>
      <c r="AB547" s="1406"/>
      <c r="AC547" s="1406"/>
      <c r="AD547" s="1406"/>
      <c r="AE547" s="1406"/>
      <c r="AF547" s="1406"/>
      <c r="AG547" s="1406"/>
      <c r="AH547" s="1406"/>
      <c r="AI547" s="1406"/>
      <c r="AJ547" s="1406"/>
      <c r="AK547" s="1406"/>
      <c r="AL547" s="1406"/>
      <c r="AM547" s="1406"/>
      <c r="AN547" s="1406"/>
      <c r="AO547" s="1405"/>
      <c r="AP547" s="1405"/>
      <c r="AQ547" s="1405"/>
      <c r="AR547" s="1405"/>
      <c r="AS547" s="1405"/>
      <c r="AT547" s="1405"/>
      <c r="AU547" s="1405"/>
      <c r="AV547" s="1405"/>
    </row>
    <row r="548" spans="1:48" s="1431" customFormat="1">
      <c r="A548" s="1399"/>
      <c r="B548" s="1429"/>
      <c r="C548" s="1430"/>
      <c r="D548" s="1400"/>
      <c r="E548" s="1401"/>
      <c r="F548" s="1401"/>
      <c r="G548" s="1402"/>
      <c r="H548" s="1403"/>
      <c r="I548" s="1404"/>
      <c r="J548" s="1405"/>
      <c r="K548" s="1405"/>
      <c r="L548" s="1406"/>
      <c r="M548" s="1406"/>
      <c r="N548" s="1406"/>
      <c r="O548" s="1406"/>
      <c r="P548" s="1406"/>
      <c r="Q548" s="1406"/>
      <c r="R548" s="1406"/>
      <c r="S548" s="1406"/>
      <c r="T548" s="1406"/>
      <c r="U548" s="1406"/>
      <c r="V548" s="1406"/>
      <c r="W548" s="1406"/>
      <c r="X548" s="1406"/>
      <c r="Y548" s="1406"/>
      <c r="Z548" s="1406"/>
      <c r="AA548" s="1406"/>
      <c r="AB548" s="1406"/>
      <c r="AC548" s="1406"/>
      <c r="AD548" s="1406"/>
      <c r="AE548" s="1406"/>
      <c r="AF548" s="1406"/>
      <c r="AG548" s="1406"/>
      <c r="AH548" s="1406"/>
      <c r="AI548" s="1406"/>
      <c r="AJ548" s="1406"/>
      <c r="AK548" s="1406"/>
      <c r="AL548" s="1406"/>
      <c r="AM548" s="1406"/>
      <c r="AN548" s="1406"/>
      <c r="AO548" s="1405"/>
      <c r="AP548" s="1405"/>
      <c r="AQ548" s="1405"/>
      <c r="AR548" s="1405"/>
      <c r="AS548" s="1405"/>
      <c r="AT548" s="1405"/>
      <c r="AU548" s="1405"/>
      <c r="AV548" s="1405"/>
    </row>
    <row r="549" spans="1:48" s="1431" customFormat="1">
      <c r="A549" s="1399"/>
      <c r="B549" s="1429"/>
      <c r="C549" s="1430"/>
      <c r="D549" s="1400"/>
      <c r="E549" s="1401"/>
      <c r="F549" s="1401"/>
      <c r="G549" s="1402"/>
      <c r="H549" s="1403"/>
      <c r="I549" s="1404"/>
      <c r="J549" s="1405"/>
      <c r="K549" s="1405"/>
      <c r="L549" s="1406"/>
      <c r="M549" s="1406"/>
      <c r="N549" s="1406"/>
      <c r="O549" s="1406"/>
      <c r="P549" s="1406"/>
      <c r="Q549" s="1406"/>
      <c r="R549" s="1406"/>
      <c r="S549" s="1406"/>
      <c r="T549" s="1406"/>
      <c r="U549" s="1406"/>
      <c r="V549" s="1406"/>
      <c r="W549" s="1406"/>
      <c r="X549" s="1406"/>
      <c r="Y549" s="1406"/>
      <c r="Z549" s="1406"/>
      <c r="AA549" s="1406"/>
      <c r="AB549" s="1406"/>
      <c r="AC549" s="1406"/>
      <c r="AD549" s="1406"/>
      <c r="AE549" s="1406"/>
      <c r="AF549" s="1406"/>
      <c r="AG549" s="1406"/>
      <c r="AH549" s="1406"/>
      <c r="AI549" s="1406"/>
      <c r="AJ549" s="1406"/>
      <c r="AK549" s="1406"/>
      <c r="AL549" s="1406"/>
      <c r="AM549" s="1406"/>
      <c r="AN549" s="1406"/>
      <c r="AO549" s="1405"/>
      <c r="AP549" s="1405"/>
      <c r="AQ549" s="1405"/>
      <c r="AR549" s="1405"/>
      <c r="AS549" s="1405"/>
      <c r="AT549" s="1405"/>
      <c r="AU549" s="1405"/>
      <c r="AV549" s="1405"/>
    </row>
    <row r="550" spans="1:48" s="1431" customFormat="1">
      <c r="A550" s="1399"/>
      <c r="B550" s="1429"/>
      <c r="C550" s="1430"/>
      <c r="D550" s="1400"/>
      <c r="E550" s="1401"/>
      <c r="F550" s="1401"/>
      <c r="G550" s="1402"/>
      <c r="H550" s="1403"/>
      <c r="I550" s="1404"/>
      <c r="J550" s="1405"/>
      <c r="K550" s="1405"/>
      <c r="L550" s="1406"/>
      <c r="M550" s="1406"/>
      <c r="N550" s="1406"/>
      <c r="O550" s="1406"/>
      <c r="P550" s="1406"/>
      <c r="Q550" s="1406"/>
      <c r="R550" s="1406"/>
      <c r="S550" s="1406"/>
      <c r="T550" s="1406"/>
      <c r="U550" s="1406"/>
      <c r="V550" s="1406"/>
      <c r="W550" s="1406"/>
      <c r="X550" s="1406"/>
      <c r="Y550" s="1406"/>
      <c r="Z550" s="1406"/>
      <c r="AA550" s="1406"/>
      <c r="AB550" s="1406"/>
      <c r="AC550" s="1406"/>
      <c r="AD550" s="1406"/>
      <c r="AE550" s="1406"/>
      <c r="AF550" s="1406"/>
      <c r="AG550" s="1406"/>
      <c r="AH550" s="1406"/>
      <c r="AI550" s="1406"/>
      <c r="AJ550" s="1406"/>
      <c r="AK550" s="1406"/>
      <c r="AL550" s="1406"/>
      <c r="AM550" s="1406"/>
      <c r="AN550" s="1406"/>
      <c r="AO550" s="1405"/>
      <c r="AP550" s="1405"/>
      <c r="AQ550" s="1405"/>
      <c r="AR550" s="1405"/>
      <c r="AS550" s="1405"/>
      <c r="AT550" s="1405"/>
      <c r="AU550" s="1405"/>
      <c r="AV550" s="1405"/>
    </row>
    <row r="551" spans="1:48" s="1431" customFormat="1">
      <c r="A551" s="1399"/>
      <c r="B551" s="1429"/>
      <c r="C551" s="1430"/>
      <c r="D551" s="1400"/>
      <c r="E551" s="1401"/>
      <c r="F551" s="1401"/>
      <c r="G551" s="1402"/>
      <c r="H551" s="1403"/>
      <c r="I551" s="1404"/>
      <c r="J551" s="1405"/>
      <c r="K551" s="1405"/>
      <c r="L551" s="1406"/>
      <c r="M551" s="1406"/>
      <c r="N551" s="1406"/>
      <c r="O551" s="1406"/>
      <c r="P551" s="1406"/>
      <c r="Q551" s="1406"/>
      <c r="R551" s="1406"/>
      <c r="S551" s="1406"/>
      <c r="T551" s="1406"/>
      <c r="U551" s="1406"/>
      <c r="V551" s="1406"/>
      <c r="W551" s="1406"/>
      <c r="X551" s="1406"/>
      <c r="Y551" s="1406"/>
      <c r="Z551" s="1406"/>
      <c r="AA551" s="1406"/>
      <c r="AB551" s="1406"/>
      <c r="AC551" s="1406"/>
      <c r="AD551" s="1406"/>
      <c r="AE551" s="1406"/>
      <c r="AF551" s="1406"/>
      <c r="AG551" s="1406"/>
      <c r="AH551" s="1406"/>
      <c r="AI551" s="1406"/>
      <c r="AJ551" s="1406"/>
      <c r="AK551" s="1406"/>
      <c r="AL551" s="1406"/>
      <c r="AM551" s="1406"/>
      <c r="AN551" s="1406"/>
      <c r="AO551" s="1405"/>
      <c r="AP551" s="1405"/>
      <c r="AQ551" s="1405"/>
      <c r="AR551" s="1405"/>
      <c r="AS551" s="1405"/>
      <c r="AT551" s="1405"/>
      <c r="AU551" s="1405"/>
      <c r="AV551" s="1405"/>
    </row>
    <row r="552" spans="1:48" s="1431" customFormat="1">
      <c r="A552" s="1399"/>
      <c r="B552" s="1429"/>
      <c r="C552" s="1430"/>
      <c r="D552" s="1400"/>
      <c r="E552" s="1401"/>
      <c r="F552" s="1401"/>
      <c r="G552" s="1402"/>
      <c r="H552" s="1403"/>
      <c r="I552" s="1404"/>
      <c r="J552" s="1405"/>
      <c r="K552" s="1405"/>
      <c r="L552" s="1406"/>
      <c r="M552" s="1406"/>
      <c r="N552" s="1406"/>
      <c r="O552" s="1406"/>
      <c r="P552" s="1406"/>
      <c r="Q552" s="1406"/>
      <c r="R552" s="1406"/>
      <c r="S552" s="1406"/>
      <c r="T552" s="1406"/>
      <c r="U552" s="1406"/>
      <c r="V552" s="1406"/>
      <c r="W552" s="1406"/>
      <c r="X552" s="1406"/>
      <c r="Y552" s="1406"/>
      <c r="Z552" s="1406"/>
      <c r="AA552" s="1406"/>
      <c r="AB552" s="1406"/>
      <c r="AC552" s="1406"/>
      <c r="AD552" s="1406"/>
      <c r="AE552" s="1406"/>
      <c r="AF552" s="1406"/>
      <c r="AG552" s="1406"/>
      <c r="AH552" s="1406"/>
      <c r="AI552" s="1406"/>
      <c r="AJ552" s="1406"/>
      <c r="AK552" s="1406"/>
      <c r="AL552" s="1406"/>
      <c r="AM552" s="1406"/>
      <c r="AN552" s="1406"/>
      <c r="AO552" s="1405"/>
      <c r="AP552" s="1405"/>
      <c r="AQ552" s="1405"/>
      <c r="AR552" s="1405"/>
      <c r="AS552" s="1405"/>
      <c r="AT552" s="1405"/>
      <c r="AU552" s="1405"/>
      <c r="AV552" s="1405"/>
    </row>
    <row r="553" spans="1:48" s="1431" customFormat="1">
      <c r="A553" s="1399"/>
      <c r="B553" s="1429"/>
      <c r="C553" s="1430"/>
      <c r="D553" s="1400"/>
      <c r="E553" s="1401"/>
      <c r="F553" s="1401"/>
      <c r="G553" s="1402"/>
      <c r="H553" s="1403"/>
      <c r="I553" s="1404"/>
      <c r="J553" s="1405"/>
      <c r="K553" s="1405"/>
      <c r="L553" s="1406"/>
      <c r="M553" s="1406"/>
      <c r="N553" s="1406"/>
      <c r="O553" s="1406"/>
      <c r="P553" s="1406"/>
      <c r="Q553" s="1406"/>
      <c r="R553" s="1406"/>
      <c r="S553" s="1406"/>
      <c r="T553" s="1406"/>
      <c r="U553" s="1406"/>
      <c r="V553" s="1406"/>
      <c r="W553" s="1406"/>
      <c r="X553" s="1406"/>
      <c r="Y553" s="1406"/>
      <c r="Z553" s="1406"/>
      <c r="AA553" s="1406"/>
      <c r="AB553" s="1406"/>
      <c r="AC553" s="1406"/>
      <c r="AD553" s="1406"/>
      <c r="AE553" s="1406"/>
      <c r="AF553" s="1406"/>
      <c r="AG553" s="1406"/>
      <c r="AH553" s="1406"/>
      <c r="AI553" s="1406"/>
      <c r="AJ553" s="1406"/>
      <c r="AK553" s="1406"/>
      <c r="AL553" s="1406"/>
      <c r="AM553" s="1406"/>
      <c r="AN553" s="1406"/>
      <c r="AO553" s="1405"/>
      <c r="AP553" s="1405"/>
      <c r="AQ553" s="1405"/>
      <c r="AR553" s="1405"/>
      <c r="AS553" s="1405"/>
      <c r="AT553" s="1405"/>
      <c r="AU553" s="1405"/>
      <c r="AV553" s="1405"/>
    </row>
    <row r="554" spans="1:48" s="1431" customFormat="1">
      <c r="A554" s="1399"/>
      <c r="B554" s="1429"/>
      <c r="C554" s="1430"/>
      <c r="D554" s="1400"/>
      <c r="E554" s="1401"/>
      <c r="F554" s="1401"/>
      <c r="G554" s="1402"/>
      <c r="H554" s="1403"/>
      <c r="I554" s="1404"/>
      <c r="J554" s="1405"/>
      <c r="K554" s="1405"/>
      <c r="L554" s="1406"/>
      <c r="M554" s="1406"/>
      <c r="N554" s="1406"/>
      <c r="O554" s="1406"/>
      <c r="P554" s="1406"/>
      <c r="Q554" s="1406"/>
      <c r="R554" s="1406"/>
      <c r="S554" s="1406"/>
      <c r="T554" s="1406"/>
      <c r="U554" s="1406"/>
      <c r="V554" s="1406"/>
      <c r="W554" s="1406"/>
      <c r="X554" s="1406"/>
      <c r="Y554" s="1406"/>
      <c r="Z554" s="1406"/>
      <c r="AA554" s="1406"/>
      <c r="AB554" s="1406"/>
      <c r="AC554" s="1406"/>
      <c r="AD554" s="1406"/>
      <c r="AE554" s="1406"/>
      <c r="AF554" s="1406"/>
      <c r="AG554" s="1406"/>
      <c r="AH554" s="1406"/>
      <c r="AI554" s="1406"/>
      <c r="AJ554" s="1406"/>
      <c r="AK554" s="1406"/>
      <c r="AL554" s="1406"/>
      <c r="AM554" s="1406"/>
      <c r="AN554" s="1406"/>
      <c r="AO554" s="1405"/>
      <c r="AP554" s="1405"/>
      <c r="AQ554" s="1405"/>
      <c r="AR554" s="1405"/>
      <c r="AS554" s="1405"/>
      <c r="AT554" s="1405"/>
      <c r="AU554" s="1405"/>
      <c r="AV554" s="1405"/>
    </row>
    <row r="555" spans="1:48" s="1431" customFormat="1">
      <c r="A555" s="1399"/>
      <c r="B555" s="1429"/>
      <c r="C555" s="1430"/>
      <c r="D555" s="1400"/>
      <c r="E555" s="1401"/>
      <c r="F555" s="1401"/>
      <c r="G555" s="1402"/>
      <c r="H555" s="1403"/>
      <c r="I555" s="1404"/>
      <c r="J555" s="1405"/>
      <c r="K555" s="1405"/>
      <c r="L555" s="1406"/>
      <c r="M555" s="1406"/>
      <c r="N555" s="1406"/>
      <c r="O555" s="1406"/>
      <c r="P555" s="1406"/>
      <c r="Q555" s="1406"/>
      <c r="R555" s="1406"/>
      <c r="S555" s="1406"/>
      <c r="T555" s="1406"/>
      <c r="U555" s="1406"/>
      <c r="V555" s="1406"/>
      <c r="W555" s="1406"/>
      <c r="X555" s="1406"/>
      <c r="Y555" s="1406"/>
      <c r="Z555" s="1406"/>
      <c r="AA555" s="1406"/>
      <c r="AB555" s="1406"/>
      <c r="AC555" s="1406"/>
      <c r="AD555" s="1406"/>
      <c r="AE555" s="1406"/>
      <c r="AF555" s="1406"/>
      <c r="AG555" s="1406"/>
      <c r="AH555" s="1406"/>
      <c r="AI555" s="1406"/>
      <c r="AJ555" s="1406"/>
      <c r="AK555" s="1406"/>
      <c r="AL555" s="1406"/>
      <c r="AM555" s="1406"/>
      <c r="AN555" s="1406"/>
      <c r="AO555" s="1405"/>
      <c r="AP555" s="1405"/>
      <c r="AQ555" s="1405"/>
      <c r="AR555" s="1405"/>
      <c r="AS555" s="1405"/>
      <c r="AT555" s="1405"/>
      <c r="AU555" s="1405"/>
      <c r="AV555" s="1405"/>
    </row>
    <row r="556" spans="1:48" s="1431" customFormat="1">
      <c r="A556" s="1399"/>
      <c r="B556" s="1429"/>
      <c r="C556" s="1430"/>
      <c r="D556" s="1400"/>
      <c r="E556" s="1401"/>
      <c r="F556" s="1401"/>
      <c r="G556" s="1402"/>
      <c r="H556" s="1403"/>
      <c r="I556" s="1404"/>
      <c r="J556" s="1405"/>
      <c r="K556" s="1405"/>
      <c r="L556" s="1406"/>
      <c r="M556" s="1406"/>
      <c r="N556" s="1406"/>
      <c r="O556" s="1406"/>
      <c r="P556" s="1406"/>
      <c r="Q556" s="1406"/>
      <c r="R556" s="1406"/>
      <c r="S556" s="1406"/>
      <c r="T556" s="1406"/>
      <c r="U556" s="1406"/>
      <c r="V556" s="1406"/>
      <c r="W556" s="1406"/>
      <c r="X556" s="1406"/>
      <c r="Y556" s="1406"/>
      <c r="Z556" s="1406"/>
      <c r="AA556" s="1406"/>
      <c r="AB556" s="1406"/>
      <c r="AC556" s="1406"/>
      <c r="AD556" s="1406"/>
      <c r="AE556" s="1406"/>
      <c r="AF556" s="1406"/>
      <c r="AG556" s="1406"/>
      <c r="AH556" s="1406"/>
      <c r="AI556" s="1406"/>
      <c r="AJ556" s="1406"/>
      <c r="AK556" s="1406"/>
      <c r="AL556" s="1406"/>
      <c r="AM556" s="1406"/>
      <c r="AN556" s="1406"/>
      <c r="AO556" s="1405"/>
      <c r="AP556" s="1405"/>
      <c r="AQ556" s="1405"/>
      <c r="AR556" s="1405"/>
      <c r="AS556" s="1405"/>
      <c r="AT556" s="1405"/>
      <c r="AU556" s="1405"/>
      <c r="AV556" s="1405"/>
    </row>
    <row r="557" spans="1:48" s="1431" customFormat="1">
      <c r="A557" s="1399"/>
      <c r="B557" s="1429"/>
      <c r="C557" s="1430"/>
      <c r="D557" s="1400"/>
      <c r="E557" s="1401"/>
      <c r="F557" s="1401"/>
      <c r="G557" s="1402"/>
      <c r="H557" s="1403"/>
      <c r="I557" s="1404"/>
      <c r="J557" s="1405"/>
      <c r="K557" s="1405"/>
      <c r="L557" s="1406"/>
      <c r="M557" s="1406"/>
      <c r="N557" s="1406"/>
      <c r="O557" s="1406"/>
      <c r="P557" s="1406"/>
      <c r="Q557" s="1406"/>
      <c r="R557" s="1406"/>
      <c r="S557" s="1406"/>
      <c r="T557" s="1406"/>
      <c r="U557" s="1406"/>
      <c r="V557" s="1406"/>
      <c r="W557" s="1406"/>
      <c r="X557" s="1406"/>
      <c r="Y557" s="1406"/>
      <c r="Z557" s="1406"/>
      <c r="AA557" s="1406"/>
      <c r="AB557" s="1406"/>
      <c r="AC557" s="1406"/>
      <c r="AD557" s="1406"/>
      <c r="AE557" s="1406"/>
      <c r="AF557" s="1406"/>
      <c r="AG557" s="1406"/>
      <c r="AH557" s="1406"/>
      <c r="AI557" s="1406"/>
      <c r="AJ557" s="1406"/>
      <c r="AK557" s="1406"/>
      <c r="AL557" s="1406"/>
      <c r="AM557" s="1406"/>
      <c r="AN557" s="1406"/>
      <c r="AO557" s="1405"/>
      <c r="AP557" s="1405"/>
      <c r="AQ557" s="1405"/>
      <c r="AR557" s="1405"/>
      <c r="AS557" s="1405"/>
      <c r="AT557" s="1405"/>
      <c r="AU557" s="1405"/>
      <c r="AV557" s="1405"/>
    </row>
    <row r="558" spans="1:48" s="1431" customFormat="1">
      <c r="A558" s="1399"/>
      <c r="B558" s="1429"/>
      <c r="C558" s="1430"/>
      <c r="D558" s="1400"/>
      <c r="E558" s="1401"/>
      <c r="F558" s="1401"/>
      <c r="G558" s="1402"/>
      <c r="H558" s="1403"/>
      <c r="I558" s="1404"/>
      <c r="J558" s="1405"/>
      <c r="K558" s="1405"/>
      <c r="L558" s="1406"/>
      <c r="M558" s="1406"/>
      <c r="N558" s="1406"/>
      <c r="O558" s="1406"/>
      <c r="P558" s="1406"/>
      <c r="Q558" s="1406"/>
      <c r="R558" s="1406"/>
      <c r="S558" s="1406"/>
      <c r="T558" s="1406"/>
      <c r="U558" s="1406"/>
      <c r="V558" s="1406"/>
      <c r="W558" s="1406"/>
      <c r="X558" s="1406"/>
      <c r="Y558" s="1406"/>
      <c r="Z558" s="1406"/>
      <c r="AA558" s="1406"/>
      <c r="AB558" s="1406"/>
      <c r="AC558" s="1406"/>
      <c r="AD558" s="1406"/>
      <c r="AE558" s="1406"/>
      <c r="AF558" s="1406"/>
      <c r="AG558" s="1406"/>
      <c r="AH558" s="1406"/>
      <c r="AI558" s="1406"/>
      <c r="AJ558" s="1406"/>
      <c r="AK558" s="1406"/>
      <c r="AL558" s="1406"/>
      <c r="AM558" s="1406"/>
      <c r="AN558" s="1406"/>
      <c r="AO558" s="1405"/>
      <c r="AP558" s="1405"/>
      <c r="AQ558" s="1405"/>
      <c r="AR558" s="1405"/>
      <c r="AS558" s="1405"/>
      <c r="AT558" s="1405"/>
      <c r="AU558" s="1405"/>
      <c r="AV558" s="1405"/>
    </row>
    <row r="559" spans="1:48" s="1431" customFormat="1">
      <c r="A559" s="1399"/>
      <c r="B559" s="1429"/>
      <c r="C559" s="1430"/>
      <c r="D559" s="1400"/>
      <c r="E559" s="1401"/>
      <c r="F559" s="1401"/>
      <c r="G559" s="1402"/>
      <c r="H559" s="1403"/>
      <c r="I559" s="1404"/>
      <c r="J559" s="1405"/>
      <c r="K559" s="1405"/>
      <c r="L559" s="1406"/>
      <c r="M559" s="1406"/>
      <c r="N559" s="1406"/>
      <c r="O559" s="1406"/>
      <c r="P559" s="1406"/>
      <c r="Q559" s="1406"/>
      <c r="R559" s="1406"/>
      <c r="S559" s="1406"/>
      <c r="T559" s="1406"/>
      <c r="U559" s="1406"/>
      <c r="V559" s="1406"/>
      <c r="W559" s="1406"/>
      <c r="X559" s="1406"/>
      <c r="Y559" s="1406"/>
      <c r="Z559" s="1406"/>
      <c r="AA559" s="1406"/>
      <c r="AB559" s="1406"/>
      <c r="AC559" s="1406"/>
      <c r="AD559" s="1406"/>
      <c r="AE559" s="1406"/>
      <c r="AF559" s="1406"/>
      <c r="AG559" s="1406"/>
      <c r="AH559" s="1406"/>
      <c r="AI559" s="1406"/>
      <c r="AJ559" s="1406"/>
      <c r="AK559" s="1406"/>
      <c r="AL559" s="1406"/>
      <c r="AM559" s="1406"/>
      <c r="AN559" s="1406"/>
      <c r="AO559" s="1405"/>
      <c r="AP559" s="1405"/>
      <c r="AQ559" s="1405"/>
      <c r="AR559" s="1405"/>
      <c r="AS559" s="1405"/>
      <c r="AT559" s="1405"/>
      <c r="AU559" s="1405"/>
      <c r="AV559" s="1405"/>
    </row>
    <row r="560" spans="1:48" s="1431" customFormat="1">
      <c r="A560" s="1399"/>
      <c r="B560" s="1429"/>
      <c r="C560" s="1430"/>
      <c r="D560" s="1400"/>
      <c r="E560" s="1401"/>
      <c r="F560" s="1401"/>
      <c r="G560" s="1402"/>
      <c r="H560" s="1403"/>
      <c r="I560" s="1404"/>
      <c r="J560" s="1405"/>
      <c r="K560" s="1405"/>
      <c r="L560" s="1406"/>
      <c r="M560" s="1406"/>
      <c r="N560" s="1406"/>
      <c r="O560" s="1406"/>
      <c r="P560" s="1406"/>
      <c r="Q560" s="1406"/>
      <c r="R560" s="1406"/>
      <c r="S560" s="1406"/>
      <c r="T560" s="1406"/>
      <c r="U560" s="1406"/>
      <c r="V560" s="1406"/>
      <c r="W560" s="1406"/>
      <c r="X560" s="1406"/>
      <c r="Y560" s="1406"/>
      <c r="Z560" s="1406"/>
      <c r="AA560" s="1406"/>
      <c r="AB560" s="1406"/>
      <c r="AC560" s="1406"/>
      <c r="AD560" s="1406"/>
      <c r="AE560" s="1406"/>
      <c r="AF560" s="1406"/>
      <c r="AG560" s="1406"/>
      <c r="AH560" s="1406"/>
      <c r="AI560" s="1406"/>
      <c r="AJ560" s="1406"/>
      <c r="AK560" s="1406"/>
      <c r="AL560" s="1406"/>
      <c r="AM560" s="1406"/>
      <c r="AN560" s="1406"/>
      <c r="AO560" s="1405"/>
      <c r="AP560" s="1405"/>
      <c r="AQ560" s="1405"/>
      <c r="AR560" s="1405"/>
      <c r="AS560" s="1405"/>
      <c r="AT560" s="1405"/>
      <c r="AU560" s="1405"/>
      <c r="AV560" s="1405"/>
    </row>
    <row r="561" spans="1:48" s="1431" customFormat="1">
      <c r="A561" s="1399"/>
      <c r="B561" s="1429"/>
      <c r="C561" s="1430"/>
      <c r="D561" s="1400"/>
      <c r="E561" s="1401"/>
      <c r="F561" s="1401"/>
      <c r="G561" s="1402"/>
      <c r="H561" s="1403"/>
      <c r="I561" s="1404"/>
      <c r="J561" s="1405"/>
      <c r="K561" s="1405"/>
      <c r="L561" s="1406"/>
      <c r="M561" s="1406"/>
      <c r="N561" s="1406"/>
      <c r="O561" s="1406"/>
      <c r="P561" s="1406"/>
      <c r="Q561" s="1406"/>
      <c r="R561" s="1406"/>
      <c r="S561" s="1406"/>
      <c r="T561" s="1406"/>
      <c r="U561" s="1406"/>
      <c r="V561" s="1406"/>
      <c r="W561" s="1406"/>
      <c r="X561" s="1406"/>
      <c r="Y561" s="1406"/>
      <c r="Z561" s="1406"/>
      <c r="AA561" s="1406"/>
      <c r="AB561" s="1406"/>
      <c r="AC561" s="1406"/>
      <c r="AD561" s="1406"/>
      <c r="AE561" s="1406"/>
      <c r="AF561" s="1406"/>
      <c r="AG561" s="1406"/>
      <c r="AH561" s="1406"/>
      <c r="AI561" s="1406"/>
      <c r="AJ561" s="1406"/>
      <c r="AK561" s="1406"/>
      <c r="AL561" s="1406"/>
      <c r="AM561" s="1406"/>
      <c r="AN561" s="1406"/>
      <c r="AO561" s="1405"/>
      <c r="AP561" s="1405"/>
      <c r="AQ561" s="1405"/>
      <c r="AR561" s="1405"/>
      <c r="AS561" s="1405"/>
      <c r="AT561" s="1405"/>
      <c r="AU561" s="1405"/>
      <c r="AV561" s="1405"/>
    </row>
    <row r="562" spans="1:48" s="1431" customFormat="1">
      <c r="A562" s="1399"/>
      <c r="B562" s="1429"/>
      <c r="C562" s="1430"/>
      <c r="D562" s="1400"/>
      <c r="E562" s="1401"/>
      <c r="F562" s="1401"/>
      <c r="G562" s="1402"/>
      <c r="H562" s="1403"/>
      <c r="I562" s="1404"/>
      <c r="J562" s="1405"/>
      <c r="K562" s="1405"/>
      <c r="L562" s="1406"/>
      <c r="M562" s="1406"/>
      <c r="N562" s="1406"/>
      <c r="O562" s="1406"/>
      <c r="P562" s="1406"/>
      <c r="Q562" s="1406"/>
      <c r="R562" s="1406"/>
      <c r="S562" s="1406"/>
      <c r="T562" s="1406"/>
      <c r="U562" s="1406"/>
      <c r="V562" s="1406"/>
      <c r="W562" s="1406"/>
      <c r="X562" s="1406"/>
      <c r="Y562" s="1406"/>
      <c r="Z562" s="1406"/>
      <c r="AA562" s="1406"/>
      <c r="AB562" s="1406"/>
      <c r="AC562" s="1406"/>
      <c r="AD562" s="1406"/>
      <c r="AE562" s="1406"/>
      <c r="AF562" s="1406"/>
      <c r="AG562" s="1406"/>
      <c r="AH562" s="1406"/>
      <c r="AI562" s="1406"/>
      <c r="AJ562" s="1406"/>
      <c r="AK562" s="1406"/>
      <c r="AL562" s="1406"/>
      <c r="AM562" s="1406"/>
      <c r="AN562" s="1406"/>
      <c r="AO562" s="1405"/>
      <c r="AP562" s="1405"/>
      <c r="AQ562" s="1405"/>
      <c r="AR562" s="1405"/>
      <c r="AS562" s="1405"/>
      <c r="AT562" s="1405"/>
      <c r="AU562" s="1405"/>
      <c r="AV562" s="1405"/>
    </row>
    <row r="563" spans="1:48" s="1431" customFormat="1">
      <c r="A563" s="1399"/>
      <c r="B563" s="1429"/>
      <c r="C563" s="1430"/>
      <c r="D563" s="1400"/>
      <c r="E563" s="1401"/>
      <c r="F563" s="1401"/>
      <c r="G563" s="1402"/>
      <c r="H563" s="1403"/>
      <c r="I563" s="1404"/>
      <c r="J563" s="1405"/>
      <c r="K563" s="1405"/>
      <c r="L563" s="1406"/>
      <c r="M563" s="1406"/>
      <c r="N563" s="1406"/>
      <c r="O563" s="1406"/>
      <c r="P563" s="1406"/>
      <c r="Q563" s="1406"/>
      <c r="R563" s="1406"/>
      <c r="S563" s="1406"/>
      <c r="T563" s="1406"/>
      <c r="U563" s="1406"/>
      <c r="V563" s="1406"/>
      <c r="W563" s="1406"/>
      <c r="X563" s="1406"/>
      <c r="Y563" s="1406"/>
      <c r="Z563" s="1406"/>
      <c r="AA563" s="1406"/>
      <c r="AB563" s="1406"/>
      <c r="AC563" s="1406"/>
      <c r="AD563" s="1406"/>
      <c r="AE563" s="1406"/>
      <c r="AF563" s="1406"/>
      <c r="AG563" s="1406"/>
      <c r="AH563" s="1406"/>
      <c r="AI563" s="1406"/>
      <c r="AJ563" s="1406"/>
      <c r="AK563" s="1406"/>
      <c r="AL563" s="1406"/>
      <c r="AM563" s="1406"/>
      <c r="AN563" s="1406"/>
      <c r="AO563" s="1405"/>
      <c r="AP563" s="1405"/>
      <c r="AQ563" s="1405"/>
      <c r="AR563" s="1405"/>
      <c r="AS563" s="1405"/>
      <c r="AT563" s="1405"/>
      <c r="AU563" s="1405"/>
      <c r="AV563" s="1405"/>
    </row>
    <row r="564" spans="1:48" s="1431" customFormat="1">
      <c r="A564" s="1399"/>
      <c r="B564" s="1429"/>
      <c r="C564" s="1430"/>
      <c r="D564" s="1400"/>
      <c r="E564" s="1401"/>
      <c r="F564" s="1401"/>
      <c r="G564" s="1402"/>
      <c r="H564" s="1403"/>
      <c r="I564" s="1404"/>
      <c r="J564" s="1405"/>
      <c r="K564" s="1405"/>
      <c r="L564" s="1406"/>
      <c r="M564" s="1406"/>
      <c r="N564" s="1406"/>
      <c r="O564" s="1406"/>
      <c r="P564" s="1406"/>
      <c r="Q564" s="1406"/>
      <c r="R564" s="1406"/>
      <c r="S564" s="1406"/>
      <c r="T564" s="1406"/>
      <c r="U564" s="1406"/>
      <c r="V564" s="1406"/>
      <c r="W564" s="1406"/>
      <c r="X564" s="1406"/>
      <c r="Y564" s="1406"/>
      <c r="Z564" s="1406"/>
      <c r="AA564" s="1406"/>
      <c r="AB564" s="1406"/>
      <c r="AC564" s="1406"/>
      <c r="AD564" s="1406"/>
      <c r="AE564" s="1406"/>
      <c r="AF564" s="1406"/>
      <c r="AG564" s="1406"/>
      <c r="AH564" s="1406"/>
      <c r="AI564" s="1406"/>
      <c r="AJ564" s="1406"/>
      <c r="AK564" s="1406"/>
      <c r="AL564" s="1406"/>
      <c r="AM564" s="1406"/>
      <c r="AN564" s="1406"/>
      <c r="AO564" s="1405"/>
      <c r="AP564" s="1405"/>
      <c r="AQ564" s="1405"/>
      <c r="AR564" s="1405"/>
      <c r="AS564" s="1405"/>
      <c r="AT564" s="1405"/>
      <c r="AU564" s="1405"/>
      <c r="AV564" s="1405"/>
    </row>
    <row r="565" spans="1:48" s="1431" customFormat="1">
      <c r="A565" s="1399"/>
      <c r="B565" s="1429"/>
      <c r="C565" s="1430"/>
      <c r="D565" s="1400"/>
      <c r="E565" s="1401"/>
      <c r="F565" s="1401"/>
      <c r="G565" s="1402"/>
      <c r="H565" s="1403"/>
      <c r="I565" s="1404"/>
      <c r="J565" s="1405"/>
      <c r="K565" s="1405"/>
      <c r="L565" s="1406"/>
      <c r="M565" s="1406"/>
      <c r="N565" s="1406"/>
      <c r="O565" s="1406"/>
      <c r="P565" s="1406"/>
      <c r="Q565" s="1406"/>
      <c r="R565" s="1406"/>
      <c r="S565" s="1406"/>
      <c r="T565" s="1406"/>
      <c r="U565" s="1406"/>
      <c r="V565" s="1406"/>
      <c r="W565" s="1406"/>
      <c r="X565" s="1406"/>
      <c r="Y565" s="1406"/>
      <c r="Z565" s="1406"/>
      <c r="AA565" s="1406"/>
      <c r="AB565" s="1406"/>
      <c r="AC565" s="1406"/>
      <c r="AD565" s="1406"/>
      <c r="AE565" s="1406"/>
      <c r="AF565" s="1406"/>
      <c r="AG565" s="1406"/>
      <c r="AH565" s="1406"/>
      <c r="AI565" s="1406"/>
      <c r="AJ565" s="1406"/>
      <c r="AK565" s="1406"/>
      <c r="AL565" s="1406"/>
      <c r="AM565" s="1406"/>
      <c r="AN565" s="1406"/>
      <c r="AO565" s="1405"/>
      <c r="AP565" s="1405"/>
      <c r="AQ565" s="1405"/>
      <c r="AR565" s="1405"/>
      <c r="AS565" s="1405"/>
      <c r="AT565" s="1405"/>
      <c r="AU565" s="1405"/>
      <c r="AV565" s="1405"/>
    </row>
    <row r="566" spans="1:48" s="1431" customFormat="1">
      <c r="A566" s="1399"/>
      <c r="B566" s="1429"/>
      <c r="C566" s="1430"/>
      <c r="D566" s="1400"/>
      <c r="E566" s="1401"/>
      <c r="F566" s="1401"/>
      <c r="G566" s="1402"/>
      <c r="H566" s="1403"/>
      <c r="I566" s="1404"/>
      <c r="J566" s="1405"/>
      <c r="K566" s="1405"/>
      <c r="L566" s="1406"/>
      <c r="M566" s="1406"/>
      <c r="N566" s="1406"/>
      <c r="O566" s="1406"/>
      <c r="P566" s="1406"/>
      <c r="Q566" s="1406"/>
      <c r="R566" s="1406"/>
      <c r="S566" s="1406"/>
      <c r="T566" s="1406"/>
      <c r="U566" s="1406"/>
      <c r="V566" s="1406"/>
      <c r="W566" s="1406"/>
      <c r="X566" s="1406"/>
      <c r="Y566" s="1406"/>
      <c r="Z566" s="1406"/>
      <c r="AA566" s="1406"/>
      <c r="AB566" s="1406"/>
      <c r="AC566" s="1406"/>
      <c r="AD566" s="1406"/>
      <c r="AE566" s="1406"/>
      <c r="AF566" s="1406"/>
      <c r="AG566" s="1406"/>
      <c r="AH566" s="1406"/>
      <c r="AI566" s="1406"/>
      <c r="AJ566" s="1406"/>
      <c r="AK566" s="1406"/>
      <c r="AL566" s="1406"/>
      <c r="AM566" s="1406"/>
      <c r="AN566" s="1406"/>
      <c r="AO566" s="1405"/>
      <c r="AP566" s="1405"/>
      <c r="AQ566" s="1405"/>
      <c r="AR566" s="1405"/>
      <c r="AS566" s="1405"/>
      <c r="AT566" s="1405"/>
      <c r="AU566" s="1405"/>
      <c r="AV566" s="1405"/>
    </row>
    <row r="567" spans="1:48" s="1431" customFormat="1">
      <c r="A567" s="1399"/>
      <c r="B567" s="1429"/>
      <c r="C567" s="1430"/>
      <c r="D567" s="1400"/>
      <c r="E567" s="1401"/>
      <c r="F567" s="1401"/>
      <c r="G567" s="1402"/>
      <c r="H567" s="1403"/>
      <c r="I567" s="1404"/>
      <c r="J567" s="1405"/>
      <c r="K567" s="1405"/>
      <c r="L567" s="1406"/>
      <c r="M567" s="1406"/>
      <c r="N567" s="1406"/>
      <c r="O567" s="1406"/>
      <c r="P567" s="1406"/>
      <c r="Q567" s="1406"/>
      <c r="R567" s="1406"/>
      <c r="S567" s="1406"/>
      <c r="T567" s="1406"/>
      <c r="U567" s="1406"/>
      <c r="V567" s="1406"/>
      <c r="W567" s="1406"/>
      <c r="X567" s="1406"/>
      <c r="Y567" s="1406"/>
      <c r="Z567" s="1406"/>
      <c r="AA567" s="1406"/>
      <c r="AB567" s="1406"/>
      <c r="AC567" s="1406"/>
      <c r="AD567" s="1406"/>
      <c r="AE567" s="1406"/>
      <c r="AF567" s="1406"/>
      <c r="AG567" s="1406"/>
      <c r="AH567" s="1406"/>
      <c r="AI567" s="1406"/>
      <c r="AJ567" s="1406"/>
      <c r="AK567" s="1406"/>
      <c r="AL567" s="1406"/>
      <c r="AM567" s="1406"/>
      <c r="AN567" s="1406"/>
      <c r="AO567" s="1405"/>
      <c r="AP567" s="1405"/>
      <c r="AQ567" s="1405"/>
      <c r="AR567" s="1405"/>
      <c r="AS567" s="1405"/>
      <c r="AT567" s="1405"/>
      <c r="AU567" s="1405"/>
      <c r="AV567" s="1405"/>
    </row>
    <row r="568" spans="1:48" s="1431" customFormat="1">
      <c r="A568" s="1399"/>
      <c r="B568" s="1429"/>
      <c r="C568" s="1430"/>
      <c r="D568" s="1400"/>
      <c r="E568" s="1401"/>
      <c r="F568" s="1401"/>
      <c r="G568" s="1402"/>
      <c r="H568" s="1403"/>
      <c r="I568" s="1404"/>
      <c r="J568" s="1405"/>
      <c r="K568" s="1405"/>
      <c r="L568" s="1406"/>
      <c r="M568" s="1406"/>
      <c r="N568" s="1406"/>
      <c r="O568" s="1406"/>
      <c r="P568" s="1406"/>
      <c r="Q568" s="1406"/>
      <c r="R568" s="1406"/>
      <c r="S568" s="1406"/>
      <c r="T568" s="1406"/>
      <c r="U568" s="1406"/>
      <c r="V568" s="1406"/>
      <c r="W568" s="1406"/>
      <c r="X568" s="1406"/>
      <c r="Y568" s="1406"/>
      <c r="Z568" s="1406"/>
      <c r="AA568" s="1406"/>
      <c r="AB568" s="1406"/>
      <c r="AC568" s="1406"/>
      <c r="AD568" s="1406"/>
      <c r="AE568" s="1406"/>
      <c r="AF568" s="1406"/>
      <c r="AG568" s="1406"/>
      <c r="AH568" s="1406"/>
      <c r="AI568" s="1406"/>
      <c r="AJ568" s="1406"/>
      <c r="AK568" s="1406"/>
      <c r="AL568" s="1406"/>
      <c r="AM568" s="1406"/>
      <c r="AN568" s="1406"/>
      <c r="AO568" s="1405"/>
      <c r="AP568" s="1405"/>
      <c r="AQ568" s="1405"/>
      <c r="AR568" s="1405"/>
      <c r="AS568" s="1405"/>
      <c r="AT568" s="1405"/>
      <c r="AU568" s="1405"/>
      <c r="AV568" s="1405"/>
    </row>
    <row r="569" spans="1:48" s="1431" customFormat="1">
      <c r="A569" s="1399"/>
      <c r="B569" s="1429"/>
      <c r="C569" s="1430"/>
      <c r="D569" s="1400"/>
      <c r="E569" s="1401"/>
      <c r="F569" s="1401"/>
      <c r="G569" s="1402"/>
      <c r="H569" s="1403"/>
      <c r="I569" s="1404"/>
      <c r="J569" s="1405"/>
      <c r="K569" s="1405"/>
      <c r="L569" s="1406"/>
      <c r="M569" s="1406"/>
      <c r="N569" s="1406"/>
      <c r="O569" s="1406"/>
      <c r="P569" s="1406"/>
      <c r="Q569" s="1406"/>
      <c r="R569" s="1406"/>
      <c r="S569" s="1406"/>
      <c r="T569" s="1406"/>
      <c r="U569" s="1406"/>
      <c r="V569" s="1406"/>
      <c r="W569" s="1406"/>
      <c r="X569" s="1406"/>
      <c r="Y569" s="1406"/>
      <c r="Z569" s="1406"/>
      <c r="AA569" s="1406"/>
      <c r="AB569" s="1406"/>
      <c r="AC569" s="1406"/>
      <c r="AD569" s="1406"/>
      <c r="AE569" s="1406"/>
      <c r="AF569" s="1406"/>
      <c r="AG569" s="1406"/>
      <c r="AH569" s="1406"/>
      <c r="AI569" s="1406"/>
      <c r="AJ569" s="1406"/>
      <c r="AK569" s="1406"/>
      <c r="AL569" s="1406"/>
      <c r="AM569" s="1406"/>
      <c r="AN569" s="1406"/>
      <c r="AO569" s="1405"/>
      <c r="AP569" s="1405"/>
      <c r="AQ569" s="1405"/>
      <c r="AR569" s="1405"/>
      <c r="AS569" s="1405"/>
      <c r="AT569" s="1405"/>
      <c r="AU569" s="1405"/>
      <c r="AV569" s="1405"/>
    </row>
    <row r="570" spans="1:48" s="1431" customFormat="1">
      <c r="A570" s="1399"/>
      <c r="B570" s="1429"/>
      <c r="C570" s="1430"/>
      <c r="D570" s="1400"/>
      <c r="E570" s="1401"/>
      <c r="F570" s="1401"/>
      <c r="G570" s="1402"/>
      <c r="H570" s="1403"/>
      <c r="I570" s="1404"/>
      <c r="J570" s="1405"/>
      <c r="K570" s="1405"/>
      <c r="L570" s="1406"/>
      <c r="M570" s="1406"/>
      <c r="N570" s="1406"/>
      <c r="O570" s="1406"/>
      <c r="P570" s="1406"/>
      <c r="Q570" s="1406"/>
      <c r="R570" s="1406"/>
      <c r="S570" s="1406"/>
      <c r="T570" s="1406"/>
      <c r="U570" s="1406"/>
      <c r="V570" s="1406"/>
      <c r="W570" s="1406"/>
      <c r="X570" s="1406"/>
      <c r="Y570" s="1406"/>
      <c r="Z570" s="1406"/>
      <c r="AA570" s="1406"/>
      <c r="AB570" s="1406"/>
      <c r="AC570" s="1406"/>
      <c r="AD570" s="1406"/>
      <c r="AE570" s="1406"/>
      <c r="AF570" s="1406"/>
      <c r="AG570" s="1406"/>
      <c r="AH570" s="1406"/>
      <c r="AI570" s="1406"/>
      <c r="AJ570" s="1406"/>
      <c r="AK570" s="1406"/>
      <c r="AL570" s="1406"/>
      <c r="AM570" s="1406"/>
      <c r="AN570" s="1406"/>
      <c r="AO570" s="1405"/>
      <c r="AP570" s="1405"/>
      <c r="AQ570" s="1405"/>
      <c r="AR570" s="1405"/>
      <c r="AS570" s="1405"/>
      <c r="AT570" s="1405"/>
      <c r="AU570" s="1405"/>
      <c r="AV570" s="1405"/>
    </row>
    <row r="571" spans="1:48" s="1431" customFormat="1">
      <c r="A571" s="1399"/>
      <c r="B571" s="1429"/>
      <c r="C571" s="1430"/>
      <c r="D571" s="1400"/>
      <c r="E571" s="1401"/>
      <c r="F571" s="1401"/>
      <c r="G571" s="1402"/>
      <c r="H571" s="1403"/>
      <c r="I571" s="1404"/>
      <c r="J571" s="1405"/>
      <c r="K571" s="1405"/>
      <c r="L571" s="1405"/>
      <c r="M571" s="1405"/>
      <c r="N571" s="1406"/>
      <c r="O571" s="1406"/>
      <c r="P571" s="1406"/>
      <c r="Q571" s="1406"/>
      <c r="R571" s="1406"/>
      <c r="S571" s="1406"/>
      <c r="T571" s="1406"/>
      <c r="U571" s="1406"/>
      <c r="V571" s="1406"/>
      <c r="W571" s="1406"/>
      <c r="X571" s="1406"/>
      <c r="Y571" s="1406"/>
      <c r="Z571" s="1406"/>
      <c r="AA571" s="1406"/>
      <c r="AB571" s="1406"/>
      <c r="AC571" s="1406"/>
      <c r="AD571" s="1406"/>
      <c r="AE571" s="1406"/>
      <c r="AF571" s="1406"/>
      <c r="AG571" s="1406"/>
      <c r="AH571" s="1406"/>
      <c r="AI571" s="1406"/>
      <c r="AJ571" s="1406"/>
      <c r="AK571" s="1406"/>
      <c r="AL571" s="1406"/>
      <c r="AM571" s="1406"/>
      <c r="AN571" s="1406"/>
      <c r="AO571" s="1405"/>
      <c r="AP571" s="1405"/>
      <c r="AQ571" s="1405"/>
      <c r="AR571" s="1405"/>
      <c r="AS571" s="1405"/>
      <c r="AT571" s="1405"/>
      <c r="AU571" s="1405"/>
      <c r="AV571" s="1405"/>
    </row>
    <row r="572" spans="1:48" s="1431" customFormat="1">
      <c r="A572" s="1399"/>
      <c r="B572" s="1429"/>
      <c r="C572" s="1430"/>
      <c r="D572" s="1400"/>
      <c r="E572" s="1401"/>
      <c r="F572" s="1401"/>
      <c r="G572" s="1402"/>
      <c r="H572" s="1403"/>
      <c r="I572" s="1404"/>
      <c r="J572" s="1405"/>
      <c r="K572" s="1405"/>
      <c r="L572" s="1405"/>
      <c r="M572" s="1405"/>
      <c r="N572" s="1406"/>
      <c r="O572" s="1406"/>
      <c r="P572" s="1406"/>
      <c r="Q572" s="1406"/>
      <c r="R572" s="1406"/>
      <c r="S572" s="1406"/>
      <c r="T572" s="1406"/>
      <c r="U572" s="1406"/>
      <c r="V572" s="1406"/>
      <c r="W572" s="1406"/>
      <c r="X572" s="1406"/>
      <c r="Y572" s="1406"/>
      <c r="Z572" s="1406"/>
      <c r="AA572" s="1406"/>
      <c r="AB572" s="1406"/>
      <c r="AC572" s="1406"/>
      <c r="AD572" s="1406"/>
      <c r="AE572" s="1406"/>
      <c r="AF572" s="1406"/>
      <c r="AG572" s="1406"/>
      <c r="AH572" s="1406"/>
      <c r="AI572" s="1406"/>
      <c r="AJ572" s="1406"/>
      <c r="AK572" s="1406"/>
      <c r="AL572" s="1406"/>
      <c r="AM572" s="1406"/>
      <c r="AN572" s="1406"/>
      <c r="AO572" s="1405"/>
      <c r="AP572" s="1405"/>
      <c r="AQ572" s="1405"/>
      <c r="AR572" s="1405"/>
      <c r="AS572" s="1405"/>
      <c r="AT572" s="1405"/>
      <c r="AU572" s="1405"/>
      <c r="AV572" s="1405"/>
    </row>
    <row r="573" spans="1:48" s="1431" customFormat="1">
      <c r="A573" s="1399"/>
      <c r="B573" s="1429"/>
      <c r="C573" s="1430"/>
      <c r="D573" s="1400"/>
      <c r="E573" s="1401"/>
      <c r="F573" s="1401"/>
      <c r="G573" s="1402"/>
      <c r="H573" s="1403"/>
      <c r="I573" s="1404"/>
      <c r="J573" s="1405"/>
      <c r="K573" s="1405"/>
      <c r="L573" s="1405"/>
      <c r="M573" s="1405"/>
      <c r="N573" s="1406"/>
      <c r="O573" s="1406"/>
      <c r="P573" s="1406"/>
      <c r="Q573" s="1406"/>
      <c r="R573" s="1406"/>
      <c r="S573" s="1406"/>
      <c r="T573" s="1406"/>
      <c r="U573" s="1406"/>
      <c r="V573" s="1406"/>
      <c r="W573" s="1406"/>
      <c r="X573" s="1406"/>
      <c r="Y573" s="1406"/>
      <c r="Z573" s="1406"/>
      <c r="AA573" s="1406"/>
      <c r="AB573" s="1406"/>
      <c r="AC573" s="1406"/>
      <c r="AD573" s="1406"/>
      <c r="AE573" s="1406"/>
      <c r="AF573" s="1406"/>
      <c r="AG573" s="1406"/>
      <c r="AH573" s="1406"/>
      <c r="AI573" s="1406"/>
      <c r="AJ573" s="1406"/>
      <c r="AK573" s="1406"/>
      <c r="AL573" s="1406"/>
      <c r="AM573" s="1406"/>
      <c r="AN573" s="1406"/>
      <c r="AO573" s="1405"/>
      <c r="AP573" s="1405"/>
      <c r="AQ573" s="1405"/>
      <c r="AR573" s="1405"/>
      <c r="AS573" s="1405"/>
      <c r="AT573" s="1405"/>
      <c r="AU573" s="1405"/>
      <c r="AV573" s="1405"/>
    </row>
    <row r="574" spans="1:48" s="1431" customFormat="1">
      <c r="A574" s="1399"/>
      <c r="B574" s="1429"/>
      <c r="C574" s="1430"/>
      <c r="D574" s="1400"/>
      <c r="E574" s="1401"/>
      <c r="F574" s="1401"/>
      <c r="G574" s="1402"/>
      <c r="H574" s="1403"/>
      <c r="I574" s="1404"/>
      <c r="J574" s="1405"/>
      <c r="K574" s="1405"/>
      <c r="L574" s="1405"/>
      <c r="M574" s="1405"/>
      <c r="N574" s="1406"/>
      <c r="O574" s="1406"/>
      <c r="P574" s="1406"/>
      <c r="Q574" s="1406"/>
      <c r="R574" s="1406"/>
      <c r="S574" s="1406"/>
      <c r="T574" s="1406"/>
      <c r="U574" s="1406"/>
      <c r="V574" s="1406"/>
      <c r="W574" s="1406"/>
      <c r="X574" s="1406"/>
      <c r="Y574" s="1406"/>
      <c r="Z574" s="1406"/>
      <c r="AA574" s="1406"/>
      <c r="AB574" s="1406"/>
      <c r="AC574" s="1406"/>
      <c r="AD574" s="1406"/>
      <c r="AE574" s="1406"/>
      <c r="AF574" s="1406"/>
      <c r="AG574" s="1406"/>
      <c r="AH574" s="1406"/>
      <c r="AI574" s="1406"/>
      <c r="AJ574" s="1406"/>
      <c r="AK574" s="1406"/>
      <c r="AL574" s="1406"/>
      <c r="AM574" s="1406"/>
      <c r="AN574" s="1406"/>
      <c r="AO574" s="1405"/>
      <c r="AP574" s="1405"/>
      <c r="AQ574" s="1405"/>
      <c r="AR574" s="1405"/>
      <c r="AS574" s="1405"/>
      <c r="AT574" s="1405"/>
      <c r="AU574" s="1405"/>
      <c r="AV574" s="1405"/>
    </row>
    <row r="575" spans="1:48" s="1431" customFormat="1">
      <c r="A575" s="1399"/>
      <c r="B575" s="1429"/>
      <c r="C575" s="1430"/>
      <c r="D575" s="1400"/>
      <c r="E575" s="1401"/>
      <c r="F575" s="1401"/>
      <c r="G575" s="1402"/>
      <c r="H575" s="1403"/>
      <c r="I575" s="1404"/>
      <c r="J575" s="1405"/>
      <c r="K575" s="1405"/>
      <c r="L575" s="1405"/>
      <c r="M575" s="1405"/>
      <c r="N575" s="1406"/>
      <c r="O575" s="1406"/>
      <c r="P575" s="1406"/>
      <c r="Q575" s="1406"/>
      <c r="R575" s="1406"/>
      <c r="S575" s="1406"/>
      <c r="T575" s="1406"/>
      <c r="U575" s="1406"/>
      <c r="V575" s="1406"/>
      <c r="W575" s="1406"/>
      <c r="X575" s="1406"/>
      <c r="Y575" s="1406"/>
      <c r="Z575" s="1406"/>
      <c r="AA575" s="1406"/>
      <c r="AB575" s="1406"/>
      <c r="AC575" s="1406"/>
      <c r="AD575" s="1406"/>
      <c r="AE575" s="1406"/>
      <c r="AF575" s="1406"/>
      <c r="AG575" s="1406"/>
      <c r="AH575" s="1406"/>
      <c r="AI575" s="1406"/>
      <c r="AJ575" s="1406"/>
      <c r="AK575" s="1406"/>
      <c r="AL575" s="1406"/>
      <c r="AM575" s="1406"/>
      <c r="AN575" s="1406"/>
      <c r="AO575" s="1405"/>
      <c r="AP575" s="1405"/>
      <c r="AQ575" s="1405"/>
      <c r="AR575" s="1405"/>
      <c r="AS575" s="1405"/>
      <c r="AT575" s="1405"/>
      <c r="AU575" s="1405"/>
      <c r="AV575" s="1405"/>
    </row>
    <row r="576" spans="1:48" s="1431" customFormat="1">
      <c r="A576" s="1399"/>
      <c r="B576" s="1429"/>
      <c r="C576" s="1430"/>
      <c r="D576" s="1400"/>
      <c r="E576" s="1401"/>
      <c r="F576" s="1401"/>
      <c r="G576" s="1402"/>
      <c r="H576" s="1403"/>
      <c r="I576" s="1404"/>
      <c r="J576" s="1405"/>
      <c r="K576" s="1405"/>
      <c r="L576" s="1405"/>
      <c r="M576" s="1405"/>
      <c r="N576" s="1406"/>
      <c r="O576" s="1406"/>
      <c r="P576" s="1406"/>
      <c r="Q576" s="1406"/>
      <c r="R576" s="1406"/>
      <c r="S576" s="1406"/>
      <c r="T576" s="1406"/>
      <c r="U576" s="1406"/>
      <c r="V576" s="1406"/>
      <c r="W576" s="1406"/>
      <c r="X576" s="1406"/>
      <c r="Y576" s="1406"/>
      <c r="Z576" s="1406"/>
      <c r="AA576" s="1406"/>
      <c r="AB576" s="1406"/>
      <c r="AC576" s="1406"/>
      <c r="AD576" s="1406"/>
      <c r="AE576" s="1406"/>
      <c r="AF576" s="1406"/>
      <c r="AG576" s="1406"/>
      <c r="AH576" s="1406"/>
      <c r="AI576" s="1406"/>
      <c r="AJ576" s="1406"/>
      <c r="AK576" s="1406"/>
      <c r="AL576" s="1406"/>
      <c r="AM576" s="1406"/>
      <c r="AN576" s="1406"/>
      <c r="AO576" s="1405"/>
      <c r="AP576" s="1405"/>
      <c r="AQ576" s="1405"/>
      <c r="AR576" s="1405"/>
      <c r="AS576" s="1405"/>
      <c r="AT576" s="1405"/>
      <c r="AU576" s="1405"/>
      <c r="AV576" s="1405"/>
    </row>
    <row r="577" spans="1:48" s="1431" customFormat="1">
      <c r="A577" s="1399"/>
      <c r="B577" s="1429"/>
      <c r="C577" s="1430"/>
      <c r="D577" s="1400"/>
      <c r="E577" s="1401"/>
      <c r="F577" s="1401"/>
      <c r="G577" s="1402"/>
      <c r="H577" s="1403"/>
      <c r="I577" s="1404"/>
      <c r="J577" s="1405"/>
      <c r="K577" s="1405"/>
      <c r="L577" s="1405"/>
      <c r="M577" s="1405"/>
      <c r="N577" s="1406"/>
      <c r="O577" s="1406"/>
      <c r="P577" s="1406"/>
      <c r="Q577" s="1406"/>
      <c r="R577" s="1406"/>
      <c r="S577" s="1406"/>
      <c r="T577" s="1406"/>
      <c r="U577" s="1406"/>
      <c r="V577" s="1406"/>
      <c r="W577" s="1406"/>
      <c r="X577" s="1406"/>
      <c r="Y577" s="1406"/>
      <c r="Z577" s="1406"/>
      <c r="AA577" s="1406"/>
      <c r="AB577" s="1406"/>
      <c r="AC577" s="1406"/>
      <c r="AD577" s="1406"/>
      <c r="AE577" s="1406"/>
      <c r="AF577" s="1406"/>
      <c r="AG577" s="1406"/>
      <c r="AH577" s="1406"/>
      <c r="AI577" s="1406"/>
      <c r="AJ577" s="1406"/>
      <c r="AK577" s="1406"/>
      <c r="AL577" s="1406"/>
      <c r="AM577" s="1406"/>
      <c r="AN577" s="1406"/>
      <c r="AO577" s="1405"/>
      <c r="AP577" s="1405"/>
      <c r="AQ577" s="1405"/>
      <c r="AR577" s="1405"/>
      <c r="AS577" s="1405"/>
      <c r="AT577" s="1405"/>
      <c r="AU577" s="1405"/>
      <c r="AV577" s="1405"/>
    </row>
    <row r="578" spans="1:48" s="1431" customFormat="1">
      <c r="A578" s="1399"/>
      <c r="B578" s="1429"/>
      <c r="C578" s="1430"/>
      <c r="D578" s="1400"/>
      <c r="E578" s="1401"/>
      <c r="F578" s="1401"/>
      <c r="G578" s="1402"/>
      <c r="H578" s="1403"/>
      <c r="I578" s="1404"/>
      <c r="J578" s="1405"/>
      <c r="K578" s="1405"/>
      <c r="L578" s="1405"/>
      <c r="M578" s="1405"/>
      <c r="N578" s="1406"/>
      <c r="O578" s="1406"/>
      <c r="P578" s="1406"/>
      <c r="Q578" s="1406"/>
      <c r="R578" s="1406"/>
      <c r="S578" s="1406"/>
      <c r="T578" s="1406"/>
      <c r="U578" s="1406"/>
      <c r="V578" s="1406"/>
      <c r="W578" s="1406"/>
      <c r="X578" s="1406"/>
      <c r="Y578" s="1406"/>
      <c r="Z578" s="1406"/>
      <c r="AA578" s="1406"/>
      <c r="AB578" s="1406"/>
      <c r="AC578" s="1406"/>
      <c r="AD578" s="1406"/>
      <c r="AE578" s="1406"/>
      <c r="AF578" s="1406"/>
      <c r="AG578" s="1406"/>
      <c r="AH578" s="1406"/>
      <c r="AI578" s="1406"/>
      <c r="AJ578" s="1406"/>
      <c r="AK578" s="1406"/>
      <c r="AL578" s="1406"/>
      <c r="AM578" s="1406"/>
      <c r="AN578" s="1406"/>
      <c r="AO578" s="1405"/>
      <c r="AP578" s="1405"/>
      <c r="AQ578" s="1405"/>
      <c r="AR578" s="1405"/>
      <c r="AS578" s="1405"/>
      <c r="AT578" s="1405"/>
      <c r="AU578" s="1405"/>
      <c r="AV578" s="1405"/>
    </row>
    <row r="579" spans="1:48" s="1431" customFormat="1">
      <c r="A579" s="1399"/>
      <c r="B579" s="1429"/>
      <c r="C579" s="1430"/>
      <c r="D579" s="1400"/>
      <c r="E579" s="1401"/>
      <c r="F579" s="1401"/>
      <c r="G579" s="1402"/>
      <c r="H579" s="1403"/>
      <c r="I579" s="1404"/>
      <c r="J579" s="1405"/>
      <c r="K579" s="1405"/>
      <c r="L579" s="1405"/>
      <c r="M579" s="1405"/>
      <c r="N579" s="1406"/>
      <c r="O579" s="1406"/>
      <c r="P579" s="1406"/>
      <c r="Q579" s="1406"/>
      <c r="R579" s="1406"/>
      <c r="S579" s="1406"/>
      <c r="T579" s="1406"/>
      <c r="U579" s="1406"/>
      <c r="V579" s="1406"/>
      <c r="W579" s="1406"/>
      <c r="X579" s="1406"/>
      <c r="Y579" s="1406"/>
      <c r="Z579" s="1406"/>
      <c r="AA579" s="1406"/>
      <c r="AB579" s="1406"/>
      <c r="AC579" s="1406"/>
      <c r="AD579" s="1406"/>
      <c r="AE579" s="1406"/>
      <c r="AF579" s="1406"/>
      <c r="AG579" s="1406"/>
      <c r="AH579" s="1406"/>
      <c r="AI579" s="1406"/>
      <c r="AJ579" s="1406"/>
      <c r="AK579" s="1406"/>
      <c r="AL579" s="1406"/>
      <c r="AM579" s="1406"/>
      <c r="AN579" s="1406"/>
      <c r="AO579" s="1405"/>
      <c r="AP579" s="1405"/>
      <c r="AQ579" s="1405"/>
      <c r="AR579" s="1405"/>
      <c r="AS579" s="1405"/>
      <c r="AT579" s="1405"/>
      <c r="AU579" s="1405"/>
      <c r="AV579" s="1405"/>
    </row>
    <row r="580" spans="1:48" s="1431" customFormat="1">
      <c r="A580" s="1399"/>
      <c r="B580" s="1429"/>
      <c r="C580" s="1430"/>
      <c r="D580" s="1400"/>
      <c r="E580" s="1401"/>
      <c r="F580" s="1401"/>
      <c r="G580" s="1402"/>
      <c r="H580" s="1403"/>
      <c r="I580" s="1404"/>
      <c r="J580" s="1405"/>
      <c r="K580" s="1405"/>
      <c r="L580" s="1405"/>
      <c r="M580" s="1405"/>
      <c r="N580" s="1406"/>
      <c r="O580" s="1406"/>
      <c r="P580" s="1406"/>
      <c r="Q580" s="1406"/>
      <c r="R580" s="1406"/>
      <c r="S580" s="1406"/>
      <c r="T580" s="1406"/>
      <c r="U580" s="1406"/>
      <c r="V580" s="1406"/>
      <c r="W580" s="1406"/>
      <c r="X580" s="1406"/>
      <c r="Y580" s="1406"/>
      <c r="Z580" s="1406"/>
      <c r="AA580" s="1406"/>
      <c r="AB580" s="1406"/>
      <c r="AC580" s="1406"/>
      <c r="AD580" s="1406"/>
      <c r="AE580" s="1406"/>
      <c r="AF580" s="1406"/>
      <c r="AG580" s="1406"/>
      <c r="AH580" s="1406"/>
      <c r="AI580" s="1406"/>
      <c r="AJ580" s="1406"/>
      <c r="AK580" s="1406"/>
      <c r="AL580" s="1406"/>
      <c r="AM580" s="1406"/>
      <c r="AN580" s="1406"/>
      <c r="AO580" s="1405"/>
      <c r="AP580" s="1405"/>
      <c r="AQ580" s="1405"/>
      <c r="AR580" s="1405"/>
      <c r="AS580" s="1405"/>
      <c r="AT580" s="1405"/>
      <c r="AU580" s="1405"/>
      <c r="AV580" s="1405"/>
    </row>
    <row r="581" spans="1:48" s="1431" customFormat="1">
      <c r="A581" s="1399"/>
      <c r="B581" s="1429"/>
      <c r="C581" s="1430"/>
      <c r="D581" s="1400"/>
      <c r="E581" s="1401"/>
      <c r="F581" s="1401"/>
      <c r="G581" s="1402"/>
      <c r="H581" s="1403"/>
      <c r="I581" s="1404"/>
      <c r="J581" s="1405"/>
      <c r="K581" s="1405"/>
      <c r="L581" s="1405"/>
      <c r="M581" s="1405"/>
      <c r="N581" s="1406"/>
      <c r="O581" s="1406"/>
      <c r="P581" s="1406"/>
      <c r="Q581" s="1406"/>
      <c r="R581" s="1406"/>
      <c r="S581" s="1406"/>
      <c r="T581" s="1406"/>
      <c r="U581" s="1406"/>
      <c r="V581" s="1406"/>
      <c r="W581" s="1406"/>
      <c r="X581" s="1406"/>
      <c r="Y581" s="1406"/>
      <c r="Z581" s="1406"/>
      <c r="AA581" s="1406"/>
      <c r="AB581" s="1406"/>
      <c r="AC581" s="1406"/>
      <c r="AD581" s="1406"/>
      <c r="AE581" s="1406"/>
      <c r="AF581" s="1406"/>
      <c r="AG581" s="1406"/>
      <c r="AH581" s="1406"/>
      <c r="AI581" s="1406"/>
      <c r="AJ581" s="1406"/>
      <c r="AK581" s="1406"/>
      <c r="AL581" s="1406"/>
      <c r="AM581" s="1406"/>
      <c r="AN581" s="1406"/>
      <c r="AO581" s="1405"/>
      <c r="AP581" s="1405"/>
      <c r="AQ581" s="1405"/>
      <c r="AR581" s="1405"/>
      <c r="AS581" s="1405"/>
      <c r="AT581" s="1405"/>
      <c r="AU581" s="1405"/>
      <c r="AV581" s="1405"/>
    </row>
    <row r="582" spans="1:48" s="1431" customFormat="1">
      <c r="A582" s="1399"/>
      <c r="B582" s="1429"/>
      <c r="C582" s="1430"/>
      <c r="D582" s="1400"/>
      <c r="E582" s="1401"/>
      <c r="F582" s="1401"/>
      <c r="G582" s="1402"/>
      <c r="H582" s="1403"/>
      <c r="I582" s="1404"/>
      <c r="J582" s="1405"/>
      <c r="K582" s="1405"/>
      <c r="L582" s="1405"/>
      <c r="M582" s="1405"/>
      <c r="N582" s="1406"/>
      <c r="O582" s="1406"/>
      <c r="P582" s="1406"/>
      <c r="Q582" s="1406"/>
      <c r="R582" s="1406"/>
      <c r="S582" s="1406"/>
      <c r="T582" s="1406"/>
      <c r="U582" s="1406"/>
      <c r="V582" s="1406"/>
      <c r="W582" s="1406"/>
      <c r="X582" s="1406"/>
      <c r="Y582" s="1406"/>
      <c r="Z582" s="1406"/>
      <c r="AA582" s="1406"/>
      <c r="AB582" s="1406"/>
      <c r="AC582" s="1406"/>
      <c r="AD582" s="1406"/>
      <c r="AE582" s="1406"/>
      <c r="AF582" s="1406"/>
      <c r="AG582" s="1406"/>
      <c r="AH582" s="1406"/>
      <c r="AI582" s="1406"/>
      <c r="AJ582" s="1406"/>
      <c r="AK582" s="1406"/>
      <c r="AL582" s="1406"/>
      <c r="AM582" s="1406"/>
      <c r="AN582" s="1406"/>
      <c r="AO582" s="1405"/>
      <c r="AP582" s="1405"/>
      <c r="AQ582" s="1405"/>
      <c r="AR582" s="1405"/>
      <c r="AS582" s="1405"/>
      <c r="AT582" s="1405"/>
      <c r="AU582" s="1405"/>
      <c r="AV582" s="1405"/>
    </row>
    <row r="583" spans="1:48" s="1431" customFormat="1">
      <c r="A583" s="1399"/>
      <c r="B583" s="1429"/>
      <c r="C583" s="1430"/>
      <c r="D583" s="1400"/>
      <c r="E583" s="1401"/>
      <c r="F583" s="1401"/>
      <c r="G583" s="1402"/>
      <c r="H583" s="1403"/>
      <c r="I583" s="1404"/>
      <c r="J583" s="1405"/>
      <c r="K583" s="1405"/>
      <c r="L583" s="1405"/>
      <c r="M583" s="1405"/>
      <c r="N583" s="1406"/>
      <c r="O583" s="1406"/>
      <c r="P583" s="1406"/>
      <c r="Q583" s="1406"/>
      <c r="R583" s="1406"/>
      <c r="S583" s="1406"/>
      <c r="T583" s="1406"/>
      <c r="U583" s="1406"/>
      <c r="V583" s="1406"/>
      <c r="W583" s="1406"/>
      <c r="X583" s="1406"/>
      <c r="Y583" s="1406"/>
      <c r="Z583" s="1406"/>
      <c r="AA583" s="1406"/>
      <c r="AB583" s="1406"/>
      <c r="AC583" s="1406"/>
      <c r="AD583" s="1406"/>
      <c r="AE583" s="1406"/>
      <c r="AF583" s="1406"/>
      <c r="AG583" s="1406"/>
      <c r="AH583" s="1406"/>
      <c r="AI583" s="1406"/>
      <c r="AJ583" s="1406"/>
      <c r="AK583" s="1406"/>
      <c r="AL583" s="1406"/>
      <c r="AM583" s="1406"/>
      <c r="AN583" s="1406"/>
      <c r="AO583" s="1405"/>
      <c r="AP583" s="1405"/>
      <c r="AQ583" s="1405"/>
      <c r="AR583" s="1405"/>
      <c r="AS583" s="1405"/>
      <c r="AT583" s="1405"/>
      <c r="AU583" s="1405"/>
      <c r="AV583" s="1405"/>
    </row>
    <row r="584" spans="1:48" s="1431" customFormat="1">
      <c r="A584" s="1399"/>
      <c r="B584" s="1429"/>
      <c r="C584" s="1430"/>
      <c r="D584" s="1400"/>
      <c r="E584" s="1401"/>
      <c r="F584" s="1401"/>
      <c r="G584" s="1402"/>
      <c r="H584" s="1403"/>
      <c r="I584" s="1404"/>
      <c r="J584" s="1405"/>
      <c r="K584" s="1405"/>
      <c r="L584" s="1405"/>
      <c r="M584" s="1405"/>
      <c r="N584" s="1406"/>
      <c r="O584" s="1406"/>
      <c r="P584" s="1406"/>
      <c r="Q584" s="1406"/>
      <c r="R584" s="1406"/>
      <c r="S584" s="1406"/>
      <c r="T584" s="1406"/>
      <c r="U584" s="1406"/>
      <c r="V584" s="1406"/>
      <c r="W584" s="1406"/>
      <c r="X584" s="1406"/>
      <c r="Y584" s="1406"/>
      <c r="Z584" s="1406"/>
      <c r="AA584" s="1406"/>
      <c r="AB584" s="1406"/>
      <c r="AC584" s="1406"/>
      <c r="AD584" s="1406"/>
      <c r="AE584" s="1406"/>
      <c r="AF584" s="1406"/>
      <c r="AG584" s="1406"/>
      <c r="AH584" s="1406"/>
      <c r="AI584" s="1406"/>
      <c r="AJ584" s="1406"/>
      <c r="AK584" s="1406"/>
      <c r="AL584" s="1406"/>
      <c r="AM584" s="1406"/>
      <c r="AN584" s="1406"/>
      <c r="AO584" s="1405"/>
      <c r="AP584" s="1405"/>
      <c r="AQ584" s="1405"/>
      <c r="AR584" s="1405"/>
      <c r="AS584" s="1405"/>
      <c r="AT584" s="1405"/>
      <c r="AU584" s="1405"/>
      <c r="AV584" s="1405"/>
    </row>
    <row r="585" spans="1:48" s="1431" customFormat="1">
      <c r="A585" s="1399"/>
      <c r="B585" s="1429"/>
      <c r="C585" s="1430"/>
      <c r="D585" s="1400"/>
      <c r="E585" s="1401"/>
      <c r="F585" s="1401"/>
      <c r="G585" s="1402"/>
      <c r="H585" s="1403"/>
      <c r="I585" s="1404"/>
      <c r="J585" s="1405"/>
      <c r="K585" s="1405"/>
      <c r="L585" s="1405"/>
      <c r="M585" s="1405"/>
      <c r="N585" s="1406"/>
      <c r="O585" s="1406"/>
      <c r="P585" s="1406"/>
      <c r="Q585" s="1406"/>
      <c r="R585" s="1406"/>
      <c r="S585" s="1406"/>
      <c r="T585" s="1406"/>
      <c r="U585" s="1406"/>
      <c r="V585" s="1406"/>
      <c r="W585" s="1406"/>
      <c r="X585" s="1406"/>
      <c r="Y585" s="1406"/>
      <c r="Z585" s="1406"/>
      <c r="AA585" s="1406"/>
      <c r="AB585" s="1406"/>
      <c r="AC585" s="1406"/>
      <c r="AD585" s="1406"/>
      <c r="AE585" s="1406"/>
      <c r="AF585" s="1406"/>
      <c r="AG585" s="1406"/>
      <c r="AH585" s="1406"/>
      <c r="AI585" s="1406"/>
      <c r="AJ585" s="1406"/>
      <c r="AK585" s="1406"/>
      <c r="AL585" s="1406"/>
      <c r="AM585" s="1406"/>
      <c r="AN585" s="1406"/>
      <c r="AO585" s="1405"/>
      <c r="AP585" s="1405"/>
      <c r="AQ585" s="1405"/>
      <c r="AR585" s="1405"/>
      <c r="AS585" s="1405"/>
      <c r="AT585" s="1405"/>
      <c r="AU585" s="1405"/>
      <c r="AV585" s="1405"/>
    </row>
    <row r="586" spans="1:48" s="1431" customFormat="1">
      <c r="A586" s="1399"/>
      <c r="B586" s="1429"/>
      <c r="C586" s="1430"/>
      <c r="D586" s="1400"/>
      <c r="E586" s="1401"/>
      <c r="F586" s="1401"/>
      <c r="G586" s="1402"/>
      <c r="H586" s="1403"/>
      <c r="I586" s="1404"/>
      <c r="J586" s="1405"/>
      <c r="K586" s="1405"/>
      <c r="L586" s="1405"/>
      <c r="M586" s="1405"/>
      <c r="N586" s="1406"/>
      <c r="O586" s="1406"/>
      <c r="P586" s="1406"/>
      <c r="Q586" s="1406"/>
      <c r="R586" s="1406"/>
      <c r="S586" s="1406"/>
      <c r="T586" s="1406"/>
      <c r="U586" s="1406"/>
      <c r="V586" s="1406"/>
      <c r="W586" s="1406"/>
      <c r="X586" s="1406"/>
      <c r="Y586" s="1406"/>
      <c r="Z586" s="1406"/>
      <c r="AA586" s="1406"/>
      <c r="AB586" s="1406"/>
      <c r="AC586" s="1406"/>
      <c r="AD586" s="1406"/>
      <c r="AE586" s="1406"/>
      <c r="AF586" s="1406"/>
      <c r="AG586" s="1406"/>
      <c r="AH586" s="1406"/>
      <c r="AI586" s="1406"/>
      <c r="AJ586" s="1406"/>
      <c r="AK586" s="1406"/>
      <c r="AL586" s="1406"/>
      <c r="AM586" s="1406"/>
      <c r="AN586" s="1406"/>
      <c r="AO586" s="1405"/>
      <c r="AP586" s="1405"/>
      <c r="AQ586" s="1405"/>
      <c r="AR586" s="1405"/>
      <c r="AS586" s="1405"/>
      <c r="AT586" s="1405"/>
      <c r="AU586" s="1405"/>
      <c r="AV586" s="1405"/>
    </row>
    <row r="587" spans="1:48" s="1431" customFormat="1">
      <c r="A587" s="1399"/>
      <c r="B587" s="1429"/>
      <c r="C587" s="1430"/>
      <c r="D587" s="1400"/>
      <c r="E587" s="1401"/>
      <c r="F587" s="1401"/>
      <c r="G587" s="1402"/>
      <c r="H587" s="1403"/>
      <c r="I587" s="1404"/>
      <c r="J587" s="1405"/>
      <c r="K587" s="1405"/>
      <c r="L587" s="1405"/>
      <c r="M587" s="1405"/>
      <c r="N587" s="1406"/>
      <c r="O587" s="1406"/>
      <c r="P587" s="1406"/>
      <c r="Q587" s="1406"/>
      <c r="R587" s="1406"/>
      <c r="S587" s="1406"/>
      <c r="T587" s="1406"/>
      <c r="U587" s="1406"/>
      <c r="V587" s="1406"/>
      <c r="W587" s="1406"/>
      <c r="X587" s="1406"/>
      <c r="Y587" s="1406"/>
      <c r="Z587" s="1406"/>
      <c r="AA587" s="1406"/>
      <c r="AB587" s="1406"/>
      <c r="AC587" s="1406"/>
      <c r="AD587" s="1406"/>
      <c r="AE587" s="1406"/>
      <c r="AF587" s="1406"/>
      <c r="AG587" s="1406"/>
      <c r="AH587" s="1406"/>
      <c r="AI587" s="1406"/>
      <c r="AJ587" s="1406"/>
      <c r="AK587" s="1406"/>
      <c r="AL587" s="1406"/>
      <c r="AM587" s="1406"/>
      <c r="AN587" s="1406"/>
      <c r="AO587" s="1405"/>
      <c r="AP587" s="1405"/>
      <c r="AQ587" s="1405"/>
      <c r="AR587" s="1405"/>
      <c r="AS587" s="1405"/>
      <c r="AT587" s="1405"/>
      <c r="AU587" s="1405"/>
      <c r="AV587" s="1405"/>
    </row>
    <row r="588" spans="1:48" s="1431" customFormat="1">
      <c r="A588" s="1399"/>
      <c r="B588" s="1429"/>
      <c r="C588" s="1430"/>
      <c r="D588" s="1400"/>
      <c r="E588" s="1401"/>
      <c r="F588" s="1401"/>
      <c r="G588" s="1402"/>
      <c r="H588" s="1403"/>
      <c r="I588" s="1404"/>
      <c r="J588" s="1405"/>
      <c r="K588" s="1405"/>
      <c r="L588" s="1405"/>
      <c r="M588" s="1405"/>
      <c r="N588" s="1406"/>
      <c r="O588" s="1406"/>
      <c r="P588" s="1406"/>
      <c r="Q588" s="1406"/>
      <c r="R588" s="1406"/>
      <c r="S588" s="1406"/>
      <c r="T588" s="1406"/>
      <c r="U588" s="1406"/>
      <c r="V588" s="1406"/>
      <c r="W588" s="1406"/>
      <c r="X588" s="1406"/>
      <c r="Y588" s="1406"/>
      <c r="Z588" s="1406"/>
      <c r="AA588" s="1406"/>
      <c r="AB588" s="1406"/>
      <c r="AC588" s="1406"/>
      <c r="AD588" s="1406"/>
      <c r="AE588" s="1406"/>
      <c r="AF588" s="1406"/>
      <c r="AG588" s="1406"/>
      <c r="AH588" s="1406"/>
      <c r="AI588" s="1406"/>
      <c r="AJ588" s="1406"/>
      <c r="AK588" s="1406"/>
      <c r="AL588" s="1406"/>
      <c r="AM588" s="1406"/>
      <c r="AN588" s="1406"/>
      <c r="AO588" s="1405"/>
      <c r="AP588" s="1405"/>
      <c r="AQ588" s="1405"/>
      <c r="AR588" s="1405"/>
      <c r="AS588" s="1405"/>
      <c r="AT588" s="1405"/>
      <c r="AU588" s="1405"/>
      <c r="AV588" s="1405"/>
    </row>
    <row r="589" spans="1:48" s="1431" customFormat="1">
      <c r="A589" s="1399"/>
      <c r="B589" s="1429"/>
      <c r="C589" s="1430"/>
      <c r="D589" s="1400"/>
      <c r="E589" s="1401"/>
      <c r="F589" s="1401"/>
      <c r="G589" s="1402"/>
      <c r="H589" s="1403"/>
      <c r="I589" s="1404"/>
      <c r="J589" s="1405"/>
      <c r="K589" s="1405"/>
      <c r="L589" s="1405"/>
      <c r="M589" s="1405"/>
      <c r="N589" s="1406"/>
      <c r="O589" s="1406"/>
      <c r="P589" s="1406"/>
      <c r="Q589" s="1406"/>
      <c r="R589" s="1406"/>
      <c r="S589" s="1406"/>
      <c r="T589" s="1406"/>
      <c r="U589" s="1406"/>
      <c r="V589" s="1406"/>
      <c r="W589" s="1406"/>
      <c r="X589" s="1406"/>
      <c r="Y589" s="1406"/>
      <c r="Z589" s="1406"/>
      <c r="AA589" s="1406"/>
      <c r="AB589" s="1406"/>
      <c r="AC589" s="1406"/>
      <c r="AD589" s="1406"/>
      <c r="AE589" s="1406"/>
      <c r="AF589" s="1406"/>
      <c r="AG589" s="1406"/>
      <c r="AH589" s="1406"/>
      <c r="AI589" s="1406"/>
      <c r="AJ589" s="1406"/>
      <c r="AK589" s="1406"/>
      <c r="AL589" s="1406"/>
      <c r="AM589" s="1406"/>
      <c r="AN589" s="1406"/>
      <c r="AO589" s="1405"/>
      <c r="AP589" s="1405"/>
      <c r="AQ589" s="1405"/>
      <c r="AR589" s="1405"/>
      <c r="AS589" s="1405"/>
      <c r="AT589" s="1405"/>
      <c r="AU589" s="1405"/>
      <c r="AV589" s="1405"/>
    </row>
    <row r="590" spans="1:48" s="1431" customFormat="1">
      <c r="A590" s="1399"/>
      <c r="B590" s="1429"/>
      <c r="C590" s="1430"/>
      <c r="D590" s="1400"/>
      <c r="E590" s="1401"/>
      <c r="F590" s="1401"/>
      <c r="G590" s="1402"/>
      <c r="H590" s="1403"/>
      <c r="I590" s="1404"/>
      <c r="J590" s="1405"/>
      <c r="K590" s="1405"/>
      <c r="L590" s="1405"/>
      <c r="M590" s="1405"/>
      <c r="N590" s="1406"/>
      <c r="O590" s="1406"/>
      <c r="P590" s="1406"/>
      <c r="Q590" s="1406"/>
      <c r="R590" s="1406"/>
      <c r="S590" s="1406"/>
      <c r="T590" s="1406"/>
      <c r="U590" s="1406"/>
      <c r="V590" s="1406"/>
      <c r="W590" s="1406"/>
      <c r="X590" s="1406"/>
      <c r="Y590" s="1406"/>
      <c r="Z590" s="1406"/>
      <c r="AA590" s="1406"/>
      <c r="AB590" s="1406"/>
      <c r="AC590" s="1406"/>
      <c r="AD590" s="1406"/>
      <c r="AE590" s="1406"/>
      <c r="AF590" s="1406"/>
      <c r="AG590" s="1406"/>
      <c r="AH590" s="1406"/>
      <c r="AI590" s="1406"/>
      <c r="AJ590" s="1406"/>
      <c r="AK590" s="1406"/>
      <c r="AL590" s="1406"/>
      <c r="AM590" s="1406"/>
      <c r="AN590" s="1406"/>
      <c r="AO590" s="1405"/>
      <c r="AP590" s="1405"/>
      <c r="AQ590" s="1405"/>
      <c r="AR590" s="1405"/>
      <c r="AS590" s="1405"/>
      <c r="AT590" s="1405"/>
      <c r="AU590" s="1405"/>
      <c r="AV590" s="1405"/>
    </row>
    <row r="591" spans="1:48" s="1431" customFormat="1">
      <c r="A591" s="1399"/>
      <c r="B591" s="1429"/>
      <c r="C591" s="1430"/>
      <c r="D591" s="1400"/>
      <c r="E591" s="1401"/>
      <c r="F591" s="1401"/>
      <c r="G591" s="1402"/>
      <c r="H591" s="1403"/>
      <c r="I591" s="1404"/>
      <c r="J591" s="1405"/>
      <c r="K591" s="1405"/>
      <c r="L591" s="1405"/>
      <c r="M591" s="1405"/>
      <c r="N591" s="1406"/>
      <c r="O591" s="1406"/>
      <c r="P591" s="1406"/>
      <c r="Q591" s="1406"/>
      <c r="R591" s="1406"/>
      <c r="S591" s="1406"/>
      <c r="T591" s="1406"/>
      <c r="U591" s="1406"/>
      <c r="V591" s="1406"/>
      <c r="W591" s="1406"/>
      <c r="X591" s="1406"/>
      <c r="Y591" s="1406"/>
      <c r="Z591" s="1406"/>
      <c r="AA591" s="1406"/>
      <c r="AB591" s="1406"/>
      <c r="AC591" s="1406"/>
      <c r="AD591" s="1406"/>
      <c r="AE591" s="1406"/>
      <c r="AF591" s="1406"/>
      <c r="AG591" s="1406"/>
      <c r="AH591" s="1406"/>
      <c r="AI591" s="1406"/>
      <c r="AJ591" s="1406"/>
      <c r="AK591" s="1406"/>
      <c r="AL591" s="1406"/>
      <c r="AM591" s="1406"/>
      <c r="AN591" s="1406"/>
      <c r="AO591" s="1405"/>
      <c r="AP591" s="1405"/>
      <c r="AQ591" s="1405"/>
      <c r="AR591" s="1405"/>
      <c r="AS591" s="1405"/>
      <c r="AT591" s="1405"/>
      <c r="AU591" s="1405"/>
      <c r="AV591" s="1405"/>
    </row>
    <row r="592" spans="1:48" s="1431" customFormat="1">
      <c r="A592" s="1399"/>
      <c r="B592" s="1429"/>
      <c r="C592" s="1430"/>
      <c r="D592" s="1400"/>
      <c r="E592" s="1401"/>
      <c r="F592" s="1401"/>
      <c r="G592" s="1402"/>
      <c r="H592" s="1403"/>
      <c r="I592" s="1404"/>
      <c r="J592" s="1405"/>
      <c r="K592" s="1405"/>
      <c r="L592" s="1405"/>
      <c r="M592" s="1405"/>
      <c r="N592" s="1406"/>
      <c r="O592" s="1406"/>
      <c r="P592" s="1406"/>
      <c r="Q592" s="1406"/>
      <c r="R592" s="1406"/>
      <c r="S592" s="1406"/>
      <c r="T592" s="1406"/>
      <c r="U592" s="1406"/>
      <c r="V592" s="1406"/>
      <c r="W592" s="1406"/>
      <c r="X592" s="1406"/>
      <c r="Y592" s="1406"/>
      <c r="Z592" s="1406"/>
      <c r="AA592" s="1406"/>
      <c r="AB592" s="1406"/>
      <c r="AC592" s="1406"/>
      <c r="AD592" s="1406"/>
      <c r="AE592" s="1406"/>
      <c r="AF592" s="1406"/>
      <c r="AG592" s="1406"/>
      <c r="AH592" s="1406"/>
      <c r="AI592" s="1406"/>
      <c r="AJ592" s="1406"/>
      <c r="AK592" s="1406"/>
      <c r="AL592" s="1406"/>
      <c r="AM592" s="1406"/>
      <c r="AN592" s="1406"/>
      <c r="AO592" s="1405"/>
      <c r="AP592" s="1405"/>
      <c r="AQ592" s="1405"/>
      <c r="AR592" s="1405"/>
      <c r="AS592" s="1405"/>
      <c r="AT592" s="1405"/>
      <c r="AU592" s="1405"/>
      <c r="AV592" s="1405"/>
    </row>
    <row r="593" spans="1:48" s="1431" customFormat="1">
      <c r="A593" s="1399"/>
      <c r="B593" s="1429"/>
      <c r="C593" s="1430"/>
      <c r="D593" s="1400"/>
      <c r="E593" s="1401"/>
      <c r="F593" s="1401"/>
      <c r="G593" s="1402"/>
      <c r="H593" s="1403"/>
      <c r="I593" s="1404"/>
      <c r="J593" s="1405"/>
      <c r="K593" s="1405"/>
      <c r="L593" s="1405"/>
      <c r="M593" s="1405"/>
      <c r="N593" s="1406"/>
      <c r="O593" s="1406"/>
      <c r="P593" s="1406"/>
      <c r="Q593" s="1406"/>
      <c r="R593" s="1406"/>
      <c r="S593" s="1406"/>
      <c r="T593" s="1406"/>
      <c r="U593" s="1406"/>
      <c r="V593" s="1406"/>
      <c r="W593" s="1406"/>
      <c r="X593" s="1406"/>
      <c r="Y593" s="1406"/>
      <c r="Z593" s="1406"/>
      <c r="AA593" s="1406"/>
      <c r="AB593" s="1406"/>
      <c r="AC593" s="1406"/>
      <c r="AD593" s="1406"/>
      <c r="AE593" s="1406"/>
      <c r="AF593" s="1406"/>
      <c r="AG593" s="1406"/>
      <c r="AH593" s="1406"/>
      <c r="AI593" s="1406"/>
      <c r="AJ593" s="1406"/>
      <c r="AK593" s="1406"/>
      <c r="AL593" s="1406"/>
      <c r="AM593" s="1406"/>
      <c r="AN593" s="1406"/>
      <c r="AO593" s="1405"/>
      <c r="AP593" s="1405"/>
      <c r="AQ593" s="1405"/>
      <c r="AR593" s="1405"/>
      <c r="AS593" s="1405"/>
      <c r="AT593" s="1405"/>
      <c r="AU593" s="1405"/>
      <c r="AV593" s="1405"/>
    </row>
    <row r="594" spans="1:48" s="1431" customFormat="1">
      <c r="A594" s="1399"/>
      <c r="B594" s="1429"/>
      <c r="C594" s="1430"/>
      <c r="D594" s="1400"/>
      <c r="E594" s="1401"/>
      <c r="F594" s="1401"/>
      <c r="G594" s="1402"/>
      <c r="H594" s="1403"/>
      <c r="I594" s="1404"/>
      <c r="J594" s="1405"/>
      <c r="K594" s="1405"/>
      <c r="L594" s="1405"/>
      <c r="M594" s="1405"/>
      <c r="N594" s="1406"/>
      <c r="O594" s="1406"/>
      <c r="P594" s="1406"/>
      <c r="Q594" s="1406"/>
      <c r="R594" s="1406"/>
      <c r="S594" s="1406"/>
      <c r="T594" s="1406"/>
      <c r="U594" s="1406"/>
      <c r="V594" s="1406"/>
      <c r="W594" s="1406"/>
      <c r="X594" s="1406"/>
      <c r="Y594" s="1406"/>
      <c r="Z594" s="1406"/>
      <c r="AA594" s="1406"/>
      <c r="AB594" s="1406"/>
      <c r="AC594" s="1406"/>
      <c r="AD594" s="1406"/>
      <c r="AE594" s="1406"/>
      <c r="AF594" s="1406"/>
      <c r="AG594" s="1406"/>
      <c r="AH594" s="1406"/>
      <c r="AI594" s="1406"/>
      <c r="AJ594" s="1406"/>
      <c r="AK594" s="1406"/>
      <c r="AL594" s="1406"/>
      <c r="AM594" s="1406"/>
      <c r="AN594" s="1406"/>
      <c r="AO594" s="1405"/>
      <c r="AP594" s="1405"/>
      <c r="AQ594" s="1405"/>
      <c r="AR594" s="1405"/>
      <c r="AS594" s="1405"/>
      <c r="AT594" s="1405"/>
      <c r="AU594" s="1405"/>
      <c r="AV594" s="1405"/>
    </row>
    <row r="595" spans="1:48" s="1431" customFormat="1">
      <c r="A595" s="1399"/>
      <c r="B595" s="1429"/>
      <c r="C595" s="1430"/>
      <c r="D595" s="1400"/>
      <c r="E595" s="1401"/>
      <c r="F595" s="1401"/>
      <c r="G595" s="1402"/>
      <c r="H595" s="1403"/>
      <c r="I595" s="1404"/>
      <c r="J595" s="1405"/>
      <c r="K595" s="1405"/>
      <c r="L595" s="1405"/>
      <c r="M595" s="1405"/>
      <c r="N595" s="1406"/>
      <c r="O595" s="1406"/>
      <c r="P595" s="1406"/>
      <c r="Q595" s="1406"/>
      <c r="R595" s="1406"/>
      <c r="S595" s="1406"/>
      <c r="T595" s="1406"/>
      <c r="U595" s="1406"/>
      <c r="V595" s="1406"/>
      <c r="W595" s="1406"/>
      <c r="X595" s="1406"/>
      <c r="Y595" s="1406"/>
      <c r="Z595" s="1406"/>
      <c r="AA595" s="1406"/>
      <c r="AB595" s="1406"/>
      <c r="AC595" s="1406"/>
      <c r="AD595" s="1406"/>
      <c r="AE595" s="1406"/>
      <c r="AF595" s="1406"/>
      <c r="AG595" s="1406"/>
      <c r="AH595" s="1406"/>
      <c r="AI595" s="1406"/>
      <c r="AJ595" s="1406"/>
      <c r="AK595" s="1406"/>
      <c r="AL595" s="1406"/>
      <c r="AM595" s="1406"/>
      <c r="AN595" s="1406"/>
      <c r="AO595" s="1405"/>
      <c r="AP595" s="1405"/>
      <c r="AQ595" s="1405"/>
      <c r="AR595" s="1405"/>
      <c r="AS595" s="1405"/>
      <c r="AT595" s="1405"/>
      <c r="AU595" s="1405"/>
      <c r="AV595" s="1405"/>
    </row>
    <row r="596" spans="1:48" s="1431" customFormat="1">
      <c r="A596" s="1399"/>
      <c r="B596" s="1429"/>
      <c r="C596" s="1430"/>
      <c r="D596" s="1400"/>
      <c r="E596" s="1401"/>
      <c r="F596" s="1401"/>
      <c r="G596" s="1402"/>
      <c r="H596" s="1403"/>
      <c r="I596" s="1404"/>
      <c r="J596" s="1405"/>
      <c r="K596" s="1405"/>
      <c r="L596" s="1405"/>
      <c r="M596" s="1405"/>
      <c r="N596" s="1406"/>
      <c r="O596" s="1406"/>
      <c r="P596" s="1406"/>
      <c r="Q596" s="1406"/>
      <c r="R596" s="1406"/>
      <c r="S596" s="1406"/>
      <c r="T596" s="1406"/>
      <c r="U596" s="1406"/>
      <c r="V596" s="1406"/>
      <c r="W596" s="1406"/>
      <c r="X596" s="1406"/>
      <c r="Y596" s="1406"/>
      <c r="Z596" s="1406"/>
      <c r="AA596" s="1406"/>
      <c r="AB596" s="1406"/>
      <c r="AC596" s="1406"/>
      <c r="AD596" s="1406"/>
      <c r="AE596" s="1406"/>
      <c r="AF596" s="1406"/>
      <c r="AG596" s="1406"/>
      <c r="AH596" s="1406"/>
      <c r="AI596" s="1406"/>
      <c r="AJ596" s="1406"/>
      <c r="AK596" s="1406"/>
      <c r="AL596" s="1406"/>
      <c r="AM596" s="1406"/>
      <c r="AN596" s="1406"/>
      <c r="AO596" s="1405"/>
      <c r="AP596" s="1405"/>
      <c r="AQ596" s="1405"/>
      <c r="AR596" s="1405"/>
      <c r="AS596" s="1405"/>
      <c r="AT596" s="1405"/>
      <c r="AU596" s="1405"/>
      <c r="AV596" s="1405"/>
    </row>
    <row r="597" spans="1:48" s="1431" customFormat="1">
      <c r="A597" s="1399"/>
      <c r="B597" s="1429"/>
      <c r="C597" s="1430"/>
      <c r="D597" s="1400"/>
      <c r="E597" s="1401"/>
      <c r="F597" s="1401"/>
      <c r="G597" s="1402"/>
      <c r="H597" s="1403"/>
      <c r="I597" s="1404"/>
      <c r="J597" s="1405"/>
      <c r="K597" s="1405"/>
      <c r="L597" s="1405"/>
      <c r="M597" s="1405"/>
      <c r="N597" s="1406"/>
      <c r="O597" s="1406"/>
      <c r="P597" s="1406"/>
      <c r="Q597" s="1406"/>
      <c r="R597" s="1406"/>
      <c r="S597" s="1406"/>
      <c r="T597" s="1406"/>
      <c r="U597" s="1406"/>
      <c r="V597" s="1406"/>
      <c r="W597" s="1406"/>
      <c r="X597" s="1406"/>
      <c r="Y597" s="1406"/>
      <c r="Z597" s="1406"/>
      <c r="AA597" s="1406"/>
      <c r="AB597" s="1406"/>
      <c r="AC597" s="1406"/>
      <c r="AD597" s="1406"/>
      <c r="AE597" s="1406"/>
      <c r="AF597" s="1406"/>
      <c r="AG597" s="1406"/>
      <c r="AH597" s="1406"/>
      <c r="AI597" s="1406"/>
      <c r="AJ597" s="1406"/>
      <c r="AK597" s="1406"/>
      <c r="AL597" s="1406"/>
      <c r="AM597" s="1406"/>
      <c r="AN597" s="1406"/>
      <c r="AO597" s="1405"/>
      <c r="AP597" s="1405"/>
      <c r="AQ597" s="1405"/>
      <c r="AR597" s="1405"/>
      <c r="AS597" s="1405"/>
      <c r="AT597" s="1405"/>
      <c r="AU597" s="1405"/>
      <c r="AV597" s="1405"/>
    </row>
    <row r="598" spans="1:48" s="1431" customFormat="1">
      <c r="A598" s="1399"/>
      <c r="B598" s="1429"/>
      <c r="C598" s="1430"/>
      <c r="D598" s="1400"/>
      <c r="E598" s="1401"/>
      <c r="F598" s="1401"/>
      <c r="G598" s="1402"/>
      <c r="H598" s="1403"/>
      <c r="I598" s="1404"/>
      <c r="J598" s="1405"/>
      <c r="K598" s="1405"/>
      <c r="L598" s="1405"/>
      <c r="M598" s="1405"/>
      <c r="N598" s="1406"/>
      <c r="O598" s="1406"/>
      <c r="P598" s="1406"/>
      <c r="Q598" s="1406"/>
      <c r="R598" s="1406"/>
      <c r="S598" s="1406"/>
      <c r="T598" s="1406"/>
      <c r="U598" s="1406"/>
      <c r="V598" s="1406"/>
      <c r="W598" s="1406"/>
      <c r="X598" s="1406"/>
      <c r="Y598" s="1406"/>
      <c r="Z598" s="1406"/>
      <c r="AA598" s="1406"/>
      <c r="AB598" s="1406"/>
      <c r="AC598" s="1406"/>
      <c r="AD598" s="1406"/>
      <c r="AE598" s="1406"/>
      <c r="AF598" s="1406"/>
      <c r="AG598" s="1406"/>
      <c r="AH598" s="1406"/>
      <c r="AI598" s="1406"/>
      <c r="AJ598" s="1406"/>
      <c r="AK598" s="1406"/>
      <c r="AL598" s="1406"/>
      <c r="AM598" s="1406"/>
      <c r="AN598" s="1406"/>
      <c r="AO598" s="1405"/>
      <c r="AP598" s="1405"/>
      <c r="AQ598" s="1405"/>
      <c r="AR598" s="1405"/>
      <c r="AS598" s="1405"/>
      <c r="AT598" s="1405"/>
      <c r="AU598" s="1405"/>
      <c r="AV598" s="1405"/>
    </row>
    <row r="599" spans="1:48" s="1431" customFormat="1">
      <c r="A599" s="1399"/>
      <c r="B599" s="1429"/>
      <c r="C599" s="1430"/>
      <c r="D599" s="1400"/>
      <c r="E599" s="1401"/>
      <c r="F599" s="1401"/>
      <c r="G599" s="1402"/>
      <c r="H599" s="1403"/>
      <c r="I599" s="1404"/>
      <c r="J599" s="1405"/>
      <c r="K599" s="1405"/>
      <c r="L599" s="1405"/>
      <c r="M599" s="1405"/>
      <c r="N599" s="1406"/>
      <c r="O599" s="1406"/>
      <c r="P599" s="1406"/>
      <c r="Q599" s="1406"/>
      <c r="R599" s="1406"/>
      <c r="S599" s="1406"/>
      <c r="T599" s="1406"/>
      <c r="U599" s="1406"/>
      <c r="V599" s="1406"/>
      <c r="W599" s="1406"/>
      <c r="X599" s="1406"/>
      <c r="Y599" s="1406"/>
      <c r="Z599" s="1406"/>
      <c r="AA599" s="1406"/>
      <c r="AB599" s="1406"/>
      <c r="AC599" s="1406"/>
      <c r="AD599" s="1406"/>
      <c r="AE599" s="1406"/>
      <c r="AF599" s="1406"/>
      <c r="AG599" s="1406"/>
      <c r="AH599" s="1406"/>
      <c r="AI599" s="1406"/>
      <c r="AJ599" s="1406"/>
      <c r="AK599" s="1406"/>
      <c r="AL599" s="1406"/>
      <c r="AM599" s="1406"/>
      <c r="AN599" s="1406"/>
      <c r="AO599" s="1405"/>
      <c r="AP599" s="1405"/>
      <c r="AQ599" s="1405"/>
      <c r="AR599" s="1405"/>
      <c r="AS599" s="1405"/>
      <c r="AT599" s="1405"/>
      <c r="AU599" s="1405"/>
      <c r="AV599" s="1405"/>
    </row>
    <row r="600" spans="1:48" s="1431" customFormat="1">
      <c r="A600" s="1399"/>
      <c r="B600" s="1429"/>
      <c r="C600" s="1430"/>
      <c r="D600" s="1400"/>
      <c r="E600" s="1401"/>
      <c r="F600" s="1401"/>
      <c r="G600" s="1402"/>
      <c r="H600" s="1403"/>
      <c r="I600" s="1404"/>
      <c r="J600" s="1405"/>
      <c r="K600" s="1405"/>
      <c r="L600" s="1405"/>
      <c r="M600" s="1405"/>
      <c r="N600" s="1406"/>
      <c r="O600" s="1406"/>
      <c r="P600" s="1406"/>
      <c r="Q600" s="1406"/>
      <c r="R600" s="1406"/>
      <c r="S600" s="1406"/>
      <c r="T600" s="1406"/>
      <c r="U600" s="1406"/>
      <c r="V600" s="1406"/>
      <c r="W600" s="1406"/>
      <c r="X600" s="1406"/>
      <c r="Y600" s="1406"/>
      <c r="Z600" s="1406"/>
      <c r="AA600" s="1406"/>
      <c r="AB600" s="1406"/>
      <c r="AC600" s="1406"/>
      <c r="AD600" s="1406"/>
      <c r="AE600" s="1406"/>
      <c r="AF600" s="1406"/>
      <c r="AG600" s="1406"/>
      <c r="AH600" s="1406"/>
      <c r="AI600" s="1406"/>
      <c r="AJ600" s="1406"/>
      <c r="AK600" s="1406"/>
      <c r="AL600" s="1406"/>
      <c r="AM600" s="1406"/>
      <c r="AN600" s="1406"/>
      <c r="AO600" s="1405"/>
      <c r="AP600" s="1405"/>
      <c r="AQ600" s="1405"/>
      <c r="AR600" s="1405"/>
      <c r="AS600" s="1405"/>
      <c r="AT600" s="1405"/>
      <c r="AU600" s="1405"/>
      <c r="AV600" s="1405"/>
    </row>
    <row r="601" spans="1:48" s="1431" customFormat="1">
      <c r="A601" s="1399"/>
      <c r="B601" s="1429"/>
      <c r="C601" s="1430"/>
      <c r="D601" s="1400"/>
      <c r="E601" s="1401"/>
      <c r="F601" s="1401"/>
      <c r="G601" s="1402"/>
      <c r="H601" s="1403"/>
      <c r="I601" s="1404"/>
      <c r="J601" s="1405"/>
      <c r="K601" s="1405"/>
      <c r="L601" s="1405"/>
      <c r="M601" s="1405"/>
      <c r="N601" s="1406"/>
      <c r="O601" s="1406"/>
      <c r="P601" s="1406"/>
      <c r="Q601" s="1406"/>
      <c r="R601" s="1406"/>
      <c r="S601" s="1406"/>
      <c r="T601" s="1406"/>
      <c r="U601" s="1406"/>
      <c r="V601" s="1406"/>
      <c r="W601" s="1406"/>
      <c r="X601" s="1406"/>
      <c r="Y601" s="1406"/>
      <c r="Z601" s="1406"/>
      <c r="AA601" s="1406"/>
      <c r="AB601" s="1406"/>
      <c r="AC601" s="1406"/>
      <c r="AD601" s="1406"/>
      <c r="AE601" s="1406"/>
      <c r="AF601" s="1406"/>
      <c r="AG601" s="1406"/>
      <c r="AH601" s="1406"/>
      <c r="AI601" s="1406"/>
      <c r="AJ601" s="1406"/>
      <c r="AK601" s="1406"/>
      <c r="AL601" s="1406"/>
      <c r="AM601" s="1406"/>
      <c r="AN601" s="1406"/>
      <c r="AO601" s="1405"/>
      <c r="AP601" s="1405"/>
      <c r="AQ601" s="1405"/>
      <c r="AR601" s="1405"/>
      <c r="AS601" s="1405"/>
      <c r="AT601" s="1405"/>
      <c r="AU601" s="1405"/>
      <c r="AV601" s="1405"/>
    </row>
    <row r="602" spans="1:48" s="1431" customFormat="1">
      <c r="A602" s="1399"/>
      <c r="B602" s="1429"/>
      <c r="C602" s="1430"/>
      <c r="D602" s="1400"/>
      <c r="E602" s="1401"/>
      <c r="F602" s="1401"/>
      <c r="G602" s="1402"/>
      <c r="H602" s="1403"/>
      <c r="I602" s="1404"/>
      <c r="J602" s="1405"/>
      <c r="K602" s="1405"/>
      <c r="L602" s="1405"/>
      <c r="M602" s="1405"/>
      <c r="N602" s="1406"/>
      <c r="O602" s="1406"/>
      <c r="P602" s="1406"/>
      <c r="Q602" s="1406"/>
      <c r="R602" s="1406"/>
      <c r="S602" s="1406"/>
      <c r="T602" s="1406"/>
      <c r="U602" s="1406"/>
      <c r="V602" s="1406"/>
      <c r="W602" s="1406"/>
      <c r="X602" s="1406"/>
      <c r="Y602" s="1406"/>
      <c r="Z602" s="1406"/>
      <c r="AA602" s="1406"/>
      <c r="AB602" s="1406"/>
      <c r="AC602" s="1406"/>
      <c r="AD602" s="1406"/>
      <c r="AE602" s="1406"/>
      <c r="AF602" s="1406"/>
      <c r="AG602" s="1406"/>
      <c r="AH602" s="1406"/>
      <c r="AI602" s="1406"/>
      <c r="AJ602" s="1406"/>
      <c r="AK602" s="1406"/>
      <c r="AL602" s="1406"/>
      <c r="AM602" s="1406"/>
      <c r="AN602" s="1406"/>
      <c r="AO602" s="1405"/>
      <c r="AP602" s="1405"/>
      <c r="AQ602" s="1405"/>
      <c r="AR602" s="1405"/>
      <c r="AS602" s="1405"/>
      <c r="AT602" s="1405"/>
      <c r="AU602" s="1405"/>
      <c r="AV602" s="1405"/>
    </row>
    <row r="603" spans="1:48" s="1431" customFormat="1">
      <c r="A603" s="1399"/>
      <c r="B603" s="1429"/>
      <c r="C603" s="1430"/>
      <c r="D603" s="1400"/>
      <c r="E603" s="1401"/>
      <c r="F603" s="1401"/>
      <c r="G603" s="1402"/>
      <c r="H603" s="1403"/>
      <c r="I603" s="1404"/>
      <c r="J603" s="1405"/>
      <c r="K603" s="1405"/>
      <c r="L603" s="1405"/>
      <c r="M603" s="1405"/>
      <c r="N603" s="1406"/>
      <c r="O603" s="1406"/>
      <c r="P603" s="1406"/>
      <c r="Q603" s="1406"/>
      <c r="R603" s="1406"/>
      <c r="S603" s="1406"/>
      <c r="T603" s="1406"/>
      <c r="U603" s="1406"/>
      <c r="V603" s="1406"/>
      <c r="W603" s="1406"/>
      <c r="X603" s="1406"/>
      <c r="Y603" s="1406"/>
      <c r="Z603" s="1406"/>
      <c r="AA603" s="1406"/>
      <c r="AB603" s="1406"/>
      <c r="AC603" s="1406"/>
      <c r="AD603" s="1406"/>
      <c r="AE603" s="1406"/>
      <c r="AF603" s="1406"/>
      <c r="AG603" s="1406"/>
      <c r="AH603" s="1406"/>
      <c r="AI603" s="1406"/>
      <c r="AJ603" s="1406"/>
      <c r="AK603" s="1406"/>
      <c r="AL603" s="1406"/>
      <c r="AM603" s="1406"/>
      <c r="AN603" s="1406"/>
      <c r="AO603" s="1405"/>
      <c r="AP603" s="1405"/>
      <c r="AQ603" s="1405"/>
      <c r="AR603" s="1405"/>
      <c r="AS603" s="1405"/>
      <c r="AT603" s="1405"/>
      <c r="AU603" s="1405"/>
      <c r="AV603" s="1405"/>
    </row>
    <row r="604" spans="1:48" s="1431" customFormat="1">
      <c r="A604" s="1399"/>
      <c r="B604" s="1429"/>
      <c r="C604" s="1430"/>
      <c r="D604" s="1400"/>
      <c r="E604" s="1401"/>
      <c r="F604" s="1401"/>
      <c r="G604" s="1402"/>
      <c r="H604" s="1403"/>
      <c r="I604" s="1404"/>
      <c r="J604" s="1405"/>
      <c r="K604" s="1405"/>
      <c r="L604" s="1405"/>
      <c r="M604" s="1405"/>
      <c r="N604" s="1406"/>
      <c r="O604" s="1406"/>
      <c r="P604" s="1406"/>
      <c r="Q604" s="1406"/>
      <c r="R604" s="1406"/>
      <c r="S604" s="1406"/>
      <c r="T604" s="1406"/>
      <c r="U604" s="1406"/>
      <c r="V604" s="1406"/>
      <c r="W604" s="1406"/>
      <c r="X604" s="1406"/>
      <c r="Y604" s="1406"/>
      <c r="Z604" s="1406"/>
      <c r="AA604" s="1406"/>
      <c r="AB604" s="1406"/>
      <c r="AC604" s="1406"/>
      <c r="AD604" s="1406"/>
      <c r="AE604" s="1406"/>
      <c r="AF604" s="1406"/>
      <c r="AG604" s="1406"/>
      <c r="AH604" s="1406"/>
      <c r="AI604" s="1406"/>
      <c r="AJ604" s="1406"/>
      <c r="AK604" s="1406"/>
      <c r="AL604" s="1406"/>
      <c r="AM604" s="1406"/>
      <c r="AN604" s="1406"/>
      <c r="AO604" s="1405"/>
      <c r="AP604" s="1405"/>
      <c r="AQ604" s="1405"/>
      <c r="AR604" s="1405"/>
      <c r="AS604" s="1405"/>
      <c r="AT604" s="1405"/>
      <c r="AU604" s="1405"/>
      <c r="AV604" s="1405"/>
    </row>
    <row r="605" spans="1:48" s="1431" customFormat="1">
      <c r="A605" s="1399"/>
      <c r="B605" s="1429"/>
      <c r="C605" s="1430"/>
      <c r="D605" s="1400"/>
      <c r="E605" s="1401"/>
      <c r="F605" s="1401"/>
      <c r="G605" s="1402"/>
      <c r="H605" s="1403"/>
      <c r="I605" s="1404"/>
      <c r="J605" s="1405"/>
      <c r="K605" s="1405"/>
      <c r="L605" s="1405"/>
      <c r="M605" s="1405"/>
      <c r="N605" s="1406"/>
      <c r="O605" s="1406"/>
      <c r="P605" s="1406"/>
      <c r="Q605" s="1406"/>
      <c r="R605" s="1406"/>
      <c r="S605" s="1406"/>
      <c r="T605" s="1406"/>
      <c r="U605" s="1406"/>
      <c r="V605" s="1406"/>
      <c r="W605" s="1406"/>
      <c r="X605" s="1406"/>
      <c r="Y605" s="1406"/>
      <c r="Z605" s="1406"/>
      <c r="AA605" s="1406"/>
      <c r="AB605" s="1406"/>
      <c r="AC605" s="1406"/>
      <c r="AD605" s="1406"/>
      <c r="AE605" s="1406"/>
      <c r="AF605" s="1406"/>
      <c r="AG605" s="1406"/>
      <c r="AH605" s="1406"/>
      <c r="AI605" s="1406"/>
      <c r="AJ605" s="1406"/>
      <c r="AK605" s="1406"/>
      <c r="AL605" s="1406"/>
      <c r="AM605" s="1406"/>
      <c r="AN605" s="1406"/>
      <c r="AO605" s="1405"/>
      <c r="AP605" s="1405"/>
      <c r="AQ605" s="1405"/>
      <c r="AR605" s="1405"/>
      <c r="AS605" s="1405"/>
      <c r="AT605" s="1405"/>
      <c r="AU605" s="1405"/>
      <c r="AV605" s="1405"/>
    </row>
    <row r="606" spans="1:48" s="1431" customFormat="1">
      <c r="A606" s="1399"/>
      <c r="B606" s="1429"/>
      <c r="C606" s="1430"/>
      <c r="D606" s="1400"/>
      <c r="E606" s="1401"/>
      <c r="F606" s="1401"/>
      <c r="G606" s="1402"/>
      <c r="H606" s="1403"/>
      <c r="I606" s="1404"/>
      <c r="J606" s="1405"/>
      <c r="K606" s="1405"/>
      <c r="L606" s="1405"/>
      <c r="M606" s="1405"/>
      <c r="N606" s="1406"/>
      <c r="O606" s="1406"/>
      <c r="P606" s="1406"/>
      <c r="Q606" s="1406"/>
      <c r="R606" s="1406"/>
      <c r="S606" s="1406"/>
      <c r="T606" s="1406"/>
      <c r="U606" s="1406"/>
      <c r="V606" s="1406"/>
      <c r="W606" s="1406"/>
      <c r="X606" s="1406"/>
      <c r="Y606" s="1406"/>
      <c r="Z606" s="1406"/>
      <c r="AA606" s="1406"/>
      <c r="AB606" s="1406"/>
      <c r="AC606" s="1406"/>
      <c r="AD606" s="1406"/>
      <c r="AE606" s="1406"/>
      <c r="AF606" s="1406"/>
      <c r="AG606" s="1406"/>
      <c r="AH606" s="1406"/>
      <c r="AI606" s="1406"/>
      <c r="AJ606" s="1406"/>
      <c r="AK606" s="1406"/>
      <c r="AL606" s="1406"/>
      <c r="AM606" s="1406"/>
      <c r="AN606" s="1406"/>
      <c r="AO606" s="1405"/>
      <c r="AP606" s="1405"/>
      <c r="AQ606" s="1405"/>
      <c r="AR606" s="1405"/>
      <c r="AS606" s="1405"/>
      <c r="AT606" s="1405"/>
      <c r="AU606" s="1405"/>
      <c r="AV606" s="1405"/>
    </row>
    <row r="607" spans="1:48" s="1431" customFormat="1">
      <c r="A607" s="1399"/>
      <c r="B607" s="1429"/>
      <c r="C607" s="1430"/>
      <c r="D607" s="1400"/>
      <c r="E607" s="1401"/>
      <c r="F607" s="1401"/>
      <c r="G607" s="1402"/>
      <c r="H607" s="1403"/>
      <c r="I607" s="1404"/>
      <c r="J607" s="1405"/>
      <c r="K607" s="1405"/>
      <c r="L607" s="1405"/>
      <c r="M607" s="1405"/>
      <c r="N607" s="1406"/>
      <c r="O607" s="1406"/>
      <c r="P607" s="1406"/>
      <c r="Q607" s="1406"/>
      <c r="R607" s="1406"/>
      <c r="S607" s="1406"/>
      <c r="T607" s="1406"/>
      <c r="U607" s="1406"/>
      <c r="V607" s="1406"/>
      <c r="W607" s="1406"/>
      <c r="X607" s="1406"/>
      <c r="Y607" s="1406"/>
      <c r="Z607" s="1406"/>
      <c r="AA607" s="1406"/>
      <c r="AB607" s="1406"/>
      <c r="AC607" s="1406"/>
      <c r="AD607" s="1406"/>
      <c r="AE607" s="1406"/>
      <c r="AF607" s="1406"/>
      <c r="AG607" s="1406"/>
      <c r="AH607" s="1406"/>
      <c r="AI607" s="1406"/>
      <c r="AJ607" s="1406"/>
      <c r="AK607" s="1406"/>
      <c r="AL607" s="1406"/>
      <c r="AM607" s="1406"/>
      <c r="AN607" s="1406"/>
      <c r="AO607" s="1405"/>
      <c r="AP607" s="1405"/>
      <c r="AQ607" s="1405"/>
      <c r="AR607" s="1405"/>
      <c r="AS607" s="1405"/>
      <c r="AT607" s="1405"/>
      <c r="AU607" s="1405"/>
      <c r="AV607" s="1405"/>
    </row>
    <row r="608" spans="1:48" s="1431" customFormat="1">
      <c r="A608" s="1399"/>
      <c r="B608" s="1429"/>
      <c r="C608" s="1430"/>
      <c r="D608" s="1400"/>
      <c r="E608" s="1401"/>
      <c r="F608" s="1401"/>
      <c r="G608" s="1402"/>
      <c r="H608" s="1403"/>
      <c r="I608" s="1404"/>
      <c r="J608" s="1405"/>
      <c r="K608" s="1405"/>
      <c r="L608" s="1405"/>
      <c r="M608" s="1405"/>
      <c r="N608" s="1406"/>
      <c r="O608" s="1406"/>
      <c r="P608" s="1406"/>
      <c r="Q608" s="1406"/>
      <c r="R608" s="1406"/>
      <c r="S608" s="1406"/>
      <c r="T608" s="1406"/>
      <c r="U608" s="1406"/>
      <c r="V608" s="1406"/>
      <c r="W608" s="1406"/>
      <c r="X608" s="1406"/>
      <c r="Y608" s="1406"/>
      <c r="Z608" s="1406"/>
      <c r="AA608" s="1406"/>
      <c r="AB608" s="1406"/>
      <c r="AC608" s="1406"/>
      <c r="AD608" s="1406"/>
      <c r="AE608" s="1406"/>
      <c r="AF608" s="1406"/>
      <c r="AG608" s="1406"/>
      <c r="AH608" s="1406"/>
      <c r="AI608" s="1406"/>
      <c r="AJ608" s="1406"/>
      <c r="AK608" s="1406"/>
      <c r="AL608" s="1406"/>
      <c r="AM608" s="1406"/>
      <c r="AN608" s="1406"/>
      <c r="AO608" s="1405"/>
      <c r="AP608" s="1405"/>
      <c r="AQ608" s="1405"/>
      <c r="AR608" s="1405"/>
      <c r="AS608" s="1405"/>
      <c r="AT608" s="1405"/>
      <c r="AU608" s="1405"/>
      <c r="AV608" s="1405"/>
    </row>
    <row r="609" spans="1:48" s="1431" customFormat="1">
      <c r="A609" s="1399"/>
      <c r="B609" s="1429"/>
      <c r="C609" s="1430"/>
      <c r="D609" s="1400"/>
      <c r="E609" s="1401"/>
      <c r="F609" s="1401"/>
      <c r="G609" s="1402"/>
      <c r="H609" s="1403"/>
      <c r="I609" s="1404"/>
      <c r="J609" s="1405"/>
      <c r="K609" s="1405"/>
      <c r="L609" s="1405"/>
      <c r="M609" s="1405"/>
      <c r="N609" s="1406"/>
      <c r="O609" s="1406"/>
      <c r="P609" s="1406"/>
      <c r="Q609" s="1406"/>
      <c r="R609" s="1406"/>
      <c r="S609" s="1406"/>
      <c r="T609" s="1406"/>
      <c r="U609" s="1406"/>
      <c r="V609" s="1406"/>
      <c r="W609" s="1406"/>
      <c r="X609" s="1406"/>
      <c r="Y609" s="1406"/>
      <c r="Z609" s="1406"/>
      <c r="AA609" s="1406"/>
      <c r="AB609" s="1406"/>
      <c r="AC609" s="1406"/>
      <c r="AD609" s="1406"/>
      <c r="AE609" s="1406"/>
      <c r="AF609" s="1406"/>
      <c r="AG609" s="1406"/>
      <c r="AH609" s="1406"/>
      <c r="AI609" s="1406"/>
      <c r="AJ609" s="1406"/>
      <c r="AK609" s="1406"/>
      <c r="AL609" s="1406"/>
      <c r="AM609" s="1406"/>
      <c r="AN609" s="1406"/>
      <c r="AO609" s="1405"/>
      <c r="AP609" s="1405"/>
      <c r="AQ609" s="1405"/>
      <c r="AR609" s="1405"/>
      <c r="AS609" s="1405"/>
      <c r="AT609" s="1405"/>
      <c r="AU609" s="1405"/>
      <c r="AV609" s="1405"/>
    </row>
    <row r="610" spans="1:48" s="1431" customFormat="1">
      <c r="A610" s="1399"/>
      <c r="B610" s="1429"/>
      <c r="C610" s="1430"/>
      <c r="D610" s="1400"/>
      <c r="E610" s="1401"/>
      <c r="F610" s="1401"/>
      <c r="G610" s="1402"/>
      <c r="H610" s="1403"/>
      <c r="I610" s="1404"/>
      <c r="J610" s="1405"/>
      <c r="K610" s="1405"/>
      <c r="L610" s="1405"/>
      <c r="M610" s="1405"/>
      <c r="N610" s="1406"/>
      <c r="O610" s="1406"/>
      <c r="P610" s="1406"/>
      <c r="Q610" s="1406"/>
      <c r="R610" s="1406"/>
      <c r="S610" s="1406"/>
      <c r="T610" s="1406"/>
      <c r="U610" s="1406"/>
      <c r="V610" s="1406"/>
      <c r="W610" s="1406"/>
      <c r="X610" s="1406"/>
      <c r="Y610" s="1406"/>
      <c r="Z610" s="1406"/>
      <c r="AA610" s="1406"/>
      <c r="AB610" s="1406"/>
      <c r="AC610" s="1406"/>
      <c r="AD610" s="1406"/>
      <c r="AE610" s="1406"/>
      <c r="AF610" s="1406"/>
      <c r="AG610" s="1406"/>
      <c r="AH610" s="1406"/>
      <c r="AI610" s="1406"/>
      <c r="AJ610" s="1406"/>
      <c r="AK610" s="1406"/>
      <c r="AL610" s="1406"/>
      <c r="AM610" s="1406"/>
      <c r="AN610" s="1406"/>
      <c r="AO610" s="1405"/>
      <c r="AP610" s="1405"/>
      <c r="AQ610" s="1405"/>
      <c r="AR610" s="1405"/>
      <c r="AS610" s="1405"/>
      <c r="AT610" s="1405"/>
      <c r="AU610" s="1405"/>
      <c r="AV610" s="1405"/>
    </row>
    <row r="611" spans="1:48" s="1431" customFormat="1">
      <c r="A611" s="1399"/>
      <c r="B611" s="1429"/>
      <c r="C611" s="1430"/>
      <c r="D611" s="1400"/>
      <c r="E611" s="1401"/>
      <c r="F611" s="1401"/>
      <c r="G611" s="1402"/>
      <c r="H611" s="1403"/>
      <c r="I611" s="1404"/>
      <c r="J611" s="1405"/>
      <c r="K611" s="1405"/>
      <c r="L611" s="1405"/>
      <c r="M611" s="1405"/>
      <c r="N611" s="1406"/>
      <c r="O611" s="1406"/>
      <c r="P611" s="1406"/>
      <c r="Q611" s="1406"/>
      <c r="R611" s="1406"/>
      <c r="S611" s="1406"/>
      <c r="T611" s="1406"/>
      <c r="U611" s="1406"/>
      <c r="V611" s="1406"/>
      <c r="W611" s="1406"/>
      <c r="X611" s="1406"/>
      <c r="Y611" s="1406"/>
      <c r="Z611" s="1406"/>
      <c r="AA611" s="1406"/>
      <c r="AB611" s="1406"/>
      <c r="AC611" s="1406"/>
      <c r="AD611" s="1406"/>
      <c r="AE611" s="1406"/>
      <c r="AF611" s="1406"/>
      <c r="AG611" s="1406"/>
      <c r="AH611" s="1406"/>
      <c r="AI611" s="1406"/>
      <c r="AJ611" s="1406"/>
      <c r="AK611" s="1406"/>
      <c r="AL611" s="1406"/>
      <c r="AM611" s="1406"/>
      <c r="AN611" s="1406"/>
      <c r="AO611" s="1405"/>
      <c r="AP611" s="1405"/>
      <c r="AQ611" s="1405"/>
      <c r="AR611" s="1405"/>
      <c r="AS611" s="1405"/>
      <c r="AT611" s="1405"/>
      <c r="AU611" s="1405"/>
      <c r="AV611" s="1405"/>
    </row>
    <row r="612" spans="1:48" s="1431" customFormat="1">
      <c r="A612" s="1399"/>
      <c r="B612" s="1429"/>
      <c r="C612" s="1430"/>
      <c r="D612" s="1400"/>
      <c r="E612" s="1401"/>
      <c r="F612" s="1401"/>
      <c r="G612" s="1402"/>
      <c r="H612" s="1403"/>
      <c r="I612" s="1404"/>
      <c r="J612" s="1405"/>
      <c r="K612" s="1405"/>
      <c r="L612" s="1405"/>
      <c r="M612" s="1405"/>
      <c r="N612" s="1406"/>
      <c r="O612" s="1406"/>
      <c r="P612" s="1406"/>
      <c r="Q612" s="1406"/>
      <c r="R612" s="1406"/>
      <c r="S612" s="1406"/>
      <c r="T612" s="1406"/>
      <c r="U612" s="1406"/>
      <c r="V612" s="1406"/>
      <c r="W612" s="1406"/>
      <c r="X612" s="1406"/>
      <c r="Y612" s="1406"/>
      <c r="Z612" s="1406"/>
      <c r="AA612" s="1406"/>
      <c r="AB612" s="1406"/>
      <c r="AC612" s="1406"/>
      <c r="AD612" s="1406"/>
      <c r="AE612" s="1406"/>
      <c r="AF612" s="1406"/>
      <c r="AG612" s="1406"/>
      <c r="AH612" s="1406"/>
      <c r="AI612" s="1406"/>
      <c r="AJ612" s="1406"/>
      <c r="AK612" s="1406"/>
      <c r="AL612" s="1406"/>
      <c r="AM612" s="1406"/>
      <c r="AN612" s="1406"/>
      <c r="AO612" s="1405"/>
      <c r="AP612" s="1405"/>
      <c r="AQ612" s="1405"/>
      <c r="AR612" s="1405"/>
      <c r="AS612" s="1405"/>
      <c r="AT612" s="1405"/>
      <c r="AU612" s="1405"/>
      <c r="AV612" s="1405"/>
    </row>
    <row r="613" spans="1:48" s="1431" customFormat="1">
      <c r="A613" s="1399"/>
      <c r="B613" s="1429"/>
      <c r="C613" s="1430"/>
      <c r="D613" s="1400"/>
      <c r="E613" s="1401"/>
      <c r="F613" s="1401"/>
      <c r="G613" s="1402"/>
      <c r="H613" s="1403"/>
      <c r="I613" s="1404"/>
      <c r="J613" s="1405"/>
      <c r="K613" s="1405"/>
      <c r="L613" s="1405"/>
      <c r="M613" s="1405"/>
      <c r="N613" s="1406"/>
      <c r="O613" s="1406"/>
      <c r="P613" s="1406"/>
      <c r="Q613" s="1406"/>
      <c r="R613" s="1406"/>
      <c r="S613" s="1406"/>
      <c r="T613" s="1406"/>
      <c r="U613" s="1406"/>
      <c r="V613" s="1406"/>
      <c r="W613" s="1406"/>
      <c r="X613" s="1406"/>
      <c r="Y613" s="1406"/>
      <c r="Z613" s="1406"/>
      <c r="AA613" s="1406"/>
      <c r="AB613" s="1406"/>
      <c r="AC613" s="1406"/>
      <c r="AD613" s="1406"/>
      <c r="AE613" s="1406"/>
      <c r="AF613" s="1406"/>
      <c r="AG613" s="1406"/>
      <c r="AH613" s="1406"/>
      <c r="AI613" s="1406"/>
      <c r="AJ613" s="1406"/>
      <c r="AK613" s="1406"/>
      <c r="AL613" s="1406"/>
      <c r="AM613" s="1406"/>
      <c r="AN613" s="1406"/>
      <c r="AO613" s="1405"/>
      <c r="AP613" s="1405"/>
      <c r="AQ613" s="1405"/>
      <c r="AR613" s="1405"/>
      <c r="AS613" s="1405"/>
      <c r="AT613" s="1405"/>
      <c r="AU613" s="1405"/>
      <c r="AV613" s="1405"/>
    </row>
    <row r="614" spans="1:48" s="1431" customFormat="1">
      <c r="A614" s="1399"/>
      <c r="B614" s="1429"/>
      <c r="C614" s="1430"/>
      <c r="D614" s="1400"/>
      <c r="E614" s="1401"/>
      <c r="F614" s="1401"/>
      <c r="G614" s="1402"/>
      <c r="H614" s="1403"/>
      <c r="I614" s="1404"/>
      <c r="J614" s="1405"/>
      <c r="K614" s="1405"/>
      <c r="L614" s="1405"/>
      <c r="M614" s="1405"/>
      <c r="N614" s="1406"/>
      <c r="O614" s="1406"/>
      <c r="P614" s="1406"/>
      <c r="Q614" s="1406"/>
      <c r="R614" s="1406"/>
      <c r="S614" s="1406"/>
      <c r="T614" s="1406"/>
      <c r="U614" s="1406"/>
      <c r="V614" s="1406"/>
      <c r="W614" s="1406"/>
      <c r="X614" s="1406"/>
      <c r="Y614" s="1406"/>
      <c r="Z614" s="1406"/>
      <c r="AA614" s="1406"/>
      <c r="AB614" s="1406"/>
      <c r="AC614" s="1406"/>
      <c r="AD614" s="1406"/>
      <c r="AE614" s="1406"/>
      <c r="AF614" s="1406"/>
      <c r="AG614" s="1406"/>
      <c r="AH614" s="1406"/>
      <c r="AI614" s="1406"/>
      <c r="AJ614" s="1406"/>
      <c r="AK614" s="1406"/>
      <c r="AL614" s="1406"/>
      <c r="AM614" s="1406"/>
      <c r="AN614" s="1406"/>
      <c r="AO614" s="1405"/>
      <c r="AP614" s="1405"/>
      <c r="AQ614" s="1405"/>
      <c r="AR614" s="1405"/>
      <c r="AS614" s="1405"/>
      <c r="AT614" s="1405"/>
      <c r="AU614" s="1405"/>
      <c r="AV614" s="1405"/>
    </row>
    <row r="615" spans="1:48" s="1431" customFormat="1">
      <c r="A615" s="1399"/>
      <c r="B615" s="1429"/>
      <c r="C615" s="1430"/>
      <c r="D615" s="1400"/>
      <c r="E615" s="1401"/>
      <c r="F615" s="1401"/>
      <c r="G615" s="1402"/>
      <c r="H615" s="1403"/>
      <c r="I615" s="1404"/>
      <c r="J615" s="1405"/>
      <c r="K615" s="1405"/>
      <c r="L615" s="1405"/>
      <c r="M615" s="1405"/>
      <c r="N615" s="1406"/>
      <c r="O615" s="1406"/>
      <c r="P615" s="1406"/>
      <c r="Q615" s="1406"/>
      <c r="R615" s="1406"/>
      <c r="S615" s="1406"/>
      <c r="T615" s="1406"/>
      <c r="U615" s="1406"/>
      <c r="V615" s="1406"/>
      <c r="W615" s="1406"/>
      <c r="X615" s="1406"/>
      <c r="Y615" s="1406"/>
      <c r="Z615" s="1406"/>
      <c r="AA615" s="1406"/>
      <c r="AB615" s="1406"/>
      <c r="AC615" s="1406"/>
      <c r="AD615" s="1406"/>
      <c r="AE615" s="1406"/>
      <c r="AF615" s="1406"/>
      <c r="AG615" s="1406"/>
      <c r="AH615" s="1406"/>
      <c r="AI615" s="1406"/>
      <c r="AJ615" s="1406"/>
      <c r="AK615" s="1406"/>
      <c r="AL615" s="1406"/>
      <c r="AM615" s="1406"/>
      <c r="AN615" s="1406"/>
      <c r="AO615" s="1405"/>
      <c r="AP615" s="1405"/>
      <c r="AQ615" s="1405"/>
      <c r="AR615" s="1405"/>
      <c r="AS615" s="1405"/>
      <c r="AT615" s="1405"/>
      <c r="AU615" s="1405"/>
      <c r="AV615" s="1405"/>
    </row>
    <row r="616" spans="1:48" s="1431" customFormat="1">
      <c r="A616" s="1399"/>
      <c r="B616" s="1429"/>
      <c r="C616" s="1430"/>
      <c r="D616" s="1400"/>
      <c r="E616" s="1401"/>
      <c r="F616" s="1401"/>
      <c r="G616" s="1402"/>
      <c r="H616" s="1403"/>
      <c r="I616" s="1404"/>
      <c r="J616" s="1405"/>
      <c r="K616" s="1405"/>
      <c r="L616" s="1405"/>
      <c r="M616" s="1405"/>
      <c r="N616" s="1406"/>
      <c r="O616" s="1406"/>
      <c r="P616" s="1406"/>
      <c r="Q616" s="1406"/>
      <c r="R616" s="1406"/>
      <c r="S616" s="1406"/>
      <c r="T616" s="1406"/>
      <c r="U616" s="1406"/>
      <c r="V616" s="1406"/>
      <c r="W616" s="1406"/>
      <c r="X616" s="1406"/>
      <c r="Y616" s="1406"/>
      <c r="Z616" s="1406"/>
      <c r="AA616" s="1406"/>
      <c r="AB616" s="1406"/>
      <c r="AC616" s="1406"/>
      <c r="AD616" s="1406"/>
      <c r="AE616" s="1406"/>
      <c r="AF616" s="1406"/>
      <c r="AG616" s="1406"/>
      <c r="AH616" s="1406"/>
      <c r="AI616" s="1406"/>
      <c r="AJ616" s="1406"/>
      <c r="AK616" s="1406"/>
      <c r="AL616" s="1406"/>
      <c r="AM616" s="1406"/>
      <c r="AN616" s="1406"/>
      <c r="AO616" s="1405"/>
      <c r="AP616" s="1405"/>
      <c r="AQ616" s="1405"/>
      <c r="AR616" s="1405"/>
      <c r="AS616" s="1405"/>
      <c r="AT616" s="1405"/>
      <c r="AU616" s="1405"/>
      <c r="AV616" s="1405"/>
    </row>
    <row r="617" spans="1:48" s="1431" customFormat="1">
      <c r="A617" s="1399"/>
      <c r="B617" s="1429"/>
      <c r="C617" s="1430"/>
      <c r="D617" s="1400"/>
      <c r="E617" s="1401"/>
      <c r="F617" s="1401"/>
      <c r="G617" s="1402"/>
      <c r="H617" s="1403"/>
      <c r="I617" s="1404"/>
      <c r="J617" s="1405"/>
      <c r="K617" s="1405"/>
      <c r="L617" s="1405"/>
      <c r="M617" s="1405"/>
      <c r="N617" s="1406"/>
      <c r="O617" s="1406"/>
      <c r="P617" s="1406"/>
      <c r="Q617" s="1406"/>
      <c r="R617" s="1406"/>
      <c r="S617" s="1406"/>
      <c r="T617" s="1406"/>
      <c r="U617" s="1406"/>
      <c r="V617" s="1406"/>
      <c r="W617" s="1406"/>
      <c r="X617" s="1406"/>
      <c r="Y617" s="1406"/>
      <c r="Z617" s="1406"/>
      <c r="AA617" s="1406"/>
      <c r="AB617" s="1406"/>
      <c r="AC617" s="1406"/>
      <c r="AD617" s="1406"/>
      <c r="AE617" s="1406"/>
      <c r="AF617" s="1406"/>
      <c r="AG617" s="1406"/>
      <c r="AH617" s="1406"/>
      <c r="AI617" s="1406"/>
      <c r="AJ617" s="1406"/>
      <c r="AK617" s="1406"/>
      <c r="AL617" s="1406"/>
      <c r="AM617" s="1406"/>
      <c r="AN617" s="1406"/>
      <c r="AO617" s="1405"/>
      <c r="AP617" s="1405"/>
      <c r="AQ617" s="1405"/>
      <c r="AR617" s="1405"/>
      <c r="AS617" s="1405"/>
      <c r="AT617" s="1405"/>
      <c r="AU617" s="1405"/>
      <c r="AV617" s="1405"/>
    </row>
    <row r="618" spans="1:48" s="1431" customFormat="1">
      <c r="A618" s="1399"/>
      <c r="B618" s="1429"/>
      <c r="C618" s="1430"/>
      <c r="D618" s="1400"/>
      <c r="E618" s="1401"/>
      <c r="F618" s="1401"/>
      <c r="G618" s="1402"/>
      <c r="H618" s="1403"/>
      <c r="I618" s="1404"/>
      <c r="J618" s="1405"/>
      <c r="K618" s="1405"/>
      <c r="L618" s="1405"/>
      <c r="M618" s="1405"/>
      <c r="N618" s="1406"/>
      <c r="O618" s="1406"/>
      <c r="P618" s="1406"/>
      <c r="Q618" s="1406"/>
      <c r="R618" s="1406"/>
      <c r="S618" s="1406"/>
      <c r="T618" s="1406"/>
      <c r="U618" s="1406"/>
      <c r="V618" s="1406"/>
      <c r="W618" s="1406"/>
      <c r="X618" s="1406"/>
      <c r="Y618" s="1406"/>
      <c r="Z618" s="1406"/>
      <c r="AA618" s="1406"/>
      <c r="AB618" s="1406"/>
      <c r="AC618" s="1406"/>
      <c r="AD618" s="1406"/>
      <c r="AE618" s="1406"/>
      <c r="AF618" s="1406"/>
      <c r="AG618" s="1406"/>
      <c r="AH618" s="1406"/>
      <c r="AI618" s="1406"/>
      <c r="AJ618" s="1406"/>
      <c r="AK618" s="1406"/>
      <c r="AL618" s="1406"/>
      <c r="AM618" s="1406"/>
      <c r="AN618" s="1406"/>
      <c r="AO618" s="1405"/>
      <c r="AP618" s="1405"/>
      <c r="AQ618" s="1405"/>
      <c r="AR618" s="1405"/>
      <c r="AS618" s="1405"/>
      <c r="AT618" s="1405"/>
      <c r="AU618" s="1405"/>
      <c r="AV618" s="1405"/>
    </row>
    <row r="619" spans="1:48" s="1431" customFormat="1">
      <c r="A619" s="1399"/>
      <c r="B619" s="1429"/>
      <c r="C619" s="1430"/>
      <c r="D619" s="1400"/>
      <c r="E619" s="1401"/>
      <c r="F619" s="1401"/>
      <c r="G619" s="1402"/>
      <c r="H619" s="1403"/>
      <c r="I619" s="1404"/>
      <c r="J619" s="1405"/>
      <c r="K619" s="1405"/>
      <c r="L619" s="1405"/>
      <c r="M619" s="1405"/>
      <c r="N619" s="1406"/>
      <c r="O619" s="1406"/>
      <c r="P619" s="1406"/>
      <c r="Q619" s="1406"/>
      <c r="R619" s="1406"/>
      <c r="S619" s="1406"/>
      <c r="T619" s="1406"/>
      <c r="U619" s="1406"/>
      <c r="V619" s="1406"/>
      <c r="W619" s="1406"/>
      <c r="X619" s="1406"/>
      <c r="Y619" s="1406"/>
      <c r="Z619" s="1406"/>
      <c r="AA619" s="1406"/>
      <c r="AB619" s="1406"/>
      <c r="AC619" s="1406"/>
      <c r="AD619" s="1406"/>
      <c r="AE619" s="1406"/>
      <c r="AF619" s="1406"/>
      <c r="AG619" s="1406"/>
      <c r="AH619" s="1406"/>
      <c r="AI619" s="1406"/>
      <c r="AJ619" s="1406"/>
      <c r="AK619" s="1406"/>
      <c r="AL619" s="1406"/>
      <c r="AM619" s="1406"/>
      <c r="AN619" s="1406"/>
      <c r="AO619" s="1405"/>
      <c r="AP619" s="1405"/>
      <c r="AQ619" s="1405"/>
      <c r="AR619" s="1405"/>
      <c r="AS619" s="1405"/>
      <c r="AT619" s="1405"/>
      <c r="AU619" s="1405"/>
      <c r="AV619" s="1405"/>
    </row>
    <row r="620" spans="1:48" s="1431" customFormat="1">
      <c r="A620" s="1399"/>
      <c r="B620" s="1429"/>
      <c r="C620" s="1430"/>
      <c r="D620" s="1400"/>
      <c r="E620" s="1401"/>
      <c r="F620" s="1401"/>
      <c r="G620" s="1402"/>
      <c r="H620" s="1403"/>
      <c r="I620" s="1404"/>
      <c r="J620" s="1405"/>
      <c r="K620" s="1405"/>
      <c r="L620" s="1405"/>
      <c r="M620" s="1405"/>
      <c r="N620" s="1406"/>
      <c r="O620" s="1406"/>
      <c r="P620" s="1406"/>
      <c r="Q620" s="1406"/>
      <c r="R620" s="1406"/>
      <c r="S620" s="1406"/>
      <c r="T620" s="1406"/>
      <c r="U620" s="1406"/>
      <c r="V620" s="1406"/>
      <c r="W620" s="1406"/>
      <c r="X620" s="1406"/>
      <c r="Y620" s="1406"/>
      <c r="Z620" s="1406"/>
      <c r="AA620" s="1406"/>
      <c r="AB620" s="1406"/>
      <c r="AC620" s="1406"/>
      <c r="AD620" s="1406"/>
      <c r="AE620" s="1406"/>
      <c r="AF620" s="1406"/>
      <c r="AG620" s="1406"/>
      <c r="AH620" s="1406"/>
      <c r="AI620" s="1406"/>
      <c r="AJ620" s="1406"/>
      <c r="AK620" s="1406"/>
      <c r="AL620" s="1406"/>
      <c r="AM620" s="1406"/>
      <c r="AN620" s="1406"/>
      <c r="AO620" s="1405"/>
      <c r="AP620" s="1405"/>
      <c r="AQ620" s="1405"/>
      <c r="AR620" s="1405"/>
      <c r="AS620" s="1405"/>
      <c r="AT620" s="1405"/>
      <c r="AU620" s="1405"/>
      <c r="AV620" s="1405"/>
    </row>
    <row r="621" spans="1:48" s="1431" customFormat="1">
      <c r="A621" s="1399"/>
      <c r="B621" s="1429"/>
      <c r="C621" s="1430"/>
      <c r="D621" s="1400"/>
      <c r="E621" s="1401"/>
      <c r="F621" s="1401"/>
      <c r="G621" s="1402"/>
      <c r="H621" s="1403"/>
      <c r="I621" s="1404"/>
      <c r="J621" s="1405"/>
      <c r="K621" s="1405"/>
      <c r="L621" s="1405"/>
      <c r="M621" s="1405"/>
      <c r="N621" s="1406"/>
      <c r="O621" s="1406"/>
      <c r="P621" s="1406"/>
      <c r="Q621" s="1406"/>
      <c r="R621" s="1406"/>
      <c r="S621" s="1406"/>
      <c r="T621" s="1406"/>
      <c r="U621" s="1406"/>
      <c r="V621" s="1406"/>
      <c r="W621" s="1406"/>
      <c r="X621" s="1406"/>
      <c r="Y621" s="1406"/>
      <c r="Z621" s="1406"/>
      <c r="AA621" s="1406"/>
      <c r="AB621" s="1406"/>
      <c r="AC621" s="1406"/>
      <c r="AD621" s="1406"/>
      <c r="AE621" s="1406"/>
      <c r="AF621" s="1406"/>
      <c r="AG621" s="1406"/>
      <c r="AH621" s="1406"/>
      <c r="AI621" s="1406"/>
      <c r="AJ621" s="1406"/>
      <c r="AK621" s="1406"/>
      <c r="AL621" s="1406"/>
      <c r="AM621" s="1406"/>
      <c r="AN621" s="1406"/>
      <c r="AO621" s="1405"/>
      <c r="AP621" s="1405"/>
      <c r="AQ621" s="1405"/>
      <c r="AR621" s="1405"/>
      <c r="AS621" s="1405"/>
      <c r="AT621" s="1405"/>
      <c r="AU621" s="1405"/>
      <c r="AV621" s="1405"/>
    </row>
    <row r="622" spans="1:48" s="1431" customFormat="1">
      <c r="A622" s="1399"/>
      <c r="B622" s="1429"/>
      <c r="C622" s="1430"/>
      <c r="D622" s="1400"/>
      <c r="E622" s="1401"/>
      <c r="F622" s="1401"/>
      <c r="G622" s="1402"/>
      <c r="H622" s="1403"/>
      <c r="I622" s="1404"/>
      <c r="J622" s="1405"/>
      <c r="K622" s="1405"/>
      <c r="L622" s="1405"/>
      <c r="M622" s="1405"/>
      <c r="N622" s="1406"/>
      <c r="O622" s="1406"/>
      <c r="P622" s="1406"/>
      <c r="Q622" s="1406"/>
      <c r="R622" s="1406"/>
      <c r="S622" s="1406"/>
      <c r="T622" s="1406"/>
      <c r="U622" s="1406"/>
      <c r="V622" s="1406"/>
      <c r="W622" s="1406"/>
      <c r="X622" s="1406"/>
      <c r="Y622" s="1406"/>
      <c r="Z622" s="1406"/>
      <c r="AA622" s="1406"/>
      <c r="AB622" s="1406"/>
      <c r="AC622" s="1406"/>
      <c r="AD622" s="1406"/>
      <c r="AE622" s="1406"/>
      <c r="AF622" s="1406"/>
      <c r="AG622" s="1406"/>
      <c r="AH622" s="1406"/>
      <c r="AI622" s="1406"/>
      <c r="AJ622" s="1406"/>
      <c r="AK622" s="1406"/>
      <c r="AL622" s="1406"/>
      <c r="AM622" s="1406"/>
      <c r="AN622" s="1406"/>
      <c r="AO622" s="1405"/>
      <c r="AP622" s="1405"/>
      <c r="AQ622" s="1405"/>
      <c r="AR622" s="1405"/>
      <c r="AS622" s="1405"/>
      <c r="AT622" s="1405"/>
      <c r="AU622" s="1405"/>
      <c r="AV622" s="1405"/>
    </row>
    <row r="623" spans="1:48" s="1431" customFormat="1">
      <c r="A623" s="1399"/>
      <c r="B623" s="1429"/>
      <c r="C623" s="1430"/>
      <c r="D623" s="1400"/>
      <c r="E623" s="1401"/>
      <c r="F623" s="1401"/>
      <c r="G623" s="1402"/>
      <c r="H623" s="1403"/>
      <c r="I623" s="1404"/>
      <c r="J623" s="1405"/>
      <c r="K623" s="1405"/>
      <c r="L623" s="1405"/>
      <c r="M623" s="1405"/>
      <c r="N623" s="1406"/>
      <c r="O623" s="1406"/>
      <c r="P623" s="1406"/>
      <c r="Q623" s="1406"/>
      <c r="R623" s="1406"/>
      <c r="S623" s="1406"/>
      <c r="T623" s="1406"/>
      <c r="U623" s="1406"/>
      <c r="V623" s="1406"/>
      <c r="W623" s="1406"/>
      <c r="X623" s="1406"/>
      <c r="Y623" s="1406"/>
      <c r="Z623" s="1406"/>
      <c r="AA623" s="1406"/>
      <c r="AB623" s="1406"/>
      <c r="AC623" s="1406"/>
      <c r="AD623" s="1406"/>
      <c r="AE623" s="1406"/>
      <c r="AF623" s="1406"/>
      <c r="AG623" s="1406"/>
      <c r="AH623" s="1406"/>
      <c r="AI623" s="1406"/>
      <c r="AJ623" s="1406"/>
      <c r="AK623" s="1406"/>
      <c r="AL623" s="1406"/>
      <c r="AM623" s="1406"/>
      <c r="AN623" s="1406"/>
      <c r="AO623" s="1405"/>
      <c r="AP623" s="1405"/>
      <c r="AQ623" s="1405"/>
      <c r="AR623" s="1405"/>
      <c r="AS623" s="1405"/>
      <c r="AT623" s="1405"/>
      <c r="AU623" s="1405"/>
      <c r="AV623" s="1405"/>
    </row>
    <row r="624" spans="1:48" s="1431" customFormat="1">
      <c r="A624" s="1399"/>
      <c r="B624" s="1429"/>
      <c r="C624" s="1430"/>
      <c r="D624" s="1400"/>
      <c r="E624" s="1401"/>
      <c r="F624" s="1401"/>
      <c r="G624" s="1402"/>
      <c r="H624" s="1403"/>
      <c r="I624" s="1404"/>
      <c r="J624" s="1405"/>
      <c r="K624" s="1405"/>
      <c r="L624" s="1405"/>
      <c r="M624" s="1405"/>
      <c r="N624" s="1406"/>
      <c r="O624" s="1406"/>
      <c r="P624" s="1406"/>
      <c r="Q624" s="1406"/>
      <c r="R624" s="1406"/>
      <c r="S624" s="1406"/>
      <c r="T624" s="1406"/>
      <c r="U624" s="1406"/>
      <c r="V624" s="1406"/>
      <c r="W624" s="1406"/>
      <c r="X624" s="1406"/>
      <c r="Y624" s="1406"/>
      <c r="Z624" s="1406"/>
      <c r="AA624" s="1406"/>
      <c r="AB624" s="1406"/>
      <c r="AC624" s="1406"/>
      <c r="AD624" s="1406"/>
      <c r="AE624" s="1406"/>
      <c r="AF624" s="1406"/>
      <c r="AG624" s="1406"/>
      <c r="AH624" s="1406"/>
      <c r="AI624" s="1406"/>
      <c r="AJ624" s="1406"/>
      <c r="AK624" s="1406"/>
      <c r="AL624" s="1406"/>
      <c r="AM624" s="1406"/>
      <c r="AN624" s="1406"/>
      <c r="AO624" s="1405"/>
      <c r="AP624" s="1405"/>
      <c r="AQ624" s="1405"/>
      <c r="AR624" s="1405"/>
      <c r="AS624" s="1405"/>
      <c r="AT624" s="1405"/>
      <c r="AU624" s="1405"/>
      <c r="AV624" s="1405"/>
    </row>
    <row r="625" spans="1:48" s="1431" customFormat="1">
      <c r="A625" s="1399"/>
      <c r="B625" s="1429"/>
      <c r="C625" s="1430"/>
      <c r="D625" s="1400"/>
      <c r="E625" s="1401"/>
      <c r="F625" s="1401"/>
      <c r="G625" s="1402"/>
      <c r="H625" s="1403"/>
      <c r="I625" s="1404"/>
      <c r="J625" s="1405"/>
      <c r="K625" s="1405"/>
      <c r="L625" s="1405"/>
      <c r="M625" s="1405"/>
      <c r="N625" s="1406"/>
      <c r="O625" s="1406"/>
      <c r="P625" s="1406"/>
      <c r="Q625" s="1406"/>
      <c r="R625" s="1406"/>
      <c r="S625" s="1406"/>
      <c r="T625" s="1406"/>
      <c r="U625" s="1406"/>
      <c r="V625" s="1406"/>
      <c r="W625" s="1406"/>
      <c r="X625" s="1406"/>
      <c r="Y625" s="1406"/>
      <c r="Z625" s="1406"/>
      <c r="AA625" s="1406"/>
      <c r="AB625" s="1406"/>
      <c r="AC625" s="1406"/>
      <c r="AD625" s="1406"/>
      <c r="AE625" s="1406"/>
      <c r="AF625" s="1406"/>
      <c r="AG625" s="1406"/>
      <c r="AH625" s="1406"/>
      <c r="AI625" s="1406"/>
      <c r="AJ625" s="1406"/>
      <c r="AK625" s="1406"/>
      <c r="AL625" s="1406"/>
      <c r="AM625" s="1406"/>
      <c r="AN625" s="1406"/>
      <c r="AO625" s="1405"/>
      <c r="AP625" s="1405"/>
      <c r="AQ625" s="1405"/>
      <c r="AR625" s="1405"/>
      <c r="AS625" s="1405"/>
      <c r="AT625" s="1405"/>
      <c r="AU625" s="1405"/>
      <c r="AV625" s="1405"/>
    </row>
    <row r="626" spans="1:48" s="1431" customFormat="1">
      <c r="A626" s="1399"/>
      <c r="B626" s="1429"/>
      <c r="C626" s="1430"/>
      <c r="D626" s="1400"/>
      <c r="E626" s="1401"/>
      <c r="F626" s="1401"/>
      <c r="G626" s="1402"/>
      <c r="H626" s="1403"/>
      <c r="I626" s="1404"/>
      <c r="J626" s="1405"/>
      <c r="K626" s="1405"/>
      <c r="L626" s="1405"/>
      <c r="M626" s="1405"/>
      <c r="N626" s="1406"/>
      <c r="O626" s="1406"/>
      <c r="P626" s="1406"/>
      <c r="Q626" s="1406"/>
      <c r="R626" s="1406"/>
      <c r="S626" s="1406"/>
      <c r="T626" s="1406"/>
      <c r="U626" s="1406"/>
      <c r="V626" s="1406"/>
      <c r="W626" s="1406"/>
      <c r="X626" s="1406"/>
      <c r="Y626" s="1406"/>
      <c r="Z626" s="1406"/>
      <c r="AA626" s="1406"/>
      <c r="AB626" s="1406"/>
      <c r="AC626" s="1406"/>
      <c r="AD626" s="1406"/>
      <c r="AE626" s="1406"/>
      <c r="AF626" s="1406"/>
      <c r="AG626" s="1406"/>
      <c r="AH626" s="1406"/>
      <c r="AI626" s="1406"/>
      <c r="AJ626" s="1406"/>
      <c r="AK626" s="1406"/>
      <c r="AL626" s="1406"/>
      <c r="AM626" s="1406"/>
      <c r="AN626" s="1406"/>
      <c r="AO626" s="1405"/>
      <c r="AP626" s="1405"/>
      <c r="AQ626" s="1405"/>
      <c r="AR626" s="1405"/>
      <c r="AS626" s="1405"/>
      <c r="AT626" s="1405"/>
      <c r="AU626" s="1405"/>
      <c r="AV626" s="1405"/>
    </row>
    <row r="627" spans="1:48" s="1431" customFormat="1">
      <c r="A627" s="1399"/>
      <c r="B627" s="1429"/>
      <c r="C627" s="1430"/>
      <c r="D627" s="1400"/>
      <c r="E627" s="1401"/>
      <c r="F627" s="1401"/>
      <c r="G627" s="1402"/>
      <c r="H627" s="1403"/>
      <c r="I627" s="1404"/>
      <c r="J627" s="1405"/>
      <c r="K627" s="1405"/>
      <c r="L627" s="1405"/>
      <c r="M627" s="1405"/>
      <c r="N627" s="1406"/>
      <c r="O627" s="1406"/>
      <c r="P627" s="1406"/>
      <c r="Q627" s="1406"/>
      <c r="R627" s="1406"/>
      <c r="S627" s="1406"/>
      <c r="T627" s="1406"/>
      <c r="U627" s="1406"/>
      <c r="V627" s="1406"/>
      <c r="W627" s="1406"/>
      <c r="X627" s="1406"/>
      <c r="Y627" s="1406"/>
      <c r="Z627" s="1406"/>
      <c r="AA627" s="1406"/>
      <c r="AB627" s="1406"/>
      <c r="AC627" s="1406"/>
      <c r="AD627" s="1406"/>
      <c r="AE627" s="1406"/>
      <c r="AF627" s="1406"/>
      <c r="AG627" s="1406"/>
      <c r="AH627" s="1406"/>
      <c r="AI627" s="1406"/>
      <c r="AJ627" s="1406"/>
      <c r="AK627" s="1406"/>
      <c r="AL627" s="1406"/>
      <c r="AM627" s="1406"/>
      <c r="AN627" s="1406"/>
      <c r="AO627" s="1405"/>
      <c r="AP627" s="1405"/>
      <c r="AQ627" s="1405"/>
      <c r="AR627" s="1405"/>
      <c r="AS627" s="1405"/>
      <c r="AT627" s="1405"/>
      <c r="AU627" s="1405"/>
      <c r="AV627" s="1405"/>
    </row>
    <row r="628" spans="1:48" s="1431" customFormat="1">
      <c r="A628" s="1399"/>
      <c r="B628" s="1429"/>
      <c r="C628" s="1430"/>
      <c r="D628" s="1400"/>
      <c r="E628" s="1401"/>
      <c r="F628" s="1401"/>
      <c r="G628" s="1402"/>
      <c r="H628" s="1403"/>
      <c r="I628" s="1404"/>
      <c r="J628" s="1405"/>
      <c r="K628" s="1405"/>
      <c r="L628" s="1405"/>
      <c r="M628" s="1405"/>
      <c r="N628" s="1406"/>
      <c r="O628" s="1406"/>
      <c r="P628" s="1406"/>
      <c r="Q628" s="1406"/>
      <c r="R628" s="1406"/>
      <c r="S628" s="1406"/>
      <c r="T628" s="1406"/>
      <c r="U628" s="1406"/>
      <c r="V628" s="1406"/>
      <c r="W628" s="1406"/>
      <c r="X628" s="1406"/>
      <c r="Y628" s="1406"/>
      <c r="Z628" s="1406"/>
      <c r="AA628" s="1406"/>
      <c r="AB628" s="1406"/>
      <c r="AC628" s="1406"/>
      <c r="AD628" s="1406"/>
      <c r="AE628" s="1406"/>
      <c r="AF628" s="1406"/>
      <c r="AG628" s="1406"/>
      <c r="AH628" s="1406"/>
      <c r="AI628" s="1406"/>
      <c r="AJ628" s="1406"/>
      <c r="AK628" s="1406"/>
      <c r="AL628" s="1406"/>
      <c r="AM628" s="1406"/>
      <c r="AN628" s="1406"/>
      <c r="AO628" s="1405"/>
      <c r="AP628" s="1405"/>
      <c r="AQ628" s="1405"/>
      <c r="AR628" s="1405"/>
      <c r="AS628" s="1405"/>
      <c r="AT628" s="1405"/>
      <c r="AU628" s="1405"/>
      <c r="AV628" s="1405"/>
    </row>
    <row r="629" spans="1:48" s="1431" customFormat="1">
      <c r="A629" s="1399"/>
      <c r="B629" s="1429"/>
      <c r="C629" s="1430"/>
      <c r="D629" s="1400"/>
      <c r="E629" s="1401"/>
      <c r="F629" s="1401"/>
      <c r="G629" s="1402"/>
      <c r="H629" s="1403"/>
      <c r="I629" s="1404"/>
      <c r="J629" s="1405"/>
      <c r="K629" s="1405"/>
      <c r="L629" s="1405"/>
      <c r="M629" s="1405"/>
      <c r="N629" s="1406"/>
      <c r="O629" s="1406"/>
      <c r="P629" s="1406"/>
      <c r="Q629" s="1406"/>
      <c r="R629" s="1406"/>
      <c r="S629" s="1406"/>
      <c r="T629" s="1406"/>
      <c r="U629" s="1406"/>
      <c r="V629" s="1406"/>
      <c r="W629" s="1406"/>
      <c r="X629" s="1406"/>
      <c r="Y629" s="1406"/>
      <c r="Z629" s="1406"/>
      <c r="AA629" s="1406"/>
      <c r="AB629" s="1406"/>
      <c r="AC629" s="1406"/>
      <c r="AD629" s="1406"/>
      <c r="AE629" s="1406"/>
      <c r="AF629" s="1406"/>
      <c r="AG629" s="1406"/>
      <c r="AH629" s="1406"/>
      <c r="AI629" s="1406"/>
      <c r="AJ629" s="1406"/>
      <c r="AK629" s="1406"/>
      <c r="AL629" s="1406"/>
      <c r="AM629" s="1406"/>
      <c r="AN629" s="1406"/>
      <c r="AO629" s="1405"/>
      <c r="AP629" s="1405"/>
      <c r="AQ629" s="1405"/>
      <c r="AR629" s="1405"/>
      <c r="AS629" s="1405"/>
      <c r="AT629" s="1405"/>
      <c r="AU629" s="1405"/>
      <c r="AV629" s="1405"/>
    </row>
    <row r="630" spans="1:48" s="1431" customFormat="1">
      <c r="A630" s="1399"/>
      <c r="B630" s="1429"/>
      <c r="C630" s="1430"/>
      <c r="D630" s="1400"/>
      <c r="E630" s="1401"/>
      <c r="F630" s="1401"/>
      <c r="G630" s="1402"/>
      <c r="H630" s="1403"/>
      <c r="I630" s="1404"/>
      <c r="J630" s="1405"/>
      <c r="K630" s="1405"/>
      <c r="L630" s="1405"/>
      <c r="M630" s="1405"/>
      <c r="N630" s="1406"/>
      <c r="O630" s="1406"/>
      <c r="P630" s="1406"/>
      <c r="Q630" s="1406"/>
      <c r="R630" s="1406"/>
      <c r="S630" s="1406"/>
      <c r="T630" s="1406"/>
      <c r="U630" s="1406"/>
      <c r="V630" s="1406"/>
      <c r="W630" s="1406"/>
      <c r="X630" s="1406"/>
      <c r="Y630" s="1406"/>
      <c r="Z630" s="1406"/>
      <c r="AA630" s="1406"/>
      <c r="AB630" s="1406"/>
      <c r="AC630" s="1406"/>
      <c r="AD630" s="1406"/>
      <c r="AE630" s="1406"/>
      <c r="AF630" s="1406"/>
      <c r="AG630" s="1406"/>
      <c r="AH630" s="1406"/>
      <c r="AI630" s="1406"/>
      <c r="AJ630" s="1406"/>
      <c r="AK630" s="1406"/>
      <c r="AL630" s="1406"/>
      <c r="AM630" s="1406"/>
      <c r="AN630" s="1406"/>
      <c r="AO630" s="1405"/>
      <c r="AP630" s="1405"/>
      <c r="AQ630" s="1405"/>
      <c r="AR630" s="1405"/>
      <c r="AS630" s="1405"/>
      <c r="AT630" s="1405"/>
      <c r="AU630" s="1405"/>
      <c r="AV630" s="1405"/>
    </row>
    <row r="631" spans="1:48" s="1431" customFormat="1">
      <c r="A631" s="1399"/>
      <c r="B631" s="1429"/>
      <c r="C631" s="1430"/>
      <c r="D631" s="1400"/>
      <c r="E631" s="1401"/>
      <c r="F631" s="1401"/>
      <c r="G631" s="1402"/>
      <c r="H631" s="1403"/>
      <c r="I631" s="1404"/>
      <c r="J631" s="1405"/>
      <c r="K631" s="1405"/>
      <c r="L631" s="1405"/>
      <c r="M631" s="1405"/>
      <c r="N631" s="1406"/>
      <c r="O631" s="1406"/>
      <c r="P631" s="1406"/>
      <c r="Q631" s="1406"/>
      <c r="R631" s="1406"/>
      <c r="S631" s="1406"/>
      <c r="T631" s="1406"/>
      <c r="U631" s="1406"/>
      <c r="V631" s="1406"/>
      <c r="W631" s="1406"/>
      <c r="X631" s="1406"/>
      <c r="Y631" s="1406"/>
      <c r="Z631" s="1406"/>
      <c r="AA631" s="1406"/>
      <c r="AB631" s="1406"/>
      <c r="AC631" s="1406"/>
      <c r="AD631" s="1406"/>
      <c r="AE631" s="1406"/>
      <c r="AF631" s="1406"/>
      <c r="AG631" s="1406"/>
      <c r="AH631" s="1406"/>
      <c r="AI631" s="1406"/>
      <c r="AJ631" s="1406"/>
      <c r="AK631" s="1406"/>
      <c r="AL631" s="1406"/>
      <c r="AM631" s="1406"/>
      <c r="AN631" s="1406"/>
      <c r="AO631" s="1405"/>
      <c r="AP631" s="1405"/>
      <c r="AQ631" s="1405"/>
      <c r="AR631" s="1405"/>
      <c r="AS631" s="1405"/>
      <c r="AT631" s="1405"/>
      <c r="AU631" s="1405"/>
      <c r="AV631" s="1405"/>
    </row>
    <row r="632" spans="1:48" s="1431" customFormat="1">
      <c r="A632" s="1399"/>
      <c r="B632" s="1429"/>
      <c r="C632" s="1430"/>
      <c r="D632" s="1400"/>
      <c r="E632" s="1401"/>
      <c r="F632" s="1401"/>
      <c r="G632" s="1402"/>
      <c r="H632" s="1403"/>
      <c r="I632" s="1404"/>
      <c r="J632" s="1405"/>
      <c r="K632" s="1405"/>
      <c r="L632" s="1405"/>
      <c r="M632" s="1405"/>
      <c r="N632" s="1406"/>
      <c r="O632" s="1406"/>
      <c r="P632" s="1406"/>
      <c r="Q632" s="1406"/>
      <c r="R632" s="1406"/>
      <c r="S632" s="1406"/>
      <c r="T632" s="1406"/>
      <c r="U632" s="1406"/>
      <c r="V632" s="1406"/>
      <c r="W632" s="1406"/>
      <c r="X632" s="1406"/>
      <c r="Y632" s="1406"/>
      <c r="Z632" s="1406"/>
      <c r="AA632" s="1406"/>
      <c r="AB632" s="1406"/>
      <c r="AC632" s="1406"/>
      <c r="AD632" s="1406"/>
      <c r="AE632" s="1406"/>
      <c r="AF632" s="1406"/>
      <c r="AG632" s="1406"/>
      <c r="AH632" s="1406"/>
      <c r="AI632" s="1406"/>
      <c r="AJ632" s="1406"/>
      <c r="AK632" s="1406"/>
      <c r="AL632" s="1406"/>
      <c r="AM632" s="1406"/>
      <c r="AN632" s="1406"/>
      <c r="AO632" s="1405"/>
      <c r="AP632" s="1405"/>
      <c r="AQ632" s="1405"/>
      <c r="AR632" s="1405"/>
      <c r="AS632" s="1405"/>
      <c r="AT632" s="1405"/>
      <c r="AU632" s="1405"/>
      <c r="AV632" s="1405"/>
    </row>
    <row r="633" spans="1:48" s="1431" customFormat="1">
      <c r="A633" s="1399"/>
      <c r="B633" s="1429"/>
      <c r="C633" s="1430"/>
      <c r="D633" s="1400"/>
      <c r="E633" s="1401"/>
      <c r="F633" s="1401"/>
      <c r="G633" s="1402"/>
      <c r="H633" s="1403"/>
      <c r="I633" s="1404"/>
      <c r="J633" s="1405"/>
      <c r="K633" s="1405"/>
      <c r="L633" s="1405"/>
      <c r="M633" s="1405"/>
      <c r="N633" s="1406"/>
      <c r="O633" s="1406"/>
      <c r="P633" s="1406"/>
      <c r="Q633" s="1406"/>
      <c r="R633" s="1406"/>
      <c r="S633" s="1406"/>
      <c r="T633" s="1406"/>
      <c r="U633" s="1406"/>
      <c r="V633" s="1406"/>
      <c r="W633" s="1406"/>
      <c r="X633" s="1406"/>
      <c r="Y633" s="1406"/>
      <c r="Z633" s="1406"/>
      <c r="AA633" s="1406"/>
      <c r="AB633" s="1406"/>
      <c r="AC633" s="1406"/>
      <c r="AD633" s="1406"/>
      <c r="AE633" s="1406"/>
      <c r="AF633" s="1406"/>
      <c r="AG633" s="1406"/>
      <c r="AH633" s="1406"/>
      <c r="AI633" s="1406"/>
      <c r="AJ633" s="1406"/>
      <c r="AK633" s="1406"/>
      <c r="AL633" s="1406"/>
      <c r="AM633" s="1406"/>
      <c r="AN633" s="1406"/>
      <c r="AO633" s="1405"/>
      <c r="AP633" s="1405"/>
      <c r="AQ633" s="1405"/>
      <c r="AR633" s="1405"/>
      <c r="AS633" s="1405"/>
      <c r="AT633" s="1405"/>
      <c r="AU633" s="1405"/>
      <c r="AV633" s="1405"/>
    </row>
    <row r="634" spans="1:48" s="1431" customFormat="1">
      <c r="A634" s="1399"/>
      <c r="B634" s="1429"/>
      <c r="C634" s="1430"/>
      <c r="D634" s="1400"/>
      <c r="E634" s="1401"/>
      <c r="F634" s="1401"/>
      <c r="G634" s="1402"/>
      <c r="H634" s="1403"/>
      <c r="I634" s="1404"/>
      <c r="J634" s="1405"/>
      <c r="K634" s="1405"/>
      <c r="L634" s="1405"/>
      <c r="M634" s="1405"/>
      <c r="N634" s="1406"/>
      <c r="O634" s="1406"/>
      <c r="P634" s="1406"/>
      <c r="Q634" s="1406"/>
      <c r="R634" s="1406"/>
      <c r="S634" s="1406"/>
      <c r="T634" s="1406"/>
      <c r="U634" s="1406"/>
      <c r="V634" s="1406"/>
      <c r="W634" s="1406"/>
      <c r="X634" s="1406"/>
      <c r="Y634" s="1406"/>
      <c r="Z634" s="1406"/>
      <c r="AA634" s="1406"/>
      <c r="AB634" s="1406"/>
      <c r="AC634" s="1406"/>
      <c r="AD634" s="1406"/>
      <c r="AE634" s="1406"/>
      <c r="AF634" s="1406"/>
      <c r="AG634" s="1406"/>
      <c r="AH634" s="1406"/>
      <c r="AI634" s="1406"/>
      <c r="AJ634" s="1406"/>
      <c r="AK634" s="1406"/>
      <c r="AL634" s="1406"/>
      <c r="AM634" s="1406"/>
      <c r="AN634" s="1406"/>
      <c r="AO634" s="1405"/>
      <c r="AP634" s="1405"/>
      <c r="AQ634" s="1405"/>
      <c r="AR634" s="1405"/>
      <c r="AS634" s="1405"/>
      <c r="AT634" s="1405"/>
      <c r="AU634" s="1405"/>
      <c r="AV634" s="1405"/>
    </row>
    <row r="635" spans="1:48" s="1431" customFormat="1">
      <c r="A635" s="1399"/>
      <c r="B635" s="1429"/>
      <c r="C635" s="1430"/>
      <c r="D635" s="1400"/>
      <c r="E635" s="1401"/>
      <c r="F635" s="1401"/>
      <c r="G635" s="1402"/>
      <c r="H635" s="1403"/>
      <c r="I635" s="1404"/>
      <c r="J635" s="1405"/>
      <c r="K635" s="1405"/>
      <c r="L635" s="1405"/>
      <c r="M635" s="1405"/>
      <c r="N635" s="1406"/>
      <c r="O635" s="1406"/>
      <c r="P635" s="1406"/>
      <c r="Q635" s="1406"/>
      <c r="R635" s="1406"/>
      <c r="S635" s="1406"/>
      <c r="T635" s="1406"/>
      <c r="U635" s="1406"/>
      <c r="V635" s="1406"/>
      <c r="W635" s="1406"/>
      <c r="X635" s="1406"/>
      <c r="Y635" s="1406"/>
      <c r="Z635" s="1406"/>
      <c r="AA635" s="1406"/>
      <c r="AB635" s="1406"/>
      <c r="AC635" s="1406"/>
      <c r="AD635" s="1406"/>
      <c r="AE635" s="1406"/>
      <c r="AF635" s="1406"/>
      <c r="AG635" s="1406"/>
      <c r="AH635" s="1406"/>
      <c r="AI635" s="1406"/>
      <c r="AJ635" s="1406"/>
      <c r="AK635" s="1406"/>
      <c r="AL635" s="1406"/>
      <c r="AM635" s="1406"/>
      <c r="AN635" s="1406"/>
      <c r="AO635" s="1405"/>
      <c r="AP635" s="1405"/>
      <c r="AQ635" s="1405"/>
      <c r="AR635" s="1405"/>
      <c r="AS635" s="1405"/>
      <c r="AT635" s="1405"/>
      <c r="AU635" s="1405"/>
      <c r="AV635" s="1405"/>
    </row>
    <row r="636" spans="1:48" s="1431" customFormat="1">
      <c r="A636" s="1399"/>
      <c r="B636" s="1429"/>
      <c r="C636" s="1430"/>
      <c r="D636" s="1400"/>
      <c r="E636" s="1401"/>
      <c r="F636" s="1401"/>
      <c r="G636" s="1402"/>
      <c r="H636" s="1403"/>
      <c r="I636" s="1404"/>
      <c r="J636" s="1405"/>
      <c r="K636" s="1405"/>
      <c r="L636" s="1405"/>
      <c r="M636" s="1405"/>
      <c r="N636" s="1406"/>
      <c r="O636" s="1406"/>
      <c r="P636" s="1406"/>
      <c r="Q636" s="1406"/>
      <c r="R636" s="1406"/>
      <c r="S636" s="1406"/>
      <c r="T636" s="1406"/>
      <c r="U636" s="1406"/>
      <c r="V636" s="1406"/>
      <c r="W636" s="1406"/>
      <c r="X636" s="1406"/>
      <c r="Y636" s="1406"/>
      <c r="Z636" s="1406"/>
      <c r="AA636" s="1406"/>
      <c r="AB636" s="1406"/>
      <c r="AC636" s="1406"/>
      <c r="AD636" s="1406"/>
      <c r="AE636" s="1406"/>
      <c r="AF636" s="1406"/>
      <c r="AG636" s="1406"/>
      <c r="AH636" s="1406"/>
      <c r="AI636" s="1406"/>
      <c r="AJ636" s="1406"/>
      <c r="AK636" s="1406"/>
      <c r="AL636" s="1406"/>
      <c r="AM636" s="1406"/>
      <c r="AN636" s="1406"/>
      <c r="AO636" s="1405"/>
      <c r="AP636" s="1405"/>
      <c r="AQ636" s="1405"/>
      <c r="AR636" s="1405"/>
      <c r="AS636" s="1405"/>
      <c r="AT636" s="1405"/>
      <c r="AU636" s="1405"/>
      <c r="AV636" s="1405"/>
    </row>
    <row r="637" spans="1:48" s="1431" customFormat="1">
      <c r="A637" s="1399"/>
      <c r="B637" s="1429"/>
      <c r="C637" s="1430"/>
      <c r="D637" s="1400"/>
      <c r="E637" s="1401"/>
      <c r="F637" s="1401"/>
      <c r="G637" s="1402"/>
      <c r="H637" s="1403"/>
      <c r="I637" s="1404"/>
      <c r="J637" s="1405"/>
      <c r="K637" s="1405"/>
      <c r="L637" s="1405"/>
      <c r="M637" s="1405"/>
      <c r="N637" s="1406"/>
      <c r="O637" s="1406"/>
      <c r="P637" s="1406"/>
      <c r="Q637" s="1406"/>
      <c r="R637" s="1406"/>
      <c r="S637" s="1406"/>
      <c r="T637" s="1406"/>
      <c r="U637" s="1406"/>
      <c r="V637" s="1406"/>
      <c r="W637" s="1406"/>
      <c r="X637" s="1406"/>
      <c r="Y637" s="1406"/>
      <c r="Z637" s="1406"/>
      <c r="AA637" s="1406"/>
      <c r="AB637" s="1406"/>
      <c r="AC637" s="1406"/>
      <c r="AD637" s="1406"/>
      <c r="AE637" s="1406"/>
      <c r="AF637" s="1406"/>
      <c r="AG637" s="1406"/>
      <c r="AH637" s="1406"/>
      <c r="AI637" s="1406"/>
      <c r="AJ637" s="1406"/>
      <c r="AK637" s="1406"/>
      <c r="AL637" s="1406"/>
      <c r="AM637" s="1406"/>
      <c r="AN637" s="1406"/>
      <c r="AO637" s="1405"/>
      <c r="AP637" s="1405"/>
      <c r="AQ637" s="1405"/>
      <c r="AR637" s="1405"/>
      <c r="AS637" s="1405"/>
      <c r="AT637" s="1405"/>
      <c r="AU637" s="1405"/>
      <c r="AV637" s="1405"/>
    </row>
    <row r="638" spans="1:48" s="1431" customFormat="1">
      <c r="A638" s="1399"/>
      <c r="B638" s="1429"/>
      <c r="C638" s="1430"/>
      <c r="D638" s="1400"/>
      <c r="E638" s="1401"/>
      <c r="F638" s="1401"/>
      <c r="G638" s="1402"/>
      <c r="H638" s="1403"/>
      <c r="I638" s="1404"/>
      <c r="J638" s="1405"/>
      <c r="K638" s="1405"/>
      <c r="L638" s="1405"/>
      <c r="M638" s="1405"/>
      <c r="N638" s="1406"/>
      <c r="O638" s="1406"/>
      <c r="P638" s="1406"/>
      <c r="Q638" s="1406"/>
      <c r="R638" s="1406"/>
      <c r="S638" s="1406"/>
      <c r="T638" s="1406"/>
      <c r="U638" s="1406"/>
      <c r="V638" s="1406"/>
      <c r="W638" s="1406"/>
      <c r="X638" s="1406"/>
      <c r="Y638" s="1406"/>
      <c r="Z638" s="1406"/>
      <c r="AA638" s="1406"/>
      <c r="AB638" s="1406"/>
      <c r="AC638" s="1406"/>
      <c r="AD638" s="1406"/>
      <c r="AE638" s="1406"/>
      <c r="AF638" s="1406"/>
      <c r="AG638" s="1406"/>
      <c r="AH638" s="1406"/>
      <c r="AI638" s="1406"/>
      <c r="AJ638" s="1406"/>
      <c r="AK638" s="1406"/>
      <c r="AL638" s="1406"/>
      <c r="AM638" s="1406"/>
      <c r="AN638" s="1406"/>
      <c r="AO638" s="1405"/>
      <c r="AP638" s="1405"/>
      <c r="AQ638" s="1405"/>
      <c r="AR638" s="1405"/>
      <c r="AS638" s="1405"/>
      <c r="AT638" s="1405"/>
      <c r="AU638" s="1405"/>
      <c r="AV638" s="1405"/>
    </row>
    <row r="639" spans="1:48" s="1431" customFormat="1">
      <c r="A639" s="1399"/>
      <c r="B639" s="1429"/>
      <c r="C639" s="1430"/>
      <c r="D639" s="1400"/>
      <c r="E639" s="1401"/>
      <c r="F639" s="1401"/>
      <c r="G639" s="1402"/>
      <c r="H639" s="1403"/>
      <c r="I639" s="1404"/>
      <c r="J639" s="1405"/>
      <c r="K639" s="1405"/>
      <c r="L639" s="1405"/>
      <c r="M639" s="1405"/>
      <c r="N639" s="1406"/>
      <c r="O639" s="1406"/>
      <c r="P639" s="1406"/>
      <c r="Q639" s="1406"/>
      <c r="R639" s="1406"/>
      <c r="S639" s="1406"/>
      <c r="T639" s="1406"/>
      <c r="U639" s="1406"/>
      <c r="V639" s="1406"/>
      <c r="W639" s="1406"/>
      <c r="X639" s="1406"/>
      <c r="Y639" s="1406"/>
      <c r="Z639" s="1406"/>
      <c r="AA639" s="1406"/>
      <c r="AB639" s="1406"/>
      <c r="AC639" s="1406"/>
      <c r="AD639" s="1406"/>
      <c r="AE639" s="1406"/>
      <c r="AF639" s="1406"/>
      <c r="AG639" s="1406"/>
      <c r="AH639" s="1406"/>
      <c r="AI639" s="1406"/>
      <c r="AJ639" s="1406"/>
      <c r="AK639" s="1406"/>
      <c r="AL639" s="1406"/>
      <c r="AM639" s="1406"/>
      <c r="AN639" s="1406"/>
      <c r="AO639" s="1405"/>
      <c r="AP639" s="1405"/>
      <c r="AQ639" s="1405"/>
      <c r="AR639" s="1405"/>
      <c r="AS639" s="1405"/>
      <c r="AT639" s="1405"/>
      <c r="AU639" s="1405"/>
      <c r="AV639" s="1405"/>
    </row>
    <row r="640" spans="1:48" s="1431" customFormat="1">
      <c r="A640" s="1399"/>
      <c r="B640" s="1429"/>
      <c r="C640" s="1430"/>
      <c r="D640" s="1400"/>
      <c r="E640" s="1401"/>
      <c r="F640" s="1401"/>
      <c r="G640" s="1402"/>
      <c r="H640" s="1403"/>
      <c r="I640" s="1404"/>
      <c r="J640" s="1405"/>
      <c r="K640" s="1405"/>
      <c r="L640" s="1405"/>
      <c r="M640" s="1405"/>
      <c r="N640" s="1406"/>
      <c r="O640" s="1406"/>
      <c r="P640" s="1406"/>
      <c r="Q640" s="1406"/>
      <c r="R640" s="1406"/>
      <c r="S640" s="1406"/>
      <c r="T640" s="1406"/>
      <c r="U640" s="1406"/>
      <c r="V640" s="1406"/>
      <c r="W640" s="1406"/>
      <c r="X640" s="1406"/>
      <c r="Y640" s="1406"/>
      <c r="Z640" s="1406"/>
      <c r="AA640" s="1406"/>
      <c r="AB640" s="1406"/>
      <c r="AC640" s="1406"/>
      <c r="AD640" s="1406"/>
      <c r="AE640" s="1406"/>
      <c r="AF640" s="1406"/>
      <c r="AG640" s="1406"/>
      <c r="AH640" s="1406"/>
      <c r="AI640" s="1406"/>
      <c r="AJ640" s="1406"/>
      <c r="AK640" s="1406"/>
      <c r="AL640" s="1406"/>
      <c r="AM640" s="1406"/>
      <c r="AN640" s="1406"/>
      <c r="AO640" s="1405"/>
      <c r="AP640" s="1405"/>
      <c r="AQ640" s="1405"/>
      <c r="AR640" s="1405"/>
      <c r="AS640" s="1405"/>
      <c r="AT640" s="1405"/>
      <c r="AU640" s="1405"/>
      <c r="AV640" s="1405"/>
    </row>
    <row r="641" spans="1:48" s="1431" customFormat="1">
      <c r="A641" s="1399"/>
      <c r="B641" s="1429"/>
      <c r="C641" s="1430"/>
      <c r="D641" s="1400"/>
      <c r="E641" s="1401"/>
      <c r="F641" s="1401"/>
      <c r="G641" s="1402"/>
      <c r="H641" s="1403"/>
      <c r="I641" s="1404"/>
      <c r="J641" s="1405"/>
      <c r="K641" s="1405"/>
      <c r="L641" s="1405"/>
      <c r="M641" s="1405"/>
      <c r="N641" s="1406"/>
      <c r="O641" s="1406"/>
      <c r="P641" s="1406"/>
      <c r="Q641" s="1406"/>
      <c r="R641" s="1406"/>
      <c r="S641" s="1406"/>
      <c r="T641" s="1406"/>
      <c r="U641" s="1406"/>
      <c r="V641" s="1406"/>
      <c r="W641" s="1406"/>
      <c r="X641" s="1406"/>
      <c r="Y641" s="1406"/>
      <c r="Z641" s="1406"/>
      <c r="AA641" s="1406"/>
      <c r="AB641" s="1406"/>
      <c r="AC641" s="1406"/>
      <c r="AD641" s="1406"/>
      <c r="AE641" s="1406"/>
      <c r="AF641" s="1406"/>
      <c r="AG641" s="1406"/>
      <c r="AH641" s="1406"/>
      <c r="AI641" s="1406"/>
      <c r="AJ641" s="1406"/>
      <c r="AK641" s="1406"/>
      <c r="AL641" s="1406"/>
      <c r="AM641" s="1406"/>
      <c r="AN641" s="1406"/>
      <c r="AO641" s="1405"/>
      <c r="AP641" s="1405"/>
      <c r="AQ641" s="1405"/>
      <c r="AR641" s="1405"/>
      <c r="AS641" s="1405"/>
      <c r="AT641" s="1405"/>
      <c r="AU641" s="1405"/>
      <c r="AV641" s="1405"/>
    </row>
    <row r="642" spans="1:48" s="1431" customFormat="1">
      <c r="A642" s="1399"/>
      <c r="B642" s="1429"/>
      <c r="C642" s="1430"/>
      <c r="D642" s="1400"/>
      <c r="E642" s="1401"/>
      <c r="F642" s="1401"/>
      <c r="G642" s="1402"/>
      <c r="H642" s="1403"/>
      <c r="I642" s="1404"/>
      <c r="J642" s="1405"/>
      <c r="K642" s="1405"/>
      <c r="L642" s="1405"/>
      <c r="M642" s="1405"/>
      <c r="N642" s="1406"/>
      <c r="O642" s="1406"/>
      <c r="P642" s="1406"/>
      <c r="Q642" s="1406"/>
      <c r="R642" s="1406"/>
      <c r="S642" s="1406"/>
      <c r="T642" s="1406"/>
      <c r="U642" s="1406"/>
      <c r="V642" s="1406"/>
      <c r="W642" s="1406"/>
      <c r="X642" s="1406"/>
      <c r="Y642" s="1406"/>
      <c r="Z642" s="1406"/>
      <c r="AA642" s="1406"/>
      <c r="AB642" s="1406"/>
      <c r="AC642" s="1406"/>
      <c r="AD642" s="1406"/>
      <c r="AE642" s="1406"/>
      <c r="AF642" s="1406"/>
      <c r="AG642" s="1406"/>
      <c r="AH642" s="1406"/>
      <c r="AI642" s="1406"/>
      <c r="AJ642" s="1406"/>
      <c r="AK642" s="1406"/>
      <c r="AL642" s="1406"/>
      <c r="AM642" s="1406"/>
      <c r="AN642" s="1406"/>
      <c r="AO642" s="1405"/>
      <c r="AP642" s="1405"/>
      <c r="AQ642" s="1405"/>
      <c r="AR642" s="1405"/>
      <c r="AS642" s="1405"/>
      <c r="AT642" s="1405"/>
      <c r="AU642" s="1405"/>
      <c r="AV642" s="1405"/>
    </row>
    <row r="643" spans="1:48" s="1431" customFormat="1">
      <c r="A643" s="1399"/>
      <c r="B643" s="1429"/>
      <c r="C643" s="1430"/>
      <c r="D643" s="1400"/>
      <c r="E643" s="1401"/>
      <c r="F643" s="1401"/>
      <c r="G643" s="1402"/>
      <c r="H643" s="1403"/>
      <c r="I643" s="1404"/>
      <c r="J643" s="1405"/>
      <c r="K643" s="1405"/>
      <c r="L643" s="1405"/>
      <c r="M643" s="1405"/>
      <c r="N643" s="1406"/>
      <c r="O643" s="1406"/>
      <c r="P643" s="1406"/>
      <c r="Q643" s="1406"/>
      <c r="R643" s="1406"/>
      <c r="S643" s="1406"/>
      <c r="T643" s="1406"/>
      <c r="U643" s="1406"/>
      <c r="V643" s="1406"/>
      <c r="W643" s="1406"/>
      <c r="X643" s="1406"/>
      <c r="Y643" s="1406"/>
      <c r="Z643" s="1406"/>
      <c r="AA643" s="1406"/>
      <c r="AB643" s="1406"/>
      <c r="AC643" s="1406"/>
      <c r="AD643" s="1406"/>
      <c r="AE643" s="1406"/>
      <c r="AF643" s="1406"/>
      <c r="AG643" s="1406"/>
      <c r="AH643" s="1406"/>
      <c r="AI643" s="1406"/>
      <c r="AJ643" s="1406"/>
      <c r="AK643" s="1406"/>
      <c r="AL643" s="1406"/>
      <c r="AM643" s="1406"/>
      <c r="AN643" s="1406"/>
      <c r="AO643" s="1405"/>
      <c r="AP643" s="1405"/>
      <c r="AQ643" s="1405"/>
      <c r="AR643" s="1405"/>
      <c r="AS643" s="1405"/>
      <c r="AT643" s="1405"/>
      <c r="AU643" s="1405"/>
      <c r="AV643" s="1405"/>
    </row>
    <row r="644" spans="1:48" s="1431" customFormat="1">
      <c r="A644" s="1399"/>
      <c r="B644" s="1429"/>
      <c r="C644" s="1430"/>
      <c r="D644" s="1400"/>
      <c r="E644" s="1401"/>
      <c r="F644" s="1401"/>
      <c r="G644" s="1402"/>
      <c r="H644" s="1403"/>
      <c r="I644" s="1404"/>
      <c r="J644" s="1405"/>
      <c r="K644" s="1405"/>
      <c r="L644" s="1405"/>
      <c r="M644" s="1405"/>
      <c r="N644" s="1406"/>
      <c r="O644" s="1406"/>
      <c r="P644" s="1406"/>
      <c r="Q644" s="1406"/>
      <c r="R644" s="1406"/>
      <c r="S644" s="1406"/>
      <c r="T644" s="1406"/>
      <c r="U644" s="1406"/>
      <c r="V644" s="1406"/>
      <c r="W644" s="1406"/>
      <c r="X644" s="1406"/>
      <c r="Y644" s="1406"/>
      <c r="Z644" s="1406"/>
      <c r="AA644" s="1406"/>
      <c r="AB644" s="1406"/>
      <c r="AC644" s="1406"/>
      <c r="AD644" s="1406"/>
      <c r="AE644" s="1406"/>
      <c r="AF644" s="1406"/>
      <c r="AG644" s="1406"/>
      <c r="AH644" s="1406"/>
      <c r="AI644" s="1406"/>
      <c r="AJ644" s="1406"/>
      <c r="AK644" s="1406"/>
      <c r="AL644" s="1406"/>
      <c r="AM644" s="1406"/>
      <c r="AN644" s="1406"/>
      <c r="AO644" s="1405"/>
      <c r="AP644" s="1405"/>
      <c r="AQ644" s="1405"/>
      <c r="AR644" s="1405"/>
      <c r="AS644" s="1405"/>
      <c r="AT644" s="1405"/>
      <c r="AU644" s="1405"/>
      <c r="AV644" s="1405"/>
    </row>
    <row r="645" spans="1:48" s="1431" customFormat="1">
      <c r="A645" s="1399"/>
      <c r="B645" s="1429"/>
      <c r="C645" s="1430"/>
      <c r="D645" s="1400"/>
      <c r="E645" s="1401"/>
      <c r="F645" s="1401"/>
      <c r="G645" s="1402"/>
      <c r="H645" s="1403"/>
      <c r="I645" s="1404"/>
      <c r="J645" s="1405"/>
      <c r="K645" s="1405"/>
      <c r="L645" s="1405"/>
      <c r="M645" s="1405"/>
      <c r="N645" s="1406"/>
      <c r="O645" s="1406"/>
      <c r="P645" s="1406"/>
      <c r="Q645" s="1406"/>
      <c r="R645" s="1406"/>
      <c r="S645" s="1406"/>
      <c r="T645" s="1406"/>
      <c r="U645" s="1406"/>
      <c r="V645" s="1406"/>
      <c r="W645" s="1406"/>
      <c r="X645" s="1406"/>
      <c r="Y645" s="1406"/>
      <c r="Z645" s="1406"/>
      <c r="AA645" s="1406"/>
      <c r="AB645" s="1406"/>
      <c r="AC645" s="1406"/>
      <c r="AD645" s="1406"/>
      <c r="AE645" s="1406"/>
      <c r="AF645" s="1406"/>
      <c r="AG645" s="1406"/>
      <c r="AH645" s="1406"/>
      <c r="AI645" s="1406"/>
      <c r="AJ645" s="1406"/>
      <c r="AK645" s="1406"/>
      <c r="AL645" s="1406"/>
      <c r="AM645" s="1406"/>
      <c r="AN645" s="1406"/>
      <c r="AO645" s="1405"/>
      <c r="AP645" s="1405"/>
      <c r="AQ645" s="1405"/>
      <c r="AR645" s="1405"/>
      <c r="AS645" s="1405"/>
      <c r="AT645" s="1405"/>
      <c r="AU645" s="1405"/>
      <c r="AV645" s="1405"/>
    </row>
    <row r="646" spans="1:48" s="1431" customFormat="1">
      <c r="A646" s="1399"/>
      <c r="B646" s="1429"/>
      <c r="C646" s="1430"/>
      <c r="D646" s="1400"/>
      <c r="E646" s="1401"/>
      <c r="F646" s="1401"/>
      <c r="G646" s="1402"/>
      <c r="H646" s="1403"/>
      <c r="I646" s="1404"/>
      <c r="J646" s="1405"/>
      <c r="K646" s="1405"/>
      <c r="L646" s="1405"/>
      <c r="M646" s="1405"/>
      <c r="N646" s="1406"/>
      <c r="O646" s="1406"/>
      <c r="P646" s="1406"/>
      <c r="Q646" s="1406"/>
      <c r="R646" s="1406"/>
      <c r="S646" s="1406"/>
      <c r="T646" s="1406"/>
      <c r="U646" s="1406"/>
      <c r="V646" s="1406"/>
      <c r="W646" s="1406"/>
      <c r="X646" s="1406"/>
      <c r="Y646" s="1406"/>
      <c r="Z646" s="1406"/>
      <c r="AA646" s="1406"/>
      <c r="AB646" s="1406"/>
      <c r="AC646" s="1406"/>
      <c r="AD646" s="1406"/>
      <c r="AE646" s="1406"/>
      <c r="AF646" s="1406"/>
      <c r="AG646" s="1406"/>
      <c r="AH646" s="1406"/>
      <c r="AI646" s="1406"/>
      <c r="AJ646" s="1406"/>
      <c r="AK646" s="1406"/>
      <c r="AL646" s="1406"/>
      <c r="AM646" s="1406"/>
      <c r="AN646" s="1406"/>
      <c r="AO646" s="1405"/>
      <c r="AP646" s="1405"/>
      <c r="AQ646" s="1405"/>
      <c r="AR646" s="1405"/>
      <c r="AS646" s="1405"/>
      <c r="AT646" s="1405"/>
      <c r="AU646" s="1405"/>
      <c r="AV646" s="1405"/>
    </row>
    <row r="647" spans="1:48" s="1431" customFormat="1">
      <c r="A647" s="1399"/>
      <c r="B647" s="1429"/>
      <c r="C647" s="1430"/>
      <c r="D647" s="1400"/>
      <c r="E647" s="1401"/>
      <c r="F647" s="1401"/>
      <c r="G647" s="1402"/>
      <c r="H647" s="1403"/>
      <c r="I647" s="1404"/>
      <c r="J647" s="1405"/>
      <c r="K647" s="1405"/>
      <c r="L647" s="1405"/>
      <c r="M647" s="1405"/>
      <c r="N647" s="1406"/>
      <c r="O647" s="1406"/>
      <c r="P647" s="1406"/>
      <c r="Q647" s="1406"/>
      <c r="R647" s="1406"/>
      <c r="S647" s="1406"/>
      <c r="T647" s="1406"/>
      <c r="U647" s="1406"/>
      <c r="V647" s="1406"/>
      <c r="W647" s="1406"/>
      <c r="X647" s="1406"/>
      <c r="Y647" s="1406"/>
      <c r="Z647" s="1406"/>
      <c r="AA647" s="1406"/>
      <c r="AB647" s="1406"/>
      <c r="AC647" s="1406"/>
      <c r="AD647" s="1406"/>
      <c r="AE647" s="1406"/>
      <c r="AF647" s="1406"/>
      <c r="AG647" s="1406"/>
      <c r="AH647" s="1406"/>
      <c r="AI647" s="1406"/>
      <c r="AJ647" s="1406"/>
      <c r="AK647" s="1406"/>
      <c r="AL647" s="1406"/>
      <c r="AM647" s="1406"/>
      <c r="AN647" s="1406"/>
      <c r="AO647" s="1405"/>
      <c r="AP647" s="1405"/>
      <c r="AQ647" s="1405"/>
      <c r="AR647" s="1405"/>
      <c r="AS647" s="1405"/>
      <c r="AT647" s="1405"/>
      <c r="AU647" s="1405"/>
      <c r="AV647" s="1405"/>
    </row>
    <row r="648" spans="1:48" s="1431" customFormat="1">
      <c r="A648" s="1399"/>
      <c r="B648" s="1429"/>
      <c r="C648" s="1430"/>
      <c r="D648" s="1400"/>
      <c r="E648" s="1401"/>
      <c r="F648" s="1401"/>
      <c r="G648" s="1402"/>
      <c r="H648" s="1403"/>
      <c r="I648" s="1404"/>
      <c r="J648" s="1405"/>
      <c r="K648" s="1405"/>
      <c r="L648" s="1405"/>
      <c r="M648" s="1405"/>
      <c r="N648" s="1406"/>
      <c r="O648" s="1406"/>
      <c r="P648" s="1406"/>
      <c r="Q648" s="1406"/>
      <c r="R648" s="1406"/>
      <c r="S648" s="1406"/>
      <c r="T648" s="1406"/>
      <c r="U648" s="1406"/>
      <c r="V648" s="1406"/>
      <c r="W648" s="1406"/>
      <c r="X648" s="1406"/>
      <c r="Y648" s="1406"/>
      <c r="Z648" s="1406"/>
      <c r="AA648" s="1406"/>
      <c r="AB648" s="1406"/>
      <c r="AC648" s="1406"/>
      <c r="AD648" s="1406"/>
      <c r="AE648" s="1406"/>
      <c r="AF648" s="1406"/>
      <c r="AG648" s="1406"/>
      <c r="AH648" s="1406"/>
      <c r="AI648" s="1406"/>
      <c r="AJ648" s="1406"/>
      <c r="AK648" s="1406"/>
      <c r="AL648" s="1406"/>
      <c r="AM648" s="1406"/>
      <c r="AN648" s="1406"/>
      <c r="AO648" s="1405"/>
      <c r="AP648" s="1405"/>
      <c r="AQ648" s="1405"/>
      <c r="AR648" s="1405"/>
      <c r="AS648" s="1405"/>
      <c r="AT648" s="1405"/>
      <c r="AU648" s="1405"/>
      <c r="AV648" s="1405"/>
    </row>
    <row r="649" spans="1:48" s="1431" customFormat="1">
      <c r="A649" s="1399"/>
      <c r="B649" s="1429"/>
      <c r="C649" s="1430"/>
      <c r="D649" s="1400"/>
      <c r="E649" s="1401"/>
      <c r="F649" s="1401"/>
      <c r="G649" s="1402"/>
      <c r="H649" s="1403"/>
      <c r="I649" s="1404"/>
      <c r="J649" s="1405"/>
      <c r="K649" s="1405"/>
      <c r="L649" s="1405"/>
      <c r="M649" s="1405"/>
      <c r="N649" s="1406"/>
      <c r="O649" s="1406"/>
      <c r="P649" s="1406"/>
      <c r="Q649" s="1406"/>
      <c r="R649" s="1406"/>
      <c r="S649" s="1406"/>
      <c r="T649" s="1406"/>
      <c r="U649" s="1406"/>
      <c r="V649" s="1406"/>
      <c r="W649" s="1406"/>
      <c r="X649" s="1406"/>
      <c r="Y649" s="1406"/>
      <c r="Z649" s="1406"/>
      <c r="AA649" s="1406"/>
      <c r="AB649" s="1406"/>
      <c r="AC649" s="1406"/>
      <c r="AD649" s="1406"/>
      <c r="AE649" s="1406"/>
      <c r="AF649" s="1406"/>
      <c r="AG649" s="1406"/>
      <c r="AH649" s="1406"/>
      <c r="AI649" s="1406"/>
      <c r="AJ649" s="1406"/>
      <c r="AK649" s="1406"/>
      <c r="AL649" s="1406"/>
      <c r="AM649" s="1406"/>
      <c r="AN649" s="1406"/>
      <c r="AO649" s="1405"/>
      <c r="AP649" s="1405"/>
      <c r="AQ649" s="1405"/>
      <c r="AR649" s="1405"/>
      <c r="AS649" s="1405"/>
      <c r="AT649" s="1405"/>
      <c r="AU649" s="1405"/>
      <c r="AV649" s="1405"/>
    </row>
    <row r="650" spans="1:48" s="1431" customFormat="1">
      <c r="A650" s="1399"/>
      <c r="B650" s="1429"/>
      <c r="C650" s="1430"/>
      <c r="D650" s="1400"/>
      <c r="E650" s="1401"/>
      <c r="F650" s="1401"/>
      <c r="G650" s="1402"/>
      <c r="H650" s="1403"/>
      <c r="I650" s="1404"/>
      <c r="J650" s="1405"/>
      <c r="K650" s="1405"/>
      <c r="L650" s="1405"/>
      <c r="M650" s="1405"/>
      <c r="N650" s="1406"/>
      <c r="O650" s="1406"/>
      <c r="P650" s="1406"/>
      <c r="Q650" s="1406"/>
      <c r="R650" s="1406"/>
      <c r="S650" s="1406"/>
      <c r="T650" s="1406"/>
      <c r="U650" s="1406"/>
      <c r="V650" s="1406"/>
      <c r="W650" s="1406"/>
      <c r="X650" s="1406"/>
      <c r="Y650" s="1406"/>
      <c r="Z650" s="1406"/>
      <c r="AA650" s="1406"/>
      <c r="AB650" s="1406"/>
      <c r="AC650" s="1406"/>
      <c r="AD650" s="1406"/>
      <c r="AE650" s="1406"/>
      <c r="AF650" s="1406"/>
      <c r="AG650" s="1406"/>
      <c r="AH650" s="1406"/>
      <c r="AI650" s="1406"/>
      <c r="AJ650" s="1406"/>
      <c r="AK650" s="1406"/>
      <c r="AL650" s="1406"/>
      <c r="AM650" s="1406"/>
      <c r="AN650" s="1406"/>
      <c r="AO650" s="1405"/>
      <c r="AP650" s="1405"/>
      <c r="AQ650" s="1405"/>
      <c r="AR650" s="1405"/>
      <c r="AS650" s="1405"/>
      <c r="AT650" s="1405"/>
      <c r="AU650" s="1405"/>
      <c r="AV650" s="1405"/>
    </row>
    <row r="651" spans="1:48" s="1431" customFormat="1">
      <c r="A651" s="1399"/>
      <c r="B651" s="1429"/>
      <c r="C651" s="1430"/>
      <c r="D651" s="1400"/>
      <c r="E651" s="1401"/>
      <c r="F651" s="1401"/>
      <c r="G651" s="1402"/>
      <c r="H651" s="1403"/>
      <c r="I651" s="1404"/>
      <c r="J651" s="1405"/>
      <c r="K651" s="1405"/>
      <c r="L651" s="1405"/>
      <c r="M651" s="1405"/>
      <c r="N651" s="1406"/>
      <c r="O651" s="1406"/>
      <c r="P651" s="1406"/>
      <c r="Q651" s="1406"/>
      <c r="R651" s="1406"/>
      <c r="S651" s="1406"/>
      <c r="T651" s="1406"/>
      <c r="U651" s="1406"/>
      <c r="V651" s="1406"/>
      <c r="W651" s="1406"/>
      <c r="X651" s="1406"/>
      <c r="Y651" s="1406"/>
      <c r="Z651" s="1406"/>
      <c r="AA651" s="1406"/>
      <c r="AB651" s="1406"/>
      <c r="AC651" s="1406"/>
      <c r="AD651" s="1406"/>
      <c r="AE651" s="1406"/>
      <c r="AF651" s="1406"/>
      <c r="AG651" s="1406"/>
      <c r="AH651" s="1406"/>
      <c r="AI651" s="1406"/>
      <c r="AJ651" s="1406"/>
      <c r="AK651" s="1406"/>
      <c r="AL651" s="1406"/>
      <c r="AM651" s="1406"/>
      <c r="AN651" s="1406"/>
      <c r="AO651" s="1405"/>
      <c r="AP651" s="1405"/>
      <c r="AQ651" s="1405"/>
      <c r="AR651" s="1405"/>
      <c r="AS651" s="1405"/>
      <c r="AT651" s="1405"/>
      <c r="AU651" s="1405"/>
      <c r="AV651" s="1405"/>
    </row>
    <row r="652" spans="1:48" s="1431" customFormat="1">
      <c r="A652" s="1399"/>
      <c r="B652" s="1429"/>
      <c r="C652" s="1430"/>
      <c r="D652" s="1400"/>
      <c r="E652" s="1401"/>
      <c r="F652" s="1401"/>
      <c r="G652" s="1402"/>
      <c r="H652" s="1403"/>
      <c r="I652" s="1404"/>
      <c r="J652" s="1405"/>
      <c r="K652" s="1405"/>
      <c r="L652" s="1405"/>
      <c r="M652" s="1405"/>
      <c r="N652" s="1406"/>
      <c r="O652" s="1406"/>
      <c r="P652" s="1406"/>
      <c r="Q652" s="1406"/>
      <c r="R652" s="1406"/>
      <c r="S652" s="1406"/>
      <c r="T652" s="1406"/>
      <c r="U652" s="1406"/>
      <c r="V652" s="1406"/>
      <c r="W652" s="1406"/>
      <c r="X652" s="1406"/>
      <c r="Y652" s="1406"/>
      <c r="Z652" s="1406"/>
      <c r="AA652" s="1406"/>
      <c r="AB652" s="1406"/>
      <c r="AC652" s="1406"/>
      <c r="AD652" s="1406"/>
      <c r="AE652" s="1406"/>
      <c r="AF652" s="1406"/>
      <c r="AG652" s="1406"/>
      <c r="AH652" s="1406"/>
      <c r="AI652" s="1406"/>
      <c r="AJ652" s="1406"/>
      <c r="AK652" s="1406"/>
      <c r="AL652" s="1406"/>
      <c r="AM652" s="1406"/>
      <c r="AN652" s="1406"/>
      <c r="AO652" s="1405"/>
      <c r="AP652" s="1405"/>
      <c r="AQ652" s="1405"/>
      <c r="AR652" s="1405"/>
      <c r="AS652" s="1405"/>
      <c r="AT652" s="1405"/>
      <c r="AU652" s="1405"/>
      <c r="AV652" s="1405"/>
    </row>
    <row r="653" spans="1:48" s="1431" customFormat="1">
      <c r="A653" s="1399"/>
      <c r="B653" s="1429"/>
      <c r="C653" s="1430"/>
      <c r="D653" s="1400"/>
      <c r="E653" s="1401"/>
      <c r="F653" s="1401"/>
      <c r="G653" s="1402"/>
      <c r="H653" s="1403"/>
      <c r="I653" s="1404"/>
      <c r="J653" s="1405"/>
      <c r="K653" s="1405"/>
      <c r="L653" s="1405"/>
      <c r="M653" s="1405"/>
      <c r="N653" s="1406"/>
      <c r="O653" s="1406"/>
      <c r="P653" s="1406"/>
      <c r="Q653" s="1406"/>
      <c r="R653" s="1406"/>
      <c r="S653" s="1406"/>
      <c r="T653" s="1406"/>
      <c r="U653" s="1406"/>
      <c r="V653" s="1406"/>
      <c r="W653" s="1406"/>
      <c r="X653" s="1406"/>
      <c r="Y653" s="1406"/>
      <c r="Z653" s="1406"/>
      <c r="AA653" s="1406"/>
      <c r="AB653" s="1406"/>
      <c r="AC653" s="1406"/>
      <c r="AD653" s="1406"/>
      <c r="AE653" s="1406"/>
      <c r="AF653" s="1406"/>
      <c r="AG653" s="1406"/>
      <c r="AH653" s="1406"/>
      <c r="AI653" s="1406"/>
      <c r="AJ653" s="1406"/>
      <c r="AK653" s="1406"/>
      <c r="AL653" s="1406"/>
      <c r="AM653" s="1406"/>
      <c r="AN653" s="1406"/>
      <c r="AO653" s="1405"/>
      <c r="AP653" s="1405"/>
      <c r="AQ653" s="1405"/>
      <c r="AR653" s="1405"/>
      <c r="AS653" s="1405"/>
      <c r="AT653" s="1405"/>
      <c r="AU653" s="1405"/>
      <c r="AV653" s="1405"/>
    </row>
    <row r="654" spans="1:48" s="1431" customFormat="1">
      <c r="A654" s="1399"/>
      <c r="B654" s="1429"/>
      <c r="C654" s="1430"/>
      <c r="D654" s="1400"/>
      <c r="E654" s="1401"/>
      <c r="F654" s="1401"/>
      <c r="G654" s="1402"/>
      <c r="H654" s="1403"/>
      <c r="I654" s="1404"/>
      <c r="J654" s="1405"/>
      <c r="K654" s="1405"/>
      <c r="L654" s="1405"/>
      <c r="M654" s="1405"/>
      <c r="N654" s="1406"/>
      <c r="O654" s="1406"/>
      <c r="P654" s="1406"/>
      <c r="Q654" s="1406"/>
      <c r="R654" s="1406"/>
      <c r="S654" s="1406"/>
      <c r="T654" s="1406"/>
      <c r="U654" s="1406"/>
      <c r="V654" s="1406"/>
      <c r="W654" s="1406"/>
      <c r="X654" s="1406"/>
      <c r="Y654" s="1406"/>
      <c r="Z654" s="1406"/>
      <c r="AA654" s="1406"/>
      <c r="AB654" s="1406"/>
      <c r="AC654" s="1406"/>
      <c r="AD654" s="1406"/>
      <c r="AE654" s="1406"/>
      <c r="AF654" s="1406"/>
      <c r="AG654" s="1406"/>
      <c r="AH654" s="1406"/>
      <c r="AI654" s="1406"/>
      <c r="AJ654" s="1406"/>
      <c r="AK654" s="1406"/>
      <c r="AL654" s="1406"/>
      <c r="AM654" s="1406"/>
      <c r="AN654" s="1406"/>
      <c r="AO654" s="1405"/>
      <c r="AP654" s="1405"/>
      <c r="AQ654" s="1405"/>
      <c r="AR654" s="1405"/>
      <c r="AS654" s="1405"/>
      <c r="AT654" s="1405"/>
      <c r="AU654" s="1405"/>
      <c r="AV654" s="1405"/>
    </row>
    <row r="655" spans="1:48" s="1431" customFormat="1">
      <c r="A655" s="1399"/>
      <c r="B655" s="1429"/>
      <c r="C655" s="1430"/>
      <c r="D655" s="1400"/>
      <c r="E655" s="1401"/>
      <c r="F655" s="1401"/>
      <c r="G655" s="1402"/>
      <c r="H655" s="1403"/>
      <c r="I655" s="1404"/>
      <c r="J655" s="1405"/>
      <c r="K655" s="1405"/>
      <c r="L655" s="1405"/>
      <c r="M655" s="1405"/>
      <c r="N655" s="1406"/>
      <c r="O655" s="1406"/>
      <c r="P655" s="1406"/>
      <c r="Q655" s="1406"/>
      <c r="R655" s="1406"/>
      <c r="S655" s="1406"/>
      <c r="T655" s="1406"/>
      <c r="U655" s="1406"/>
      <c r="V655" s="1406"/>
      <c r="W655" s="1406"/>
      <c r="X655" s="1406"/>
      <c r="Y655" s="1406"/>
      <c r="Z655" s="1406"/>
      <c r="AA655" s="1406"/>
      <c r="AB655" s="1406"/>
      <c r="AC655" s="1406"/>
      <c r="AD655" s="1406"/>
      <c r="AE655" s="1406"/>
      <c r="AF655" s="1406"/>
      <c r="AG655" s="1406"/>
      <c r="AH655" s="1406"/>
      <c r="AI655" s="1406"/>
      <c r="AJ655" s="1406"/>
      <c r="AK655" s="1406"/>
      <c r="AL655" s="1406"/>
      <c r="AM655" s="1406"/>
      <c r="AN655" s="1406"/>
      <c r="AO655" s="1405"/>
      <c r="AP655" s="1405"/>
      <c r="AQ655" s="1405"/>
      <c r="AR655" s="1405"/>
      <c r="AS655" s="1405"/>
      <c r="AT655" s="1405"/>
      <c r="AU655" s="1405"/>
      <c r="AV655" s="1405"/>
    </row>
    <row r="656" spans="1:48" s="1431" customFormat="1">
      <c r="A656" s="1399"/>
      <c r="B656" s="1429"/>
      <c r="C656" s="1430"/>
      <c r="D656" s="1400"/>
      <c r="E656" s="1401"/>
      <c r="F656" s="1401"/>
      <c r="G656" s="1402"/>
      <c r="H656" s="1403"/>
      <c r="I656" s="1404"/>
      <c r="J656" s="1405"/>
      <c r="K656" s="1405"/>
      <c r="L656" s="1405"/>
      <c r="M656" s="1405"/>
      <c r="N656" s="1406"/>
      <c r="O656" s="1406"/>
      <c r="P656" s="1406"/>
      <c r="Q656" s="1406"/>
      <c r="R656" s="1406"/>
      <c r="S656" s="1406"/>
      <c r="T656" s="1406"/>
      <c r="U656" s="1406"/>
      <c r="V656" s="1406"/>
      <c r="W656" s="1406"/>
      <c r="X656" s="1406"/>
      <c r="Y656" s="1406"/>
      <c r="Z656" s="1406"/>
      <c r="AA656" s="1406"/>
      <c r="AB656" s="1406"/>
      <c r="AC656" s="1406"/>
      <c r="AD656" s="1406"/>
      <c r="AE656" s="1406"/>
      <c r="AF656" s="1406"/>
      <c r="AG656" s="1406"/>
      <c r="AH656" s="1406"/>
      <c r="AI656" s="1406"/>
      <c r="AJ656" s="1406"/>
      <c r="AK656" s="1406"/>
      <c r="AL656" s="1406"/>
      <c r="AM656" s="1406"/>
      <c r="AN656" s="1406"/>
      <c r="AO656" s="1405"/>
      <c r="AP656" s="1405"/>
      <c r="AQ656" s="1405"/>
      <c r="AR656" s="1405"/>
      <c r="AS656" s="1405"/>
      <c r="AT656" s="1405"/>
      <c r="AU656" s="1405"/>
      <c r="AV656" s="1405"/>
    </row>
    <row r="657" spans="1:48" s="1431" customFormat="1">
      <c r="A657" s="1399"/>
      <c r="B657" s="1429"/>
      <c r="C657" s="1430"/>
      <c r="D657" s="1400"/>
      <c r="E657" s="1401"/>
      <c r="F657" s="1401"/>
      <c r="G657" s="1402"/>
      <c r="H657" s="1403"/>
      <c r="I657" s="1404"/>
      <c r="J657" s="1405"/>
      <c r="K657" s="1405"/>
      <c r="L657" s="1405"/>
      <c r="M657" s="1405"/>
      <c r="N657" s="1406"/>
      <c r="O657" s="1406"/>
      <c r="P657" s="1406"/>
      <c r="Q657" s="1406"/>
      <c r="R657" s="1406"/>
      <c r="S657" s="1406"/>
      <c r="T657" s="1406"/>
      <c r="U657" s="1406"/>
      <c r="V657" s="1406"/>
      <c r="W657" s="1406"/>
      <c r="X657" s="1406"/>
      <c r="Y657" s="1406"/>
      <c r="Z657" s="1406"/>
      <c r="AA657" s="1406"/>
      <c r="AB657" s="1406"/>
      <c r="AC657" s="1406"/>
      <c r="AD657" s="1406"/>
      <c r="AE657" s="1406"/>
      <c r="AF657" s="1406"/>
      <c r="AG657" s="1406"/>
      <c r="AH657" s="1406"/>
      <c r="AI657" s="1406"/>
      <c r="AJ657" s="1406"/>
      <c r="AK657" s="1406"/>
      <c r="AL657" s="1406"/>
      <c r="AM657" s="1406"/>
      <c r="AN657" s="1406"/>
      <c r="AO657" s="1405"/>
      <c r="AP657" s="1405"/>
      <c r="AQ657" s="1405"/>
      <c r="AR657" s="1405"/>
      <c r="AS657" s="1405"/>
      <c r="AT657" s="1405"/>
      <c r="AU657" s="1405"/>
      <c r="AV657" s="1405"/>
    </row>
    <row r="658" spans="1:48" s="1431" customFormat="1">
      <c r="A658" s="1399"/>
      <c r="B658" s="1429"/>
      <c r="C658" s="1430"/>
      <c r="D658" s="1400"/>
      <c r="E658" s="1401"/>
      <c r="F658" s="1401"/>
      <c r="G658" s="1402"/>
      <c r="H658" s="1403"/>
      <c r="I658" s="1404"/>
      <c r="J658" s="1405"/>
      <c r="K658" s="1405"/>
      <c r="L658" s="1405"/>
      <c r="M658" s="1405"/>
      <c r="N658" s="1406"/>
      <c r="O658" s="1406"/>
      <c r="P658" s="1406"/>
      <c r="Q658" s="1406"/>
      <c r="R658" s="1406"/>
      <c r="S658" s="1406"/>
      <c r="T658" s="1406"/>
      <c r="U658" s="1406"/>
      <c r="V658" s="1406"/>
      <c r="W658" s="1406"/>
      <c r="X658" s="1406"/>
      <c r="Y658" s="1406"/>
      <c r="Z658" s="1406"/>
      <c r="AA658" s="1406"/>
      <c r="AB658" s="1406"/>
      <c r="AC658" s="1406"/>
      <c r="AD658" s="1406"/>
      <c r="AE658" s="1406"/>
      <c r="AF658" s="1406"/>
      <c r="AG658" s="1406"/>
      <c r="AH658" s="1406"/>
      <c r="AI658" s="1406"/>
      <c r="AJ658" s="1406"/>
      <c r="AK658" s="1406"/>
      <c r="AL658" s="1406"/>
      <c r="AM658" s="1406"/>
      <c r="AN658" s="1406"/>
      <c r="AO658" s="1405"/>
      <c r="AP658" s="1405"/>
      <c r="AQ658" s="1405"/>
      <c r="AR658" s="1405"/>
      <c r="AS658" s="1405"/>
      <c r="AT658" s="1405"/>
      <c r="AU658" s="1405"/>
      <c r="AV658" s="1405"/>
    </row>
    <row r="659" spans="1:48" s="1431" customFormat="1">
      <c r="A659" s="1399"/>
      <c r="B659" s="1429"/>
      <c r="C659" s="1430"/>
      <c r="D659" s="1400"/>
      <c r="E659" s="1401"/>
      <c r="F659" s="1401"/>
      <c r="G659" s="1402"/>
      <c r="H659" s="1403"/>
      <c r="I659" s="1404"/>
      <c r="J659" s="1405"/>
      <c r="K659" s="1405"/>
      <c r="L659" s="1405"/>
      <c r="M659" s="1405"/>
      <c r="N659" s="1406"/>
      <c r="O659" s="1406"/>
      <c r="P659" s="1406"/>
      <c r="Q659" s="1406"/>
      <c r="R659" s="1406"/>
      <c r="S659" s="1406"/>
      <c r="T659" s="1406"/>
      <c r="U659" s="1406"/>
      <c r="V659" s="1406"/>
      <c r="W659" s="1406"/>
      <c r="X659" s="1406"/>
      <c r="Y659" s="1406"/>
      <c r="Z659" s="1406"/>
      <c r="AA659" s="1406"/>
      <c r="AB659" s="1406"/>
      <c r="AC659" s="1406"/>
      <c r="AD659" s="1406"/>
      <c r="AE659" s="1406"/>
      <c r="AF659" s="1406"/>
      <c r="AG659" s="1406"/>
      <c r="AH659" s="1406"/>
      <c r="AI659" s="1406"/>
      <c r="AJ659" s="1406"/>
      <c r="AK659" s="1406"/>
      <c r="AL659" s="1406"/>
      <c r="AM659" s="1406"/>
      <c r="AN659" s="1406"/>
      <c r="AO659" s="1405"/>
      <c r="AP659" s="1405"/>
      <c r="AQ659" s="1405"/>
      <c r="AR659" s="1405"/>
      <c r="AS659" s="1405"/>
      <c r="AT659" s="1405"/>
      <c r="AU659" s="1405"/>
      <c r="AV659" s="1405"/>
    </row>
    <row r="660" spans="1:48" s="1431" customFormat="1">
      <c r="A660" s="1399"/>
      <c r="B660" s="1429"/>
      <c r="C660" s="1430"/>
      <c r="D660" s="1400"/>
      <c r="E660" s="1401"/>
      <c r="F660" s="1401"/>
      <c r="G660" s="1402"/>
      <c r="H660" s="1403"/>
      <c r="I660" s="1404"/>
      <c r="J660" s="1405"/>
      <c r="K660" s="1405"/>
      <c r="L660" s="1405"/>
      <c r="M660" s="1405"/>
      <c r="N660" s="1406"/>
      <c r="O660" s="1406"/>
      <c r="P660" s="1406"/>
      <c r="Q660" s="1406"/>
      <c r="R660" s="1406"/>
      <c r="S660" s="1406"/>
      <c r="T660" s="1406"/>
      <c r="U660" s="1406"/>
      <c r="V660" s="1406"/>
      <c r="W660" s="1406"/>
      <c r="X660" s="1406"/>
      <c r="Y660" s="1406"/>
      <c r="Z660" s="1406"/>
      <c r="AA660" s="1406"/>
      <c r="AB660" s="1406"/>
      <c r="AC660" s="1406"/>
      <c r="AD660" s="1406"/>
      <c r="AE660" s="1406"/>
      <c r="AF660" s="1406"/>
      <c r="AG660" s="1406"/>
      <c r="AH660" s="1406"/>
      <c r="AI660" s="1406"/>
      <c r="AJ660" s="1406"/>
      <c r="AK660" s="1406"/>
      <c r="AL660" s="1406"/>
      <c r="AM660" s="1406"/>
      <c r="AN660" s="1406"/>
      <c r="AO660" s="1405"/>
      <c r="AP660" s="1405"/>
      <c r="AQ660" s="1405"/>
      <c r="AR660" s="1405"/>
      <c r="AS660" s="1405"/>
      <c r="AT660" s="1405"/>
      <c r="AU660" s="1405"/>
      <c r="AV660" s="1405"/>
    </row>
    <row r="661" spans="1:48" s="1431" customFormat="1">
      <c r="A661" s="1399"/>
      <c r="B661" s="1429"/>
      <c r="C661" s="1430"/>
      <c r="D661" s="1400"/>
      <c r="E661" s="1401"/>
      <c r="F661" s="1401"/>
      <c r="G661" s="1402"/>
      <c r="H661" s="1403"/>
      <c r="I661" s="1404"/>
      <c r="J661" s="1405"/>
      <c r="K661" s="1405"/>
      <c r="L661" s="1405"/>
      <c r="M661" s="1405"/>
      <c r="N661" s="1406"/>
      <c r="O661" s="1406"/>
      <c r="P661" s="1406"/>
      <c r="Q661" s="1406"/>
      <c r="R661" s="1406"/>
      <c r="S661" s="1406"/>
      <c r="T661" s="1406"/>
      <c r="U661" s="1406"/>
      <c r="V661" s="1406"/>
      <c r="W661" s="1406"/>
      <c r="X661" s="1406"/>
      <c r="Y661" s="1406"/>
      <c r="Z661" s="1406"/>
      <c r="AA661" s="1406"/>
      <c r="AB661" s="1406"/>
      <c r="AC661" s="1406"/>
      <c r="AD661" s="1406"/>
      <c r="AE661" s="1406"/>
      <c r="AF661" s="1406"/>
      <c r="AG661" s="1406"/>
      <c r="AH661" s="1406"/>
      <c r="AI661" s="1406"/>
      <c r="AJ661" s="1406"/>
      <c r="AK661" s="1406"/>
      <c r="AL661" s="1406"/>
      <c r="AM661" s="1406"/>
      <c r="AN661" s="1406"/>
      <c r="AO661" s="1405"/>
      <c r="AP661" s="1405"/>
      <c r="AQ661" s="1405"/>
      <c r="AR661" s="1405"/>
      <c r="AS661" s="1405"/>
      <c r="AT661" s="1405"/>
      <c r="AU661" s="1405"/>
      <c r="AV661" s="1405"/>
    </row>
    <row r="662" spans="1:48" s="1431" customFormat="1">
      <c r="A662" s="1399"/>
      <c r="B662" s="1429"/>
      <c r="C662" s="1430"/>
      <c r="D662" s="1400"/>
      <c r="E662" s="1401"/>
      <c r="F662" s="1401"/>
      <c r="G662" s="1402"/>
      <c r="H662" s="1403"/>
      <c r="I662" s="1404"/>
      <c r="J662" s="1405"/>
      <c r="K662" s="1405"/>
      <c r="L662" s="1405"/>
      <c r="M662" s="1405"/>
      <c r="N662" s="1406"/>
      <c r="O662" s="1406"/>
      <c r="P662" s="1406"/>
      <c r="Q662" s="1406"/>
      <c r="R662" s="1406"/>
      <c r="S662" s="1406"/>
      <c r="T662" s="1406"/>
      <c r="U662" s="1406"/>
      <c r="V662" s="1406"/>
      <c r="W662" s="1406"/>
      <c r="X662" s="1406"/>
      <c r="Y662" s="1406"/>
      <c r="Z662" s="1406"/>
      <c r="AA662" s="1406"/>
      <c r="AB662" s="1406"/>
      <c r="AC662" s="1406"/>
      <c r="AD662" s="1406"/>
      <c r="AE662" s="1406"/>
      <c r="AF662" s="1406"/>
      <c r="AG662" s="1406"/>
      <c r="AH662" s="1406"/>
      <c r="AI662" s="1406"/>
      <c r="AJ662" s="1406"/>
      <c r="AK662" s="1406"/>
      <c r="AL662" s="1406"/>
      <c r="AM662" s="1406"/>
      <c r="AN662" s="1406"/>
      <c r="AO662" s="1405"/>
      <c r="AP662" s="1405"/>
      <c r="AQ662" s="1405"/>
      <c r="AR662" s="1405"/>
      <c r="AS662" s="1405"/>
      <c r="AT662" s="1405"/>
      <c r="AU662" s="1405"/>
      <c r="AV662" s="1405"/>
    </row>
    <row r="663" spans="1:48" s="1431" customFormat="1">
      <c r="A663" s="1399"/>
      <c r="B663" s="1429"/>
      <c r="C663" s="1430"/>
      <c r="D663" s="1400"/>
      <c r="E663" s="1401"/>
      <c r="F663" s="1401"/>
      <c r="G663" s="1402"/>
      <c r="H663" s="1403"/>
      <c r="I663" s="1404"/>
      <c r="J663" s="1405"/>
      <c r="K663" s="1405"/>
      <c r="L663" s="1405"/>
      <c r="M663" s="1405"/>
      <c r="N663" s="1406"/>
      <c r="O663" s="1406"/>
      <c r="P663" s="1406"/>
      <c r="Q663" s="1406"/>
      <c r="R663" s="1406"/>
      <c r="S663" s="1406"/>
      <c r="T663" s="1406"/>
      <c r="U663" s="1406"/>
      <c r="V663" s="1406"/>
      <c r="W663" s="1406"/>
      <c r="X663" s="1406"/>
      <c r="Y663" s="1406"/>
      <c r="Z663" s="1406"/>
      <c r="AA663" s="1406"/>
      <c r="AB663" s="1406"/>
      <c r="AC663" s="1406"/>
      <c r="AD663" s="1406"/>
      <c r="AE663" s="1406"/>
      <c r="AF663" s="1406"/>
      <c r="AG663" s="1406"/>
      <c r="AH663" s="1406"/>
      <c r="AI663" s="1406"/>
      <c r="AJ663" s="1406"/>
      <c r="AK663" s="1406"/>
      <c r="AL663" s="1406"/>
      <c r="AM663" s="1406"/>
      <c r="AN663" s="1406"/>
      <c r="AO663" s="1405"/>
      <c r="AP663" s="1405"/>
      <c r="AQ663" s="1405"/>
      <c r="AR663" s="1405"/>
      <c r="AS663" s="1405"/>
      <c r="AT663" s="1405"/>
      <c r="AU663" s="1405"/>
      <c r="AV663" s="1405"/>
    </row>
    <row r="664" spans="1:48" s="1431" customFormat="1">
      <c r="A664" s="1399"/>
      <c r="B664" s="1429"/>
      <c r="C664" s="1430"/>
      <c r="D664" s="1400"/>
      <c r="E664" s="1401"/>
      <c r="F664" s="1401"/>
      <c r="G664" s="1402"/>
      <c r="H664" s="1403"/>
      <c r="I664" s="1404"/>
      <c r="J664" s="1405"/>
      <c r="K664" s="1405"/>
      <c r="L664" s="1405"/>
      <c r="M664" s="1405"/>
      <c r="N664" s="1406"/>
      <c r="O664" s="1406"/>
      <c r="P664" s="1406"/>
      <c r="Q664" s="1406"/>
      <c r="R664" s="1406"/>
      <c r="S664" s="1406"/>
      <c r="T664" s="1406"/>
      <c r="U664" s="1406"/>
      <c r="V664" s="1406"/>
      <c r="W664" s="1406"/>
      <c r="X664" s="1406"/>
      <c r="Y664" s="1406"/>
      <c r="Z664" s="1406"/>
      <c r="AA664" s="1406"/>
      <c r="AB664" s="1406"/>
      <c r="AC664" s="1406"/>
      <c r="AD664" s="1406"/>
      <c r="AE664" s="1406"/>
      <c r="AF664" s="1406"/>
      <c r="AG664" s="1406"/>
      <c r="AH664" s="1406"/>
      <c r="AI664" s="1406"/>
      <c r="AJ664" s="1406"/>
      <c r="AK664" s="1406"/>
      <c r="AL664" s="1406"/>
      <c r="AM664" s="1406"/>
      <c r="AN664" s="1406"/>
      <c r="AO664" s="1405"/>
      <c r="AP664" s="1405"/>
      <c r="AQ664" s="1405"/>
      <c r="AR664" s="1405"/>
      <c r="AS664" s="1405"/>
      <c r="AT664" s="1405"/>
      <c r="AU664" s="1405"/>
      <c r="AV664" s="1405"/>
    </row>
    <row r="665" spans="1:48" s="1431" customFormat="1">
      <c r="A665" s="1399"/>
      <c r="B665" s="1429"/>
      <c r="C665" s="1430"/>
      <c r="D665" s="1400"/>
      <c r="E665" s="1401"/>
      <c r="F665" s="1401"/>
      <c r="G665" s="1402"/>
      <c r="H665" s="1403"/>
      <c r="I665" s="1404"/>
      <c r="J665" s="1405"/>
      <c r="K665" s="1405"/>
      <c r="L665" s="1405"/>
      <c r="M665" s="1405"/>
      <c r="N665" s="1406"/>
      <c r="O665" s="1406"/>
      <c r="P665" s="1406"/>
      <c r="Q665" s="1406"/>
      <c r="R665" s="1406"/>
      <c r="S665" s="1406"/>
      <c r="T665" s="1406"/>
      <c r="U665" s="1406"/>
      <c r="V665" s="1406"/>
      <c r="W665" s="1406"/>
      <c r="X665" s="1406"/>
      <c r="Y665" s="1406"/>
      <c r="Z665" s="1406"/>
      <c r="AA665" s="1406"/>
      <c r="AB665" s="1406"/>
      <c r="AC665" s="1406"/>
      <c r="AD665" s="1406"/>
      <c r="AE665" s="1406"/>
      <c r="AF665" s="1406"/>
      <c r="AG665" s="1406"/>
      <c r="AH665" s="1406"/>
      <c r="AI665" s="1406"/>
      <c r="AJ665" s="1406"/>
      <c r="AK665" s="1406"/>
      <c r="AL665" s="1406"/>
      <c r="AM665" s="1406"/>
      <c r="AN665" s="1406"/>
      <c r="AO665" s="1405"/>
      <c r="AP665" s="1405"/>
      <c r="AQ665" s="1405"/>
      <c r="AR665" s="1405"/>
      <c r="AS665" s="1405"/>
      <c r="AT665" s="1405"/>
      <c r="AU665" s="1405"/>
      <c r="AV665" s="1405"/>
    </row>
    <row r="666" spans="1:48" s="1431" customFormat="1">
      <c r="A666" s="1399"/>
      <c r="B666" s="1429"/>
      <c r="C666" s="1430"/>
      <c r="D666" s="1400"/>
      <c r="E666" s="1401"/>
      <c r="F666" s="1401"/>
      <c r="G666" s="1402"/>
      <c r="H666" s="1403"/>
      <c r="I666" s="1404"/>
      <c r="J666" s="1405"/>
      <c r="K666" s="1405"/>
      <c r="L666" s="1405"/>
      <c r="M666" s="1405"/>
      <c r="N666" s="1406"/>
      <c r="O666" s="1406"/>
      <c r="P666" s="1406"/>
      <c r="Q666" s="1406"/>
      <c r="R666" s="1406"/>
      <c r="S666" s="1406"/>
      <c r="T666" s="1406"/>
      <c r="U666" s="1406"/>
      <c r="V666" s="1406"/>
      <c r="W666" s="1406"/>
      <c r="X666" s="1406"/>
      <c r="Y666" s="1406"/>
      <c r="Z666" s="1406"/>
      <c r="AA666" s="1406"/>
      <c r="AB666" s="1406"/>
      <c r="AC666" s="1406"/>
      <c r="AD666" s="1406"/>
      <c r="AE666" s="1406"/>
      <c r="AF666" s="1406"/>
      <c r="AG666" s="1406"/>
      <c r="AH666" s="1406"/>
      <c r="AI666" s="1406"/>
      <c r="AJ666" s="1406"/>
      <c r="AK666" s="1406"/>
      <c r="AL666" s="1406"/>
      <c r="AM666" s="1406"/>
      <c r="AN666" s="1406"/>
      <c r="AO666" s="1405"/>
      <c r="AP666" s="1405"/>
      <c r="AQ666" s="1405"/>
      <c r="AR666" s="1405"/>
      <c r="AS666" s="1405"/>
      <c r="AT666" s="1405"/>
      <c r="AU666" s="1405"/>
      <c r="AV666" s="1405"/>
    </row>
    <row r="667" spans="1:48" s="1431" customFormat="1">
      <c r="A667" s="1399"/>
      <c r="B667" s="1429"/>
      <c r="C667" s="1430"/>
      <c r="D667" s="1400"/>
      <c r="E667" s="1401"/>
      <c r="F667" s="1401"/>
      <c r="G667" s="1402"/>
      <c r="H667" s="1403"/>
      <c r="I667" s="1404"/>
      <c r="J667" s="1405"/>
      <c r="K667" s="1405"/>
      <c r="L667" s="1405"/>
      <c r="M667" s="1405"/>
      <c r="N667" s="1406"/>
      <c r="O667" s="1406"/>
      <c r="P667" s="1406"/>
      <c r="Q667" s="1406"/>
      <c r="R667" s="1406"/>
      <c r="S667" s="1406"/>
      <c r="T667" s="1406"/>
      <c r="U667" s="1406"/>
      <c r="V667" s="1406"/>
      <c r="W667" s="1406"/>
      <c r="X667" s="1406"/>
      <c r="Y667" s="1406"/>
      <c r="Z667" s="1406"/>
      <c r="AA667" s="1406"/>
      <c r="AB667" s="1406"/>
      <c r="AC667" s="1406"/>
      <c r="AD667" s="1406"/>
      <c r="AE667" s="1406"/>
      <c r="AF667" s="1406"/>
      <c r="AG667" s="1406"/>
      <c r="AH667" s="1406"/>
      <c r="AI667" s="1406"/>
      <c r="AJ667" s="1406"/>
      <c r="AK667" s="1406"/>
      <c r="AL667" s="1406"/>
      <c r="AM667" s="1406"/>
      <c r="AN667" s="1406"/>
      <c r="AO667" s="1405"/>
      <c r="AP667" s="1405"/>
      <c r="AQ667" s="1405"/>
      <c r="AR667" s="1405"/>
      <c r="AS667" s="1405"/>
      <c r="AT667" s="1405"/>
      <c r="AU667" s="1405"/>
      <c r="AV667" s="1405"/>
    </row>
    <row r="668" spans="1:48" s="1431" customFormat="1">
      <c r="A668" s="1399"/>
      <c r="B668" s="1429"/>
      <c r="C668" s="1430"/>
      <c r="D668" s="1400"/>
      <c r="E668" s="1401"/>
      <c r="F668" s="1401"/>
      <c r="G668" s="1402"/>
      <c r="H668" s="1403"/>
      <c r="I668" s="1404"/>
      <c r="J668" s="1405"/>
      <c r="K668" s="1405"/>
      <c r="L668" s="1405"/>
      <c r="M668" s="1405"/>
      <c r="N668" s="1406"/>
      <c r="O668" s="1406"/>
      <c r="P668" s="1406"/>
      <c r="Q668" s="1406"/>
      <c r="R668" s="1406"/>
      <c r="S668" s="1406"/>
      <c r="T668" s="1406"/>
      <c r="U668" s="1406"/>
      <c r="V668" s="1406"/>
      <c r="W668" s="1406"/>
      <c r="X668" s="1406"/>
      <c r="Y668" s="1406"/>
      <c r="Z668" s="1406"/>
      <c r="AA668" s="1406"/>
      <c r="AB668" s="1406"/>
      <c r="AC668" s="1406"/>
      <c r="AD668" s="1406"/>
      <c r="AE668" s="1406"/>
      <c r="AF668" s="1406"/>
      <c r="AG668" s="1406"/>
      <c r="AH668" s="1406"/>
      <c r="AI668" s="1406"/>
      <c r="AJ668" s="1406"/>
      <c r="AK668" s="1406"/>
      <c r="AL668" s="1406"/>
      <c r="AM668" s="1406"/>
      <c r="AN668" s="1406"/>
      <c r="AO668" s="1405"/>
      <c r="AP668" s="1405"/>
      <c r="AQ668" s="1405"/>
      <c r="AR668" s="1405"/>
      <c r="AS668" s="1405"/>
      <c r="AT668" s="1405"/>
      <c r="AU668" s="1405"/>
      <c r="AV668" s="1405"/>
    </row>
    <row r="669" spans="1:48" s="1431" customFormat="1">
      <c r="A669" s="1399"/>
      <c r="B669" s="1429"/>
      <c r="C669" s="1430"/>
      <c r="D669" s="1400"/>
      <c r="E669" s="1401"/>
      <c r="F669" s="1401"/>
      <c r="G669" s="1402"/>
      <c r="H669" s="1403"/>
      <c r="I669" s="1404"/>
      <c r="J669" s="1405"/>
      <c r="K669" s="1405"/>
      <c r="L669" s="1405"/>
      <c r="M669" s="1405"/>
      <c r="N669" s="1406"/>
      <c r="O669" s="1406"/>
      <c r="P669" s="1406"/>
      <c r="Q669" s="1406"/>
      <c r="R669" s="1406"/>
      <c r="S669" s="1406"/>
      <c r="T669" s="1406"/>
      <c r="U669" s="1406"/>
      <c r="V669" s="1406"/>
      <c r="W669" s="1406"/>
      <c r="X669" s="1406"/>
      <c r="Y669" s="1406"/>
      <c r="Z669" s="1406"/>
      <c r="AA669" s="1406"/>
      <c r="AB669" s="1406"/>
      <c r="AC669" s="1406"/>
      <c r="AD669" s="1406"/>
      <c r="AE669" s="1406"/>
      <c r="AF669" s="1406"/>
      <c r="AG669" s="1406"/>
      <c r="AH669" s="1406"/>
      <c r="AI669" s="1406"/>
      <c r="AJ669" s="1406"/>
      <c r="AK669" s="1406"/>
      <c r="AL669" s="1406"/>
      <c r="AM669" s="1406"/>
      <c r="AN669" s="1406"/>
      <c r="AO669" s="1405"/>
      <c r="AP669" s="1405"/>
      <c r="AQ669" s="1405"/>
      <c r="AR669" s="1405"/>
      <c r="AS669" s="1405"/>
      <c r="AT669" s="1405"/>
      <c r="AU669" s="1405"/>
      <c r="AV669" s="1405"/>
    </row>
    <row r="670" spans="1:48" s="1431" customFormat="1">
      <c r="A670" s="1399"/>
      <c r="B670" s="1429"/>
      <c r="C670" s="1430"/>
      <c r="D670" s="1400"/>
      <c r="E670" s="1401"/>
      <c r="F670" s="1401"/>
      <c r="G670" s="1402"/>
      <c r="H670" s="1403"/>
      <c r="I670" s="1404"/>
      <c r="J670" s="1405"/>
      <c r="K670" s="1405"/>
      <c r="L670" s="1405"/>
      <c r="M670" s="1405"/>
      <c r="N670" s="1406"/>
      <c r="O670" s="1406"/>
      <c r="P670" s="1406"/>
      <c r="Q670" s="1406"/>
      <c r="R670" s="1406"/>
      <c r="S670" s="1406"/>
      <c r="T670" s="1406"/>
      <c r="U670" s="1406"/>
      <c r="V670" s="1406"/>
      <c r="W670" s="1406"/>
      <c r="X670" s="1406"/>
      <c r="Y670" s="1406"/>
      <c r="Z670" s="1406"/>
      <c r="AA670" s="1406"/>
      <c r="AB670" s="1406"/>
      <c r="AC670" s="1406"/>
      <c r="AD670" s="1406"/>
      <c r="AE670" s="1406"/>
      <c r="AF670" s="1406"/>
      <c r="AG670" s="1406"/>
      <c r="AH670" s="1406"/>
      <c r="AI670" s="1406"/>
      <c r="AJ670" s="1406"/>
      <c r="AK670" s="1406"/>
      <c r="AL670" s="1406"/>
      <c r="AM670" s="1406"/>
      <c r="AN670" s="1406"/>
      <c r="AO670" s="1405"/>
      <c r="AP670" s="1405"/>
      <c r="AQ670" s="1405"/>
      <c r="AR670" s="1405"/>
      <c r="AS670" s="1405"/>
      <c r="AT670" s="1405"/>
      <c r="AU670" s="1405"/>
      <c r="AV670" s="1405"/>
    </row>
    <row r="671" spans="1:48" s="1431" customFormat="1">
      <c r="A671" s="1399"/>
      <c r="B671" s="1429"/>
      <c r="C671" s="1430"/>
      <c r="D671" s="1400"/>
      <c r="E671" s="1401"/>
      <c r="F671" s="1401"/>
      <c r="G671" s="1402"/>
      <c r="H671" s="1403"/>
      <c r="I671" s="1404"/>
      <c r="J671" s="1405"/>
      <c r="K671" s="1405"/>
      <c r="L671" s="1405"/>
      <c r="M671" s="1405"/>
      <c r="N671" s="1406"/>
      <c r="O671" s="1406"/>
      <c r="P671" s="1406"/>
      <c r="Q671" s="1406"/>
      <c r="R671" s="1406"/>
      <c r="S671" s="1406"/>
      <c r="T671" s="1406"/>
      <c r="U671" s="1406"/>
      <c r="V671" s="1406"/>
      <c r="W671" s="1406"/>
      <c r="X671" s="1406"/>
      <c r="Y671" s="1406"/>
      <c r="Z671" s="1406"/>
      <c r="AA671" s="1406"/>
      <c r="AB671" s="1406"/>
      <c r="AC671" s="1406"/>
      <c r="AD671" s="1406"/>
      <c r="AE671" s="1406"/>
      <c r="AF671" s="1406"/>
      <c r="AG671" s="1406"/>
      <c r="AH671" s="1406"/>
      <c r="AI671" s="1406"/>
      <c r="AJ671" s="1406"/>
      <c r="AK671" s="1406"/>
      <c r="AL671" s="1406"/>
      <c r="AM671" s="1406"/>
      <c r="AN671" s="1406"/>
      <c r="AO671" s="1405"/>
      <c r="AP671" s="1405"/>
      <c r="AQ671" s="1405"/>
      <c r="AR671" s="1405"/>
      <c r="AS671" s="1405"/>
      <c r="AT671" s="1405"/>
      <c r="AU671" s="1405"/>
      <c r="AV671" s="1405"/>
    </row>
    <row r="672" spans="1:48" s="1431" customFormat="1">
      <c r="A672" s="1399"/>
      <c r="B672" s="1429"/>
      <c r="C672" s="1430"/>
      <c r="D672" s="1400"/>
      <c r="E672" s="1401"/>
      <c r="F672" s="1401"/>
      <c r="G672" s="1402"/>
      <c r="H672" s="1403"/>
      <c r="I672" s="1404"/>
      <c r="J672" s="1405"/>
      <c r="K672" s="1405"/>
      <c r="L672" s="1405"/>
      <c r="M672" s="1405"/>
      <c r="N672" s="1406"/>
      <c r="O672" s="1406"/>
      <c r="P672" s="1406"/>
      <c r="Q672" s="1406"/>
      <c r="R672" s="1406"/>
      <c r="S672" s="1406"/>
      <c r="T672" s="1406"/>
      <c r="U672" s="1406"/>
      <c r="V672" s="1406"/>
      <c r="W672" s="1406"/>
      <c r="X672" s="1406"/>
      <c r="Y672" s="1406"/>
      <c r="Z672" s="1406"/>
      <c r="AA672" s="1406"/>
      <c r="AB672" s="1406"/>
      <c r="AC672" s="1406"/>
      <c r="AD672" s="1406"/>
      <c r="AE672" s="1406"/>
      <c r="AF672" s="1406"/>
      <c r="AG672" s="1406"/>
      <c r="AH672" s="1406"/>
      <c r="AI672" s="1406"/>
      <c r="AJ672" s="1406"/>
      <c r="AK672" s="1406"/>
      <c r="AL672" s="1406"/>
      <c r="AM672" s="1406"/>
      <c r="AN672" s="1406"/>
      <c r="AO672" s="1405"/>
      <c r="AP672" s="1405"/>
      <c r="AQ672" s="1405"/>
      <c r="AR672" s="1405"/>
      <c r="AS672" s="1405"/>
      <c r="AT672" s="1405"/>
      <c r="AU672" s="1405"/>
      <c r="AV672" s="1405"/>
    </row>
    <row r="673" spans="1:48" s="1431" customFormat="1">
      <c r="A673" s="1399"/>
      <c r="B673" s="1429"/>
      <c r="C673" s="1430"/>
      <c r="D673" s="1400"/>
      <c r="E673" s="1401"/>
      <c r="F673" s="1401"/>
      <c r="G673" s="1402"/>
      <c r="H673" s="1403"/>
      <c r="I673" s="1404"/>
      <c r="J673" s="1405"/>
      <c r="K673" s="1405"/>
      <c r="L673" s="1405"/>
      <c r="M673" s="1405"/>
      <c r="N673" s="1406"/>
      <c r="O673" s="1406"/>
      <c r="P673" s="1406"/>
      <c r="Q673" s="1406"/>
      <c r="R673" s="1406"/>
      <c r="S673" s="1406"/>
      <c r="T673" s="1406"/>
      <c r="U673" s="1406"/>
      <c r="V673" s="1406"/>
      <c r="W673" s="1406"/>
      <c r="X673" s="1406"/>
      <c r="Y673" s="1406"/>
      <c r="Z673" s="1406"/>
      <c r="AA673" s="1406"/>
      <c r="AB673" s="1406"/>
      <c r="AC673" s="1406"/>
      <c r="AD673" s="1406"/>
      <c r="AE673" s="1406"/>
      <c r="AF673" s="1406"/>
      <c r="AG673" s="1406"/>
      <c r="AH673" s="1406"/>
      <c r="AI673" s="1406"/>
      <c r="AJ673" s="1406"/>
      <c r="AK673" s="1406"/>
      <c r="AL673" s="1406"/>
      <c r="AM673" s="1406"/>
      <c r="AN673" s="1406"/>
      <c r="AO673" s="1405"/>
      <c r="AP673" s="1405"/>
      <c r="AQ673" s="1405"/>
      <c r="AR673" s="1405"/>
      <c r="AS673" s="1405"/>
      <c r="AT673" s="1405"/>
      <c r="AU673" s="1405"/>
      <c r="AV673" s="1405"/>
    </row>
    <row r="674" spans="1:48" s="1431" customFormat="1">
      <c r="A674" s="1399"/>
      <c r="B674" s="1429"/>
      <c r="C674" s="1430"/>
      <c r="D674" s="1400"/>
      <c r="E674" s="1401"/>
      <c r="F674" s="1401"/>
      <c r="G674" s="1402"/>
      <c r="H674" s="1403"/>
      <c r="I674" s="1404"/>
      <c r="J674" s="1405"/>
      <c r="K674" s="1405"/>
      <c r="L674" s="1405"/>
      <c r="M674" s="1405"/>
      <c r="N674" s="1406"/>
      <c r="O674" s="1406"/>
      <c r="P674" s="1406"/>
      <c r="Q674" s="1406"/>
      <c r="R674" s="1406"/>
      <c r="S674" s="1406"/>
      <c r="T674" s="1406"/>
      <c r="U674" s="1406"/>
      <c r="V674" s="1406"/>
      <c r="W674" s="1406"/>
      <c r="X674" s="1406"/>
      <c r="Y674" s="1406"/>
      <c r="Z674" s="1406"/>
      <c r="AA674" s="1406"/>
      <c r="AB674" s="1406"/>
      <c r="AC674" s="1406"/>
      <c r="AD674" s="1406"/>
      <c r="AE674" s="1406"/>
      <c r="AF674" s="1406"/>
      <c r="AG674" s="1406"/>
      <c r="AH674" s="1406"/>
      <c r="AI674" s="1406"/>
      <c r="AJ674" s="1406"/>
      <c r="AK674" s="1406"/>
      <c r="AL674" s="1406"/>
      <c r="AM674" s="1406"/>
      <c r="AN674" s="1406"/>
      <c r="AO674" s="1405"/>
      <c r="AP674" s="1405"/>
      <c r="AQ674" s="1405"/>
      <c r="AR674" s="1405"/>
      <c r="AS674" s="1405"/>
      <c r="AT674" s="1405"/>
      <c r="AU674" s="1405"/>
      <c r="AV674" s="1405"/>
    </row>
    <row r="675" spans="1:48" s="1431" customFormat="1">
      <c r="A675" s="1399"/>
      <c r="B675" s="1429"/>
      <c r="C675" s="1430"/>
      <c r="D675" s="1400"/>
      <c r="E675" s="1401"/>
      <c r="F675" s="1401"/>
      <c r="G675" s="1402"/>
      <c r="H675" s="1403"/>
      <c r="I675" s="1404"/>
      <c r="J675" s="1405"/>
      <c r="K675" s="1405"/>
      <c r="L675" s="1405"/>
      <c r="M675" s="1405"/>
      <c r="N675" s="1406"/>
      <c r="O675" s="1406"/>
      <c r="P675" s="1406"/>
      <c r="Q675" s="1406"/>
      <c r="R675" s="1406"/>
      <c r="S675" s="1406"/>
      <c r="T675" s="1406"/>
      <c r="U675" s="1406"/>
      <c r="V675" s="1406"/>
      <c r="W675" s="1406"/>
      <c r="X675" s="1406"/>
      <c r="Y675" s="1406"/>
      <c r="Z675" s="1406"/>
      <c r="AA675" s="1406"/>
      <c r="AB675" s="1406"/>
      <c r="AC675" s="1406"/>
      <c r="AD675" s="1406"/>
      <c r="AE675" s="1406"/>
      <c r="AF675" s="1406"/>
      <c r="AG675" s="1406"/>
      <c r="AH675" s="1406"/>
      <c r="AI675" s="1406"/>
      <c r="AJ675" s="1406"/>
      <c r="AK675" s="1406"/>
      <c r="AL675" s="1406"/>
      <c r="AM675" s="1406"/>
      <c r="AN675" s="1406"/>
      <c r="AO675" s="1405"/>
      <c r="AP675" s="1405"/>
      <c r="AQ675" s="1405"/>
      <c r="AR675" s="1405"/>
      <c r="AS675" s="1405"/>
      <c r="AT675" s="1405"/>
      <c r="AU675" s="1405"/>
      <c r="AV675" s="1405"/>
    </row>
    <row r="676" spans="1:48" s="1431" customFormat="1">
      <c r="A676" s="1399"/>
      <c r="B676" s="1429"/>
      <c r="C676" s="1430"/>
      <c r="D676" s="1400"/>
      <c r="E676" s="1401"/>
      <c r="F676" s="1401"/>
      <c r="G676" s="1402"/>
      <c r="H676" s="1403"/>
      <c r="I676" s="1404"/>
      <c r="J676" s="1405"/>
      <c r="K676" s="1405"/>
      <c r="L676" s="1405"/>
      <c r="M676" s="1405"/>
      <c r="N676" s="1406"/>
      <c r="O676" s="1406"/>
      <c r="P676" s="1406"/>
      <c r="Q676" s="1406"/>
      <c r="R676" s="1406"/>
      <c r="S676" s="1406"/>
      <c r="T676" s="1406"/>
      <c r="U676" s="1406"/>
      <c r="V676" s="1406"/>
      <c r="W676" s="1406"/>
      <c r="X676" s="1406"/>
      <c r="Y676" s="1406"/>
      <c r="Z676" s="1406"/>
      <c r="AA676" s="1406"/>
      <c r="AB676" s="1406"/>
      <c r="AC676" s="1406"/>
      <c r="AD676" s="1406"/>
      <c r="AE676" s="1406"/>
      <c r="AF676" s="1406"/>
      <c r="AG676" s="1406"/>
      <c r="AH676" s="1406"/>
      <c r="AI676" s="1406"/>
      <c r="AJ676" s="1406"/>
      <c r="AK676" s="1406"/>
      <c r="AL676" s="1406"/>
      <c r="AM676" s="1406"/>
      <c r="AN676" s="1406"/>
      <c r="AO676" s="1405"/>
      <c r="AP676" s="1405"/>
      <c r="AQ676" s="1405"/>
      <c r="AR676" s="1405"/>
      <c r="AS676" s="1405"/>
      <c r="AT676" s="1405"/>
      <c r="AU676" s="1405"/>
      <c r="AV676" s="1405"/>
    </row>
    <row r="677" spans="1:48" s="1431" customFormat="1">
      <c r="A677" s="1399"/>
      <c r="B677" s="1429"/>
      <c r="C677" s="1430"/>
      <c r="D677" s="1400"/>
      <c r="E677" s="1401"/>
      <c r="F677" s="1401"/>
      <c r="G677" s="1402"/>
      <c r="H677" s="1403"/>
      <c r="I677" s="1404"/>
      <c r="J677" s="1405"/>
      <c r="K677" s="1405"/>
      <c r="L677" s="1405"/>
      <c r="M677" s="1405"/>
      <c r="N677" s="1406"/>
      <c r="O677" s="1406"/>
      <c r="P677" s="1406"/>
      <c r="Q677" s="1406"/>
      <c r="R677" s="1406"/>
      <c r="S677" s="1406"/>
      <c r="T677" s="1406"/>
      <c r="U677" s="1406"/>
      <c r="V677" s="1406"/>
      <c r="W677" s="1406"/>
      <c r="X677" s="1406"/>
      <c r="Y677" s="1406"/>
      <c r="Z677" s="1406"/>
      <c r="AA677" s="1406"/>
      <c r="AB677" s="1406"/>
      <c r="AC677" s="1406"/>
      <c r="AD677" s="1406"/>
      <c r="AE677" s="1406"/>
      <c r="AF677" s="1406"/>
      <c r="AG677" s="1406"/>
      <c r="AH677" s="1406"/>
      <c r="AI677" s="1406"/>
      <c r="AJ677" s="1406"/>
      <c r="AK677" s="1406"/>
      <c r="AL677" s="1406"/>
      <c r="AM677" s="1406"/>
      <c r="AN677" s="1406"/>
      <c r="AO677" s="1405"/>
      <c r="AP677" s="1405"/>
      <c r="AQ677" s="1405"/>
      <c r="AR677" s="1405"/>
      <c r="AS677" s="1405"/>
      <c r="AT677" s="1405"/>
      <c r="AU677" s="1405"/>
      <c r="AV677" s="1405"/>
    </row>
    <row r="678" spans="1:48" s="1431" customFormat="1">
      <c r="A678" s="1399"/>
      <c r="B678" s="1429"/>
      <c r="C678" s="1430"/>
      <c r="D678" s="1400"/>
      <c r="E678" s="1401"/>
      <c r="F678" s="1401"/>
      <c r="G678" s="1402"/>
      <c r="H678" s="1403"/>
      <c r="I678" s="1404"/>
      <c r="J678" s="1405"/>
      <c r="K678" s="1405"/>
      <c r="L678" s="1405"/>
      <c r="M678" s="1405"/>
      <c r="N678" s="1406"/>
      <c r="O678" s="1406"/>
      <c r="P678" s="1406"/>
      <c r="Q678" s="1406"/>
      <c r="R678" s="1406"/>
      <c r="S678" s="1406"/>
      <c r="T678" s="1406"/>
      <c r="U678" s="1406"/>
      <c r="V678" s="1406"/>
      <c r="W678" s="1406"/>
      <c r="X678" s="1406"/>
      <c r="Y678" s="1406"/>
      <c r="Z678" s="1406"/>
      <c r="AA678" s="1406"/>
      <c r="AB678" s="1406"/>
      <c r="AC678" s="1406"/>
      <c r="AD678" s="1406"/>
      <c r="AE678" s="1406"/>
      <c r="AF678" s="1406"/>
      <c r="AG678" s="1406"/>
      <c r="AH678" s="1406"/>
      <c r="AI678" s="1406"/>
      <c r="AJ678" s="1406"/>
      <c r="AK678" s="1406"/>
      <c r="AL678" s="1406"/>
      <c r="AM678" s="1406"/>
      <c r="AN678" s="1406"/>
      <c r="AO678" s="1405"/>
      <c r="AP678" s="1405"/>
      <c r="AQ678" s="1405"/>
      <c r="AR678" s="1405"/>
      <c r="AS678" s="1405"/>
      <c r="AT678" s="1405"/>
      <c r="AU678" s="1405"/>
      <c r="AV678" s="1405"/>
    </row>
    <row r="679" spans="1:48" s="1431" customFormat="1">
      <c r="A679" s="1399"/>
      <c r="B679" s="1429"/>
      <c r="C679" s="1430"/>
      <c r="D679" s="1400"/>
      <c r="E679" s="1401"/>
      <c r="F679" s="1401"/>
      <c r="G679" s="1402"/>
      <c r="H679" s="1403"/>
      <c r="I679" s="1404"/>
      <c r="J679" s="1405"/>
      <c r="K679" s="1405"/>
      <c r="L679" s="1405"/>
      <c r="M679" s="1405"/>
      <c r="N679" s="1406"/>
      <c r="O679" s="1406"/>
      <c r="P679" s="1406"/>
      <c r="Q679" s="1406"/>
      <c r="R679" s="1406"/>
      <c r="S679" s="1406"/>
      <c r="T679" s="1406"/>
      <c r="U679" s="1406"/>
      <c r="V679" s="1406"/>
      <c r="W679" s="1406"/>
      <c r="X679" s="1406"/>
      <c r="Y679" s="1406"/>
      <c r="Z679" s="1406"/>
      <c r="AA679" s="1406"/>
      <c r="AB679" s="1406"/>
      <c r="AC679" s="1406"/>
      <c r="AD679" s="1406"/>
      <c r="AE679" s="1406"/>
      <c r="AF679" s="1406"/>
      <c r="AG679" s="1406"/>
      <c r="AH679" s="1406"/>
      <c r="AI679" s="1406"/>
      <c r="AJ679" s="1406"/>
      <c r="AK679" s="1406"/>
      <c r="AL679" s="1406"/>
      <c r="AM679" s="1406"/>
      <c r="AN679" s="1406"/>
      <c r="AO679" s="1405"/>
      <c r="AP679" s="1405"/>
      <c r="AQ679" s="1405"/>
      <c r="AR679" s="1405"/>
      <c r="AS679" s="1405"/>
      <c r="AT679" s="1405"/>
      <c r="AU679" s="1405"/>
      <c r="AV679" s="1405"/>
    </row>
    <row r="680" spans="1:48" s="1431" customFormat="1">
      <c r="A680" s="1399"/>
      <c r="B680" s="1429"/>
      <c r="C680" s="1430"/>
      <c r="D680" s="1400"/>
      <c r="E680" s="1401"/>
      <c r="F680" s="1401"/>
      <c r="G680" s="1402"/>
      <c r="H680" s="1403"/>
      <c r="I680" s="1404"/>
      <c r="J680" s="1405"/>
      <c r="K680" s="1405"/>
      <c r="L680" s="1405"/>
      <c r="M680" s="1405"/>
      <c r="N680" s="1406"/>
      <c r="O680" s="1406"/>
      <c r="P680" s="1406"/>
      <c r="Q680" s="1406"/>
      <c r="R680" s="1406"/>
      <c r="S680" s="1406"/>
      <c r="T680" s="1406"/>
      <c r="U680" s="1406"/>
      <c r="V680" s="1406"/>
      <c r="W680" s="1406"/>
      <c r="X680" s="1406"/>
      <c r="Y680" s="1406"/>
      <c r="Z680" s="1406"/>
      <c r="AA680" s="1406"/>
      <c r="AB680" s="1406"/>
      <c r="AC680" s="1406"/>
      <c r="AD680" s="1406"/>
      <c r="AE680" s="1406"/>
      <c r="AF680" s="1406"/>
      <c r="AG680" s="1406"/>
      <c r="AH680" s="1406"/>
      <c r="AI680" s="1406"/>
      <c r="AJ680" s="1406"/>
      <c r="AK680" s="1406"/>
      <c r="AL680" s="1406"/>
      <c r="AM680" s="1406"/>
      <c r="AN680" s="1406"/>
      <c r="AO680" s="1405"/>
      <c r="AP680" s="1405"/>
      <c r="AQ680" s="1405"/>
      <c r="AR680" s="1405"/>
      <c r="AS680" s="1405"/>
      <c r="AT680" s="1405"/>
      <c r="AU680" s="1405"/>
      <c r="AV680" s="1405"/>
    </row>
    <row r="681" spans="1:48" s="1431" customFormat="1">
      <c r="A681" s="1399"/>
      <c r="B681" s="1429"/>
      <c r="C681" s="1430"/>
      <c r="D681" s="1400"/>
      <c r="E681" s="1401"/>
      <c r="F681" s="1401"/>
      <c r="G681" s="1402"/>
      <c r="H681" s="1403"/>
      <c r="I681" s="1404"/>
      <c r="J681" s="1405"/>
      <c r="K681" s="1405"/>
      <c r="L681" s="1405"/>
      <c r="M681" s="1405"/>
      <c r="N681" s="1406"/>
      <c r="O681" s="1406"/>
      <c r="P681" s="1406"/>
      <c r="Q681" s="1406"/>
      <c r="R681" s="1406"/>
      <c r="S681" s="1406"/>
      <c r="T681" s="1406"/>
      <c r="U681" s="1406"/>
      <c r="V681" s="1406"/>
      <c r="W681" s="1406"/>
      <c r="X681" s="1406"/>
      <c r="Y681" s="1406"/>
      <c r="Z681" s="1406"/>
      <c r="AA681" s="1406"/>
      <c r="AB681" s="1406"/>
      <c r="AC681" s="1406"/>
      <c r="AD681" s="1406"/>
      <c r="AE681" s="1406"/>
      <c r="AF681" s="1406"/>
      <c r="AG681" s="1406"/>
      <c r="AH681" s="1406"/>
      <c r="AI681" s="1406"/>
      <c r="AJ681" s="1406"/>
      <c r="AK681" s="1406"/>
      <c r="AL681" s="1406"/>
      <c r="AM681" s="1406"/>
      <c r="AN681" s="1406"/>
      <c r="AO681" s="1405"/>
      <c r="AP681" s="1405"/>
      <c r="AQ681" s="1405"/>
      <c r="AR681" s="1405"/>
      <c r="AS681" s="1405"/>
      <c r="AT681" s="1405"/>
      <c r="AU681" s="1405"/>
      <c r="AV681" s="1405"/>
    </row>
    <row r="682" spans="1:48" s="1431" customFormat="1">
      <c r="A682" s="1399"/>
      <c r="B682" s="1429"/>
      <c r="C682" s="1430"/>
      <c r="D682" s="1400"/>
      <c r="E682" s="1401"/>
      <c r="F682" s="1401"/>
      <c r="G682" s="1402"/>
      <c r="H682" s="1403"/>
      <c r="I682" s="1404"/>
      <c r="J682" s="1405"/>
      <c r="K682" s="1405"/>
      <c r="L682" s="1405"/>
      <c r="M682" s="1405"/>
      <c r="N682" s="1406"/>
      <c r="O682" s="1406"/>
      <c r="P682" s="1406"/>
      <c r="Q682" s="1406"/>
      <c r="R682" s="1406"/>
      <c r="S682" s="1406"/>
      <c r="T682" s="1406"/>
      <c r="U682" s="1406"/>
      <c r="V682" s="1406"/>
      <c r="W682" s="1406"/>
      <c r="X682" s="1406"/>
      <c r="Y682" s="1406"/>
      <c r="Z682" s="1406"/>
      <c r="AA682" s="1406"/>
      <c r="AB682" s="1406"/>
      <c r="AC682" s="1406"/>
      <c r="AD682" s="1406"/>
      <c r="AE682" s="1406"/>
      <c r="AF682" s="1406"/>
      <c r="AG682" s="1406"/>
      <c r="AH682" s="1406"/>
      <c r="AI682" s="1406"/>
      <c r="AJ682" s="1406"/>
      <c r="AK682" s="1406"/>
      <c r="AL682" s="1406"/>
      <c r="AM682" s="1406"/>
      <c r="AN682" s="1406"/>
      <c r="AO682" s="1405"/>
      <c r="AP682" s="1405"/>
      <c r="AQ682" s="1405"/>
      <c r="AR682" s="1405"/>
      <c r="AS682" s="1405"/>
      <c r="AT682" s="1405"/>
      <c r="AU682" s="1405"/>
      <c r="AV682" s="1405"/>
    </row>
    <row r="683" spans="1:48" s="1431" customFormat="1">
      <c r="A683" s="1399"/>
      <c r="B683" s="1429"/>
      <c r="C683" s="1430"/>
      <c r="D683" s="1400"/>
      <c r="E683" s="1401"/>
      <c r="F683" s="1401"/>
      <c r="G683" s="1402"/>
      <c r="H683" s="1403"/>
      <c r="I683" s="1404"/>
      <c r="J683" s="1405"/>
      <c r="K683" s="1405"/>
      <c r="L683" s="1405"/>
      <c r="M683" s="1405"/>
      <c r="N683" s="1406"/>
      <c r="O683" s="1406"/>
      <c r="P683" s="1406"/>
      <c r="Q683" s="1406"/>
      <c r="R683" s="1406"/>
      <c r="S683" s="1406"/>
      <c r="T683" s="1406"/>
      <c r="U683" s="1406"/>
      <c r="V683" s="1406"/>
      <c r="W683" s="1406"/>
      <c r="X683" s="1406"/>
      <c r="Y683" s="1406"/>
      <c r="Z683" s="1406"/>
      <c r="AA683" s="1406"/>
      <c r="AB683" s="1406"/>
      <c r="AC683" s="1406"/>
      <c r="AD683" s="1406"/>
      <c r="AE683" s="1406"/>
      <c r="AF683" s="1406"/>
      <c r="AG683" s="1406"/>
      <c r="AH683" s="1406"/>
      <c r="AI683" s="1406"/>
      <c r="AJ683" s="1406"/>
      <c r="AK683" s="1406"/>
      <c r="AL683" s="1406"/>
      <c r="AM683" s="1406"/>
      <c r="AN683" s="1406"/>
      <c r="AO683" s="1405"/>
      <c r="AP683" s="1405"/>
      <c r="AQ683" s="1405"/>
      <c r="AR683" s="1405"/>
      <c r="AS683" s="1405"/>
      <c r="AT683" s="1405"/>
      <c r="AU683" s="1405"/>
      <c r="AV683" s="1405"/>
    </row>
    <row r="684" spans="1:48" s="1431" customFormat="1">
      <c r="A684" s="1399"/>
      <c r="B684" s="1429"/>
      <c r="C684" s="1430"/>
      <c r="D684" s="1400"/>
      <c r="E684" s="1401"/>
      <c r="F684" s="1401"/>
      <c r="G684" s="1402"/>
      <c r="H684" s="1403"/>
      <c r="I684" s="1404"/>
      <c r="J684" s="1405"/>
      <c r="K684" s="1405"/>
      <c r="L684" s="1405"/>
      <c r="M684" s="1405"/>
      <c r="N684" s="1406"/>
      <c r="O684" s="1406"/>
      <c r="P684" s="1406"/>
      <c r="Q684" s="1406"/>
      <c r="R684" s="1406"/>
      <c r="S684" s="1406"/>
      <c r="T684" s="1406"/>
      <c r="U684" s="1406"/>
      <c r="V684" s="1406"/>
      <c r="W684" s="1406"/>
      <c r="X684" s="1406"/>
      <c r="Y684" s="1406"/>
      <c r="Z684" s="1406"/>
      <c r="AA684" s="1406"/>
      <c r="AB684" s="1406"/>
      <c r="AC684" s="1406"/>
      <c r="AD684" s="1406"/>
      <c r="AE684" s="1406"/>
      <c r="AF684" s="1406"/>
      <c r="AG684" s="1406"/>
      <c r="AH684" s="1406"/>
      <c r="AI684" s="1406"/>
      <c r="AJ684" s="1406"/>
      <c r="AK684" s="1406"/>
      <c r="AL684" s="1406"/>
      <c r="AM684" s="1406"/>
      <c r="AN684" s="1406"/>
      <c r="AO684" s="1405"/>
      <c r="AP684" s="1405"/>
      <c r="AQ684" s="1405"/>
      <c r="AR684" s="1405"/>
      <c r="AS684" s="1405"/>
      <c r="AT684" s="1405"/>
      <c r="AU684" s="1405"/>
      <c r="AV684" s="1405"/>
    </row>
    <row r="685" spans="1:48" s="1431" customFormat="1">
      <c r="A685" s="1399"/>
      <c r="B685" s="1429"/>
      <c r="C685" s="1430"/>
      <c r="D685" s="1400"/>
      <c r="E685" s="1401"/>
      <c r="F685" s="1401"/>
      <c r="G685" s="1402"/>
      <c r="H685" s="1403"/>
      <c r="I685" s="1404"/>
      <c r="J685" s="1405"/>
      <c r="K685" s="1405"/>
      <c r="L685" s="1405"/>
      <c r="M685" s="1405"/>
      <c r="N685" s="1406"/>
      <c r="O685" s="1406"/>
      <c r="P685" s="1406"/>
      <c r="Q685" s="1406"/>
      <c r="R685" s="1406"/>
      <c r="S685" s="1406"/>
      <c r="T685" s="1406"/>
      <c r="U685" s="1406"/>
      <c r="V685" s="1406"/>
      <c r="W685" s="1406"/>
      <c r="X685" s="1406"/>
      <c r="Y685" s="1406"/>
      <c r="Z685" s="1406"/>
      <c r="AA685" s="1406"/>
      <c r="AB685" s="1406"/>
      <c r="AC685" s="1406"/>
      <c r="AD685" s="1406"/>
      <c r="AE685" s="1406"/>
      <c r="AF685" s="1406"/>
      <c r="AG685" s="1406"/>
      <c r="AH685" s="1406"/>
      <c r="AI685" s="1406"/>
      <c r="AJ685" s="1406"/>
      <c r="AK685" s="1406"/>
      <c r="AL685" s="1406"/>
      <c r="AM685" s="1406"/>
      <c r="AN685" s="1406"/>
      <c r="AO685" s="1405"/>
      <c r="AP685" s="1405"/>
      <c r="AQ685" s="1405"/>
      <c r="AR685" s="1405"/>
      <c r="AS685" s="1405"/>
      <c r="AT685" s="1405"/>
      <c r="AU685" s="1405"/>
      <c r="AV685" s="1405"/>
    </row>
    <row r="686" spans="1:48" s="1431" customFormat="1">
      <c r="A686" s="1399"/>
      <c r="B686" s="1429"/>
      <c r="C686" s="1430"/>
      <c r="D686" s="1400"/>
      <c r="E686" s="1401"/>
      <c r="F686" s="1401"/>
      <c r="G686" s="1402"/>
      <c r="H686" s="1403"/>
      <c r="I686" s="1404"/>
      <c r="J686" s="1405"/>
      <c r="K686" s="1405"/>
      <c r="L686" s="1405"/>
      <c r="M686" s="1405"/>
      <c r="N686" s="1406"/>
      <c r="O686" s="1406"/>
      <c r="P686" s="1406"/>
      <c r="Q686" s="1406"/>
      <c r="R686" s="1406"/>
      <c r="S686" s="1406"/>
      <c r="T686" s="1406"/>
      <c r="U686" s="1406"/>
      <c r="V686" s="1406"/>
      <c r="W686" s="1406"/>
      <c r="X686" s="1406"/>
      <c r="Y686" s="1406"/>
      <c r="Z686" s="1406"/>
      <c r="AA686" s="1406"/>
      <c r="AB686" s="1406"/>
      <c r="AC686" s="1406"/>
      <c r="AD686" s="1406"/>
      <c r="AE686" s="1406"/>
      <c r="AF686" s="1406"/>
      <c r="AG686" s="1406"/>
      <c r="AH686" s="1406"/>
      <c r="AI686" s="1406"/>
      <c r="AJ686" s="1406"/>
      <c r="AK686" s="1406"/>
      <c r="AL686" s="1406"/>
      <c r="AM686" s="1406"/>
      <c r="AN686" s="1406"/>
      <c r="AO686" s="1405"/>
      <c r="AP686" s="1405"/>
      <c r="AQ686" s="1405"/>
      <c r="AR686" s="1405"/>
      <c r="AS686" s="1405"/>
      <c r="AT686" s="1405"/>
      <c r="AU686" s="1405"/>
      <c r="AV686" s="1405"/>
    </row>
    <row r="687" spans="1:48" s="1431" customFormat="1">
      <c r="A687" s="1399"/>
      <c r="B687" s="1429"/>
      <c r="C687" s="1430"/>
      <c r="D687" s="1400"/>
      <c r="E687" s="1401"/>
      <c r="F687" s="1401"/>
      <c r="G687" s="1402"/>
      <c r="H687" s="1403"/>
      <c r="I687" s="1404"/>
      <c r="J687" s="1405"/>
      <c r="K687" s="1405"/>
      <c r="L687" s="1405"/>
      <c r="M687" s="1405"/>
      <c r="N687" s="1406"/>
      <c r="O687" s="1406"/>
      <c r="P687" s="1406"/>
      <c r="Q687" s="1406"/>
      <c r="R687" s="1406"/>
      <c r="S687" s="1406"/>
      <c r="T687" s="1406"/>
      <c r="U687" s="1406"/>
      <c r="V687" s="1406"/>
      <c r="W687" s="1406"/>
      <c r="X687" s="1406"/>
      <c r="Y687" s="1406"/>
      <c r="Z687" s="1406"/>
      <c r="AA687" s="1406"/>
      <c r="AB687" s="1406"/>
      <c r="AC687" s="1406"/>
      <c r="AD687" s="1406"/>
      <c r="AE687" s="1406"/>
      <c r="AF687" s="1406"/>
      <c r="AG687" s="1406"/>
      <c r="AH687" s="1406"/>
      <c r="AI687" s="1406"/>
      <c r="AJ687" s="1406"/>
      <c r="AK687" s="1406"/>
      <c r="AL687" s="1406"/>
      <c r="AM687" s="1406"/>
      <c r="AN687" s="1406"/>
      <c r="AO687" s="1405"/>
      <c r="AP687" s="1405"/>
      <c r="AQ687" s="1405"/>
      <c r="AR687" s="1405"/>
      <c r="AS687" s="1405"/>
      <c r="AT687" s="1405"/>
      <c r="AU687" s="1405"/>
      <c r="AV687" s="1405"/>
    </row>
    <row r="688" spans="1:48" s="1431" customFormat="1">
      <c r="A688" s="1399"/>
      <c r="B688" s="1429"/>
      <c r="C688" s="1430"/>
      <c r="D688" s="1400"/>
      <c r="E688" s="1401"/>
      <c r="F688" s="1401"/>
      <c r="G688" s="1402"/>
      <c r="H688" s="1403"/>
      <c r="I688" s="1404"/>
      <c r="J688" s="1405"/>
      <c r="K688" s="1405"/>
      <c r="L688" s="1405"/>
      <c r="M688" s="1405"/>
      <c r="N688" s="1406"/>
      <c r="O688" s="1406"/>
      <c r="P688" s="1406"/>
      <c r="Q688" s="1406"/>
      <c r="R688" s="1406"/>
      <c r="S688" s="1406"/>
      <c r="T688" s="1406"/>
      <c r="U688" s="1406"/>
      <c r="V688" s="1406"/>
      <c r="W688" s="1406"/>
      <c r="X688" s="1406"/>
      <c r="Y688" s="1406"/>
      <c r="Z688" s="1406"/>
      <c r="AA688" s="1406"/>
      <c r="AB688" s="1406"/>
      <c r="AC688" s="1406"/>
      <c r="AD688" s="1406"/>
      <c r="AE688" s="1406"/>
      <c r="AF688" s="1406"/>
      <c r="AG688" s="1406"/>
      <c r="AH688" s="1406"/>
      <c r="AI688" s="1406"/>
      <c r="AJ688" s="1406"/>
      <c r="AK688" s="1406"/>
      <c r="AL688" s="1406"/>
      <c r="AM688" s="1406"/>
      <c r="AN688" s="1406"/>
      <c r="AO688" s="1405"/>
      <c r="AP688" s="1405"/>
      <c r="AQ688" s="1405"/>
      <c r="AR688" s="1405"/>
      <c r="AS688" s="1405"/>
      <c r="AT688" s="1405"/>
      <c r="AU688" s="1405"/>
      <c r="AV688" s="1405"/>
    </row>
    <row r="689" spans="1:48" s="1431" customFormat="1">
      <c r="A689" s="1399"/>
      <c r="B689" s="1429"/>
      <c r="C689" s="1430"/>
      <c r="D689" s="1400"/>
      <c r="E689" s="1401"/>
      <c r="F689" s="1401"/>
      <c r="G689" s="1402"/>
      <c r="H689" s="1403"/>
      <c r="I689" s="1404"/>
      <c r="J689" s="1405"/>
      <c r="K689" s="1405"/>
      <c r="L689" s="1405"/>
      <c r="M689" s="1405"/>
      <c r="N689" s="1406"/>
      <c r="O689" s="1406"/>
      <c r="P689" s="1406"/>
      <c r="Q689" s="1406"/>
      <c r="R689" s="1406"/>
      <c r="S689" s="1406"/>
      <c r="T689" s="1406"/>
      <c r="U689" s="1406"/>
      <c r="V689" s="1406"/>
      <c r="W689" s="1406"/>
      <c r="X689" s="1406"/>
      <c r="Y689" s="1406"/>
      <c r="Z689" s="1406"/>
      <c r="AA689" s="1406"/>
      <c r="AB689" s="1406"/>
      <c r="AC689" s="1406"/>
      <c r="AD689" s="1406"/>
      <c r="AE689" s="1406"/>
      <c r="AF689" s="1406"/>
      <c r="AG689" s="1406"/>
      <c r="AH689" s="1406"/>
      <c r="AI689" s="1406"/>
      <c r="AJ689" s="1406"/>
      <c r="AK689" s="1406"/>
      <c r="AL689" s="1406"/>
      <c r="AM689" s="1406"/>
      <c r="AN689" s="1406"/>
      <c r="AO689" s="1405"/>
      <c r="AP689" s="1405"/>
      <c r="AQ689" s="1405"/>
      <c r="AR689" s="1405"/>
      <c r="AS689" s="1405"/>
      <c r="AT689" s="1405"/>
      <c r="AU689" s="1405"/>
      <c r="AV689" s="1405"/>
    </row>
    <row r="690" spans="1:48" s="1431" customFormat="1">
      <c r="A690" s="1399"/>
      <c r="B690" s="1429"/>
      <c r="C690" s="1430"/>
      <c r="D690" s="1400"/>
      <c r="E690" s="1401"/>
      <c r="F690" s="1401"/>
      <c r="G690" s="1402"/>
      <c r="H690" s="1403"/>
      <c r="I690" s="1404"/>
      <c r="J690" s="1405"/>
      <c r="K690" s="1405"/>
      <c r="L690" s="1405"/>
      <c r="M690" s="1405"/>
      <c r="N690" s="1406"/>
      <c r="O690" s="1406"/>
      <c r="P690" s="1406"/>
      <c r="Q690" s="1406"/>
      <c r="R690" s="1406"/>
      <c r="S690" s="1406"/>
      <c r="T690" s="1406"/>
      <c r="U690" s="1406"/>
      <c r="V690" s="1406"/>
      <c r="W690" s="1406"/>
      <c r="X690" s="1406"/>
      <c r="Y690" s="1406"/>
      <c r="Z690" s="1406"/>
      <c r="AA690" s="1406"/>
      <c r="AB690" s="1406"/>
      <c r="AC690" s="1406"/>
      <c r="AD690" s="1406"/>
      <c r="AE690" s="1406"/>
      <c r="AF690" s="1406"/>
      <c r="AG690" s="1406"/>
      <c r="AH690" s="1406"/>
      <c r="AI690" s="1406"/>
      <c r="AJ690" s="1406"/>
      <c r="AK690" s="1406"/>
      <c r="AL690" s="1406"/>
      <c r="AM690" s="1406"/>
      <c r="AN690" s="1406"/>
      <c r="AO690" s="1405"/>
      <c r="AP690" s="1405"/>
      <c r="AQ690" s="1405"/>
      <c r="AR690" s="1405"/>
      <c r="AS690" s="1405"/>
      <c r="AT690" s="1405"/>
      <c r="AU690" s="1405"/>
      <c r="AV690" s="1405"/>
    </row>
    <row r="691" spans="1:48" s="1431" customFormat="1">
      <c r="A691" s="1399"/>
      <c r="B691" s="1429"/>
      <c r="C691" s="1430"/>
      <c r="D691" s="1400"/>
      <c r="E691" s="1401"/>
      <c r="F691" s="1401"/>
      <c r="G691" s="1402"/>
      <c r="H691" s="1403"/>
      <c r="I691" s="1404"/>
      <c r="J691" s="1405"/>
      <c r="K691" s="1405"/>
      <c r="L691" s="1405"/>
      <c r="M691" s="1405"/>
      <c r="N691" s="1406"/>
      <c r="O691" s="1406"/>
      <c r="P691" s="1406"/>
      <c r="Q691" s="1406"/>
      <c r="R691" s="1406"/>
      <c r="S691" s="1406"/>
      <c r="T691" s="1406"/>
      <c r="U691" s="1406"/>
      <c r="V691" s="1406"/>
      <c r="W691" s="1406"/>
      <c r="X691" s="1406"/>
      <c r="Y691" s="1406"/>
      <c r="Z691" s="1406"/>
      <c r="AA691" s="1406"/>
      <c r="AB691" s="1406"/>
      <c r="AC691" s="1406"/>
      <c r="AD691" s="1406"/>
      <c r="AE691" s="1406"/>
      <c r="AF691" s="1406"/>
      <c r="AG691" s="1406"/>
      <c r="AH691" s="1406"/>
      <c r="AI691" s="1406"/>
      <c r="AJ691" s="1406"/>
      <c r="AK691" s="1406"/>
      <c r="AL691" s="1406"/>
      <c r="AM691" s="1406"/>
      <c r="AN691" s="1406"/>
      <c r="AO691" s="1405"/>
      <c r="AP691" s="1405"/>
      <c r="AQ691" s="1405"/>
      <c r="AR691" s="1405"/>
      <c r="AS691" s="1405"/>
      <c r="AT691" s="1405"/>
      <c r="AU691" s="1405"/>
      <c r="AV691" s="1405"/>
    </row>
    <row r="692" spans="1:48" s="1431" customFormat="1">
      <c r="A692" s="1399"/>
      <c r="B692" s="1429"/>
      <c r="C692" s="1430"/>
      <c r="D692" s="1400"/>
      <c r="E692" s="1401"/>
      <c r="F692" s="1401"/>
      <c r="G692" s="1402"/>
      <c r="H692" s="1403"/>
      <c r="I692" s="1404"/>
      <c r="J692" s="1405"/>
      <c r="K692" s="1405"/>
      <c r="L692" s="1405"/>
      <c r="M692" s="1405"/>
      <c r="N692" s="1406"/>
      <c r="O692" s="1406"/>
      <c r="P692" s="1406"/>
      <c r="Q692" s="1406"/>
      <c r="R692" s="1406"/>
      <c r="S692" s="1406"/>
      <c r="T692" s="1406"/>
      <c r="U692" s="1406"/>
      <c r="V692" s="1406"/>
      <c r="W692" s="1406"/>
      <c r="X692" s="1406"/>
      <c r="Y692" s="1406"/>
      <c r="Z692" s="1406"/>
      <c r="AA692" s="1406"/>
      <c r="AB692" s="1406"/>
      <c r="AC692" s="1406"/>
      <c r="AD692" s="1406"/>
      <c r="AE692" s="1406"/>
      <c r="AF692" s="1406"/>
      <c r="AG692" s="1406"/>
      <c r="AH692" s="1406"/>
      <c r="AI692" s="1406"/>
      <c r="AJ692" s="1406"/>
      <c r="AK692" s="1406"/>
      <c r="AL692" s="1406"/>
      <c r="AM692" s="1406"/>
      <c r="AN692" s="1406"/>
      <c r="AO692" s="1405"/>
      <c r="AP692" s="1405"/>
      <c r="AQ692" s="1405"/>
      <c r="AR692" s="1405"/>
      <c r="AS692" s="1405"/>
      <c r="AT692" s="1405"/>
      <c r="AU692" s="1405"/>
      <c r="AV692" s="1405"/>
    </row>
    <row r="693" spans="1:48" s="1431" customFormat="1">
      <c r="A693" s="1399"/>
      <c r="B693" s="1429"/>
      <c r="C693" s="1430"/>
      <c r="D693" s="1400"/>
      <c r="E693" s="1401"/>
      <c r="F693" s="1401"/>
      <c r="G693" s="1402"/>
      <c r="H693" s="1403"/>
      <c r="I693" s="1404"/>
      <c r="J693" s="1405"/>
      <c r="K693" s="1405"/>
      <c r="L693" s="1405"/>
      <c r="M693" s="1405"/>
      <c r="N693" s="1406"/>
      <c r="O693" s="1406"/>
      <c r="P693" s="1406"/>
      <c r="Q693" s="1406"/>
      <c r="R693" s="1406"/>
      <c r="S693" s="1406"/>
      <c r="T693" s="1406"/>
      <c r="U693" s="1406"/>
      <c r="V693" s="1406"/>
      <c r="W693" s="1406"/>
      <c r="X693" s="1406"/>
      <c r="Y693" s="1406"/>
      <c r="Z693" s="1406"/>
      <c r="AA693" s="1406"/>
      <c r="AB693" s="1406"/>
      <c r="AC693" s="1406"/>
      <c r="AD693" s="1406"/>
      <c r="AE693" s="1406"/>
      <c r="AF693" s="1406"/>
      <c r="AG693" s="1406"/>
      <c r="AH693" s="1406"/>
      <c r="AI693" s="1406"/>
      <c r="AJ693" s="1406"/>
      <c r="AK693" s="1406"/>
      <c r="AL693" s="1406"/>
      <c r="AM693" s="1406"/>
      <c r="AN693" s="1406"/>
      <c r="AO693" s="1405"/>
      <c r="AP693" s="1405"/>
      <c r="AQ693" s="1405"/>
      <c r="AR693" s="1405"/>
      <c r="AS693" s="1405"/>
      <c r="AT693" s="1405"/>
      <c r="AU693" s="1405"/>
      <c r="AV693" s="1405"/>
    </row>
    <row r="694" spans="1:48" s="1431" customFormat="1">
      <c r="A694" s="1399"/>
      <c r="B694" s="1429"/>
      <c r="C694" s="1430"/>
      <c r="D694" s="1400"/>
      <c r="E694" s="1401"/>
      <c r="F694" s="1401"/>
      <c r="G694" s="1402"/>
      <c r="H694" s="1403"/>
      <c r="I694" s="1404"/>
      <c r="J694" s="1405"/>
      <c r="K694" s="1405"/>
      <c r="L694" s="1405"/>
      <c r="M694" s="1405"/>
      <c r="N694" s="1406"/>
      <c r="O694" s="1406"/>
      <c r="P694" s="1406"/>
      <c r="Q694" s="1406"/>
      <c r="R694" s="1406"/>
      <c r="S694" s="1406"/>
      <c r="T694" s="1406"/>
      <c r="U694" s="1406"/>
      <c r="V694" s="1406"/>
      <c r="W694" s="1406"/>
      <c r="X694" s="1406"/>
      <c r="Y694" s="1406"/>
      <c r="Z694" s="1406"/>
      <c r="AA694" s="1406"/>
      <c r="AB694" s="1406"/>
      <c r="AC694" s="1406"/>
      <c r="AD694" s="1406"/>
      <c r="AE694" s="1406"/>
      <c r="AF694" s="1406"/>
      <c r="AG694" s="1406"/>
      <c r="AH694" s="1406"/>
      <c r="AI694" s="1406"/>
      <c r="AJ694" s="1406"/>
      <c r="AK694" s="1406"/>
      <c r="AL694" s="1406"/>
      <c r="AM694" s="1406"/>
      <c r="AN694" s="1406"/>
      <c r="AO694" s="1405"/>
      <c r="AP694" s="1405"/>
      <c r="AQ694" s="1405"/>
      <c r="AR694" s="1405"/>
      <c r="AS694" s="1405"/>
      <c r="AT694" s="1405"/>
      <c r="AU694" s="1405"/>
      <c r="AV694" s="1405"/>
    </row>
    <row r="695" spans="1:48" s="1431" customFormat="1">
      <c r="A695" s="1399"/>
      <c r="B695" s="1429"/>
      <c r="C695" s="1430"/>
      <c r="D695" s="1400"/>
      <c r="E695" s="1401"/>
      <c r="F695" s="1401"/>
      <c r="G695" s="1402"/>
      <c r="H695" s="1403"/>
      <c r="I695" s="1404"/>
      <c r="J695" s="1405"/>
      <c r="K695" s="1405"/>
      <c r="L695" s="1405"/>
      <c r="M695" s="1405"/>
      <c r="N695" s="1406"/>
      <c r="O695" s="1406"/>
      <c r="P695" s="1406"/>
      <c r="Q695" s="1406"/>
      <c r="R695" s="1406"/>
      <c r="S695" s="1406"/>
      <c r="T695" s="1406"/>
      <c r="U695" s="1406"/>
      <c r="V695" s="1406"/>
      <c r="W695" s="1406"/>
      <c r="X695" s="1406"/>
      <c r="Y695" s="1406"/>
      <c r="Z695" s="1406"/>
      <c r="AA695" s="1406"/>
      <c r="AB695" s="1406"/>
      <c r="AC695" s="1406"/>
      <c r="AD695" s="1406"/>
      <c r="AE695" s="1406"/>
      <c r="AF695" s="1406"/>
      <c r="AG695" s="1406"/>
      <c r="AH695" s="1406"/>
      <c r="AI695" s="1406"/>
      <c r="AJ695" s="1406"/>
      <c r="AK695" s="1406"/>
      <c r="AL695" s="1406"/>
      <c r="AM695" s="1406"/>
      <c r="AN695" s="1406"/>
      <c r="AO695" s="1405"/>
      <c r="AP695" s="1405"/>
      <c r="AQ695" s="1405"/>
      <c r="AR695" s="1405"/>
      <c r="AS695" s="1405"/>
      <c r="AT695" s="1405"/>
      <c r="AU695" s="1405"/>
      <c r="AV695" s="1405"/>
    </row>
    <row r="696" spans="1:48" s="1431" customFormat="1">
      <c r="A696" s="1399"/>
      <c r="B696" s="1429"/>
      <c r="C696" s="1430"/>
      <c r="D696" s="1400"/>
      <c r="E696" s="1401"/>
      <c r="F696" s="1401"/>
      <c r="G696" s="1402"/>
      <c r="H696" s="1403"/>
      <c r="I696" s="1404"/>
      <c r="J696" s="1405"/>
      <c r="K696" s="1405"/>
      <c r="L696" s="1405"/>
      <c r="M696" s="1405"/>
      <c r="N696" s="1406"/>
      <c r="O696" s="1406"/>
      <c r="P696" s="1406"/>
      <c r="Q696" s="1406"/>
      <c r="R696" s="1406"/>
      <c r="S696" s="1406"/>
      <c r="T696" s="1406"/>
      <c r="U696" s="1406"/>
      <c r="V696" s="1406"/>
      <c r="W696" s="1406"/>
      <c r="X696" s="1406"/>
      <c r="Y696" s="1406"/>
      <c r="Z696" s="1406"/>
      <c r="AA696" s="1406"/>
      <c r="AB696" s="1406"/>
      <c r="AC696" s="1406"/>
      <c r="AD696" s="1406"/>
      <c r="AE696" s="1406"/>
      <c r="AF696" s="1406"/>
      <c r="AG696" s="1406"/>
      <c r="AH696" s="1406"/>
      <c r="AI696" s="1406"/>
      <c r="AJ696" s="1406"/>
      <c r="AK696" s="1406"/>
      <c r="AL696" s="1406"/>
      <c r="AM696" s="1406"/>
      <c r="AN696" s="1406"/>
      <c r="AO696" s="1405"/>
      <c r="AP696" s="1405"/>
      <c r="AQ696" s="1405"/>
      <c r="AR696" s="1405"/>
      <c r="AS696" s="1405"/>
      <c r="AT696" s="1405"/>
      <c r="AU696" s="1405"/>
      <c r="AV696" s="1405"/>
    </row>
    <row r="697" spans="1:48" s="1431" customFormat="1">
      <c r="A697" s="1399"/>
      <c r="B697" s="1429"/>
      <c r="C697" s="1430"/>
      <c r="D697" s="1400"/>
      <c r="E697" s="1401"/>
      <c r="F697" s="1401"/>
      <c r="G697" s="1402"/>
      <c r="H697" s="1403"/>
      <c r="I697" s="1404"/>
      <c r="J697" s="1405"/>
      <c r="K697" s="1405"/>
      <c r="L697" s="1405"/>
      <c r="M697" s="1405"/>
      <c r="N697" s="1406"/>
      <c r="O697" s="1406"/>
      <c r="P697" s="1406"/>
      <c r="Q697" s="1406"/>
      <c r="R697" s="1406"/>
      <c r="S697" s="1406"/>
      <c r="T697" s="1406"/>
      <c r="U697" s="1406"/>
      <c r="V697" s="1406"/>
      <c r="W697" s="1406"/>
      <c r="X697" s="1406"/>
      <c r="Y697" s="1406"/>
      <c r="Z697" s="1406"/>
      <c r="AA697" s="1406"/>
      <c r="AB697" s="1406"/>
      <c r="AC697" s="1406"/>
      <c r="AD697" s="1406"/>
      <c r="AE697" s="1406"/>
      <c r="AF697" s="1406"/>
      <c r="AG697" s="1406"/>
      <c r="AH697" s="1406"/>
      <c r="AI697" s="1406"/>
      <c r="AJ697" s="1406"/>
      <c r="AK697" s="1406"/>
      <c r="AL697" s="1406"/>
      <c r="AM697" s="1406"/>
      <c r="AN697" s="1406"/>
      <c r="AO697" s="1405"/>
      <c r="AP697" s="1405"/>
      <c r="AQ697" s="1405"/>
      <c r="AR697" s="1405"/>
      <c r="AS697" s="1405"/>
      <c r="AT697" s="1405"/>
      <c r="AU697" s="1405"/>
      <c r="AV697" s="1405"/>
    </row>
    <row r="698" spans="1:48" s="1431" customFormat="1">
      <c r="A698" s="1399"/>
      <c r="B698" s="1429"/>
      <c r="C698" s="1430"/>
      <c r="D698" s="1400"/>
      <c r="E698" s="1401"/>
      <c r="F698" s="1401"/>
      <c r="G698" s="1402"/>
      <c r="H698" s="1403"/>
      <c r="I698" s="1404"/>
      <c r="J698" s="1405"/>
      <c r="K698" s="1405"/>
      <c r="L698" s="1405"/>
      <c r="M698" s="1405"/>
      <c r="N698" s="1406"/>
      <c r="O698" s="1406"/>
      <c r="P698" s="1406"/>
      <c r="Q698" s="1406"/>
      <c r="R698" s="1406"/>
      <c r="S698" s="1406"/>
      <c r="T698" s="1406"/>
      <c r="U698" s="1406"/>
      <c r="V698" s="1406"/>
      <c r="W698" s="1406"/>
      <c r="X698" s="1406"/>
      <c r="Y698" s="1406"/>
      <c r="Z698" s="1406"/>
      <c r="AA698" s="1406"/>
      <c r="AB698" s="1406"/>
      <c r="AC698" s="1406"/>
      <c r="AD698" s="1406"/>
      <c r="AE698" s="1406"/>
      <c r="AF698" s="1406"/>
      <c r="AG698" s="1406"/>
      <c r="AH698" s="1406"/>
      <c r="AI698" s="1406"/>
      <c r="AJ698" s="1406"/>
      <c r="AK698" s="1406"/>
      <c r="AL698" s="1406"/>
      <c r="AM698" s="1406"/>
      <c r="AN698" s="1406"/>
      <c r="AO698" s="1405"/>
      <c r="AP698" s="1405"/>
      <c r="AQ698" s="1405"/>
      <c r="AR698" s="1405"/>
      <c r="AS698" s="1405"/>
      <c r="AT698" s="1405"/>
      <c r="AU698" s="1405"/>
      <c r="AV698" s="1405"/>
    </row>
    <row r="699" spans="1:48" s="1431" customFormat="1">
      <c r="A699" s="1399"/>
      <c r="B699" s="1429"/>
      <c r="C699" s="1430"/>
      <c r="D699" s="1400"/>
      <c r="E699" s="1401"/>
      <c r="F699" s="1401"/>
      <c r="G699" s="1402"/>
      <c r="H699" s="1403"/>
      <c r="I699" s="1404"/>
      <c r="J699" s="1405"/>
      <c r="K699" s="1405"/>
      <c r="L699" s="1405"/>
      <c r="M699" s="1405"/>
      <c r="N699" s="1406"/>
      <c r="O699" s="1406"/>
      <c r="P699" s="1406"/>
      <c r="Q699" s="1406"/>
      <c r="R699" s="1406"/>
      <c r="S699" s="1406"/>
      <c r="T699" s="1406"/>
      <c r="U699" s="1406"/>
      <c r="V699" s="1406"/>
      <c r="W699" s="1406"/>
      <c r="X699" s="1406"/>
      <c r="Y699" s="1406"/>
      <c r="Z699" s="1406"/>
      <c r="AA699" s="1406"/>
      <c r="AB699" s="1406"/>
      <c r="AC699" s="1406"/>
      <c r="AD699" s="1406"/>
      <c r="AE699" s="1406"/>
      <c r="AF699" s="1406"/>
      <c r="AG699" s="1406"/>
      <c r="AH699" s="1406"/>
      <c r="AI699" s="1406"/>
      <c r="AJ699" s="1406"/>
      <c r="AK699" s="1406"/>
      <c r="AL699" s="1406"/>
      <c r="AM699" s="1406"/>
      <c r="AN699" s="1406"/>
      <c r="AO699" s="1405"/>
      <c r="AP699" s="1405"/>
      <c r="AQ699" s="1405"/>
      <c r="AR699" s="1405"/>
      <c r="AS699" s="1405"/>
      <c r="AT699" s="1405"/>
      <c r="AU699" s="1405"/>
      <c r="AV699" s="1405"/>
    </row>
    <row r="700" spans="1:48" s="1431" customFormat="1">
      <c r="A700" s="1399"/>
      <c r="B700" s="1429"/>
      <c r="C700" s="1430"/>
      <c r="D700" s="1400"/>
      <c r="E700" s="1401"/>
      <c r="F700" s="1401"/>
      <c r="G700" s="1402"/>
      <c r="H700" s="1403"/>
      <c r="I700" s="1404"/>
      <c r="J700" s="1405"/>
      <c r="K700" s="1405"/>
      <c r="L700" s="1405"/>
      <c r="M700" s="1405"/>
      <c r="N700" s="1406"/>
      <c r="O700" s="1406"/>
      <c r="P700" s="1406"/>
      <c r="Q700" s="1406"/>
      <c r="R700" s="1406"/>
      <c r="S700" s="1406"/>
      <c r="T700" s="1406"/>
      <c r="U700" s="1406"/>
      <c r="V700" s="1406"/>
      <c r="W700" s="1406"/>
      <c r="X700" s="1406"/>
      <c r="Y700" s="1406"/>
      <c r="Z700" s="1406"/>
      <c r="AA700" s="1406"/>
      <c r="AB700" s="1406"/>
      <c r="AC700" s="1406"/>
      <c r="AD700" s="1406"/>
      <c r="AE700" s="1406"/>
      <c r="AF700" s="1406"/>
      <c r="AG700" s="1406"/>
      <c r="AH700" s="1406"/>
      <c r="AI700" s="1406"/>
      <c r="AJ700" s="1406"/>
      <c r="AK700" s="1406"/>
      <c r="AL700" s="1406"/>
      <c r="AM700" s="1406"/>
      <c r="AN700" s="1406"/>
      <c r="AO700" s="1405"/>
      <c r="AP700" s="1405"/>
      <c r="AQ700" s="1405"/>
      <c r="AR700" s="1405"/>
      <c r="AS700" s="1405"/>
      <c r="AT700" s="1405"/>
      <c r="AU700" s="1405"/>
      <c r="AV700" s="1405"/>
    </row>
    <row r="701" spans="1:48" s="1431" customFormat="1">
      <c r="A701" s="1399"/>
      <c r="B701" s="1429"/>
      <c r="C701" s="1430"/>
      <c r="D701" s="1400"/>
      <c r="E701" s="1401"/>
      <c r="F701" s="1401"/>
      <c r="G701" s="1402"/>
      <c r="H701" s="1403"/>
      <c r="I701" s="1404"/>
      <c r="J701" s="1405"/>
      <c r="K701" s="1405"/>
      <c r="L701" s="1405"/>
      <c r="M701" s="1405"/>
      <c r="N701" s="1406"/>
      <c r="O701" s="1406"/>
      <c r="P701" s="1406"/>
      <c r="Q701" s="1406"/>
      <c r="R701" s="1406"/>
      <c r="S701" s="1406"/>
      <c r="T701" s="1406"/>
      <c r="U701" s="1406"/>
      <c r="V701" s="1406"/>
      <c r="W701" s="1406"/>
      <c r="X701" s="1406"/>
      <c r="Y701" s="1406"/>
      <c r="Z701" s="1406"/>
      <c r="AA701" s="1406"/>
      <c r="AB701" s="1406"/>
      <c r="AC701" s="1406"/>
      <c r="AD701" s="1406"/>
      <c r="AE701" s="1406"/>
      <c r="AF701" s="1406"/>
      <c r="AG701" s="1406"/>
      <c r="AH701" s="1406"/>
      <c r="AI701" s="1406"/>
      <c r="AJ701" s="1406"/>
      <c r="AK701" s="1406"/>
      <c r="AL701" s="1406"/>
      <c r="AM701" s="1406"/>
      <c r="AN701" s="1406"/>
      <c r="AO701" s="1405"/>
      <c r="AP701" s="1405"/>
      <c r="AQ701" s="1405"/>
      <c r="AR701" s="1405"/>
      <c r="AS701" s="1405"/>
      <c r="AT701" s="1405"/>
      <c r="AU701" s="1405"/>
      <c r="AV701" s="1405"/>
    </row>
    <row r="702" spans="1:48" s="1431" customFormat="1">
      <c r="A702" s="1399"/>
      <c r="B702" s="1429"/>
      <c r="C702" s="1430"/>
      <c r="D702" s="1400"/>
      <c r="E702" s="1401"/>
      <c r="F702" s="1401"/>
      <c r="G702" s="1402"/>
      <c r="H702" s="1403"/>
      <c r="I702" s="1404"/>
      <c r="J702" s="1405"/>
      <c r="K702" s="1405"/>
      <c r="L702" s="1405"/>
      <c r="M702" s="1405"/>
      <c r="N702" s="1406"/>
      <c r="O702" s="1406"/>
      <c r="P702" s="1406"/>
      <c r="Q702" s="1406"/>
      <c r="R702" s="1406"/>
      <c r="S702" s="1406"/>
      <c r="T702" s="1406"/>
      <c r="U702" s="1406"/>
      <c r="V702" s="1406"/>
      <c r="W702" s="1406"/>
      <c r="X702" s="1406"/>
      <c r="Y702" s="1406"/>
      <c r="Z702" s="1406"/>
      <c r="AA702" s="1406"/>
      <c r="AB702" s="1406"/>
      <c r="AC702" s="1406"/>
      <c r="AD702" s="1406"/>
      <c r="AE702" s="1406"/>
      <c r="AF702" s="1406"/>
      <c r="AG702" s="1406"/>
      <c r="AH702" s="1406"/>
      <c r="AI702" s="1406"/>
      <c r="AJ702" s="1406"/>
      <c r="AK702" s="1406"/>
      <c r="AL702" s="1406"/>
      <c r="AM702" s="1406"/>
      <c r="AN702" s="1406"/>
      <c r="AO702" s="1405"/>
      <c r="AP702" s="1405"/>
      <c r="AQ702" s="1405"/>
      <c r="AR702" s="1405"/>
      <c r="AS702" s="1405"/>
      <c r="AT702" s="1405"/>
      <c r="AU702" s="1405"/>
      <c r="AV702" s="1405"/>
    </row>
    <row r="703" spans="1:48" s="1431" customFormat="1">
      <c r="A703" s="1399"/>
      <c r="B703" s="1429"/>
      <c r="C703" s="1430"/>
      <c r="D703" s="1400"/>
      <c r="E703" s="1401"/>
      <c r="F703" s="1401"/>
      <c r="G703" s="1402"/>
      <c r="H703" s="1403"/>
      <c r="I703" s="1404"/>
      <c r="J703" s="1405"/>
      <c r="K703" s="1405"/>
      <c r="L703" s="1405"/>
      <c r="M703" s="1405"/>
      <c r="N703" s="1406"/>
      <c r="O703" s="1406"/>
      <c r="P703" s="1406"/>
      <c r="Q703" s="1406"/>
      <c r="R703" s="1406"/>
      <c r="S703" s="1406"/>
      <c r="T703" s="1406"/>
      <c r="U703" s="1406"/>
      <c r="V703" s="1406"/>
      <c r="W703" s="1406"/>
      <c r="X703" s="1406"/>
      <c r="Y703" s="1406"/>
      <c r="Z703" s="1406"/>
      <c r="AA703" s="1406"/>
      <c r="AB703" s="1406"/>
      <c r="AC703" s="1406"/>
      <c r="AD703" s="1406"/>
      <c r="AE703" s="1406"/>
      <c r="AF703" s="1406"/>
      <c r="AG703" s="1406"/>
      <c r="AH703" s="1406"/>
      <c r="AI703" s="1406"/>
      <c r="AJ703" s="1406"/>
      <c r="AK703" s="1406"/>
      <c r="AL703" s="1406"/>
      <c r="AM703" s="1406"/>
      <c r="AN703" s="1406"/>
      <c r="AO703" s="1405"/>
      <c r="AP703" s="1405"/>
      <c r="AQ703" s="1405"/>
      <c r="AR703" s="1405"/>
      <c r="AS703" s="1405"/>
      <c r="AT703" s="1405"/>
      <c r="AU703" s="1405"/>
      <c r="AV703" s="1405"/>
    </row>
    <row r="704" spans="1:48" s="1431" customFormat="1">
      <c r="A704" s="1399"/>
      <c r="B704" s="1429"/>
      <c r="C704" s="1430"/>
      <c r="D704" s="1400"/>
      <c r="E704" s="1401"/>
      <c r="F704" s="1401"/>
      <c r="G704" s="1402"/>
      <c r="H704" s="1403"/>
      <c r="I704" s="1404"/>
      <c r="J704" s="1405"/>
      <c r="K704" s="1405"/>
      <c r="L704" s="1405"/>
      <c r="M704" s="1405"/>
      <c r="N704" s="1406"/>
      <c r="O704" s="1406"/>
      <c r="P704" s="1406"/>
      <c r="Q704" s="1406"/>
      <c r="R704" s="1406"/>
      <c r="S704" s="1406"/>
      <c r="T704" s="1406"/>
      <c r="U704" s="1406"/>
      <c r="V704" s="1406"/>
      <c r="W704" s="1406"/>
      <c r="X704" s="1406"/>
      <c r="Y704" s="1406"/>
      <c r="Z704" s="1406"/>
      <c r="AA704" s="1406"/>
      <c r="AB704" s="1406"/>
      <c r="AC704" s="1406"/>
      <c r="AD704" s="1406"/>
      <c r="AE704" s="1406"/>
      <c r="AF704" s="1406"/>
      <c r="AG704" s="1406"/>
      <c r="AH704" s="1406"/>
      <c r="AI704" s="1406"/>
      <c r="AJ704" s="1406"/>
      <c r="AK704" s="1406"/>
      <c r="AL704" s="1406"/>
      <c r="AM704" s="1406"/>
      <c r="AN704" s="1406"/>
      <c r="AO704" s="1405"/>
      <c r="AP704" s="1405"/>
      <c r="AQ704" s="1405"/>
      <c r="AR704" s="1405"/>
      <c r="AS704" s="1405"/>
      <c r="AT704" s="1405"/>
      <c r="AU704" s="1405"/>
      <c r="AV704" s="1405"/>
    </row>
    <row r="705" spans="1:48" s="1431" customFormat="1">
      <c r="A705" s="1399"/>
      <c r="B705" s="1429"/>
      <c r="C705" s="1430"/>
      <c r="D705" s="1400"/>
      <c r="E705" s="1401"/>
      <c r="F705" s="1401"/>
      <c r="G705" s="1402"/>
      <c r="H705" s="1403"/>
      <c r="I705" s="1404"/>
      <c r="J705" s="1405"/>
      <c r="K705" s="1405"/>
      <c r="L705" s="1405"/>
      <c r="M705" s="1405"/>
      <c r="N705" s="1406"/>
      <c r="O705" s="1406"/>
      <c r="P705" s="1406"/>
      <c r="Q705" s="1406"/>
      <c r="R705" s="1406"/>
      <c r="S705" s="1406"/>
      <c r="T705" s="1406"/>
      <c r="U705" s="1406"/>
      <c r="V705" s="1406"/>
      <c r="W705" s="1406"/>
      <c r="X705" s="1406"/>
      <c r="Y705" s="1406"/>
      <c r="Z705" s="1406"/>
      <c r="AA705" s="1406"/>
      <c r="AB705" s="1406"/>
      <c r="AC705" s="1406"/>
      <c r="AD705" s="1406"/>
      <c r="AE705" s="1406"/>
      <c r="AF705" s="1406"/>
      <c r="AG705" s="1406"/>
      <c r="AH705" s="1406"/>
      <c r="AI705" s="1406"/>
      <c r="AJ705" s="1406"/>
      <c r="AK705" s="1406"/>
      <c r="AL705" s="1406"/>
      <c r="AM705" s="1406"/>
      <c r="AN705" s="1406"/>
      <c r="AO705" s="1405"/>
      <c r="AP705" s="1405"/>
      <c r="AQ705" s="1405"/>
      <c r="AR705" s="1405"/>
      <c r="AS705" s="1405"/>
      <c r="AT705" s="1405"/>
      <c r="AU705" s="1405"/>
      <c r="AV705" s="1405"/>
    </row>
    <row r="706" spans="1:48" s="1431" customFormat="1">
      <c r="A706" s="1399"/>
      <c r="B706" s="1429"/>
      <c r="C706" s="1430"/>
      <c r="D706" s="1400"/>
      <c r="E706" s="1401"/>
      <c r="F706" s="1401"/>
      <c r="G706" s="1402"/>
      <c r="H706" s="1403"/>
      <c r="I706" s="1404"/>
      <c r="J706" s="1405"/>
      <c r="K706" s="1405"/>
      <c r="L706" s="1405"/>
      <c r="M706" s="1405"/>
      <c r="N706" s="1406"/>
      <c r="O706" s="1406"/>
      <c r="P706" s="1406"/>
      <c r="Q706" s="1406"/>
      <c r="R706" s="1406"/>
      <c r="S706" s="1406"/>
      <c r="T706" s="1406"/>
      <c r="U706" s="1406"/>
      <c r="V706" s="1406"/>
      <c r="W706" s="1406"/>
      <c r="X706" s="1406"/>
      <c r="Y706" s="1406"/>
      <c r="Z706" s="1406"/>
      <c r="AA706" s="1406"/>
      <c r="AB706" s="1406"/>
      <c r="AC706" s="1406"/>
      <c r="AD706" s="1406"/>
      <c r="AE706" s="1406"/>
      <c r="AF706" s="1406"/>
      <c r="AG706" s="1406"/>
      <c r="AH706" s="1406"/>
      <c r="AI706" s="1406"/>
      <c r="AJ706" s="1406"/>
      <c r="AK706" s="1406"/>
      <c r="AL706" s="1406"/>
      <c r="AM706" s="1406"/>
      <c r="AN706" s="1406"/>
      <c r="AO706" s="1405"/>
      <c r="AP706" s="1405"/>
      <c r="AQ706" s="1405"/>
      <c r="AR706" s="1405"/>
      <c r="AS706" s="1405"/>
      <c r="AT706" s="1405"/>
      <c r="AU706" s="1405"/>
      <c r="AV706" s="1405"/>
    </row>
    <row r="707" spans="1:48" s="1431" customFormat="1">
      <c r="A707" s="1399"/>
      <c r="B707" s="1429"/>
      <c r="C707" s="1430"/>
      <c r="D707" s="1400"/>
      <c r="E707" s="1401"/>
      <c r="F707" s="1401"/>
      <c r="G707" s="1402"/>
      <c r="H707" s="1403"/>
      <c r="I707" s="1404"/>
      <c r="J707" s="1405"/>
      <c r="K707" s="1405"/>
      <c r="L707" s="1405"/>
      <c r="M707" s="1405"/>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L707" s="1406"/>
      <c r="AM707" s="1406"/>
      <c r="AN707" s="1406"/>
      <c r="AO707" s="1405"/>
      <c r="AP707" s="1405"/>
      <c r="AQ707" s="1405"/>
      <c r="AR707" s="1405"/>
      <c r="AS707" s="1405"/>
      <c r="AT707" s="1405"/>
      <c r="AU707" s="1405"/>
      <c r="AV707" s="1405"/>
    </row>
    <row r="708" spans="1:48" s="1431" customFormat="1">
      <c r="A708" s="1399"/>
      <c r="B708" s="1429"/>
      <c r="C708" s="1430"/>
      <c r="D708" s="1400"/>
      <c r="E708" s="1401"/>
      <c r="F708" s="1401"/>
      <c r="G708" s="1402"/>
      <c r="H708" s="1403"/>
      <c r="I708" s="1404"/>
      <c r="J708" s="1405"/>
      <c r="K708" s="1405"/>
      <c r="L708" s="1405"/>
      <c r="M708" s="1405"/>
      <c r="N708" s="1406"/>
      <c r="O708" s="1406"/>
      <c r="P708" s="1406"/>
      <c r="Q708" s="1406"/>
      <c r="R708" s="1406"/>
      <c r="S708" s="1406"/>
      <c r="T708" s="1406"/>
      <c r="U708" s="1406"/>
      <c r="V708" s="1406"/>
      <c r="W708" s="1406"/>
      <c r="X708" s="1406"/>
      <c r="Y708" s="1406"/>
      <c r="Z708" s="1406"/>
      <c r="AA708" s="1406"/>
      <c r="AB708" s="1406"/>
      <c r="AC708" s="1406"/>
      <c r="AD708" s="1406"/>
      <c r="AE708" s="1406"/>
      <c r="AF708" s="1406"/>
      <c r="AG708" s="1406"/>
      <c r="AH708" s="1406"/>
      <c r="AI708" s="1406"/>
      <c r="AJ708" s="1406"/>
      <c r="AK708" s="1406"/>
      <c r="AL708" s="1406"/>
      <c r="AM708" s="1406"/>
      <c r="AN708" s="1406"/>
      <c r="AO708" s="1405"/>
      <c r="AP708" s="1405"/>
      <c r="AQ708" s="1405"/>
      <c r="AR708" s="1405"/>
      <c r="AS708" s="1405"/>
      <c r="AT708" s="1405"/>
      <c r="AU708" s="1405"/>
      <c r="AV708" s="1405"/>
    </row>
    <row r="709" spans="1:48" s="1431" customFormat="1">
      <c r="A709" s="1399"/>
      <c r="B709" s="1429"/>
      <c r="C709" s="1430"/>
      <c r="D709" s="1400"/>
      <c r="E709" s="1401"/>
      <c r="F709" s="1401"/>
      <c r="G709" s="1402"/>
      <c r="H709" s="1403"/>
      <c r="I709" s="1404"/>
      <c r="J709" s="1405"/>
      <c r="K709" s="1405"/>
      <c r="L709" s="1405"/>
      <c r="M709" s="1405"/>
      <c r="N709" s="1406"/>
      <c r="O709" s="1406"/>
      <c r="P709" s="1406"/>
      <c r="Q709" s="1406"/>
      <c r="R709" s="1406"/>
      <c r="S709" s="1406"/>
      <c r="T709" s="1406"/>
      <c r="U709" s="1406"/>
      <c r="V709" s="1406"/>
      <c r="W709" s="1406"/>
      <c r="X709" s="1406"/>
      <c r="Y709" s="1406"/>
      <c r="Z709" s="1406"/>
      <c r="AA709" s="1406"/>
      <c r="AB709" s="1406"/>
      <c r="AC709" s="1406"/>
      <c r="AD709" s="1406"/>
      <c r="AE709" s="1406"/>
      <c r="AF709" s="1406"/>
      <c r="AG709" s="1406"/>
      <c r="AH709" s="1406"/>
      <c r="AI709" s="1406"/>
      <c r="AJ709" s="1406"/>
      <c r="AK709" s="1406"/>
      <c r="AL709" s="1406"/>
      <c r="AM709" s="1406"/>
      <c r="AN709" s="1406"/>
      <c r="AO709" s="1405"/>
      <c r="AP709" s="1405"/>
      <c r="AQ709" s="1405"/>
      <c r="AR709" s="1405"/>
      <c r="AS709" s="1405"/>
      <c r="AT709" s="1405"/>
      <c r="AU709" s="1405"/>
      <c r="AV709" s="1405"/>
    </row>
    <row r="710" spans="1:48" s="1431" customFormat="1">
      <c r="A710" s="1399"/>
      <c r="B710" s="1429"/>
      <c r="C710" s="1430"/>
      <c r="D710" s="1400"/>
      <c r="E710" s="1401"/>
      <c r="F710" s="1401"/>
      <c r="G710" s="1402"/>
      <c r="H710" s="1403"/>
      <c r="I710" s="1404"/>
      <c r="J710" s="1405"/>
      <c r="K710" s="1405"/>
      <c r="L710" s="1405"/>
      <c r="M710" s="1405"/>
      <c r="N710" s="1406"/>
      <c r="O710" s="1406"/>
      <c r="P710" s="1406"/>
      <c r="Q710" s="1406"/>
      <c r="R710" s="1406"/>
      <c r="S710" s="1406"/>
      <c r="T710" s="1406"/>
      <c r="U710" s="1406"/>
      <c r="V710" s="1406"/>
      <c r="W710" s="1406"/>
      <c r="X710" s="1406"/>
      <c r="Y710" s="1406"/>
      <c r="Z710" s="1406"/>
      <c r="AA710" s="1406"/>
      <c r="AB710" s="1406"/>
      <c r="AC710" s="1406"/>
      <c r="AD710" s="1406"/>
      <c r="AE710" s="1406"/>
      <c r="AF710" s="1406"/>
      <c r="AG710" s="1406"/>
      <c r="AH710" s="1406"/>
      <c r="AI710" s="1406"/>
      <c r="AJ710" s="1406"/>
      <c r="AK710" s="1406"/>
      <c r="AL710" s="1406"/>
      <c r="AM710" s="1406"/>
      <c r="AN710" s="1406"/>
      <c r="AO710" s="1405"/>
      <c r="AP710" s="1405"/>
      <c r="AQ710" s="1405"/>
      <c r="AR710" s="1405"/>
      <c r="AS710" s="1405"/>
      <c r="AT710" s="1405"/>
      <c r="AU710" s="1405"/>
      <c r="AV710" s="1405"/>
    </row>
    <row r="711" spans="1:48" s="1431" customFormat="1">
      <c r="A711" s="1399"/>
      <c r="B711" s="1429"/>
      <c r="C711" s="1430"/>
      <c r="D711" s="1400"/>
      <c r="E711" s="1401"/>
      <c r="F711" s="1401"/>
      <c r="G711" s="1402"/>
      <c r="H711" s="1403"/>
      <c r="I711" s="1404"/>
      <c r="J711" s="1405"/>
      <c r="K711" s="1405"/>
      <c r="L711" s="1405"/>
      <c r="M711" s="1405"/>
      <c r="N711" s="1406"/>
      <c r="O711" s="1406"/>
      <c r="P711" s="1406"/>
      <c r="Q711" s="1406"/>
      <c r="R711" s="1406"/>
      <c r="S711" s="1406"/>
      <c r="T711" s="1406"/>
      <c r="U711" s="1406"/>
      <c r="V711" s="1406"/>
      <c r="W711" s="1406"/>
      <c r="X711" s="1406"/>
      <c r="Y711" s="1406"/>
      <c r="Z711" s="1406"/>
      <c r="AA711" s="1406"/>
      <c r="AB711" s="1406"/>
      <c r="AC711" s="1406"/>
      <c r="AD711" s="1406"/>
      <c r="AE711" s="1406"/>
      <c r="AF711" s="1406"/>
      <c r="AG711" s="1406"/>
      <c r="AH711" s="1406"/>
      <c r="AI711" s="1406"/>
      <c r="AJ711" s="1406"/>
      <c r="AK711" s="1406"/>
      <c r="AL711" s="1406"/>
      <c r="AM711" s="1406"/>
      <c r="AN711" s="1406"/>
      <c r="AO711" s="1405"/>
      <c r="AP711" s="1405"/>
      <c r="AQ711" s="1405"/>
      <c r="AR711" s="1405"/>
      <c r="AS711" s="1405"/>
      <c r="AT711" s="1405"/>
      <c r="AU711" s="1405"/>
      <c r="AV711" s="1405"/>
    </row>
    <row r="712" spans="1:48" s="1431" customFormat="1">
      <c r="A712" s="1399"/>
      <c r="B712" s="1429"/>
      <c r="C712" s="1430"/>
      <c r="D712" s="1400"/>
      <c r="E712" s="1401"/>
      <c r="F712" s="1401"/>
      <c r="G712" s="1402"/>
      <c r="H712" s="1403"/>
      <c r="I712" s="1404"/>
      <c r="J712" s="1405"/>
      <c r="K712" s="1405"/>
      <c r="L712" s="1405"/>
      <c r="M712" s="1405"/>
      <c r="N712" s="1406"/>
      <c r="O712" s="1406"/>
      <c r="P712" s="1406"/>
      <c r="Q712" s="1406"/>
      <c r="R712" s="1406"/>
      <c r="S712" s="1406"/>
      <c r="T712" s="1406"/>
      <c r="U712" s="1406"/>
      <c r="V712" s="1406"/>
      <c r="W712" s="1406"/>
      <c r="X712" s="1406"/>
      <c r="Y712" s="1406"/>
      <c r="Z712" s="1406"/>
      <c r="AA712" s="1406"/>
      <c r="AB712" s="1406"/>
      <c r="AC712" s="1406"/>
      <c r="AD712" s="1406"/>
      <c r="AE712" s="1406"/>
      <c r="AF712" s="1406"/>
      <c r="AG712" s="1406"/>
      <c r="AH712" s="1406"/>
      <c r="AI712" s="1406"/>
      <c r="AJ712" s="1406"/>
      <c r="AK712" s="1406"/>
      <c r="AL712" s="1406"/>
      <c r="AM712" s="1406"/>
      <c r="AN712" s="1406"/>
      <c r="AO712" s="1405"/>
      <c r="AP712" s="1405"/>
      <c r="AQ712" s="1405"/>
      <c r="AR712" s="1405"/>
      <c r="AS712" s="1405"/>
      <c r="AT712" s="1405"/>
      <c r="AU712" s="1405"/>
      <c r="AV712" s="1405"/>
    </row>
    <row r="713" spans="1:48" s="1431" customFormat="1">
      <c r="A713" s="1399"/>
      <c r="B713" s="1429"/>
      <c r="C713" s="1430"/>
      <c r="D713" s="1400"/>
      <c r="E713" s="1401"/>
      <c r="F713" s="1401"/>
      <c r="G713" s="1402"/>
      <c r="H713" s="1403"/>
      <c r="I713" s="1404"/>
      <c r="J713" s="1405"/>
      <c r="K713" s="1405"/>
      <c r="L713" s="1405"/>
      <c r="M713" s="1405"/>
      <c r="N713" s="1406"/>
      <c r="O713" s="1406"/>
      <c r="P713" s="1406"/>
      <c r="Q713" s="1406"/>
      <c r="R713" s="1406"/>
      <c r="S713" s="1406"/>
      <c r="T713" s="1406"/>
      <c r="U713" s="1406"/>
      <c r="V713" s="1406"/>
      <c r="W713" s="1406"/>
      <c r="X713" s="1406"/>
      <c r="Y713" s="1406"/>
      <c r="Z713" s="1406"/>
      <c r="AA713" s="1406"/>
      <c r="AB713" s="1406"/>
      <c r="AC713" s="1406"/>
      <c r="AD713" s="1406"/>
      <c r="AE713" s="1406"/>
      <c r="AF713" s="1406"/>
      <c r="AG713" s="1406"/>
      <c r="AH713" s="1406"/>
      <c r="AI713" s="1406"/>
      <c r="AJ713" s="1406"/>
      <c r="AK713" s="1406"/>
      <c r="AL713" s="1406"/>
      <c r="AM713" s="1406"/>
      <c r="AN713" s="1406"/>
      <c r="AO713" s="1405"/>
      <c r="AP713" s="1405"/>
      <c r="AQ713" s="1405"/>
      <c r="AR713" s="1405"/>
      <c r="AS713" s="1405"/>
      <c r="AT713" s="1405"/>
      <c r="AU713" s="1405"/>
      <c r="AV713" s="1405"/>
    </row>
    <row r="714" spans="1:48" s="1431" customFormat="1">
      <c r="A714" s="1399"/>
      <c r="B714" s="1429"/>
      <c r="C714" s="1430"/>
      <c r="D714" s="1400"/>
      <c r="E714" s="1401"/>
      <c r="F714" s="1401"/>
      <c r="G714" s="1402"/>
      <c r="H714" s="1403"/>
      <c r="I714" s="1404"/>
      <c r="J714" s="1405"/>
      <c r="K714" s="1405"/>
      <c r="L714" s="1405"/>
      <c r="M714" s="1405"/>
      <c r="N714" s="1406"/>
      <c r="O714" s="1406"/>
      <c r="P714" s="1406"/>
      <c r="Q714" s="1406"/>
      <c r="R714" s="1406"/>
      <c r="S714" s="1406"/>
      <c r="T714" s="1406"/>
      <c r="U714" s="1406"/>
      <c r="V714" s="1406"/>
      <c r="W714" s="1406"/>
      <c r="X714" s="1406"/>
      <c r="Y714" s="1406"/>
      <c r="Z714" s="1406"/>
      <c r="AA714" s="1406"/>
      <c r="AB714" s="1406"/>
      <c r="AC714" s="1406"/>
      <c r="AD714" s="1406"/>
      <c r="AE714" s="1406"/>
      <c r="AF714" s="1406"/>
      <c r="AG714" s="1406"/>
      <c r="AH714" s="1406"/>
      <c r="AI714" s="1406"/>
      <c r="AJ714" s="1406"/>
      <c r="AK714" s="1406"/>
      <c r="AL714" s="1406"/>
      <c r="AM714" s="1406"/>
      <c r="AN714" s="1406"/>
      <c r="AO714" s="1405"/>
      <c r="AP714" s="1405"/>
      <c r="AQ714" s="1405"/>
      <c r="AR714" s="1405"/>
      <c r="AS714" s="1405"/>
      <c r="AT714" s="1405"/>
      <c r="AU714" s="1405"/>
      <c r="AV714" s="1405"/>
    </row>
    <row r="715" spans="1:48" s="1431" customFormat="1">
      <c r="A715" s="1399"/>
      <c r="B715" s="1429"/>
      <c r="C715" s="1430"/>
      <c r="D715" s="1400"/>
      <c r="E715" s="1401"/>
      <c r="F715" s="1401"/>
      <c r="G715" s="1402"/>
      <c r="H715" s="1403"/>
      <c r="I715" s="1404"/>
      <c r="J715" s="1405"/>
      <c r="K715" s="1405"/>
      <c r="L715" s="1405"/>
      <c r="M715" s="1405"/>
      <c r="N715" s="1406"/>
      <c r="O715" s="1406"/>
      <c r="P715" s="1406"/>
      <c r="Q715" s="1406"/>
      <c r="R715" s="1406"/>
      <c r="S715" s="1406"/>
      <c r="T715" s="1406"/>
      <c r="U715" s="1406"/>
      <c r="V715" s="1406"/>
      <c r="W715" s="1406"/>
      <c r="X715" s="1406"/>
      <c r="Y715" s="1406"/>
      <c r="Z715" s="1406"/>
      <c r="AA715" s="1406"/>
      <c r="AB715" s="1406"/>
      <c r="AC715" s="1406"/>
      <c r="AD715" s="1406"/>
      <c r="AE715" s="1406"/>
      <c r="AF715" s="1406"/>
      <c r="AG715" s="1406"/>
      <c r="AH715" s="1406"/>
      <c r="AI715" s="1406"/>
      <c r="AJ715" s="1406"/>
      <c r="AK715" s="1406"/>
      <c r="AL715" s="1406"/>
      <c r="AM715" s="1406"/>
      <c r="AN715" s="1406"/>
      <c r="AO715" s="1405"/>
      <c r="AP715" s="1405"/>
      <c r="AQ715" s="1405"/>
      <c r="AR715" s="1405"/>
      <c r="AS715" s="1405"/>
      <c r="AT715" s="1405"/>
      <c r="AU715" s="1405"/>
      <c r="AV715" s="1405"/>
    </row>
    <row r="716" spans="1:48" s="1431" customFormat="1">
      <c r="A716" s="1399"/>
      <c r="B716" s="1429"/>
      <c r="C716" s="1430"/>
      <c r="D716" s="1400"/>
      <c r="E716" s="1401"/>
      <c r="F716" s="1401"/>
      <c r="G716" s="1402"/>
      <c r="H716" s="1403"/>
      <c r="I716" s="1404"/>
      <c r="J716" s="1405"/>
      <c r="K716" s="1405"/>
      <c r="L716" s="1405"/>
      <c r="M716" s="1405"/>
      <c r="N716" s="1406"/>
      <c r="O716" s="1406"/>
      <c r="P716" s="1406"/>
      <c r="Q716" s="1406"/>
      <c r="R716" s="1406"/>
      <c r="S716" s="1406"/>
      <c r="T716" s="1406"/>
      <c r="U716" s="1406"/>
      <c r="V716" s="1406"/>
      <c r="W716" s="1406"/>
      <c r="X716" s="1406"/>
      <c r="Y716" s="1406"/>
      <c r="Z716" s="1406"/>
      <c r="AA716" s="1406"/>
      <c r="AB716" s="1406"/>
      <c r="AC716" s="1406"/>
      <c r="AD716" s="1406"/>
      <c r="AE716" s="1406"/>
      <c r="AF716" s="1406"/>
      <c r="AG716" s="1406"/>
      <c r="AH716" s="1406"/>
      <c r="AI716" s="1406"/>
      <c r="AJ716" s="1406"/>
      <c r="AK716" s="1406"/>
      <c r="AL716" s="1406"/>
      <c r="AM716" s="1406"/>
      <c r="AN716" s="1406"/>
      <c r="AO716" s="1405"/>
      <c r="AP716" s="1405"/>
      <c r="AQ716" s="1405"/>
      <c r="AR716" s="1405"/>
      <c r="AS716" s="1405"/>
      <c r="AT716" s="1405"/>
      <c r="AU716" s="1405"/>
      <c r="AV716" s="1405"/>
    </row>
    <row r="717" spans="1:48" s="1431" customFormat="1">
      <c r="A717" s="1399"/>
      <c r="B717" s="1429"/>
      <c r="C717" s="1430"/>
      <c r="D717" s="1400"/>
      <c r="E717" s="1401"/>
      <c r="F717" s="1401"/>
      <c r="G717" s="1402"/>
      <c r="H717" s="1403"/>
      <c r="I717" s="1404"/>
      <c r="J717" s="1405"/>
      <c r="K717" s="1405"/>
      <c r="L717" s="1405"/>
      <c r="M717" s="1405"/>
      <c r="N717" s="1406"/>
      <c r="O717" s="1406"/>
      <c r="P717" s="1406"/>
      <c r="Q717" s="1406"/>
      <c r="R717" s="1406"/>
      <c r="S717" s="1406"/>
      <c r="T717" s="1406"/>
      <c r="U717" s="1406"/>
      <c r="V717" s="1406"/>
      <c r="W717" s="1406"/>
      <c r="X717" s="1406"/>
      <c r="Y717" s="1406"/>
      <c r="Z717" s="1406"/>
      <c r="AA717" s="1406"/>
      <c r="AB717" s="1406"/>
      <c r="AC717" s="1406"/>
      <c r="AD717" s="1406"/>
      <c r="AE717" s="1406"/>
      <c r="AF717" s="1406"/>
      <c r="AG717" s="1406"/>
      <c r="AH717" s="1406"/>
      <c r="AI717" s="1406"/>
      <c r="AJ717" s="1406"/>
      <c r="AK717" s="1406"/>
      <c r="AL717" s="1406"/>
      <c r="AM717" s="1406"/>
      <c r="AN717" s="1406"/>
      <c r="AO717" s="1405"/>
      <c r="AP717" s="1405"/>
      <c r="AQ717" s="1405"/>
      <c r="AR717" s="1405"/>
      <c r="AS717" s="1405"/>
      <c r="AT717" s="1405"/>
      <c r="AU717" s="1405"/>
      <c r="AV717" s="1405"/>
    </row>
    <row r="718" spans="1:48" s="1431" customFormat="1">
      <c r="A718" s="1399"/>
      <c r="B718" s="1429"/>
      <c r="C718" s="1430"/>
      <c r="D718" s="1400"/>
      <c r="E718" s="1401"/>
      <c r="F718" s="1401"/>
      <c r="G718" s="1402"/>
      <c r="H718" s="1403"/>
      <c r="I718" s="1404"/>
      <c r="J718" s="1405"/>
      <c r="K718" s="1405"/>
      <c r="L718" s="1405"/>
      <c r="M718" s="1405"/>
      <c r="N718" s="1406"/>
      <c r="O718" s="1406"/>
      <c r="P718" s="1406"/>
      <c r="Q718" s="1406"/>
      <c r="R718" s="1406"/>
      <c r="S718" s="1406"/>
      <c r="T718" s="1406"/>
      <c r="U718" s="1406"/>
      <c r="V718" s="1406"/>
      <c r="W718" s="1406"/>
      <c r="X718" s="1406"/>
      <c r="Y718" s="1406"/>
      <c r="Z718" s="1406"/>
      <c r="AA718" s="1406"/>
      <c r="AB718" s="1406"/>
      <c r="AC718" s="1406"/>
      <c r="AD718" s="1406"/>
      <c r="AE718" s="1406"/>
      <c r="AF718" s="1406"/>
      <c r="AG718" s="1406"/>
      <c r="AH718" s="1406"/>
      <c r="AI718" s="1406"/>
      <c r="AJ718" s="1406"/>
      <c r="AK718" s="1406"/>
      <c r="AL718" s="1406"/>
      <c r="AM718" s="1406"/>
      <c r="AN718" s="1406"/>
      <c r="AO718" s="1405"/>
      <c r="AP718" s="1405"/>
      <c r="AQ718" s="1405"/>
      <c r="AR718" s="1405"/>
      <c r="AS718" s="1405"/>
      <c r="AT718" s="1405"/>
      <c r="AU718" s="1405"/>
      <c r="AV718" s="1405"/>
    </row>
    <row r="719" spans="1:48" s="1431" customFormat="1">
      <c r="A719" s="1399"/>
      <c r="B719" s="1429"/>
      <c r="C719" s="1430"/>
      <c r="D719" s="1400"/>
      <c r="E719" s="1401"/>
      <c r="F719" s="1401"/>
      <c r="G719" s="1402"/>
      <c r="H719" s="1403"/>
      <c r="I719" s="1404"/>
      <c r="J719" s="1405"/>
      <c r="K719" s="1405"/>
      <c r="L719" s="1405"/>
      <c r="M719" s="1405"/>
      <c r="N719" s="1406"/>
      <c r="O719" s="1406"/>
      <c r="P719" s="1406"/>
      <c r="Q719" s="1406"/>
      <c r="R719" s="1406"/>
      <c r="S719" s="1406"/>
      <c r="T719" s="1406"/>
      <c r="U719" s="1406"/>
      <c r="V719" s="1406"/>
      <c r="W719" s="1406"/>
      <c r="X719" s="1406"/>
      <c r="Y719" s="1406"/>
      <c r="Z719" s="1406"/>
      <c r="AA719" s="1406"/>
      <c r="AB719" s="1406"/>
      <c r="AC719" s="1406"/>
      <c r="AD719" s="1406"/>
      <c r="AE719" s="1406"/>
      <c r="AF719" s="1406"/>
      <c r="AG719" s="1406"/>
      <c r="AH719" s="1406"/>
      <c r="AI719" s="1406"/>
      <c r="AJ719" s="1406"/>
      <c r="AK719" s="1406"/>
      <c r="AL719" s="1406"/>
      <c r="AM719" s="1406"/>
      <c r="AN719" s="1406"/>
      <c r="AO719" s="1405"/>
      <c r="AP719" s="1405"/>
      <c r="AQ719" s="1405"/>
      <c r="AR719" s="1405"/>
      <c r="AS719" s="1405"/>
      <c r="AT719" s="1405"/>
      <c r="AU719" s="1405"/>
      <c r="AV719" s="1405"/>
    </row>
    <row r="720" spans="1:48" s="1431" customFormat="1">
      <c r="A720" s="1399"/>
      <c r="B720" s="1429"/>
      <c r="C720" s="1430"/>
      <c r="D720" s="1400"/>
      <c r="E720" s="1401"/>
      <c r="F720" s="1401"/>
      <c r="G720" s="1402"/>
      <c r="H720" s="1403"/>
      <c r="I720" s="1404"/>
      <c r="J720" s="1405"/>
      <c r="K720" s="1405"/>
      <c r="L720" s="1405"/>
      <c r="M720" s="1405"/>
      <c r="N720" s="1406"/>
      <c r="O720" s="1406"/>
      <c r="P720" s="1406"/>
      <c r="Q720" s="1406"/>
      <c r="R720" s="1406"/>
      <c r="S720" s="1406"/>
      <c r="T720" s="1406"/>
      <c r="U720" s="1406"/>
      <c r="V720" s="1406"/>
      <c r="W720" s="1406"/>
      <c r="X720" s="1406"/>
      <c r="Y720" s="1406"/>
      <c r="Z720" s="1406"/>
      <c r="AA720" s="1406"/>
      <c r="AB720" s="1406"/>
      <c r="AC720" s="1406"/>
      <c r="AD720" s="1406"/>
      <c r="AE720" s="1406"/>
      <c r="AF720" s="1406"/>
      <c r="AG720" s="1406"/>
      <c r="AH720" s="1406"/>
      <c r="AI720" s="1406"/>
      <c r="AJ720" s="1406"/>
      <c r="AK720" s="1406"/>
      <c r="AL720" s="1406"/>
      <c r="AM720" s="1406"/>
      <c r="AN720" s="1406"/>
      <c r="AO720" s="1405"/>
      <c r="AP720" s="1405"/>
      <c r="AQ720" s="1405"/>
      <c r="AR720" s="1405"/>
      <c r="AS720" s="1405"/>
      <c r="AT720" s="1405"/>
      <c r="AU720" s="1405"/>
      <c r="AV720" s="1405"/>
    </row>
    <row r="721" spans="1:48" s="1431" customFormat="1">
      <c r="A721" s="1399"/>
      <c r="B721" s="1429"/>
      <c r="C721" s="1430"/>
      <c r="D721" s="1400"/>
      <c r="E721" s="1401"/>
      <c r="F721" s="1401"/>
      <c r="G721" s="1402"/>
      <c r="H721" s="1403"/>
      <c r="I721" s="1404"/>
      <c r="J721" s="1405"/>
      <c r="K721" s="1405"/>
      <c r="L721" s="1405"/>
      <c r="M721" s="1405"/>
      <c r="N721" s="1406"/>
      <c r="O721" s="1406"/>
      <c r="P721" s="1406"/>
      <c r="Q721" s="1406"/>
      <c r="R721" s="1406"/>
      <c r="S721" s="1406"/>
      <c r="T721" s="1406"/>
      <c r="U721" s="1406"/>
      <c r="V721" s="1406"/>
      <c r="W721" s="1406"/>
      <c r="X721" s="1406"/>
      <c r="Y721" s="1406"/>
      <c r="Z721" s="1406"/>
      <c r="AA721" s="1406"/>
      <c r="AB721" s="1406"/>
      <c r="AC721" s="1406"/>
      <c r="AD721" s="1406"/>
      <c r="AE721" s="1406"/>
      <c r="AF721" s="1406"/>
      <c r="AG721" s="1406"/>
      <c r="AH721" s="1406"/>
      <c r="AI721" s="1406"/>
      <c r="AJ721" s="1406"/>
      <c r="AK721" s="1406"/>
      <c r="AL721" s="1406"/>
      <c r="AM721" s="1406"/>
      <c r="AN721" s="1406"/>
      <c r="AO721" s="1405"/>
      <c r="AP721" s="1405"/>
      <c r="AQ721" s="1405"/>
      <c r="AR721" s="1405"/>
      <c r="AS721" s="1405"/>
      <c r="AT721" s="1405"/>
      <c r="AU721" s="1405"/>
      <c r="AV721" s="1405"/>
    </row>
    <row r="722" spans="1:48" s="1431" customFormat="1">
      <c r="A722" s="1399"/>
      <c r="B722" s="1429"/>
      <c r="C722" s="1430"/>
      <c r="D722" s="1400"/>
      <c r="E722" s="1401"/>
      <c r="F722" s="1401"/>
      <c r="G722" s="1402"/>
      <c r="H722" s="1403"/>
      <c r="I722" s="1404"/>
      <c r="J722" s="1405"/>
      <c r="K722" s="1405"/>
      <c r="L722" s="1405"/>
      <c r="M722" s="1405"/>
      <c r="N722" s="1406"/>
      <c r="O722" s="1406"/>
      <c r="P722" s="1406"/>
      <c r="Q722" s="1406"/>
      <c r="R722" s="1406"/>
      <c r="S722" s="1406"/>
      <c r="T722" s="1406"/>
      <c r="U722" s="1406"/>
      <c r="V722" s="1406"/>
      <c r="W722" s="1406"/>
      <c r="X722" s="1406"/>
      <c r="Y722" s="1406"/>
      <c r="Z722" s="1406"/>
      <c r="AA722" s="1406"/>
      <c r="AB722" s="1406"/>
      <c r="AC722" s="1406"/>
      <c r="AD722" s="1406"/>
      <c r="AE722" s="1406"/>
      <c r="AF722" s="1406"/>
      <c r="AG722" s="1406"/>
      <c r="AH722" s="1406"/>
      <c r="AI722" s="1406"/>
      <c r="AJ722" s="1406"/>
      <c r="AK722" s="1406"/>
      <c r="AL722" s="1406"/>
      <c r="AM722" s="1406"/>
      <c r="AN722" s="1406"/>
      <c r="AO722" s="1405"/>
      <c r="AP722" s="1405"/>
      <c r="AQ722" s="1405"/>
      <c r="AR722" s="1405"/>
      <c r="AS722" s="1405"/>
      <c r="AT722" s="1405"/>
      <c r="AU722" s="1405"/>
      <c r="AV722" s="1405"/>
    </row>
    <row r="723" spans="1:48" s="1431" customFormat="1">
      <c r="A723" s="1399"/>
      <c r="B723" s="1429"/>
      <c r="C723" s="1430"/>
      <c r="D723" s="1400"/>
      <c r="E723" s="1401"/>
      <c r="F723" s="1401"/>
      <c r="G723" s="1402"/>
      <c r="H723" s="1403"/>
      <c r="I723" s="1404"/>
      <c r="J723" s="1405"/>
      <c r="K723" s="1405"/>
      <c r="L723" s="1405"/>
      <c r="M723" s="1405"/>
      <c r="N723" s="1406"/>
      <c r="O723" s="1406"/>
      <c r="P723" s="1406"/>
      <c r="Q723" s="1406"/>
      <c r="R723" s="1406"/>
      <c r="S723" s="1406"/>
      <c r="T723" s="1406"/>
      <c r="U723" s="1406"/>
      <c r="V723" s="1406"/>
      <c r="W723" s="1406"/>
      <c r="X723" s="1406"/>
      <c r="Y723" s="1406"/>
      <c r="Z723" s="1406"/>
      <c r="AA723" s="1406"/>
      <c r="AB723" s="1406"/>
      <c r="AC723" s="1406"/>
      <c r="AD723" s="1406"/>
      <c r="AE723" s="1406"/>
      <c r="AF723" s="1406"/>
      <c r="AG723" s="1406"/>
      <c r="AH723" s="1406"/>
      <c r="AI723" s="1406"/>
      <c r="AJ723" s="1406"/>
      <c r="AK723" s="1406"/>
      <c r="AL723" s="1406"/>
      <c r="AM723" s="1406"/>
      <c r="AN723" s="1406"/>
      <c r="AO723" s="1405"/>
      <c r="AP723" s="1405"/>
      <c r="AQ723" s="1405"/>
      <c r="AR723" s="1405"/>
      <c r="AS723" s="1405"/>
      <c r="AT723" s="1405"/>
      <c r="AU723" s="1405"/>
      <c r="AV723" s="1405"/>
    </row>
    <row r="724" spans="1:48" s="1431" customFormat="1">
      <c r="A724" s="1399"/>
      <c r="B724" s="1429"/>
      <c r="C724" s="1430"/>
      <c r="D724" s="1400"/>
      <c r="E724" s="1401"/>
      <c r="F724" s="1401"/>
      <c r="G724" s="1402"/>
      <c r="H724" s="1403"/>
      <c r="I724" s="1404"/>
      <c r="J724" s="1405"/>
      <c r="K724" s="1405"/>
      <c r="L724" s="1405"/>
      <c r="M724" s="1405"/>
      <c r="N724" s="1406"/>
      <c r="O724" s="1406"/>
      <c r="P724" s="1406"/>
      <c r="Q724" s="1406"/>
      <c r="R724" s="1406"/>
      <c r="S724" s="1406"/>
      <c r="T724" s="1406"/>
      <c r="U724" s="1406"/>
      <c r="V724" s="1406"/>
      <c r="W724" s="1406"/>
      <c r="X724" s="1406"/>
      <c r="Y724" s="1406"/>
      <c r="Z724" s="1406"/>
      <c r="AA724" s="1406"/>
      <c r="AB724" s="1406"/>
      <c r="AC724" s="1406"/>
      <c r="AD724" s="1406"/>
      <c r="AE724" s="1406"/>
      <c r="AF724" s="1406"/>
      <c r="AG724" s="1406"/>
      <c r="AH724" s="1406"/>
      <c r="AI724" s="1406"/>
      <c r="AJ724" s="1406"/>
      <c r="AK724" s="1406"/>
      <c r="AL724" s="1406"/>
      <c r="AM724" s="1406"/>
      <c r="AN724" s="1406"/>
      <c r="AO724" s="1405"/>
      <c r="AP724" s="1405"/>
      <c r="AQ724" s="1405"/>
      <c r="AR724" s="1405"/>
      <c r="AS724" s="1405"/>
      <c r="AT724" s="1405"/>
      <c r="AU724" s="1405"/>
      <c r="AV724" s="1405"/>
    </row>
    <row r="725" spans="1:48" s="1431" customFormat="1">
      <c r="A725" s="1399"/>
      <c r="B725" s="1429"/>
      <c r="C725" s="1430"/>
      <c r="D725" s="1400"/>
      <c r="E725" s="1401"/>
      <c r="F725" s="1401"/>
      <c r="G725" s="1402"/>
      <c r="H725" s="1403"/>
      <c r="I725" s="1404"/>
      <c r="J725" s="1405"/>
      <c r="K725" s="1405"/>
      <c r="L725" s="1405"/>
      <c r="M725" s="1405"/>
      <c r="N725" s="1406"/>
      <c r="O725" s="1406"/>
      <c r="P725" s="1406"/>
      <c r="Q725" s="1406"/>
      <c r="R725" s="1406"/>
      <c r="S725" s="1406"/>
      <c r="T725" s="1406"/>
      <c r="U725" s="1406"/>
      <c r="V725" s="1406"/>
      <c r="W725" s="1406"/>
      <c r="X725" s="1406"/>
      <c r="Y725" s="1406"/>
      <c r="Z725" s="1406"/>
      <c r="AA725" s="1406"/>
      <c r="AB725" s="1406"/>
      <c r="AC725" s="1406"/>
      <c r="AD725" s="1406"/>
      <c r="AE725" s="1406"/>
      <c r="AF725" s="1406"/>
      <c r="AG725" s="1406"/>
      <c r="AH725" s="1406"/>
      <c r="AI725" s="1406"/>
      <c r="AJ725" s="1406"/>
      <c r="AK725" s="1406"/>
      <c r="AL725" s="1406"/>
      <c r="AM725" s="1406"/>
      <c r="AN725" s="1406"/>
      <c r="AO725" s="1405"/>
      <c r="AP725" s="1405"/>
      <c r="AQ725" s="1405"/>
      <c r="AR725" s="1405"/>
      <c r="AS725" s="1405"/>
      <c r="AT725" s="1405"/>
      <c r="AU725" s="1405"/>
      <c r="AV725" s="1405"/>
    </row>
    <row r="726" spans="1:48" s="1431" customFormat="1">
      <c r="A726" s="1399"/>
      <c r="B726" s="1429"/>
      <c r="C726" s="1430"/>
      <c r="D726" s="1400"/>
      <c r="E726" s="1401"/>
      <c r="F726" s="1401"/>
      <c r="G726" s="1402"/>
      <c r="H726" s="1403"/>
      <c r="I726" s="1404"/>
      <c r="J726" s="1405"/>
      <c r="K726" s="1405"/>
      <c r="L726" s="1405"/>
      <c r="M726" s="1405"/>
      <c r="N726" s="1406"/>
      <c r="O726" s="1406"/>
      <c r="P726" s="1406"/>
      <c r="Q726" s="1406"/>
      <c r="R726" s="1406"/>
      <c r="S726" s="1406"/>
      <c r="T726" s="1406"/>
      <c r="U726" s="1406"/>
      <c r="V726" s="1406"/>
      <c r="W726" s="1406"/>
      <c r="X726" s="1406"/>
      <c r="Y726" s="1406"/>
      <c r="Z726" s="1406"/>
      <c r="AA726" s="1406"/>
      <c r="AB726" s="1406"/>
      <c r="AC726" s="1406"/>
      <c r="AD726" s="1406"/>
      <c r="AE726" s="1406"/>
      <c r="AF726" s="1406"/>
      <c r="AG726" s="1406"/>
      <c r="AH726" s="1406"/>
      <c r="AI726" s="1406"/>
      <c r="AJ726" s="1406"/>
      <c r="AK726" s="1406"/>
      <c r="AL726" s="1406"/>
      <c r="AM726" s="1406"/>
      <c r="AN726" s="1406"/>
      <c r="AO726" s="1405"/>
      <c r="AP726" s="1405"/>
      <c r="AQ726" s="1405"/>
      <c r="AR726" s="1405"/>
      <c r="AS726" s="1405"/>
      <c r="AT726" s="1405"/>
      <c r="AU726" s="1405"/>
      <c r="AV726" s="1405"/>
    </row>
    <row r="727" spans="1:48" s="1431" customFormat="1">
      <c r="A727" s="1399"/>
      <c r="B727" s="1429"/>
      <c r="C727" s="1430"/>
      <c r="D727" s="1400"/>
      <c r="E727" s="1401"/>
      <c r="F727" s="1401"/>
      <c r="G727" s="1402"/>
      <c r="H727" s="1403"/>
      <c r="I727" s="1404"/>
      <c r="J727" s="1405"/>
      <c r="K727" s="1405"/>
      <c r="L727" s="1405"/>
      <c r="M727" s="1405"/>
      <c r="N727" s="1406"/>
      <c r="O727" s="1406"/>
      <c r="P727" s="1406"/>
      <c r="Q727" s="1406"/>
      <c r="R727" s="1406"/>
      <c r="S727" s="1406"/>
      <c r="T727" s="1406"/>
      <c r="U727" s="1406"/>
      <c r="V727" s="1406"/>
      <c r="W727" s="1406"/>
      <c r="X727" s="1406"/>
      <c r="Y727" s="1406"/>
      <c r="Z727" s="1406"/>
      <c r="AA727" s="1406"/>
      <c r="AB727" s="1406"/>
      <c r="AC727" s="1406"/>
      <c r="AD727" s="1406"/>
      <c r="AE727" s="1406"/>
      <c r="AF727" s="1406"/>
      <c r="AG727" s="1406"/>
      <c r="AH727" s="1406"/>
      <c r="AI727" s="1406"/>
      <c r="AJ727" s="1406"/>
      <c r="AK727" s="1406"/>
      <c r="AL727" s="1406"/>
      <c r="AM727" s="1406"/>
      <c r="AN727" s="1406"/>
      <c r="AO727" s="1405"/>
      <c r="AP727" s="1405"/>
      <c r="AQ727" s="1405"/>
      <c r="AR727" s="1405"/>
      <c r="AS727" s="1405"/>
      <c r="AT727" s="1405"/>
      <c r="AU727" s="1405"/>
      <c r="AV727" s="1405"/>
    </row>
    <row r="728" spans="1:48" s="1431" customFormat="1">
      <c r="A728" s="1399"/>
      <c r="B728" s="1429"/>
      <c r="C728" s="1430"/>
      <c r="D728" s="1400"/>
      <c r="E728" s="1401"/>
      <c r="F728" s="1401"/>
      <c r="G728" s="1402"/>
      <c r="H728" s="1403"/>
      <c r="I728" s="1404"/>
      <c r="J728" s="1405"/>
      <c r="K728" s="1405"/>
      <c r="L728" s="1405"/>
      <c r="M728" s="1405"/>
      <c r="N728" s="1406"/>
      <c r="O728" s="1406"/>
      <c r="P728" s="1406"/>
      <c r="Q728" s="1406"/>
      <c r="R728" s="1406"/>
      <c r="S728" s="1406"/>
      <c r="T728" s="1406"/>
      <c r="U728" s="1406"/>
      <c r="V728" s="1406"/>
      <c r="W728" s="1406"/>
      <c r="X728" s="1406"/>
      <c r="Y728" s="1406"/>
      <c r="Z728" s="1406"/>
      <c r="AA728" s="1406"/>
      <c r="AB728" s="1406"/>
      <c r="AC728" s="1406"/>
      <c r="AD728" s="1406"/>
      <c r="AE728" s="1406"/>
      <c r="AF728" s="1406"/>
      <c r="AG728" s="1406"/>
      <c r="AH728" s="1406"/>
      <c r="AI728" s="1406"/>
      <c r="AJ728" s="1406"/>
      <c r="AK728" s="1406"/>
      <c r="AL728" s="1406"/>
      <c r="AM728" s="1406"/>
      <c r="AN728" s="1406"/>
      <c r="AO728" s="1405"/>
      <c r="AP728" s="1405"/>
      <c r="AQ728" s="1405"/>
      <c r="AR728" s="1405"/>
      <c r="AS728" s="1405"/>
      <c r="AT728" s="1405"/>
      <c r="AU728" s="1405"/>
      <c r="AV728" s="1405"/>
    </row>
    <row r="729" spans="1:48" s="1431" customFormat="1">
      <c r="A729" s="1399"/>
      <c r="B729" s="1429"/>
      <c r="C729" s="1430"/>
      <c r="D729" s="1400"/>
      <c r="E729" s="1401"/>
      <c r="F729" s="1401"/>
      <c r="G729" s="1402"/>
      <c r="H729" s="1403"/>
      <c r="I729" s="1404"/>
      <c r="J729" s="1405"/>
      <c r="K729" s="1405"/>
      <c r="L729" s="1405"/>
      <c r="M729" s="1405"/>
      <c r="N729" s="1406"/>
      <c r="O729" s="1406"/>
      <c r="P729" s="1406"/>
      <c r="Q729" s="1406"/>
      <c r="R729" s="1406"/>
      <c r="S729" s="1406"/>
      <c r="T729" s="1406"/>
      <c r="U729" s="1406"/>
      <c r="V729" s="1406"/>
      <c r="W729" s="1406"/>
      <c r="X729" s="1406"/>
      <c r="Y729" s="1406"/>
      <c r="Z729" s="1406"/>
      <c r="AA729" s="1406"/>
      <c r="AB729" s="1406"/>
      <c r="AC729" s="1406"/>
      <c r="AD729" s="1406"/>
      <c r="AE729" s="1406"/>
      <c r="AF729" s="1406"/>
      <c r="AG729" s="1406"/>
      <c r="AH729" s="1406"/>
      <c r="AI729" s="1406"/>
      <c r="AJ729" s="1406"/>
      <c r="AK729" s="1406"/>
      <c r="AL729" s="1406"/>
      <c r="AM729" s="1406"/>
      <c r="AN729" s="1406"/>
      <c r="AO729" s="1405"/>
      <c r="AP729" s="1405"/>
      <c r="AQ729" s="1405"/>
      <c r="AR729" s="1405"/>
      <c r="AS729" s="1405"/>
      <c r="AT729" s="1405"/>
      <c r="AU729" s="1405"/>
      <c r="AV729" s="1405"/>
    </row>
    <row r="730" spans="1:48" s="1431" customFormat="1">
      <c r="A730" s="1399"/>
      <c r="B730" s="1429"/>
      <c r="C730" s="1430"/>
      <c r="D730" s="1400"/>
      <c r="E730" s="1401"/>
      <c r="F730" s="1401"/>
      <c r="G730" s="1402"/>
      <c r="H730" s="1403"/>
      <c r="I730" s="1404"/>
      <c r="J730" s="1405"/>
      <c r="K730" s="1405"/>
      <c r="L730" s="1405"/>
      <c r="M730" s="1405"/>
      <c r="N730" s="1406"/>
      <c r="O730" s="1406"/>
      <c r="P730" s="1406"/>
      <c r="Q730" s="1406"/>
      <c r="R730" s="1406"/>
      <c r="S730" s="1406"/>
      <c r="T730" s="1406"/>
      <c r="U730" s="1406"/>
      <c r="V730" s="1406"/>
      <c r="W730" s="1406"/>
      <c r="X730" s="1406"/>
      <c r="Y730" s="1406"/>
      <c r="Z730" s="1406"/>
      <c r="AA730" s="1406"/>
      <c r="AB730" s="1406"/>
      <c r="AC730" s="1406"/>
      <c r="AD730" s="1406"/>
      <c r="AE730" s="1406"/>
      <c r="AF730" s="1406"/>
      <c r="AG730" s="1406"/>
      <c r="AH730" s="1406"/>
      <c r="AI730" s="1406"/>
      <c r="AJ730" s="1406"/>
      <c r="AK730" s="1406"/>
      <c r="AL730" s="1406"/>
      <c r="AM730" s="1406"/>
      <c r="AN730" s="1406"/>
      <c r="AO730" s="1405"/>
      <c r="AP730" s="1405"/>
      <c r="AQ730" s="1405"/>
      <c r="AR730" s="1405"/>
      <c r="AS730" s="1405"/>
      <c r="AT730" s="1405"/>
      <c r="AU730" s="1405"/>
      <c r="AV730" s="1405"/>
    </row>
    <row r="731" spans="1:48" s="1431" customFormat="1">
      <c r="A731" s="1399"/>
      <c r="B731" s="1429"/>
      <c r="C731" s="1430"/>
      <c r="D731" s="1400"/>
      <c r="E731" s="1401"/>
      <c r="F731" s="1401"/>
      <c r="G731" s="1402"/>
      <c r="H731" s="1403"/>
      <c r="I731" s="1404"/>
      <c r="J731" s="1405"/>
      <c r="K731" s="1405"/>
      <c r="L731" s="1405"/>
      <c r="M731" s="1405"/>
      <c r="N731" s="1406"/>
      <c r="O731" s="1406"/>
      <c r="P731" s="1406"/>
      <c r="Q731" s="1406"/>
      <c r="R731" s="1406"/>
      <c r="S731" s="1406"/>
      <c r="T731" s="1406"/>
      <c r="U731" s="1406"/>
      <c r="V731" s="1406"/>
      <c r="W731" s="1406"/>
      <c r="X731" s="1406"/>
      <c r="Y731" s="1406"/>
      <c r="Z731" s="1406"/>
      <c r="AA731" s="1406"/>
      <c r="AB731" s="1406"/>
      <c r="AC731" s="1406"/>
      <c r="AD731" s="1406"/>
      <c r="AE731" s="1406"/>
      <c r="AF731" s="1406"/>
      <c r="AG731" s="1406"/>
      <c r="AH731" s="1406"/>
      <c r="AI731" s="1406"/>
      <c r="AJ731" s="1406"/>
      <c r="AK731" s="1406"/>
      <c r="AL731" s="1406"/>
      <c r="AM731" s="1406"/>
      <c r="AN731" s="1406"/>
      <c r="AO731" s="1405"/>
      <c r="AP731" s="1405"/>
      <c r="AQ731" s="1405"/>
      <c r="AR731" s="1405"/>
      <c r="AS731" s="1405"/>
      <c r="AT731" s="1405"/>
      <c r="AU731" s="1405"/>
      <c r="AV731" s="1405"/>
    </row>
    <row r="732" spans="1:48" s="1431" customFormat="1">
      <c r="A732" s="1399"/>
      <c r="B732" s="1429"/>
      <c r="C732" s="1430"/>
      <c r="D732" s="1400"/>
      <c r="E732" s="1401"/>
      <c r="F732" s="1401"/>
      <c r="G732" s="1402"/>
      <c r="H732" s="1403"/>
      <c r="I732" s="1404"/>
      <c r="J732" s="1405"/>
      <c r="K732" s="1405"/>
      <c r="L732" s="1405"/>
      <c r="M732" s="1405"/>
      <c r="N732" s="1406"/>
      <c r="O732" s="1406"/>
      <c r="P732" s="1406"/>
      <c r="Q732" s="1406"/>
      <c r="R732" s="1406"/>
      <c r="S732" s="1406"/>
      <c r="T732" s="1406"/>
      <c r="U732" s="1406"/>
      <c r="V732" s="1406"/>
      <c r="W732" s="1406"/>
      <c r="X732" s="1406"/>
      <c r="Y732" s="1406"/>
      <c r="Z732" s="1406"/>
      <c r="AA732" s="1406"/>
      <c r="AB732" s="1406"/>
      <c r="AC732" s="1406"/>
      <c r="AD732" s="1406"/>
      <c r="AE732" s="1406"/>
      <c r="AF732" s="1406"/>
      <c r="AG732" s="1406"/>
      <c r="AH732" s="1406"/>
      <c r="AI732" s="1406"/>
      <c r="AJ732" s="1406"/>
      <c r="AK732" s="1406"/>
      <c r="AL732" s="1406"/>
      <c r="AM732" s="1406"/>
      <c r="AN732" s="1406"/>
      <c r="AO732" s="1405"/>
      <c r="AP732" s="1405"/>
      <c r="AQ732" s="1405"/>
      <c r="AR732" s="1405"/>
      <c r="AS732" s="1405"/>
      <c r="AT732" s="1405"/>
      <c r="AU732" s="1405"/>
      <c r="AV732" s="1405"/>
    </row>
    <row r="733" spans="1:48" s="1431" customFormat="1">
      <c r="A733" s="1399"/>
      <c r="B733" s="1429"/>
      <c r="C733" s="1430"/>
      <c r="D733" s="1400"/>
      <c r="E733" s="1401"/>
      <c r="F733" s="1401"/>
      <c r="G733" s="1402"/>
      <c r="H733" s="1403"/>
      <c r="I733" s="1404"/>
      <c r="J733" s="1405"/>
      <c r="K733" s="1405"/>
      <c r="L733" s="1405"/>
      <c r="M733" s="1405"/>
      <c r="N733" s="1406"/>
      <c r="O733" s="1406"/>
      <c r="P733" s="1406"/>
      <c r="Q733" s="1406"/>
      <c r="R733" s="1406"/>
      <c r="S733" s="1406"/>
      <c r="T733" s="1406"/>
      <c r="U733" s="1406"/>
      <c r="V733" s="1406"/>
      <c r="W733" s="1406"/>
      <c r="X733" s="1406"/>
      <c r="Y733" s="1406"/>
      <c r="Z733" s="1406"/>
      <c r="AA733" s="1406"/>
      <c r="AB733" s="1406"/>
      <c r="AC733" s="1406"/>
      <c r="AD733" s="1406"/>
      <c r="AE733" s="1406"/>
      <c r="AF733" s="1406"/>
      <c r="AG733" s="1406"/>
      <c r="AH733" s="1406"/>
      <c r="AI733" s="1406"/>
      <c r="AJ733" s="1406"/>
      <c r="AK733" s="1406"/>
      <c r="AL733" s="1406"/>
      <c r="AM733" s="1406"/>
      <c r="AN733" s="1406"/>
      <c r="AO733" s="1405"/>
      <c r="AP733" s="1405"/>
      <c r="AQ733" s="1405"/>
      <c r="AR733" s="1405"/>
      <c r="AS733" s="1405"/>
      <c r="AT733" s="1405"/>
      <c r="AU733" s="1405"/>
      <c r="AV733" s="1405"/>
    </row>
    <row r="734" spans="1:48" s="1431" customFormat="1">
      <c r="A734" s="1399"/>
      <c r="B734" s="1429"/>
      <c r="C734" s="1430"/>
      <c r="D734" s="1400"/>
      <c r="E734" s="1401"/>
      <c r="F734" s="1401"/>
      <c r="G734" s="1402"/>
      <c r="H734" s="1403"/>
      <c r="I734" s="1404"/>
      <c r="J734" s="1405"/>
      <c r="K734" s="1405"/>
      <c r="L734" s="1405"/>
      <c r="M734" s="1405"/>
      <c r="N734" s="1406"/>
      <c r="O734" s="1406"/>
      <c r="P734" s="1406"/>
      <c r="Q734" s="1406"/>
      <c r="R734" s="1406"/>
      <c r="S734" s="1406"/>
      <c r="T734" s="1406"/>
      <c r="U734" s="1406"/>
      <c r="V734" s="1406"/>
      <c r="W734" s="1406"/>
      <c r="X734" s="1406"/>
      <c r="Y734" s="1406"/>
      <c r="Z734" s="1406"/>
      <c r="AA734" s="1406"/>
      <c r="AB734" s="1406"/>
      <c r="AC734" s="1406"/>
      <c r="AD734" s="1406"/>
      <c r="AE734" s="1406"/>
      <c r="AF734" s="1406"/>
      <c r="AG734" s="1406"/>
      <c r="AH734" s="1406"/>
      <c r="AI734" s="1406"/>
      <c r="AJ734" s="1406"/>
      <c r="AK734" s="1406"/>
      <c r="AL734" s="1406"/>
      <c r="AM734" s="1406"/>
      <c r="AN734" s="1406"/>
      <c r="AO734" s="1405"/>
      <c r="AP734" s="1405"/>
      <c r="AQ734" s="1405"/>
      <c r="AR734" s="1405"/>
      <c r="AS734" s="1405"/>
      <c r="AT734" s="1405"/>
      <c r="AU734" s="1405"/>
      <c r="AV734" s="1405"/>
    </row>
    <row r="735" spans="1:48" s="1431" customFormat="1">
      <c r="A735" s="1399"/>
      <c r="B735" s="1429"/>
      <c r="C735" s="1430"/>
      <c r="D735" s="1400"/>
      <c r="E735" s="1401"/>
      <c r="F735" s="1401"/>
      <c r="G735" s="1402"/>
      <c r="H735" s="1403"/>
      <c r="I735" s="1404"/>
      <c r="J735" s="1405"/>
      <c r="K735" s="1405"/>
      <c r="L735" s="1405"/>
      <c r="M735" s="1405"/>
      <c r="N735" s="1406"/>
      <c r="O735" s="1406"/>
      <c r="P735" s="1406"/>
      <c r="Q735" s="1406"/>
      <c r="R735" s="1406"/>
      <c r="S735" s="1406"/>
      <c r="T735" s="1406"/>
      <c r="U735" s="1406"/>
      <c r="V735" s="1406"/>
      <c r="W735" s="1406"/>
      <c r="X735" s="1406"/>
      <c r="Y735" s="1406"/>
      <c r="Z735" s="1406"/>
      <c r="AA735" s="1406"/>
      <c r="AB735" s="1406"/>
      <c r="AC735" s="1406"/>
      <c r="AD735" s="1406"/>
      <c r="AE735" s="1406"/>
      <c r="AF735" s="1406"/>
      <c r="AG735" s="1406"/>
      <c r="AH735" s="1406"/>
      <c r="AI735" s="1406"/>
      <c r="AJ735" s="1406"/>
      <c r="AK735" s="1406"/>
      <c r="AL735" s="1406"/>
      <c r="AM735" s="1406"/>
      <c r="AN735" s="1406"/>
      <c r="AO735" s="1405"/>
      <c r="AP735" s="1405"/>
      <c r="AQ735" s="1405"/>
      <c r="AR735" s="1405"/>
      <c r="AS735" s="1405"/>
      <c r="AT735" s="1405"/>
      <c r="AU735" s="1405"/>
      <c r="AV735" s="1405"/>
    </row>
    <row r="736" spans="1:48" s="1431" customFormat="1">
      <c r="A736" s="1399"/>
      <c r="B736" s="1429"/>
      <c r="C736" s="1430"/>
      <c r="D736" s="1400"/>
      <c r="E736" s="1401"/>
      <c r="F736" s="1401"/>
      <c r="G736" s="1402"/>
      <c r="H736" s="1403"/>
      <c r="I736" s="1404"/>
      <c r="J736" s="1405"/>
      <c r="K736" s="1405"/>
      <c r="L736" s="1405"/>
      <c r="M736" s="1405"/>
      <c r="N736" s="1406"/>
      <c r="O736" s="1406"/>
      <c r="P736" s="1406"/>
      <c r="Q736" s="1406"/>
      <c r="R736" s="1406"/>
      <c r="S736" s="1406"/>
      <c r="T736" s="1406"/>
      <c r="U736" s="1406"/>
      <c r="V736" s="1406"/>
      <c r="W736" s="1406"/>
      <c r="X736" s="1406"/>
      <c r="Y736" s="1406"/>
      <c r="Z736" s="1406"/>
      <c r="AA736" s="1406"/>
      <c r="AB736" s="1406"/>
      <c r="AC736" s="1406"/>
      <c r="AD736" s="1406"/>
      <c r="AE736" s="1406"/>
      <c r="AF736" s="1406"/>
      <c r="AG736" s="1406"/>
      <c r="AH736" s="1406"/>
      <c r="AI736" s="1406"/>
      <c r="AJ736" s="1406"/>
      <c r="AK736" s="1406"/>
      <c r="AL736" s="1406"/>
      <c r="AM736" s="1406"/>
      <c r="AN736" s="1406"/>
      <c r="AO736" s="1405"/>
      <c r="AP736" s="1405"/>
      <c r="AQ736" s="1405"/>
      <c r="AR736" s="1405"/>
      <c r="AS736" s="1405"/>
      <c r="AT736" s="1405"/>
      <c r="AU736" s="1405"/>
      <c r="AV736" s="1405"/>
    </row>
    <row r="737" spans="1:48" s="1431" customFormat="1">
      <c r="A737" s="1399"/>
      <c r="B737" s="1429"/>
      <c r="C737" s="1430"/>
      <c r="D737" s="1400"/>
      <c r="E737" s="1401"/>
      <c r="F737" s="1401"/>
      <c r="G737" s="1402"/>
      <c r="H737" s="1403"/>
      <c r="I737" s="1404"/>
      <c r="J737" s="1405"/>
      <c r="K737" s="1405"/>
      <c r="L737" s="1405"/>
      <c r="M737" s="1405"/>
      <c r="N737" s="1406"/>
      <c r="O737" s="1406"/>
      <c r="P737" s="1406"/>
      <c r="Q737" s="1406"/>
      <c r="R737" s="1406"/>
      <c r="S737" s="1406"/>
      <c r="T737" s="1406"/>
      <c r="U737" s="1406"/>
      <c r="V737" s="1406"/>
      <c r="W737" s="1406"/>
      <c r="X737" s="1406"/>
      <c r="Y737" s="1406"/>
      <c r="Z737" s="1406"/>
      <c r="AA737" s="1406"/>
      <c r="AB737" s="1406"/>
      <c r="AC737" s="1406"/>
      <c r="AD737" s="1406"/>
      <c r="AE737" s="1406"/>
      <c r="AF737" s="1406"/>
      <c r="AG737" s="1406"/>
      <c r="AH737" s="1406"/>
      <c r="AI737" s="1406"/>
      <c r="AJ737" s="1406"/>
      <c r="AK737" s="1406"/>
      <c r="AL737" s="1406"/>
      <c r="AM737" s="1406"/>
      <c r="AN737" s="1406"/>
      <c r="AO737" s="1405"/>
      <c r="AP737" s="1405"/>
      <c r="AQ737" s="1405"/>
      <c r="AR737" s="1405"/>
      <c r="AS737" s="1405"/>
      <c r="AT737" s="1405"/>
      <c r="AU737" s="1405"/>
      <c r="AV737" s="1405"/>
    </row>
    <row r="738" spans="1:48" s="1431" customFormat="1">
      <c r="A738" s="1399"/>
      <c r="B738" s="1429"/>
      <c r="C738" s="1430"/>
      <c r="D738" s="1400"/>
      <c r="E738" s="1401"/>
      <c r="F738" s="1401"/>
      <c r="G738" s="1402"/>
      <c r="H738" s="1403"/>
      <c r="I738" s="1404"/>
      <c r="J738" s="1405"/>
      <c r="K738" s="1405"/>
      <c r="L738" s="1405"/>
      <c r="M738" s="1405"/>
      <c r="N738" s="1406"/>
      <c r="O738" s="1406"/>
      <c r="P738" s="1406"/>
      <c r="Q738" s="1406"/>
      <c r="R738" s="1406"/>
      <c r="S738" s="1406"/>
      <c r="T738" s="1406"/>
      <c r="U738" s="1406"/>
      <c r="V738" s="1406"/>
      <c r="W738" s="1406"/>
      <c r="X738" s="1406"/>
      <c r="Y738" s="1406"/>
      <c r="Z738" s="1406"/>
      <c r="AA738" s="1406"/>
      <c r="AB738" s="1406"/>
      <c r="AC738" s="1406"/>
      <c r="AD738" s="1406"/>
      <c r="AE738" s="1406"/>
      <c r="AF738" s="1406"/>
      <c r="AG738" s="1406"/>
      <c r="AH738" s="1406"/>
      <c r="AI738" s="1406"/>
      <c r="AJ738" s="1406"/>
      <c r="AK738" s="1406"/>
      <c r="AL738" s="1406"/>
      <c r="AM738" s="1406"/>
      <c r="AN738" s="1406"/>
      <c r="AO738" s="1405"/>
      <c r="AP738" s="1405"/>
      <c r="AQ738" s="1405"/>
      <c r="AR738" s="1405"/>
      <c r="AS738" s="1405"/>
      <c r="AT738" s="1405"/>
      <c r="AU738" s="1405"/>
      <c r="AV738" s="1405"/>
    </row>
    <row r="739" spans="1:48" s="1431" customFormat="1">
      <c r="A739" s="1399"/>
      <c r="B739" s="1429"/>
      <c r="C739" s="1430"/>
      <c r="D739" s="1400"/>
      <c r="E739" s="1401"/>
      <c r="F739" s="1401"/>
      <c r="G739" s="1402"/>
      <c r="H739" s="1403"/>
      <c r="I739" s="1404"/>
      <c r="J739" s="1405"/>
      <c r="K739" s="1405"/>
      <c r="L739" s="1405"/>
      <c r="M739" s="1405"/>
      <c r="N739" s="1406"/>
      <c r="O739" s="1406"/>
      <c r="P739" s="1406"/>
      <c r="Q739" s="1406"/>
      <c r="R739" s="1406"/>
      <c r="S739" s="1406"/>
      <c r="T739" s="1406"/>
      <c r="U739" s="1406"/>
      <c r="V739" s="1406"/>
      <c r="W739" s="1406"/>
      <c r="X739" s="1406"/>
      <c r="Y739" s="1406"/>
      <c r="Z739" s="1406"/>
      <c r="AA739" s="1406"/>
      <c r="AB739" s="1406"/>
      <c r="AC739" s="1406"/>
      <c r="AD739" s="1406"/>
      <c r="AE739" s="1406"/>
      <c r="AF739" s="1406"/>
      <c r="AG739" s="1406"/>
      <c r="AH739" s="1406"/>
      <c r="AI739" s="1406"/>
      <c r="AJ739" s="1406"/>
      <c r="AK739" s="1406"/>
      <c r="AL739" s="1406"/>
      <c r="AM739" s="1406"/>
      <c r="AN739" s="1406"/>
      <c r="AO739" s="1405"/>
      <c r="AP739" s="1405"/>
      <c r="AQ739" s="1405"/>
      <c r="AR739" s="1405"/>
      <c r="AS739" s="1405"/>
      <c r="AT739" s="1405"/>
      <c r="AU739" s="1405"/>
      <c r="AV739" s="1405"/>
    </row>
    <row r="740" spans="1:48" s="1431" customFormat="1">
      <c r="A740" s="1399"/>
      <c r="B740" s="1429"/>
      <c r="C740" s="1430"/>
      <c r="D740" s="1400"/>
      <c r="E740" s="1401"/>
      <c r="F740" s="1401"/>
      <c r="G740" s="1402"/>
      <c r="H740" s="1403"/>
      <c r="I740" s="1404"/>
      <c r="J740" s="1405"/>
      <c r="K740" s="1405"/>
      <c r="L740" s="1405"/>
      <c r="M740" s="1405"/>
      <c r="N740" s="1406"/>
      <c r="O740" s="1406"/>
      <c r="P740" s="1406"/>
      <c r="Q740" s="1406"/>
      <c r="R740" s="1406"/>
      <c r="S740" s="1406"/>
      <c r="T740" s="1406"/>
      <c r="U740" s="1406"/>
      <c r="V740" s="1406"/>
      <c r="W740" s="1406"/>
      <c r="X740" s="1406"/>
      <c r="Y740" s="1406"/>
      <c r="Z740" s="1406"/>
      <c r="AA740" s="1406"/>
      <c r="AB740" s="1406"/>
      <c r="AC740" s="1406"/>
      <c r="AD740" s="1406"/>
      <c r="AE740" s="1406"/>
      <c r="AF740" s="1406"/>
      <c r="AG740" s="1406"/>
      <c r="AH740" s="1406"/>
      <c r="AI740" s="1406"/>
      <c r="AJ740" s="1406"/>
      <c r="AK740" s="1406"/>
      <c r="AL740" s="1406"/>
      <c r="AM740" s="1406"/>
      <c r="AN740" s="1406"/>
      <c r="AO740" s="1405"/>
      <c r="AP740" s="1405"/>
      <c r="AQ740" s="1405"/>
      <c r="AR740" s="1405"/>
      <c r="AS740" s="1405"/>
      <c r="AT740" s="1405"/>
      <c r="AU740" s="1405"/>
      <c r="AV740" s="1405"/>
    </row>
    <row r="741" spans="1:48" s="1431" customFormat="1">
      <c r="A741" s="1399"/>
      <c r="B741" s="1429"/>
      <c r="C741" s="1430"/>
      <c r="D741" s="1400"/>
      <c r="E741" s="1401"/>
      <c r="F741" s="1401"/>
      <c r="G741" s="1402"/>
      <c r="H741" s="1403"/>
      <c r="I741" s="1404"/>
      <c r="J741" s="1405"/>
      <c r="K741" s="1405"/>
      <c r="L741" s="1405"/>
      <c r="M741" s="1405"/>
      <c r="N741" s="1406"/>
      <c r="O741" s="1406"/>
      <c r="P741" s="1406"/>
      <c r="Q741" s="1406"/>
      <c r="R741" s="1406"/>
      <c r="S741" s="1406"/>
      <c r="T741" s="1406"/>
      <c r="U741" s="1406"/>
      <c r="V741" s="1406"/>
      <c r="W741" s="1406"/>
      <c r="X741" s="1406"/>
      <c r="Y741" s="1406"/>
      <c r="Z741" s="1406"/>
      <c r="AA741" s="1406"/>
      <c r="AB741" s="1406"/>
      <c r="AC741" s="1406"/>
      <c r="AD741" s="1406"/>
      <c r="AE741" s="1406"/>
      <c r="AF741" s="1406"/>
      <c r="AG741" s="1406"/>
      <c r="AH741" s="1406"/>
      <c r="AI741" s="1406"/>
      <c r="AJ741" s="1406"/>
      <c r="AK741" s="1406"/>
      <c r="AL741" s="1406"/>
      <c r="AM741" s="1406"/>
      <c r="AN741" s="1406"/>
      <c r="AO741" s="1405"/>
      <c r="AP741" s="1405"/>
      <c r="AQ741" s="1405"/>
      <c r="AR741" s="1405"/>
      <c r="AS741" s="1405"/>
      <c r="AT741" s="1405"/>
      <c r="AU741" s="1405"/>
      <c r="AV741" s="1405"/>
    </row>
    <row r="742" spans="1:48" s="1431" customFormat="1">
      <c r="A742" s="1399"/>
      <c r="B742" s="1429"/>
      <c r="C742" s="1430"/>
      <c r="D742" s="1400"/>
      <c r="E742" s="1401"/>
      <c r="F742" s="1401"/>
      <c r="G742" s="1402"/>
      <c r="H742" s="1403"/>
      <c r="I742" s="1404"/>
      <c r="J742" s="1405"/>
      <c r="K742" s="1405"/>
      <c r="L742" s="1405"/>
      <c r="M742" s="1405"/>
      <c r="N742" s="1406"/>
      <c r="O742" s="1406"/>
      <c r="P742" s="1406"/>
      <c r="Q742" s="1406"/>
      <c r="R742" s="1406"/>
      <c r="S742" s="1406"/>
      <c r="T742" s="1406"/>
      <c r="U742" s="1406"/>
      <c r="V742" s="1406"/>
      <c r="W742" s="1406"/>
      <c r="X742" s="1406"/>
      <c r="Y742" s="1406"/>
      <c r="Z742" s="1406"/>
      <c r="AA742" s="1406"/>
      <c r="AB742" s="1406"/>
      <c r="AC742" s="1406"/>
      <c r="AD742" s="1406"/>
      <c r="AE742" s="1406"/>
      <c r="AF742" s="1406"/>
      <c r="AG742" s="1406"/>
      <c r="AH742" s="1406"/>
      <c r="AI742" s="1406"/>
      <c r="AJ742" s="1406"/>
      <c r="AK742" s="1406"/>
      <c r="AL742" s="1406"/>
      <c r="AM742" s="1406"/>
      <c r="AN742" s="1406"/>
      <c r="AO742" s="1405"/>
      <c r="AP742" s="1405"/>
      <c r="AQ742" s="1405"/>
      <c r="AR742" s="1405"/>
      <c r="AS742" s="1405"/>
      <c r="AT742" s="1405"/>
      <c r="AU742" s="1405"/>
      <c r="AV742" s="1405"/>
    </row>
    <row r="743" spans="1:48" s="1431" customFormat="1">
      <c r="A743" s="1399"/>
      <c r="B743" s="1429"/>
      <c r="C743" s="1430"/>
      <c r="D743" s="1400"/>
      <c r="E743" s="1401"/>
      <c r="F743" s="1401"/>
      <c r="G743" s="1402"/>
      <c r="H743" s="1403"/>
      <c r="I743" s="1404"/>
      <c r="J743" s="1405"/>
      <c r="K743" s="1405"/>
      <c r="L743" s="1405"/>
      <c r="M743" s="1405"/>
      <c r="N743" s="1406"/>
      <c r="O743" s="1406"/>
      <c r="P743" s="1406"/>
      <c r="Q743" s="1406"/>
      <c r="R743" s="1406"/>
      <c r="S743" s="1406"/>
      <c r="T743" s="1406"/>
      <c r="U743" s="1406"/>
      <c r="V743" s="1406"/>
      <c r="W743" s="1406"/>
      <c r="X743" s="1406"/>
      <c r="Y743" s="1406"/>
      <c r="Z743" s="1406"/>
      <c r="AA743" s="1406"/>
      <c r="AB743" s="1406"/>
      <c r="AC743" s="1406"/>
      <c r="AD743" s="1406"/>
      <c r="AE743" s="1406"/>
      <c r="AF743" s="1406"/>
      <c r="AG743" s="1406"/>
      <c r="AH743" s="1406"/>
      <c r="AI743" s="1406"/>
      <c r="AJ743" s="1406"/>
      <c r="AK743" s="1406"/>
      <c r="AL743" s="1406"/>
      <c r="AM743" s="1406"/>
      <c r="AN743" s="1406"/>
      <c r="AO743" s="1405"/>
      <c r="AP743" s="1405"/>
      <c r="AQ743" s="1405"/>
      <c r="AR743" s="1405"/>
      <c r="AS743" s="1405"/>
      <c r="AT743" s="1405"/>
      <c r="AU743" s="1405"/>
      <c r="AV743" s="1405"/>
    </row>
    <row r="744" spans="1:48" s="1431" customFormat="1">
      <c r="A744" s="1399"/>
      <c r="B744" s="1429"/>
      <c r="C744" s="1430"/>
      <c r="D744" s="1400"/>
      <c r="E744" s="1401"/>
      <c r="F744" s="1401"/>
      <c r="G744" s="1402"/>
      <c r="H744" s="1403"/>
      <c r="I744" s="1404"/>
      <c r="J744" s="1405"/>
      <c r="K744" s="1405"/>
      <c r="L744" s="1405"/>
      <c r="M744" s="1405"/>
      <c r="N744" s="1406"/>
      <c r="O744" s="1406"/>
      <c r="P744" s="1406"/>
      <c r="Q744" s="1406"/>
      <c r="R744" s="1406"/>
      <c r="S744" s="1406"/>
      <c r="T744" s="1406"/>
      <c r="U744" s="1406"/>
      <c r="V744" s="1406"/>
      <c r="W744" s="1406"/>
      <c r="X744" s="1406"/>
      <c r="Y744" s="1406"/>
      <c r="Z744" s="1406"/>
      <c r="AA744" s="1406"/>
      <c r="AB744" s="1406"/>
      <c r="AC744" s="1406"/>
      <c r="AD744" s="1406"/>
      <c r="AE744" s="1406"/>
      <c r="AF744" s="1406"/>
      <c r="AG744" s="1406"/>
      <c r="AH744" s="1406"/>
      <c r="AI744" s="1406"/>
      <c r="AJ744" s="1406"/>
      <c r="AK744" s="1406"/>
      <c r="AL744" s="1406"/>
      <c r="AM744" s="1406"/>
      <c r="AN744" s="1406"/>
      <c r="AO744" s="1405"/>
      <c r="AP744" s="1405"/>
      <c r="AQ744" s="1405"/>
      <c r="AR744" s="1405"/>
      <c r="AS744" s="1405"/>
      <c r="AT744" s="1405"/>
      <c r="AU744" s="1405"/>
      <c r="AV744" s="1405"/>
    </row>
    <row r="745" spans="1:48" s="1431" customFormat="1">
      <c r="A745" s="1399"/>
      <c r="B745" s="1429"/>
      <c r="C745" s="1430"/>
      <c r="D745" s="1400"/>
      <c r="E745" s="1401"/>
      <c r="F745" s="1401"/>
      <c r="G745" s="1402"/>
      <c r="H745" s="1403"/>
      <c r="I745" s="1404"/>
      <c r="J745" s="1405"/>
      <c r="K745" s="1405"/>
      <c r="L745" s="1405"/>
      <c r="M745" s="1405"/>
      <c r="N745" s="1406"/>
      <c r="O745" s="1406"/>
      <c r="P745" s="1406"/>
      <c r="Q745" s="1406"/>
      <c r="R745" s="1406"/>
      <c r="S745" s="1406"/>
      <c r="T745" s="1406"/>
      <c r="U745" s="1406"/>
      <c r="V745" s="1406"/>
      <c r="W745" s="1406"/>
      <c r="X745" s="1406"/>
      <c r="Y745" s="1406"/>
      <c r="Z745" s="1406"/>
      <c r="AA745" s="1406"/>
      <c r="AB745" s="1406"/>
      <c r="AC745" s="1406"/>
      <c r="AD745" s="1406"/>
      <c r="AE745" s="1406"/>
      <c r="AF745" s="1406"/>
      <c r="AG745" s="1406"/>
      <c r="AH745" s="1406"/>
      <c r="AI745" s="1406"/>
      <c r="AJ745" s="1406"/>
      <c r="AK745" s="1406"/>
      <c r="AL745" s="1406"/>
      <c r="AM745" s="1406"/>
      <c r="AN745" s="1406"/>
      <c r="AO745" s="1405"/>
      <c r="AP745" s="1405"/>
      <c r="AQ745" s="1405"/>
      <c r="AR745" s="1405"/>
      <c r="AS745" s="1405"/>
      <c r="AT745" s="1405"/>
      <c r="AU745" s="1405"/>
      <c r="AV745" s="1405"/>
    </row>
    <row r="746" spans="1:48" s="1431" customFormat="1">
      <c r="A746" s="1399"/>
      <c r="B746" s="1429"/>
      <c r="C746" s="1430"/>
      <c r="D746" s="1400"/>
      <c r="E746" s="1401"/>
      <c r="F746" s="1401"/>
      <c r="G746" s="1402"/>
      <c r="H746" s="1403"/>
      <c r="I746" s="1404"/>
      <c r="J746" s="1405"/>
      <c r="K746" s="1405"/>
      <c r="L746" s="1405"/>
      <c r="M746" s="1405"/>
      <c r="N746" s="1406"/>
      <c r="O746" s="1406"/>
      <c r="P746" s="1406"/>
      <c r="Q746" s="1406"/>
      <c r="R746" s="1406"/>
      <c r="S746" s="1406"/>
      <c r="T746" s="1406"/>
      <c r="U746" s="1406"/>
      <c r="V746" s="1406"/>
      <c r="W746" s="1406"/>
      <c r="X746" s="1406"/>
      <c r="Y746" s="1406"/>
      <c r="Z746" s="1406"/>
      <c r="AA746" s="1406"/>
      <c r="AB746" s="1406"/>
      <c r="AC746" s="1406"/>
      <c r="AD746" s="1406"/>
      <c r="AE746" s="1406"/>
      <c r="AF746" s="1406"/>
      <c r="AG746" s="1406"/>
      <c r="AH746" s="1406"/>
      <c r="AI746" s="1406"/>
      <c r="AJ746" s="1406"/>
      <c r="AK746" s="1406"/>
      <c r="AL746" s="1406"/>
      <c r="AM746" s="1406"/>
      <c r="AN746" s="1406"/>
      <c r="AO746" s="1405"/>
      <c r="AP746" s="1405"/>
      <c r="AQ746" s="1405"/>
      <c r="AR746" s="1405"/>
      <c r="AS746" s="1405"/>
      <c r="AT746" s="1405"/>
      <c r="AU746" s="1405"/>
      <c r="AV746" s="1405"/>
    </row>
    <row r="747" spans="1:48" s="1431" customFormat="1">
      <c r="A747" s="1399"/>
      <c r="B747" s="1429"/>
      <c r="C747" s="1430"/>
      <c r="D747" s="1400"/>
      <c r="E747" s="1401"/>
      <c r="F747" s="1401"/>
      <c r="G747" s="1402"/>
      <c r="H747" s="1403"/>
      <c r="I747" s="1404"/>
      <c r="J747" s="1405"/>
      <c r="K747" s="1405"/>
      <c r="L747" s="1405"/>
      <c r="M747" s="1405"/>
      <c r="N747" s="1406"/>
      <c r="O747" s="1406"/>
      <c r="P747" s="1406"/>
      <c r="Q747" s="1406"/>
      <c r="R747" s="1406"/>
      <c r="S747" s="1406"/>
      <c r="T747" s="1406"/>
      <c r="U747" s="1406"/>
      <c r="V747" s="1406"/>
      <c r="W747" s="1406"/>
      <c r="X747" s="1406"/>
      <c r="Y747" s="1406"/>
      <c r="Z747" s="1406"/>
      <c r="AA747" s="1406"/>
      <c r="AB747" s="1406"/>
      <c r="AC747" s="1406"/>
      <c r="AD747" s="1406"/>
      <c r="AE747" s="1406"/>
      <c r="AF747" s="1406"/>
      <c r="AG747" s="1406"/>
      <c r="AH747" s="1406"/>
      <c r="AI747" s="1406"/>
      <c r="AJ747" s="1406"/>
      <c r="AK747" s="1406"/>
      <c r="AL747" s="1406"/>
      <c r="AM747" s="1406"/>
      <c r="AN747" s="1406"/>
      <c r="AO747" s="1405"/>
      <c r="AP747" s="1405"/>
      <c r="AQ747" s="1405"/>
      <c r="AR747" s="1405"/>
      <c r="AS747" s="1405"/>
      <c r="AT747" s="1405"/>
      <c r="AU747" s="1405"/>
      <c r="AV747" s="1405"/>
    </row>
    <row r="748" spans="1:48" s="1431" customFormat="1">
      <c r="A748" s="1399"/>
      <c r="B748" s="1429"/>
      <c r="C748" s="1430"/>
      <c r="D748" s="1400"/>
      <c r="E748" s="1401"/>
      <c r="F748" s="1401"/>
      <c r="G748" s="1402"/>
      <c r="H748" s="1403"/>
      <c r="I748" s="1404"/>
      <c r="J748" s="1405"/>
      <c r="K748" s="1405"/>
      <c r="L748" s="1405"/>
      <c r="M748" s="1405"/>
      <c r="N748" s="1406"/>
      <c r="O748" s="1406"/>
      <c r="P748" s="1406"/>
      <c r="Q748" s="1406"/>
      <c r="R748" s="1406"/>
      <c r="S748" s="1406"/>
      <c r="T748" s="1406"/>
      <c r="U748" s="1406"/>
      <c r="V748" s="1406"/>
      <c r="W748" s="1406"/>
      <c r="X748" s="1406"/>
      <c r="Y748" s="1406"/>
      <c r="Z748" s="1406"/>
      <c r="AA748" s="1406"/>
      <c r="AB748" s="1406"/>
      <c r="AC748" s="1406"/>
      <c r="AD748" s="1406"/>
      <c r="AE748" s="1406"/>
      <c r="AF748" s="1406"/>
      <c r="AG748" s="1406"/>
      <c r="AH748" s="1406"/>
      <c r="AI748" s="1406"/>
      <c r="AJ748" s="1406"/>
      <c r="AK748" s="1406"/>
      <c r="AL748" s="1406"/>
      <c r="AM748" s="1406"/>
      <c r="AN748" s="1406"/>
      <c r="AO748" s="1405"/>
      <c r="AP748" s="1405"/>
      <c r="AQ748" s="1405"/>
      <c r="AR748" s="1405"/>
      <c r="AS748" s="1405"/>
      <c r="AT748" s="1405"/>
      <c r="AU748" s="1405"/>
      <c r="AV748" s="1405"/>
    </row>
    <row r="749" spans="1:48" s="1431" customFormat="1">
      <c r="A749" s="1399"/>
      <c r="B749" s="1429"/>
      <c r="C749" s="1430"/>
      <c r="D749" s="1400"/>
      <c r="E749" s="1401"/>
      <c r="F749" s="1401"/>
      <c r="G749" s="1402"/>
      <c r="H749" s="1403"/>
      <c r="I749" s="1404"/>
      <c r="J749" s="1405"/>
      <c r="K749" s="1405"/>
      <c r="L749" s="1405"/>
      <c r="M749" s="1405"/>
      <c r="N749" s="1406"/>
      <c r="O749" s="1406"/>
      <c r="P749" s="1406"/>
      <c r="Q749" s="1406"/>
      <c r="R749" s="1406"/>
      <c r="S749" s="1406"/>
      <c r="T749" s="1406"/>
      <c r="U749" s="1406"/>
      <c r="V749" s="1406"/>
      <c r="W749" s="1406"/>
      <c r="X749" s="1406"/>
      <c r="Y749" s="1406"/>
      <c r="Z749" s="1406"/>
      <c r="AA749" s="1406"/>
      <c r="AB749" s="1406"/>
      <c r="AC749" s="1406"/>
      <c r="AD749" s="1406"/>
      <c r="AE749" s="1406"/>
      <c r="AF749" s="1406"/>
      <c r="AG749" s="1406"/>
      <c r="AH749" s="1406"/>
      <c r="AI749" s="1406"/>
      <c r="AJ749" s="1406"/>
      <c r="AK749" s="1406"/>
      <c r="AL749" s="1406"/>
      <c r="AM749" s="1406"/>
      <c r="AN749" s="1406"/>
      <c r="AO749" s="1405"/>
      <c r="AP749" s="1405"/>
      <c r="AQ749" s="1405"/>
      <c r="AR749" s="1405"/>
      <c r="AS749" s="1405"/>
      <c r="AT749" s="1405"/>
      <c r="AU749" s="1405"/>
      <c r="AV749" s="1405"/>
    </row>
    <row r="750" spans="1:48" s="1431" customFormat="1">
      <c r="A750" s="1399"/>
      <c r="B750" s="1429"/>
      <c r="C750" s="1430"/>
      <c r="D750" s="1400"/>
      <c r="E750" s="1401"/>
      <c r="F750" s="1401"/>
      <c r="G750" s="1402"/>
      <c r="H750" s="1403"/>
      <c r="I750" s="1404"/>
      <c r="J750" s="1405"/>
      <c r="K750" s="1405"/>
      <c r="L750" s="1405"/>
      <c r="M750" s="1405"/>
      <c r="N750" s="1406"/>
      <c r="O750" s="1406"/>
      <c r="P750" s="1406"/>
      <c r="Q750" s="1406"/>
      <c r="R750" s="1406"/>
      <c r="S750" s="1406"/>
      <c r="T750" s="1406"/>
      <c r="U750" s="1406"/>
      <c r="V750" s="1406"/>
      <c r="W750" s="1406"/>
      <c r="X750" s="1406"/>
      <c r="Y750" s="1406"/>
      <c r="Z750" s="1406"/>
      <c r="AA750" s="1406"/>
      <c r="AB750" s="1406"/>
      <c r="AC750" s="1406"/>
      <c r="AD750" s="1406"/>
      <c r="AE750" s="1406"/>
      <c r="AF750" s="1406"/>
      <c r="AG750" s="1406"/>
      <c r="AH750" s="1406"/>
      <c r="AI750" s="1406"/>
      <c r="AJ750" s="1406"/>
      <c r="AK750" s="1406"/>
      <c r="AL750" s="1406"/>
      <c r="AM750" s="1406"/>
      <c r="AN750" s="1406"/>
      <c r="AO750" s="1405"/>
      <c r="AP750" s="1405"/>
      <c r="AQ750" s="1405"/>
      <c r="AR750" s="1405"/>
      <c r="AS750" s="1405"/>
      <c r="AT750" s="1405"/>
      <c r="AU750" s="1405"/>
      <c r="AV750" s="1405"/>
    </row>
    <row r="751" spans="1:48" s="1431" customFormat="1">
      <c r="A751" s="1399"/>
      <c r="B751" s="1429"/>
      <c r="C751" s="1430"/>
      <c r="D751" s="1400"/>
      <c r="E751" s="1401"/>
      <c r="F751" s="1401"/>
      <c r="G751" s="1402"/>
      <c r="H751" s="1403"/>
      <c r="I751" s="1404"/>
      <c r="J751" s="1405"/>
      <c r="K751" s="1405"/>
      <c r="L751" s="1405"/>
      <c r="M751" s="1405"/>
      <c r="N751" s="1406"/>
      <c r="O751" s="1406"/>
      <c r="P751" s="1406"/>
      <c r="Q751" s="1406"/>
      <c r="R751" s="1406"/>
      <c r="S751" s="1406"/>
      <c r="T751" s="1406"/>
      <c r="U751" s="1406"/>
      <c r="V751" s="1406"/>
      <c r="W751" s="1406"/>
      <c r="X751" s="1406"/>
      <c r="Y751" s="1406"/>
      <c r="Z751" s="1406"/>
      <c r="AA751" s="1406"/>
      <c r="AB751" s="1406"/>
      <c r="AC751" s="1406"/>
      <c r="AD751" s="1406"/>
      <c r="AE751" s="1406"/>
      <c r="AF751" s="1406"/>
      <c r="AG751" s="1406"/>
      <c r="AH751" s="1406"/>
      <c r="AI751" s="1406"/>
      <c r="AJ751" s="1406"/>
      <c r="AK751" s="1406"/>
      <c r="AL751" s="1406"/>
      <c r="AM751" s="1406"/>
      <c r="AN751" s="1406"/>
      <c r="AO751" s="1405"/>
      <c r="AP751" s="1405"/>
      <c r="AQ751" s="1405"/>
      <c r="AR751" s="1405"/>
      <c r="AS751" s="1405"/>
      <c r="AT751" s="1405"/>
      <c r="AU751" s="1405"/>
      <c r="AV751" s="1405"/>
    </row>
    <row r="752" spans="1:48" s="1431" customFormat="1">
      <c r="A752" s="1399"/>
      <c r="B752" s="1429"/>
      <c r="C752" s="1430"/>
      <c r="D752" s="1400"/>
      <c r="E752" s="1401"/>
      <c r="F752" s="1401"/>
      <c r="G752" s="1402"/>
      <c r="H752" s="1403"/>
      <c r="I752" s="1404"/>
      <c r="J752" s="1405"/>
      <c r="K752" s="1405"/>
      <c r="L752" s="1405"/>
      <c r="M752" s="1405"/>
      <c r="N752" s="1406"/>
      <c r="O752" s="1406"/>
      <c r="P752" s="1406"/>
      <c r="Q752" s="1406"/>
      <c r="R752" s="1406"/>
      <c r="S752" s="1406"/>
      <c r="T752" s="1406"/>
      <c r="U752" s="1406"/>
      <c r="V752" s="1406"/>
      <c r="W752" s="1406"/>
      <c r="X752" s="1406"/>
      <c r="Y752" s="1406"/>
      <c r="Z752" s="1406"/>
      <c r="AA752" s="1406"/>
      <c r="AB752" s="1406"/>
      <c r="AC752" s="1406"/>
      <c r="AD752" s="1406"/>
      <c r="AE752" s="1406"/>
      <c r="AF752" s="1406"/>
      <c r="AG752" s="1406"/>
      <c r="AH752" s="1406"/>
      <c r="AI752" s="1406"/>
      <c r="AJ752" s="1406"/>
      <c r="AK752" s="1406"/>
      <c r="AL752" s="1406"/>
      <c r="AM752" s="1406"/>
      <c r="AN752" s="1406"/>
      <c r="AO752" s="1405"/>
      <c r="AP752" s="1405"/>
      <c r="AQ752" s="1405"/>
      <c r="AR752" s="1405"/>
      <c r="AS752" s="1405"/>
      <c r="AT752" s="1405"/>
      <c r="AU752" s="1405"/>
      <c r="AV752" s="1405"/>
    </row>
    <row r="753" spans="1:48" s="1431" customFormat="1">
      <c r="A753" s="1399"/>
      <c r="B753" s="1429"/>
      <c r="C753" s="1430"/>
      <c r="D753" s="1400"/>
      <c r="E753" s="1401"/>
      <c r="F753" s="1401"/>
      <c r="G753" s="1402"/>
      <c r="H753" s="1403"/>
      <c r="I753" s="1404"/>
      <c r="J753" s="1405"/>
      <c r="K753" s="1405"/>
      <c r="L753" s="1405"/>
      <c r="M753" s="1405"/>
      <c r="N753" s="1406"/>
      <c r="O753" s="1406"/>
      <c r="P753" s="1406"/>
      <c r="Q753" s="1406"/>
      <c r="R753" s="1406"/>
      <c r="S753" s="1406"/>
      <c r="T753" s="1406"/>
      <c r="U753" s="1406"/>
      <c r="V753" s="1406"/>
      <c r="W753" s="1406"/>
      <c r="X753" s="1406"/>
      <c r="Y753" s="1406"/>
      <c r="Z753" s="1406"/>
      <c r="AA753" s="1406"/>
      <c r="AB753" s="1406"/>
      <c r="AC753" s="1406"/>
      <c r="AD753" s="1406"/>
      <c r="AE753" s="1406"/>
      <c r="AF753" s="1406"/>
      <c r="AG753" s="1406"/>
      <c r="AH753" s="1406"/>
      <c r="AI753" s="1406"/>
      <c r="AJ753" s="1406"/>
      <c r="AK753" s="1406"/>
      <c r="AL753" s="1406"/>
      <c r="AM753" s="1406"/>
      <c r="AN753" s="1406"/>
      <c r="AO753" s="1405"/>
      <c r="AP753" s="1405"/>
      <c r="AQ753" s="1405"/>
      <c r="AR753" s="1405"/>
      <c r="AS753" s="1405"/>
      <c r="AT753" s="1405"/>
      <c r="AU753" s="1405"/>
      <c r="AV753" s="1405"/>
    </row>
    <row r="754" spans="1:48" s="1431" customFormat="1">
      <c r="A754" s="1399"/>
      <c r="B754" s="1429"/>
      <c r="C754" s="1430"/>
      <c r="D754" s="1400"/>
      <c r="E754" s="1401"/>
      <c r="F754" s="1401"/>
      <c r="G754" s="1402"/>
      <c r="H754" s="1403"/>
      <c r="I754" s="1404"/>
      <c r="J754" s="1405"/>
      <c r="K754" s="1405"/>
      <c r="L754" s="1405"/>
      <c r="M754" s="1405"/>
      <c r="N754" s="1406"/>
      <c r="O754" s="1406"/>
      <c r="P754" s="1406"/>
      <c r="Q754" s="1406"/>
      <c r="R754" s="1406"/>
      <c r="S754" s="1406"/>
      <c r="T754" s="1406"/>
      <c r="U754" s="1406"/>
      <c r="V754" s="1406"/>
      <c r="W754" s="1406"/>
      <c r="X754" s="1406"/>
      <c r="Y754" s="1406"/>
      <c r="Z754" s="1406"/>
      <c r="AA754" s="1406"/>
      <c r="AB754" s="1406"/>
      <c r="AC754" s="1406"/>
      <c r="AD754" s="1406"/>
      <c r="AE754" s="1406"/>
      <c r="AF754" s="1406"/>
      <c r="AG754" s="1406"/>
      <c r="AH754" s="1406"/>
      <c r="AI754" s="1406"/>
      <c r="AJ754" s="1406"/>
      <c r="AK754" s="1406"/>
      <c r="AL754" s="1406"/>
      <c r="AM754" s="1406"/>
      <c r="AN754" s="1406"/>
      <c r="AO754" s="1405"/>
      <c r="AP754" s="1405"/>
      <c r="AQ754" s="1405"/>
      <c r="AR754" s="1405"/>
      <c r="AS754" s="1405"/>
      <c r="AT754" s="1405"/>
      <c r="AU754" s="1405"/>
      <c r="AV754" s="1405"/>
    </row>
    <row r="755" spans="1:48" s="1431" customFormat="1">
      <c r="A755" s="1399"/>
      <c r="B755" s="1429"/>
      <c r="C755" s="1430"/>
      <c r="D755" s="1400"/>
      <c r="E755" s="1401"/>
      <c r="F755" s="1401"/>
      <c r="G755" s="1402"/>
      <c r="H755" s="1403"/>
      <c r="I755" s="1404"/>
      <c r="J755" s="1405"/>
      <c r="K755" s="1405"/>
      <c r="L755" s="1405"/>
      <c r="M755" s="1405"/>
      <c r="N755" s="1406"/>
      <c r="O755" s="1406"/>
      <c r="P755" s="1406"/>
      <c r="Q755" s="1406"/>
      <c r="R755" s="1406"/>
      <c r="S755" s="1406"/>
      <c r="T755" s="1406"/>
      <c r="U755" s="1406"/>
      <c r="V755" s="1406"/>
      <c r="W755" s="1406"/>
      <c r="X755" s="1406"/>
      <c r="Y755" s="1406"/>
      <c r="Z755" s="1406"/>
      <c r="AA755" s="1406"/>
      <c r="AB755" s="1406"/>
      <c r="AC755" s="1406"/>
      <c r="AD755" s="1406"/>
      <c r="AE755" s="1406"/>
      <c r="AF755" s="1406"/>
      <c r="AG755" s="1406"/>
      <c r="AH755" s="1406"/>
      <c r="AI755" s="1406"/>
      <c r="AJ755" s="1406"/>
      <c r="AK755" s="1406"/>
      <c r="AL755" s="1406"/>
      <c r="AM755" s="1406"/>
      <c r="AN755" s="1406"/>
      <c r="AO755" s="1405"/>
      <c r="AP755" s="1405"/>
      <c r="AQ755" s="1405"/>
      <c r="AR755" s="1405"/>
      <c r="AS755" s="1405"/>
      <c r="AT755" s="1405"/>
      <c r="AU755" s="1405"/>
      <c r="AV755" s="1405"/>
    </row>
    <row r="756" spans="1:48" s="1431" customFormat="1">
      <c r="A756" s="1399"/>
      <c r="B756" s="1429"/>
      <c r="C756" s="1430"/>
      <c r="D756" s="1400"/>
      <c r="E756" s="1401"/>
      <c r="F756" s="1401"/>
      <c r="G756" s="1402"/>
      <c r="H756" s="1403"/>
      <c r="I756" s="1404"/>
      <c r="J756" s="1405"/>
      <c r="K756" s="1405"/>
      <c r="L756" s="1405"/>
      <c r="M756" s="1405"/>
      <c r="N756" s="1406"/>
      <c r="O756" s="1406"/>
      <c r="P756" s="1406"/>
      <c r="Q756" s="1406"/>
      <c r="R756" s="1406"/>
      <c r="S756" s="1406"/>
      <c r="T756" s="1406"/>
      <c r="U756" s="1406"/>
      <c r="V756" s="1406"/>
      <c r="W756" s="1406"/>
      <c r="X756" s="1406"/>
      <c r="Y756" s="1406"/>
      <c r="Z756" s="1406"/>
      <c r="AA756" s="1406"/>
      <c r="AB756" s="1406"/>
      <c r="AC756" s="1406"/>
      <c r="AD756" s="1406"/>
      <c r="AE756" s="1406"/>
      <c r="AF756" s="1406"/>
      <c r="AG756" s="1406"/>
      <c r="AH756" s="1406"/>
      <c r="AI756" s="1406"/>
      <c r="AJ756" s="1406"/>
      <c r="AK756" s="1406"/>
      <c r="AL756" s="1406"/>
      <c r="AM756" s="1406"/>
      <c r="AN756" s="1406"/>
      <c r="AO756" s="1405"/>
      <c r="AP756" s="1405"/>
      <c r="AQ756" s="1405"/>
      <c r="AR756" s="1405"/>
      <c r="AS756" s="1405"/>
      <c r="AT756" s="1405"/>
      <c r="AU756" s="1405"/>
      <c r="AV756" s="1405"/>
    </row>
    <row r="757" spans="1:48" s="1431" customFormat="1">
      <c r="A757" s="1399"/>
      <c r="B757" s="1429"/>
      <c r="C757" s="1430"/>
      <c r="D757" s="1400"/>
      <c r="E757" s="1401"/>
      <c r="F757" s="1401"/>
      <c r="G757" s="1402"/>
      <c r="H757" s="1403"/>
      <c r="I757" s="1404"/>
      <c r="J757" s="1405"/>
      <c r="K757" s="1405"/>
      <c r="L757" s="1405"/>
      <c r="M757" s="1405"/>
      <c r="N757" s="1406"/>
      <c r="O757" s="1406"/>
      <c r="P757" s="1406"/>
      <c r="Q757" s="1406"/>
      <c r="R757" s="1406"/>
      <c r="S757" s="1406"/>
      <c r="T757" s="1406"/>
      <c r="U757" s="1406"/>
      <c r="V757" s="1406"/>
      <c r="W757" s="1406"/>
      <c r="X757" s="1406"/>
      <c r="Y757" s="1406"/>
      <c r="Z757" s="1406"/>
      <c r="AA757" s="1406"/>
      <c r="AB757" s="1406"/>
      <c r="AC757" s="1406"/>
      <c r="AD757" s="1406"/>
      <c r="AE757" s="1406"/>
      <c r="AF757" s="1406"/>
      <c r="AG757" s="1406"/>
      <c r="AH757" s="1406"/>
      <c r="AI757" s="1406"/>
      <c r="AJ757" s="1406"/>
      <c r="AK757" s="1406"/>
      <c r="AL757" s="1406"/>
      <c r="AM757" s="1406"/>
      <c r="AN757" s="1406"/>
      <c r="AO757" s="1405"/>
      <c r="AP757" s="1405"/>
      <c r="AQ757" s="1405"/>
      <c r="AR757" s="1405"/>
      <c r="AS757" s="1405"/>
      <c r="AT757" s="1405"/>
      <c r="AU757" s="1405"/>
      <c r="AV757" s="1405"/>
    </row>
    <row r="758" spans="1:48" s="1431" customFormat="1">
      <c r="A758" s="1399"/>
      <c r="B758" s="1429"/>
      <c r="C758" s="1430"/>
      <c r="D758" s="1400"/>
      <c r="E758" s="1401"/>
      <c r="F758" s="1401"/>
      <c r="G758" s="1402"/>
      <c r="H758" s="1403"/>
      <c r="I758" s="1404"/>
      <c r="J758" s="1405"/>
      <c r="K758" s="1405"/>
      <c r="L758" s="1405"/>
      <c r="M758" s="1405"/>
      <c r="N758" s="1406"/>
      <c r="O758" s="1406"/>
      <c r="P758" s="1406"/>
      <c r="Q758" s="1406"/>
      <c r="R758" s="1406"/>
      <c r="S758" s="1406"/>
      <c r="T758" s="1406"/>
      <c r="U758" s="1406"/>
      <c r="V758" s="1406"/>
      <c r="W758" s="1406"/>
      <c r="X758" s="1406"/>
      <c r="Y758" s="1406"/>
      <c r="Z758" s="1406"/>
      <c r="AA758" s="1406"/>
      <c r="AB758" s="1406"/>
      <c r="AC758" s="1406"/>
      <c r="AD758" s="1406"/>
      <c r="AE758" s="1406"/>
      <c r="AF758" s="1406"/>
      <c r="AG758" s="1406"/>
      <c r="AH758" s="1406"/>
      <c r="AI758" s="1406"/>
      <c r="AJ758" s="1406"/>
      <c r="AK758" s="1406"/>
      <c r="AL758" s="1406"/>
      <c r="AM758" s="1406"/>
      <c r="AN758" s="1406"/>
      <c r="AO758" s="1405"/>
      <c r="AP758" s="1405"/>
      <c r="AQ758" s="1405"/>
      <c r="AR758" s="1405"/>
      <c r="AS758" s="1405"/>
      <c r="AT758" s="1405"/>
      <c r="AU758" s="1405"/>
      <c r="AV758" s="1405"/>
    </row>
    <row r="759" spans="1:48" s="1431" customFormat="1">
      <c r="A759" s="1399"/>
      <c r="B759" s="1429"/>
      <c r="C759" s="1430"/>
      <c r="D759" s="1400"/>
      <c r="E759" s="1401"/>
      <c r="F759" s="1401"/>
      <c r="G759" s="1402"/>
      <c r="H759" s="1403"/>
      <c r="I759" s="1404"/>
      <c r="J759" s="1405"/>
      <c r="K759" s="1405"/>
      <c r="L759" s="1405"/>
      <c r="M759" s="1405"/>
      <c r="N759" s="1406"/>
      <c r="O759" s="1406"/>
      <c r="P759" s="1406"/>
      <c r="Q759" s="1406"/>
      <c r="R759" s="1406"/>
      <c r="S759" s="1406"/>
      <c r="T759" s="1406"/>
      <c r="U759" s="1406"/>
      <c r="V759" s="1406"/>
      <c r="W759" s="1406"/>
      <c r="X759" s="1406"/>
      <c r="Y759" s="1406"/>
      <c r="Z759" s="1406"/>
      <c r="AA759" s="1406"/>
      <c r="AB759" s="1406"/>
      <c r="AC759" s="1406"/>
      <c r="AD759" s="1406"/>
      <c r="AE759" s="1406"/>
      <c r="AF759" s="1406"/>
      <c r="AG759" s="1406"/>
      <c r="AH759" s="1406"/>
      <c r="AI759" s="1406"/>
      <c r="AJ759" s="1406"/>
      <c r="AK759" s="1406"/>
      <c r="AL759" s="1406"/>
      <c r="AM759" s="1406"/>
      <c r="AN759" s="1406"/>
      <c r="AO759" s="1405"/>
      <c r="AP759" s="1405"/>
      <c r="AQ759" s="1405"/>
      <c r="AR759" s="1405"/>
      <c r="AS759" s="1405"/>
      <c r="AT759" s="1405"/>
      <c r="AU759" s="1405"/>
      <c r="AV759" s="1405"/>
    </row>
    <row r="760" spans="1:48" s="1431" customFormat="1">
      <c r="A760" s="1399"/>
      <c r="B760" s="1429"/>
      <c r="C760" s="1430"/>
      <c r="D760" s="1400"/>
      <c r="E760" s="1401"/>
      <c r="F760" s="1401"/>
      <c r="G760" s="1402"/>
      <c r="H760" s="1403"/>
      <c r="I760" s="1404"/>
      <c r="J760" s="1405"/>
      <c r="K760" s="1405"/>
      <c r="L760" s="1405"/>
      <c r="M760" s="1405"/>
      <c r="N760" s="1406"/>
      <c r="O760" s="1406"/>
      <c r="P760" s="1406"/>
      <c r="Q760" s="1406"/>
      <c r="R760" s="1406"/>
      <c r="S760" s="1406"/>
      <c r="T760" s="1406"/>
      <c r="U760" s="1406"/>
      <c r="V760" s="1406"/>
      <c r="W760" s="1406"/>
      <c r="X760" s="1406"/>
      <c r="Y760" s="1406"/>
      <c r="Z760" s="1406"/>
      <c r="AA760" s="1406"/>
      <c r="AB760" s="1406"/>
      <c r="AC760" s="1406"/>
      <c r="AD760" s="1406"/>
      <c r="AE760" s="1406"/>
      <c r="AF760" s="1406"/>
      <c r="AG760" s="1406"/>
      <c r="AH760" s="1406"/>
      <c r="AI760" s="1406"/>
      <c r="AJ760" s="1406"/>
      <c r="AK760" s="1406"/>
      <c r="AL760" s="1406"/>
      <c r="AM760" s="1406"/>
      <c r="AN760" s="1406"/>
      <c r="AO760" s="1405"/>
      <c r="AP760" s="1405"/>
      <c r="AQ760" s="1405"/>
      <c r="AR760" s="1405"/>
      <c r="AS760" s="1405"/>
      <c r="AT760" s="1405"/>
      <c r="AU760" s="1405"/>
      <c r="AV760" s="1405"/>
    </row>
    <row r="761" spans="1:48" s="1431" customFormat="1">
      <c r="A761" s="1399"/>
      <c r="B761" s="1429"/>
      <c r="C761" s="1430"/>
      <c r="D761" s="1400"/>
      <c r="E761" s="1401"/>
      <c r="F761" s="1401"/>
      <c r="G761" s="1402"/>
      <c r="H761" s="1403"/>
      <c r="I761" s="1404"/>
      <c r="J761" s="1405"/>
      <c r="K761" s="1405"/>
      <c r="L761" s="1405"/>
      <c r="M761" s="1405"/>
      <c r="N761" s="1406"/>
      <c r="O761" s="1406"/>
      <c r="P761" s="1406"/>
      <c r="Q761" s="1406"/>
      <c r="R761" s="1406"/>
      <c r="S761" s="1406"/>
      <c r="T761" s="1406"/>
      <c r="U761" s="1406"/>
      <c r="V761" s="1406"/>
      <c r="W761" s="1406"/>
      <c r="X761" s="1406"/>
      <c r="Y761" s="1406"/>
      <c r="Z761" s="1406"/>
      <c r="AA761" s="1406"/>
      <c r="AB761" s="1406"/>
      <c r="AC761" s="1406"/>
      <c r="AD761" s="1406"/>
      <c r="AE761" s="1406"/>
      <c r="AF761" s="1406"/>
      <c r="AG761" s="1406"/>
      <c r="AH761" s="1406"/>
      <c r="AI761" s="1406"/>
      <c r="AJ761" s="1406"/>
      <c r="AK761" s="1406"/>
      <c r="AL761" s="1406"/>
      <c r="AM761" s="1406"/>
      <c r="AN761" s="1406"/>
      <c r="AO761" s="1405"/>
      <c r="AP761" s="1405"/>
      <c r="AQ761" s="1405"/>
      <c r="AR761" s="1405"/>
      <c r="AS761" s="1405"/>
      <c r="AT761" s="1405"/>
      <c r="AU761" s="1405"/>
      <c r="AV761" s="1405"/>
    </row>
    <row r="762" spans="1:48" s="1431" customFormat="1">
      <c r="A762" s="1399"/>
      <c r="B762" s="1429"/>
      <c r="C762" s="1430"/>
      <c r="D762" s="1400"/>
      <c r="E762" s="1401"/>
      <c r="F762" s="1401"/>
      <c r="G762" s="1402"/>
      <c r="H762" s="1403"/>
      <c r="I762" s="1404"/>
      <c r="J762" s="1405"/>
      <c r="K762" s="1405"/>
      <c r="L762" s="1405"/>
      <c r="M762" s="1405"/>
      <c r="N762" s="1406"/>
      <c r="O762" s="1406"/>
      <c r="P762" s="1406"/>
      <c r="Q762" s="1406"/>
      <c r="R762" s="1406"/>
      <c r="S762" s="1406"/>
      <c r="T762" s="1406"/>
      <c r="U762" s="1406"/>
      <c r="V762" s="1406"/>
      <c r="W762" s="1406"/>
      <c r="X762" s="1406"/>
      <c r="Y762" s="1406"/>
      <c r="Z762" s="1406"/>
      <c r="AA762" s="1406"/>
      <c r="AB762" s="1406"/>
      <c r="AC762" s="1406"/>
      <c r="AD762" s="1406"/>
      <c r="AE762" s="1406"/>
      <c r="AF762" s="1406"/>
      <c r="AG762" s="1406"/>
      <c r="AH762" s="1406"/>
      <c r="AI762" s="1406"/>
      <c r="AJ762" s="1406"/>
      <c r="AK762" s="1406"/>
      <c r="AL762" s="1406"/>
      <c r="AM762" s="1406"/>
      <c r="AN762" s="1406"/>
      <c r="AO762" s="1405"/>
      <c r="AP762" s="1405"/>
      <c r="AQ762" s="1405"/>
      <c r="AR762" s="1405"/>
      <c r="AS762" s="1405"/>
      <c r="AT762" s="1405"/>
      <c r="AU762" s="1405"/>
      <c r="AV762" s="1405"/>
    </row>
    <row r="763" spans="1:48" s="1431" customFormat="1">
      <c r="A763" s="1399"/>
      <c r="B763" s="1429"/>
      <c r="C763" s="1430"/>
      <c r="D763" s="1400"/>
      <c r="E763" s="1401"/>
      <c r="F763" s="1401"/>
      <c r="G763" s="1402"/>
      <c r="H763" s="1403"/>
      <c r="I763" s="1404"/>
      <c r="J763" s="1405"/>
      <c r="K763" s="1405"/>
      <c r="L763" s="1405"/>
      <c r="M763" s="1405"/>
      <c r="N763" s="1406"/>
      <c r="O763" s="1406"/>
      <c r="P763" s="1406"/>
      <c r="Q763" s="1406"/>
      <c r="R763" s="1406"/>
      <c r="S763" s="1406"/>
      <c r="T763" s="1406"/>
      <c r="U763" s="1406"/>
      <c r="V763" s="1406"/>
      <c r="W763" s="1406"/>
      <c r="X763" s="1406"/>
      <c r="Y763" s="1406"/>
      <c r="Z763" s="1406"/>
      <c r="AA763" s="1406"/>
      <c r="AB763" s="1406"/>
      <c r="AC763" s="1406"/>
      <c r="AD763" s="1406"/>
      <c r="AE763" s="1406"/>
      <c r="AF763" s="1406"/>
      <c r="AG763" s="1406"/>
      <c r="AH763" s="1406"/>
      <c r="AI763" s="1406"/>
      <c r="AJ763" s="1406"/>
      <c r="AK763" s="1406"/>
      <c r="AL763" s="1406"/>
      <c r="AM763" s="1406"/>
      <c r="AN763" s="1406"/>
      <c r="AO763" s="1405"/>
      <c r="AP763" s="1405"/>
      <c r="AQ763" s="1405"/>
      <c r="AR763" s="1405"/>
      <c r="AS763" s="1405"/>
      <c r="AT763" s="1405"/>
      <c r="AU763" s="1405"/>
      <c r="AV763" s="1405"/>
    </row>
    <row r="764" spans="1:48" s="1431" customFormat="1">
      <c r="A764" s="1399"/>
      <c r="B764" s="1429"/>
      <c r="C764" s="1430"/>
      <c r="D764" s="1400"/>
      <c r="E764" s="1401"/>
      <c r="F764" s="1401"/>
      <c r="G764" s="1402"/>
      <c r="H764" s="1403"/>
      <c r="I764" s="1404"/>
      <c r="J764" s="1405"/>
      <c r="K764" s="1405"/>
      <c r="L764" s="1405"/>
      <c r="M764" s="1405"/>
      <c r="N764" s="1406"/>
      <c r="O764" s="1406"/>
      <c r="P764" s="1406"/>
      <c r="Q764" s="1406"/>
      <c r="R764" s="1406"/>
      <c r="S764" s="1406"/>
      <c r="T764" s="1406"/>
      <c r="U764" s="1406"/>
      <c r="V764" s="1406"/>
      <c r="W764" s="1406"/>
      <c r="X764" s="1406"/>
      <c r="Y764" s="1406"/>
      <c r="Z764" s="1406"/>
      <c r="AA764" s="1406"/>
      <c r="AB764" s="1406"/>
      <c r="AC764" s="1406"/>
      <c r="AD764" s="1406"/>
      <c r="AE764" s="1406"/>
      <c r="AF764" s="1406"/>
      <c r="AG764" s="1406"/>
      <c r="AH764" s="1406"/>
      <c r="AI764" s="1406"/>
      <c r="AJ764" s="1406"/>
      <c r="AK764" s="1406"/>
      <c r="AL764" s="1406"/>
      <c r="AM764" s="1406"/>
      <c r="AN764" s="1406"/>
      <c r="AO764" s="1405"/>
      <c r="AP764" s="1405"/>
      <c r="AQ764" s="1405"/>
      <c r="AR764" s="1405"/>
      <c r="AS764" s="1405"/>
      <c r="AT764" s="1405"/>
      <c r="AU764" s="1405"/>
      <c r="AV764" s="1405"/>
    </row>
    <row r="765" spans="1:48" s="1431" customFormat="1">
      <c r="A765" s="1399"/>
      <c r="B765" s="1429"/>
      <c r="C765" s="1430"/>
      <c r="D765" s="1400"/>
      <c r="E765" s="1401"/>
      <c r="F765" s="1401"/>
      <c r="G765" s="1402"/>
      <c r="H765" s="1403"/>
      <c r="I765" s="1404"/>
      <c r="J765" s="1405"/>
      <c r="K765" s="1405"/>
      <c r="L765" s="1405"/>
      <c r="M765" s="1405"/>
      <c r="N765" s="1406"/>
      <c r="O765" s="1406"/>
      <c r="P765" s="1406"/>
      <c r="Q765" s="1406"/>
      <c r="R765" s="1406"/>
      <c r="S765" s="1406"/>
      <c r="T765" s="1406"/>
      <c r="U765" s="1406"/>
      <c r="V765" s="1406"/>
      <c r="W765" s="1406"/>
      <c r="X765" s="1406"/>
      <c r="Y765" s="1406"/>
      <c r="Z765" s="1406"/>
      <c r="AA765" s="1406"/>
      <c r="AB765" s="1406"/>
      <c r="AC765" s="1406"/>
      <c r="AD765" s="1406"/>
      <c r="AE765" s="1406"/>
      <c r="AF765" s="1406"/>
      <c r="AG765" s="1406"/>
      <c r="AH765" s="1406"/>
      <c r="AI765" s="1406"/>
      <c r="AJ765" s="1406"/>
      <c r="AK765" s="1406"/>
      <c r="AL765" s="1406"/>
      <c r="AM765" s="1406"/>
      <c r="AN765" s="1406"/>
      <c r="AO765" s="1405"/>
      <c r="AP765" s="1405"/>
      <c r="AQ765" s="1405"/>
      <c r="AR765" s="1405"/>
      <c r="AS765" s="1405"/>
      <c r="AT765" s="1405"/>
      <c r="AU765" s="1405"/>
      <c r="AV765" s="1405"/>
    </row>
    <row r="766" spans="1:48" s="1431" customFormat="1">
      <c r="A766" s="1399"/>
      <c r="B766" s="1429"/>
      <c r="C766" s="1430"/>
      <c r="D766" s="1400"/>
      <c r="E766" s="1401"/>
      <c r="F766" s="1401"/>
      <c r="G766" s="1402"/>
      <c r="H766" s="1403"/>
      <c r="I766" s="1404"/>
      <c r="J766" s="1405"/>
      <c r="K766" s="1405"/>
      <c r="L766" s="1405"/>
      <c r="M766" s="1405"/>
      <c r="N766" s="1406"/>
      <c r="O766" s="1406"/>
      <c r="P766" s="1406"/>
      <c r="Q766" s="1406"/>
      <c r="R766" s="1406"/>
      <c r="S766" s="1406"/>
      <c r="T766" s="1406"/>
      <c r="U766" s="1406"/>
      <c r="V766" s="1406"/>
      <c r="W766" s="1406"/>
      <c r="X766" s="1406"/>
      <c r="Y766" s="1406"/>
      <c r="Z766" s="1406"/>
      <c r="AA766" s="1406"/>
      <c r="AB766" s="1406"/>
      <c r="AC766" s="1406"/>
      <c r="AD766" s="1406"/>
      <c r="AE766" s="1406"/>
      <c r="AF766" s="1406"/>
      <c r="AG766" s="1406"/>
      <c r="AH766" s="1406"/>
      <c r="AI766" s="1406"/>
      <c r="AJ766" s="1406"/>
      <c r="AK766" s="1406"/>
      <c r="AL766" s="1406"/>
      <c r="AM766" s="1406"/>
      <c r="AN766" s="1406"/>
      <c r="AO766" s="1405"/>
      <c r="AP766" s="1405"/>
      <c r="AQ766" s="1405"/>
      <c r="AR766" s="1405"/>
      <c r="AS766" s="1405"/>
      <c r="AT766" s="1405"/>
      <c r="AU766" s="1405"/>
      <c r="AV766" s="1405"/>
    </row>
    <row r="767" spans="1:48" s="1431" customFormat="1">
      <c r="A767" s="1399"/>
      <c r="B767" s="1429"/>
      <c r="C767" s="1430"/>
      <c r="D767" s="1400"/>
      <c r="E767" s="1401"/>
      <c r="F767" s="1401"/>
      <c r="G767" s="1402"/>
      <c r="H767" s="1403"/>
      <c r="I767" s="1404"/>
      <c r="J767" s="1405"/>
      <c r="K767" s="1405"/>
      <c r="L767" s="1405"/>
      <c r="M767" s="1405"/>
      <c r="N767" s="1406"/>
      <c r="O767" s="1406"/>
      <c r="P767" s="1406"/>
      <c r="Q767" s="1406"/>
      <c r="R767" s="1406"/>
      <c r="S767" s="1406"/>
      <c r="T767" s="1406"/>
      <c r="U767" s="1406"/>
      <c r="V767" s="1406"/>
      <c r="W767" s="1406"/>
      <c r="X767" s="1406"/>
      <c r="Y767" s="1406"/>
      <c r="Z767" s="1406"/>
      <c r="AA767" s="1406"/>
      <c r="AB767" s="1406"/>
      <c r="AC767" s="1406"/>
      <c r="AD767" s="1406"/>
      <c r="AE767" s="1406"/>
      <c r="AF767" s="1406"/>
      <c r="AG767" s="1406"/>
      <c r="AH767" s="1406"/>
      <c r="AI767" s="1406"/>
      <c r="AJ767" s="1406"/>
      <c r="AK767" s="1406"/>
      <c r="AL767" s="1406"/>
      <c r="AM767" s="1406"/>
      <c r="AN767" s="1406"/>
      <c r="AO767" s="1405"/>
      <c r="AP767" s="1405"/>
      <c r="AQ767" s="1405"/>
      <c r="AR767" s="1405"/>
      <c r="AS767" s="1405"/>
      <c r="AT767" s="1405"/>
      <c r="AU767" s="1405"/>
      <c r="AV767" s="1405"/>
    </row>
    <row r="768" spans="1:48" s="1431" customFormat="1">
      <c r="A768" s="1399"/>
      <c r="B768" s="1429"/>
      <c r="C768" s="1430"/>
      <c r="D768" s="1400"/>
      <c r="E768" s="1401"/>
      <c r="F768" s="1401"/>
      <c r="G768" s="1402"/>
      <c r="H768" s="1403"/>
      <c r="I768" s="1404"/>
      <c r="J768" s="1405"/>
      <c r="K768" s="1405"/>
      <c r="L768" s="1405"/>
      <c r="M768" s="1405"/>
      <c r="N768" s="1406"/>
      <c r="O768" s="1406"/>
      <c r="P768" s="1406"/>
      <c r="Q768" s="1406"/>
      <c r="R768" s="1406"/>
      <c r="S768" s="1406"/>
      <c r="T768" s="1406"/>
      <c r="U768" s="1406"/>
      <c r="V768" s="1406"/>
      <c r="W768" s="1406"/>
      <c r="X768" s="1406"/>
      <c r="Y768" s="1406"/>
      <c r="Z768" s="1406"/>
      <c r="AA768" s="1406"/>
      <c r="AB768" s="1406"/>
      <c r="AC768" s="1406"/>
      <c r="AD768" s="1406"/>
      <c r="AE768" s="1406"/>
      <c r="AF768" s="1406"/>
      <c r="AG768" s="1406"/>
      <c r="AH768" s="1406"/>
      <c r="AI768" s="1406"/>
      <c r="AJ768" s="1406"/>
      <c r="AK768" s="1406"/>
      <c r="AL768" s="1406"/>
      <c r="AM768" s="1406"/>
      <c r="AN768" s="1406"/>
      <c r="AO768" s="1405"/>
      <c r="AP768" s="1405"/>
      <c r="AQ768" s="1405"/>
      <c r="AR768" s="1405"/>
      <c r="AS768" s="1405"/>
      <c r="AT768" s="1405"/>
      <c r="AU768" s="1405"/>
      <c r="AV768" s="1405"/>
    </row>
    <row r="769" spans="1:48" s="1431" customFormat="1">
      <c r="A769" s="1399"/>
      <c r="B769" s="1429"/>
      <c r="C769" s="1430"/>
      <c r="D769" s="1400"/>
      <c r="E769" s="1401"/>
      <c r="F769" s="1401"/>
      <c r="G769" s="1402"/>
      <c r="H769" s="1403"/>
      <c r="I769" s="1404"/>
      <c r="J769" s="1405"/>
      <c r="K769" s="1405"/>
      <c r="L769" s="1405"/>
      <c r="M769" s="1405"/>
      <c r="N769" s="1406"/>
      <c r="O769" s="1406"/>
      <c r="P769" s="1406"/>
      <c r="Q769" s="1406"/>
      <c r="R769" s="1406"/>
      <c r="S769" s="1406"/>
      <c r="T769" s="1406"/>
      <c r="U769" s="1406"/>
      <c r="V769" s="1406"/>
      <c r="W769" s="1406"/>
      <c r="X769" s="1406"/>
      <c r="Y769" s="1406"/>
      <c r="Z769" s="1406"/>
      <c r="AA769" s="1406"/>
      <c r="AB769" s="1406"/>
      <c r="AC769" s="1406"/>
      <c r="AD769" s="1406"/>
      <c r="AE769" s="1406"/>
      <c r="AF769" s="1406"/>
      <c r="AG769" s="1406"/>
      <c r="AH769" s="1406"/>
      <c r="AI769" s="1406"/>
      <c r="AJ769" s="1406"/>
      <c r="AK769" s="1406"/>
      <c r="AL769" s="1406"/>
      <c r="AM769" s="1406"/>
      <c r="AN769" s="1406"/>
      <c r="AO769" s="1405"/>
      <c r="AP769" s="1405"/>
      <c r="AQ769" s="1405"/>
      <c r="AR769" s="1405"/>
      <c r="AS769" s="1405"/>
      <c r="AT769" s="1405"/>
      <c r="AU769" s="1405"/>
      <c r="AV769" s="1405"/>
    </row>
    <row r="770" spans="1:48" s="1431" customFormat="1">
      <c r="A770" s="1399"/>
      <c r="B770" s="1429"/>
      <c r="C770" s="1430"/>
      <c r="D770" s="1400"/>
      <c r="E770" s="1401"/>
      <c r="F770" s="1401"/>
      <c r="G770" s="1402"/>
      <c r="H770" s="1403"/>
      <c r="I770" s="1404"/>
      <c r="J770" s="1405"/>
      <c r="K770" s="1405"/>
      <c r="L770" s="1405"/>
      <c r="M770" s="1405"/>
      <c r="N770" s="1406"/>
      <c r="O770" s="1406"/>
      <c r="P770" s="1406"/>
      <c r="Q770" s="1406"/>
      <c r="R770" s="1406"/>
      <c r="S770" s="1406"/>
      <c r="T770" s="1406"/>
      <c r="U770" s="1406"/>
      <c r="V770" s="1406"/>
      <c r="W770" s="1406"/>
      <c r="X770" s="1406"/>
      <c r="Y770" s="1406"/>
      <c r="Z770" s="1406"/>
      <c r="AA770" s="1406"/>
      <c r="AB770" s="1406"/>
      <c r="AC770" s="1406"/>
      <c r="AD770" s="1406"/>
      <c r="AE770" s="1406"/>
      <c r="AF770" s="1406"/>
      <c r="AG770" s="1406"/>
      <c r="AH770" s="1406"/>
      <c r="AI770" s="1406"/>
      <c r="AJ770" s="1406"/>
      <c r="AK770" s="1406"/>
      <c r="AL770" s="1406"/>
      <c r="AM770" s="1406"/>
      <c r="AN770" s="1406"/>
      <c r="AO770" s="1405"/>
      <c r="AP770" s="1405"/>
      <c r="AQ770" s="1405"/>
      <c r="AR770" s="1405"/>
      <c r="AS770" s="1405"/>
      <c r="AT770" s="1405"/>
      <c r="AU770" s="1405"/>
      <c r="AV770" s="1405"/>
    </row>
    <row r="771" spans="1:48" s="1431" customFormat="1">
      <c r="A771" s="1399"/>
      <c r="B771" s="1429"/>
      <c r="C771" s="1430"/>
      <c r="D771" s="1400"/>
      <c r="E771" s="1401"/>
      <c r="F771" s="1401"/>
      <c r="G771" s="1402"/>
      <c r="H771" s="1403"/>
      <c r="I771" s="1404"/>
      <c r="J771" s="1405"/>
      <c r="K771" s="1405"/>
      <c r="L771" s="1405"/>
      <c r="M771" s="1405"/>
      <c r="N771" s="1406"/>
      <c r="O771" s="1406"/>
      <c r="P771" s="1406"/>
      <c r="Q771" s="1406"/>
      <c r="R771" s="1406"/>
      <c r="S771" s="1406"/>
      <c r="T771" s="1406"/>
      <c r="U771" s="1406"/>
      <c r="V771" s="1406"/>
      <c r="W771" s="1406"/>
      <c r="X771" s="1406"/>
      <c r="Y771" s="1406"/>
      <c r="Z771" s="1406"/>
      <c r="AA771" s="1406"/>
      <c r="AB771" s="1406"/>
      <c r="AC771" s="1406"/>
      <c r="AD771" s="1406"/>
      <c r="AE771" s="1406"/>
      <c r="AF771" s="1406"/>
      <c r="AG771" s="1406"/>
      <c r="AH771" s="1406"/>
      <c r="AI771" s="1406"/>
      <c r="AJ771" s="1406"/>
      <c r="AK771" s="1406"/>
      <c r="AL771" s="1406"/>
      <c r="AM771" s="1406"/>
      <c r="AN771" s="1406"/>
      <c r="AO771" s="1405"/>
      <c r="AP771" s="1405"/>
      <c r="AQ771" s="1405"/>
      <c r="AR771" s="1405"/>
      <c r="AS771" s="1405"/>
      <c r="AT771" s="1405"/>
      <c r="AU771" s="1405"/>
      <c r="AV771" s="1405"/>
    </row>
    <row r="772" spans="1:48" s="1431" customFormat="1">
      <c r="A772" s="1399"/>
      <c r="B772" s="1429"/>
      <c r="C772" s="1430"/>
      <c r="D772" s="1400"/>
      <c r="E772" s="1401"/>
      <c r="F772" s="1401"/>
      <c r="G772" s="1402"/>
      <c r="H772" s="1403"/>
      <c r="I772" s="1404"/>
      <c r="J772" s="1405"/>
      <c r="K772" s="1405"/>
      <c r="L772" s="1405"/>
      <c r="M772" s="1405"/>
      <c r="N772" s="1406"/>
      <c r="O772" s="1406"/>
      <c r="P772" s="1406"/>
      <c r="Q772" s="1406"/>
      <c r="R772" s="1406"/>
      <c r="S772" s="1406"/>
      <c r="T772" s="1406"/>
      <c r="U772" s="1406"/>
      <c r="V772" s="1406"/>
      <c r="W772" s="1406"/>
      <c r="X772" s="1406"/>
      <c r="Y772" s="1406"/>
      <c r="Z772" s="1406"/>
      <c r="AA772" s="1406"/>
      <c r="AB772" s="1406"/>
      <c r="AC772" s="1406"/>
      <c r="AD772" s="1406"/>
      <c r="AE772" s="1406"/>
      <c r="AF772" s="1406"/>
      <c r="AG772" s="1406"/>
      <c r="AH772" s="1406"/>
      <c r="AI772" s="1406"/>
      <c r="AJ772" s="1406"/>
      <c r="AK772" s="1406"/>
      <c r="AL772" s="1406"/>
      <c r="AM772" s="1406"/>
      <c r="AN772" s="1406"/>
      <c r="AO772" s="1405"/>
      <c r="AP772" s="1405"/>
      <c r="AQ772" s="1405"/>
      <c r="AR772" s="1405"/>
      <c r="AS772" s="1405"/>
      <c r="AT772" s="1405"/>
      <c r="AU772" s="1405"/>
      <c r="AV772" s="1405"/>
    </row>
    <row r="773" spans="1:48" s="1431" customFormat="1">
      <c r="A773" s="1399"/>
      <c r="B773" s="1429"/>
      <c r="C773" s="1430"/>
      <c r="D773" s="1400"/>
      <c r="E773" s="1401"/>
      <c r="F773" s="1401"/>
      <c r="G773" s="1402"/>
      <c r="H773" s="1403"/>
      <c r="I773" s="1404"/>
      <c r="J773" s="1405"/>
      <c r="K773" s="1405"/>
      <c r="L773" s="1405"/>
      <c r="M773" s="1405"/>
      <c r="N773" s="1406"/>
      <c r="O773" s="1406"/>
      <c r="P773" s="1406"/>
      <c r="Q773" s="1406"/>
      <c r="R773" s="1406"/>
      <c r="S773" s="1406"/>
      <c r="T773" s="1406"/>
      <c r="U773" s="1406"/>
      <c r="V773" s="1406"/>
      <c r="W773" s="1406"/>
      <c r="X773" s="1406"/>
      <c r="Y773" s="1406"/>
      <c r="Z773" s="1406"/>
      <c r="AA773" s="1406"/>
      <c r="AB773" s="1406"/>
      <c r="AC773" s="1406"/>
      <c r="AD773" s="1406"/>
      <c r="AE773" s="1406"/>
      <c r="AF773" s="1406"/>
      <c r="AG773" s="1406"/>
      <c r="AH773" s="1406"/>
      <c r="AI773" s="1406"/>
      <c r="AJ773" s="1406"/>
      <c r="AK773" s="1406"/>
      <c r="AL773" s="1406"/>
      <c r="AM773" s="1406"/>
      <c r="AN773" s="1406"/>
      <c r="AO773" s="1405"/>
      <c r="AP773" s="1405"/>
      <c r="AQ773" s="1405"/>
      <c r="AR773" s="1405"/>
      <c r="AS773" s="1405"/>
      <c r="AT773" s="1405"/>
      <c r="AU773" s="1405"/>
      <c r="AV773" s="1405"/>
    </row>
    <row r="774" spans="1:48" s="1431" customFormat="1">
      <c r="A774" s="1399"/>
      <c r="B774" s="1429"/>
      <c r="C774" s="1430"/>
      <c r="D774" s="1400"/>
      <c r="E774" s="1401"/>
      <c r="F774" s="1401"/>
      <c r="G774" s="1402"/>
      <c r="H774" s="1403"/>
      <c r="I774" s="1404"/>
      <c r="J774" s="1405"/>
      <c r="K774" s="1405"/>
      <c r="L774" s="1405"/>
      <c r="M774" s="1405"/>
      <c r="N774" s="1406"/>
      <c r="O774" s="1406"/>
      <c r="P774" s="1406"/>
      <c r="Q774" s="1406"/>
      <c r="R774" s="1406"/>
      <c r="S774" s="1406"/>
      <c r="T774" s="1406"/>
      <c r="U774" s="1406"/>
      <c r="V774" s="1406"/>
      <c r="W774" s="1406"/>
      <c r="X774" s="1406"/>
      <c r="Y774" s="1406"/>
      <c r="Z774" s="1406"/>
      <c r="AA774" s="1406"/>
      <c r="AB774" s="1406"/>
      <c r="AC774" s="1406"/>
      <c r="AD774" s="1406"/>
      <c r="AE774" s="1406"/>
      <c r="AF774" s="1406"/>
      <c r="AG774" s="1406"/>
      <c r="AH774" s="1406"/>
      <c r="AI774" s="1406"/>
      <c r="AJ774" s="1406"/>
      <c r="AK774" s="1406"/>
      <c r="AL774" s="1406"/>
      <c r="AM774" s="1406"/>
      <c r="AN774" s="1406"/>
      <c r="AO774" s="1405"/>
      <c r="AP774" s="1405"/>
      <c r="AQ774" s="1405"/>
      <c r="AR774" s="1405"/>
      <c r="AS774" s="1405"/>
      <c r="AT774" s="1405"/>
      <c r="AU774" s="1405"/>
      <c r="AV774" s="1405"/>
    </row>
    <row r="775" spans="1:48" s="1431" customFormat="1">
      <c r="A775" s="1399"/>
      <c r="B775" s="1429"/>
      <c r="C775" s="1430"/>
      <c r="D775" s="1400"/>
      <c r="E775" s="1401"/>
      <c r="F775" s="1401"/>
      <c r="G775" s="1402"/>
      <c r="H775" s="1403"/>
      <c r="I775" s="1404"/>
      <c r="J775" s="1405"/>
      <c r="K775" s="1405"/>
      <c r="L775" s="1405"/>
      <c r="M775" s="1405"/>
      <c r="N775" s="1406"/>
      <c r="O775" s="1406"/>
      <c r="P775" s="1406"/>
      <c r="Q775" s="1406"/>
      <c r="R775" s="1406"/>
      <c r="S775" s="1406"/>
      <c r="T775" s="1406"/>
      <c r="U775" s="1406"/>
      <c r="V775" s="1406"/>
      <c r="W775" s="1406"/>
      <c r="X775" s="1406"/>
      <c r="Y775" s="1406"/>
      <c r="Z775" s="1406"/>
      <c r="AA775" s="1406"/>
      <c r="AB775" s="1406"/>
      <c r="AC775" s="1406"/>
      <c r="AD775" s="1406"/>
      <c r="AE775" s="1406"/>
      <c r="AF775" s="1406"/>
      <c r="AG775" s="1406"/>
      <c r="AH775" s="1406"/>
      <c r="AI775" s="1406"/>
      <c r="AJ775" s="1406"/>
      <c r="AK775" s="1406"/>
      <c r="AL775" s="1406"/>
      <c r="AM775" s="1406"/>
      <c r="AN775" s="1406"/>
      <c r="AO775" s="1405"/>
      <c r="AP775" s="1405"/>
      <c r="AQ775" s="1405"/>
      <c r="AR775" s="1405"/>
      <c r="AS775" s="1405"/>
      <c r="AT775" s="1405"/>
      <c r="AU775" s="1405"/>
      <c r="AV775" s="1405"/>
    </row>
    <row r="776" spans="1:48" s="1431" customFormat="1">
      <c r="A776" s="1399"/>
      <c r="B776" s="1429"/>
      <c r="C776" s="1430"/>
      <c r="D776" s="1400"/>
      <c r="E776" s="1401"/>
      <c r="F776" s="1401"/>
      <c r="G776" s="1402"/>
      <c r="H776" s="1403"/>
      <c r="I776" s="1404"/>
      <c r="J776" s="1405"/>
      <c r="K776" s="1405"/>
      <c r="L776" s="1405"/>
      <c r="M776" s="1405"/>
      <c r="N776" s="1406"/>
      <c r="O776" s="1406"/>
      <c r="P776" s="1406"/>
      <c r="Q776" s="1406"/>
      <c r="R776" s="1406"/>
      <c r="S776" s="1406"/>
      <c r="T776" s="1406"/>
      <c r="U776" s="1406"/>
      <c r="V776" s="1406"/>
      <c r="W776" s="1406"/>
      <c r="X776" s="1406"/>
      <c r="Y776" s="1406"/>
      <c r="Z776" s="1406"/>
      <c r="AA776" s="1406"/>
      <c r="AB776" s="1406"/>
      <c r="AC776" s="1406"/>
      <c r="AD776" s="1406"/>
      <c r="AE776" s="1406"/>
      <c r="AF776" s="1406"/>
      <c r="AG776" s="1406"/>
      <c r="AH776" s="1406"/>
      <c r="AI776" s="1406"/>
      <c r="AJ776" s="1406"/>
      <c r="AK776" s="1406"/>
      <c r="AL776" s="1406"/>
      <c r="AM776" s="1406"/>
      <c r="AN776" s="1406"/>
      <c r="AO776" s="1405"/>
      <c r="AP776" s="1405"/>
      <c r="AQ776" s="1405"/>
      <c r="AR776" s="1405"/>
      <c r="AS776" s="1405"/>
      <c r="AT776" s="1405"/>
      <c r="AU776" s="1405"/>
      <c r="AV776" s="1405"/>
    </row>
    <row r="777" spans="1:48" s="1431" customFormat="1">
      <c r="A777" s="1399"/>
      <c r="B777" s="1429"/>
      <c r="C777" s="1430"/>
      <c r="D777" s="1400"/>
      <c r="E777" s="1401"/>
      <c r="F777" s="1401"/>
      <c r="G777" s="1402"/>
      <c r="H777" s="1403"/>
      <c r="I777" s="1404"/>
      <c r="J777" s="1405"/>
      <c r="K777" s="1405"/>
      <c r="L777" s="1405"/>
      <c r="M777" s="1405"/>
      <c r="N777" s="1406"/>
      <c r="O777" s="1406"/>
      <c r="P777" s="1406"/>
      <c r="Q777" s="1406"/>
      <c r="R777" s="1406"/>
      <c r="S777" s="1406"/>
      <c r="T777" s="1406"/>
      <c r="U777" s="1406"/>
      <c r="V777" s="1406"/>
      <c r="W777" s="1406"/>
      <c r="X777" s="1406"/>
      <c r="Y777" s="1406"/>
      <c r="Z777" s="1406"/>
      <c r="AA777" s="1406"/>
      <c r="AB777" s="1406"/>
      <c r="AC777" s="1406"/>
      <c r="AD777" s="1406"/>
      <c r="AE777" s="1406"/>
      <c r="AF777" s="1406"/>
      <c r="AG777" s="1406"/>
      <c r="AH777" s="1406"/>
      <c r="AI777" s="1406"/>
      <c r="AJ777" s="1406"/>
      <c r="AK777" s="1406"/>
      <c r="AL777" s="1406"/>
      <c r="AM777" s="1406"/>
      <c r="AN777" s="1406"/>
      <c r="AO777" s="1405"/>
      <c r="AP777" s="1405"/>
      <c r="AQ777" s="1405"/>
      <c r="AR777" s="1405"/>
      <c r="AS777" s="1405"/>
      <c r="AT777" s="1405"/>
      <c r="AU777" s="1405"/>
      <c r="AV777" s="1405"/>
    </row>
    <row r="778" spans="1:48" s="1431" customFormat="1">
      <c r="A778" s="1399"/>
      <c r="B778" s="1429"/>
      <c r="C778" s="1430"/>
      <c r="D778" s="1400"/>
      <c r="E778" s="1401"/>
      <c r="F778" s="1401"/>
      <c r="G778" s="1402"/>
      <c r="H778" s="1403"/>
      <c r="I778" s="1404"/>
      <c r="J778" s="1405"/>
      <c r="K778" s="1405"/>
      <c r="L778" s="1405"/>
      <c r="M778" s="1405"/>
      <c r="N778" s="1406"/>
      <c r="O778" s="1406"/>
      <c r="P778" s="1406"/>
      <c r="Q778" s="1406"/>
      <c r="R778" s="1406"/>
      <c r="S778" s="1406"/>
      <c r="T778" s="1406"/>
      <c r="U778" s="1406"/>
      <c r="V778" s="1406"/>
      <c r="W778" s="1406"/>
      <c r="X778" s="1406"/>
      <c r="Y778" s="1406"/>
      <c r="Z778" s="1406"/>
      <c r="AA778" s="1406"/>
      <c r="AB778" s="1406"/>
      <c r="AC778" s="1406"/>
      <c r="AD778" s="1406"/>
      <c r="AE778" s="1406"/>
      <c r="AF778" s="1406"/>
      <c r="AG778" s="1406"/>
      <c r="AH778" s="1406"/>
      <c r="AI778" s="1406"/>
      <c r="AJ778" s="1406"/>
      <c r="AK778" s="1406"/>
      <c r="AL778" s="1406"/>
      <c r="AM778" s="1406"/>
      <c r="AN778" s="1406"/>
      <c r="AO778" s="1405"/>
      <c r="AP778" s="1405"/>
      <c r="AQ778" s="1405"/>
      <c r="AR778" s="1405"/>
      <c r="AS778" s="1405"/>
      <c r="AT778" s="1405"/>
      <c r="AU778" s="1405"/>
      <c r="AV778" s="1405"/>
    </row>
    <row r="779" spans="1:48" s="1431" customFormat="1">
      <c r="A779" s="1399"/>
      <c r="B779" s="1429"/>
      <c r="C779" s="1430"/>
      <c r="D779" s="1400"/>
      <c r="E779" s="1401"/>
      <c r="F779" s="1401"/>
      <c r="G779" s="1402"/>
      <c r="H779" s="1403"/>
      <c r="I779" s="1404"/>
      <c r="J779" s="1405"/>
      <c r="K779" s="1405"/>
      <c r="L779" s="1405"/>
      <c r="M779" s="1405"/>
      <c r="N779" s="1406"/>
      <c r="O779" s="1406"/>
      <c r="P779" s="1406"/>
      <c r="Q779" s="1406"/>
      <c r="R779" s="1406"/>
      <c r="S779" s="1406"/>
      <c r="T779" s="1406"/>
      <c r="U779" s="1406"/>
      <c r="V779" s="1406"/>
      <c r="W779" s="1406"/>
      <c r="X779" s="1406"/>
      <c r="Y779" s="1406"/>
      <c r="Z779" s="1406"/>
      <c r="AA779" s="1406"/>
      <c r="AB779" s="1406"/>
      <c r="AC779" s="1406"/>
      <c r="AD779" s="1406"/>
      <c r="AE779" s="1406"/>
      <c r="AF779" s="1406"/>
      <c r="AG779" s="1406"/>
      <c r="AH779" s="1406"/>
      <c r="AI779" s="1406"/>
      <c r="AJ779" s="1406"/>
      <c r="AK779" s="1406"/>
      <c r="AL779" s="1406"/>
      <c r="AM779" s="1406"/>
      <c r="AN779" s="1406"/>
      <c r="AO779" s="1405"/>
      <c r="AP779" s="1405"/>
      <c r="AQ779" s="1405"/>
      <c r="AR779" s="1405"/>
      <c r="AS779" s="1405"/>
      <c r="AT779" s="1405"/>
      <c r="AU779" s="1405"/>
      <c r="AV779" s="1405"/>
    </row>
    <row r="780" spans="1:48" s="1431" customFormat="1">
      <c r="A780" s="1399"/>
      <c r="B780" s="1429"/>
      <c r="C780" s="1430"/>
      <c r="D780" s="1400"/>
      <c r="E780" s="1401"/>
      <c r="F780" s="1401"/>
      <c r="G780" s="1402"/>
      <c r="H780" s="1403"/>
      <c r="I780" s="1404"/>
      <c r="J780" s="1405"/>
      <c r="K780" s="1405"/>
      <c r="L780" s="1405"/>
      <c r="M780" s="1405"/>
      <c r="N780" s="1406"/>
      <c r="O780" s="1406"/>
      <c r="P780" s="1406"/>
      <c r="Q780" s="1406"/>
      <c r="R780" s="1406"/>
      <c r="S780" s="1406"/>
      <c r="T780" s="1406"/>
      <c r="U780" s="1406"/>
      <c r="V780" s="1406"/>
      <c r="W780" s="1406"/>
      <c r="X780" s="1406"/>
      <c r="Y780" s="1406"/>
      <c r="Z780" s="1406"/>
      <c r="AA780" s="1406"/>
      <c r="AB780" s="1406"/>
      <c r="AC780" s="1406"/>
      <c r="AD780" s="1406"/>
      <c r="AE780" s="1406"/>
      <c r="AF780" s="1406"/>
      <c r="AG780" s="1406"/>
      <c r="AH780" s="1406"/>
      <c r="AI780" s="1406"/>
      <c r="AJ780" s="1406"/>
      <c r="AK780" s="1406"/>
      <c r="AL780" s="1406"/>
      <c r="AM780" s="1406"/>
      <c r="AN780" s="1406"/>
      <c r="AO780" s="1405"/>
      <c r="AP780" s="1405"/>
      <c r="AQ780" s="1405"/>
      <c r="AR780" s="1405"/>
      <c r="AS780" s="1405"/>
      <c r="AT780" s="1405"/>
      <c r="AU780" s="1405"/>
      <c r="AV780" s="1405"/>
    </row>
    <row r="781" spans="1:48" s="1431" customFormat="1">
      <c r="A781" s="1399"/>
      <c r="B781" s="1429"/>
      <c r="C781" s="1430"/>
      <c r="D781" s="1400"/>
      <c r="E781" s="1401"/>
      <c r="F781" s="1401"/>
      <c r="G781" s="1402"/>
      <c r="H781" s="1403"/>
      <c r="I781" s="1404"/>
      <c r="J781" s="1405"/>
      <c r="K781" s="1405"/>
      <c r="L781" s="1405"/>
      <c r="M781" s="1405"/>
      <c r="N781" s="1406"/>
      <c r="O781" s="1406"/>
      <c r="P781" s="1406"/>
      <c r="Q781" s="1406"/>
      <c r="R781" s="1406"/>
      <c r="S781" s="1406"/>
      <c r="T781" s="1406"/>
      <c r="U781" s="1406"/>
      <c r="V781" s="1406"/>
      <c r="W781" s="1406"/>
      <c r="X781" s="1406"/>
      <c r="Y781" s="1406"/>
      <c r="Z781" s="1406"/>
      <c r="AA781" s="1406"/>
      <c r="AB781" s="1406"/>
      <c r="AC781" s="1406"/>
      <c r="AD781" s="1406"/>
      <c r="AE781" s="1406"/>
      <c r="AF781" s="1406"/>
      <c r="AG781" s="1406"/>
      <c r="AH781" s="1406"/>
      <c r="AI781" s="1406"/>
      <c r="AJ781" s="1406"/>
      <c r="AK781" s="1406"/>
      <c r="AL781" s="1406"/>
      <c r="AM781" s="1406"/>
      <c r="AN781" s="1406"/>
      <c r="AO781" s="1405"/>
      <c r="AP781" s="1405"/>
      <c r="AQ781" s="1405"/>
      <c r="AR781" s="1405"/>
      <c r="AS781" s="1405"/>
      <c r="AT781" s="1405"/>
      <c r="AU781" s="1405"/>
      <c r="AV781" s="1405"/>
    </row>
    <row r="782" spans="1:48" s="1431" customFormat="1">
      <c r="A782" s="1399"/>
      <c r="B782" s="1429"/>
      <c r="C782" s="1430"/>
      <c r="D782" s="1400"/>
      <c r="E782" s="1401"/>
      <c r="F782" s="1401"/>
      <c r="G782" s="1402"/>
      <c r="H782" s="1403"/>
      <c r="I782" s="1404"/>
      <c r="J782" s="1405"/>
      <c r="K782" s="1405"/>
      <c r="L782" s="1405"/>
      <c r="M782" s="1405"/>
      <c r="N782" s="1406"/>
      <c r="O782" s="1406"/>
      <c r="P782" s="1406"/>
      <c r="Q782" s="1406"/>
      <c r="R782" s="1406"/>
      <c r="S782" s="1406"/>
      <c r="T782" s="1406"/>
      <c r="U782" s="1406"/>
      <c r="V782" s="1406"/>
      <c r="W782" s="1406"/>
      <c r="X782" s="1406"/>
      <c r="Y782" s="1406"/>
      <c r="Z782" s="1406"/>
      <c r="AA782" s="1406"/>
      <c r="AB782" s="1406"/>
      <c r="AC782" s="1406"/>
      <c r="AD782" s="1406"/>
      <c r="AE782" s="1406"/>
      <c r="AF782" s="1406"/>
      <c r="AG782" s="1406"/>
      <c r="AH782" s="1406"/>
      <c r="AI782" s="1406"/>
      <c r="AJ782" s="1406"/>
      <c r="AK782" s="1406"/>
      <c r="AL782" s="1406"/>
      <c r="AM782" s="1406"/>
      <c r="AN782" s="1406"/>
      <c r="AO782" s="1405"/>
      <c r="AP782" s="1405"/>
      <c r="AQ782" s="1405"/>
      <c r="AR782" s="1405"/>
      <c r="AS782" s="1405"/>
      <c r="AT782" s="1405"/>
      <c r="AU782" s="1405"/>
      <c r="AV782" s="1405"/>
    </row>
    <row r="783" spans="1:48" s="1431" customFormat="1">
      <c r="A783" s="1399"/>
      <c r="B783" s="1429"/>
      <c r="C783" s="1430"/>
      <c r="D783" s="1400"/>
      <c r="E783" s="1401"/>
      <c r="F783" s="1401"/>
      <c r="G783" s="1402"/>
      <c r="H783" s="1403"/>
      <c r="I783" s="1404"/>
      <c r="J783" s="1405"/>
      <c r="K783" s="1405"/>
      <c r="L783" s="1405"/>
      <c r="M783" s="1405"/>
      <c r="N783" s="1406"/>
      <c r="O783" s="1406"/>
      <c r="P783" s="1406"/>
      <c r="Q783" s="1406"/>
      <c r="R783" s="1406"/>
      <c r="S783" s="1406"/>
      <c r="T783" s="1406"/>
      <c r="U783" s="1406"/>
      <c r="V783" s="1406"/>
      <c r="W783" s="1406"/>
      <c r="X783" s="1406"/>
      <c r="Y783" s="1406"/>
      <c r="Z783" s="1406"/>
      <c r="AA783" s="1406"/>
      <c r="AB783" s="1406"/>
      <c r="AC783" s="1406"/>
      <c r="AD783" s="1406"/>
      <c r="AE783" s="1406"/>
      <c r="AF783" s="1406"/>
      <c r="AG783" s="1406"/>
      <c r="AH783" s="1406"/>
      <c r="AI783" s="1406"/>
      <c r="AJ783" s="1406"/>
      <c r="AK783" s="1406"/>
      <c r="AL783" s="1406"/>
      <c r="AM783" s="1406"/>
      <c r="AN783" s="1406"/>
      <c r="AO783" s="1405"/>
      <c r="AP783" s="1405"/>
      <c r="AQ783" s="1405"/>
      <c r="AR783" s="1405"/>
      <c r="AS783" s="1405"/>
      <c r="AT783" s="1405"/>
      <c r="AU783" s="1405"/>
      <c r="AV783" s="1405"/>
    </row>
    <row r="784" spans="1:48" s="1431" customFormat="1">
      <c r="A784" s="1399"/>
      <c r="B784" s="1429"/>
      <c r="C784" s="1430"/>
      <c r="D784" s="1400"/>
      <c r="E784" s="1401"/>
      <c r="F784" s="1401"/>
      <c r="G784" s="1402"/>
      <c r="H784" s="1403"/>
      <c r="I784" s="1404"/>
      <c r="J784" s="1405"/>
      <c r="K784" s="1405"/>
      <c r="L784" s="1405"/>
      <c r="M784" s="1405"/>
      <c r="N784" s="1406"/>
      <c r="O784" s="1406"/>
      <c r="P784" s="1406"/>
      <c r="Q784" s="1406"/>
      <c r="R784" s="1406"/>
      <c r="S784" s="1406"/>
      <c r="T784" s="1406"/>
      <c r="U784" s="1406"/>
      <c r="V784" s="1406"/>
      <c r="W784" s="1406"/>
      <c r="X784" s="1406"/>
      <c r="Y784" s="1406"/>
      <c r="Z784" s="1406"/>
      <c r="AA784" s="1406"/>
      <c r="AB784" s="1406"/>
      <c r="AC784" s="1406"/>
      <c r="AD784" s="1406"/>
      <c r="AE784" s="1406"/>
      <c r="AF784" s="1406"/>
      <c r="AG784" s="1406"/>
      <c r="AH784" s="1406"/>
      <c r="AI784" s="1406"/>
      <c r="AJ784" s="1406"/>
      <c r="AK784" s="1406"/>
      <c r="AL784" s="1406"/>
      <c r="AM784" s="1406"/>
      <c r="AN784" s="1406"/>
      <c r="AO784" s="1405"/>
      <c r="AP784" s="1405"/>
      <c r="AQ784" s="1405"/>
      <c r="AR784" s="1405"/>
      <c r="AS784" s="1405"/>
      <c r="AT784" s="1405"/>
      <c r="AU784" s="1405"/>
      <c r="AV784" s="1405"/>
    </row>
    <row r="785" spans="1:48" s="1431" customFormat="1">
      <c r="A785" s="1399"/>
      <c r="B785" s="1429"/>
      <c r="C785" s="1430"/>
      <c r="D785" s="1400"/>
      <c r="E785" s="1401"/>
      <c r="F785" s="1401"/>
      <c r="G785" s="1402"/>
      <c r="H785" s="1403"/>
      <c r="I785" s="1404"/>
      <c r="J785" s="1405"/>
      <c r="K785" s="1405"/>
      <c r="L785" s="1405"/>
      <c r="M785" s="1405"/>
      <c r="N785" s="1406"/>
      <c r="O785" s="1406"/>
      <c r="P785" s="1406"/>
      <c r="Q785" s="1406"/>
      <c r="R785" s="1406"/>
      <c r="S785" s="1406"/>
      <c r="T785" s="1406"/>
      <c r="U785" s="1406"/>
      <c r="V785" s="1406"/>
      <c r="W785" s="1406"/>
      <c r="X785" s="1406"/>
      <c r="Y785" s="1406"/>
      <c r="Z785" s="1406"/>
      <c r="AA785" s="1406"/>
      <c r="AB785" s="1406"/>
      <c r="AC785" s="1406"/>
      <c r="AD785" s="1406"/>
      <c r="AE785" s="1406"/>
      <c r="AF785" s="1406"/>
      <c r="AG785" s="1406"/>
      <c r="AH785" s="1406"/>
      <c r="AI785" s="1406"/>
      <c r="AJ785" s="1406"/>
      <c r="AK785" s="1406"/>
      <c r="AL785" s="1406"/>
      <c r="AM785" s="1406"/>
      <c r="AN785" s="1406"/>
      <c r="AO785" s="1405"/>
      <c r="AP785" s="1405"/>
      <c r="AQ785" s="1405"/>
      <c r="AR785" s="1405"/>
      <c r="AS785" s="1405"/>
      <c r="AT785" s="1405"/>
      <c r="AU785" s="1405"/>
      <c r="AV785" s="1405"/>
    </row>
    <row r="786" spans="1:48" s="1431" customFormat="1">
      <c r="A786" s="1399"/>
      <c r="B786" s="1429"/>
      <c r="C786" s="1430"/>
      <c r="D786" s="1400"/>
      <c r="E786" s="1401"/>
      <c r="F786" s="1401"/>
      <c r="G786" s="1402"/>
      <c r="H786" s="1403"/>
      <c r="I786" s="1404"/>
      <c r="J786" s="1405"/>
      <c r="K786" s="1405"/>
      <c r="L786" s="1405"/>
      <c r="M786" s="1405"/>
      <c r="N786" s="1406"/>
      <c r="O786" s="1406"/>
      <c r="P786" s="1406"/>
      <c r="Q786" s="1406"/>
      <c r="R786" s="1406"/>
      <c r="S786" s="1406"/>
      <c r="T786" s="1406"/>
      <c r="U786" s="1406"/>
      <c r="V786" s="1406"/>
      <c r="W786" s="1406"/>
      <c r="X786" s="1406"/>
      <c r="Y786" s="1406"/>
      <c r="Z786" s="1406"/>
      <c r="AA786" s="1406"/>
      <c r="AB786" s="1406"/>
      <c r="AC786" s="1406"/>
      <c r="AD786" s="1406"/>
      <c r="AE786" s="1406"/>
      <c r="AF786" s="1406"/>
      <c r="AG786" s="1406"/>
      <c r="AH786" s="1406"/>
      <c r="AI786" s="1406"/>
      <c r="AJ786" s="1406"/>
      <c r="AK786" s="1406"/>
      <c r="AL786" s="1406"/>
      <c r="AM786" s="1406"/>
      <c r="AN786" s="1406"/>
      <c r="AO786" s="1405"/>
      <c r="AP786" s="1405"/>
      <c r="AQ786" s="1405"/>
      <c r="AR786" s="1405"/>
      <c r="AS786" s="1405"/>
      <c r="AT786" s="1405"/>
      <c r="AU786" s="1405"/>
      <c r="AV786" s="1405"/>
    </row>
    <row r="787" spans="1:48" s="1431" customFormat="1">
      <c r="A787" s="1399"/>
      <c r="B787" s="1429"/>
      <c r="C787" s="1430"/>
      <c r="D787" s="1400"/>
      <c r="E787" s="1401"/>
      <c r="F787" s="1401"/>
      <c r="G787" s="1402"/>
      <c r="H787" s="1403"/>
      <c r="I787" s="1404"/>
      <c r="J787" s="1405"/>
      <c r="K787" s="1405"/>
      <c r="L787" s="1405"/>
      <c r="M787" s="1405"/>
      <c r="N787" s="1406"/>
      <c r="O787" s="1406"/>
      <c r="P787" s="1406"/>
      <c r="Q787" s="1406"/>
      <c r="R787" s="1406"/>
      <c r="S787" s="1406"/>
      <c r="T787" s="1406"/>
      <c r="U787" s="1406"/>
      <c r="V787" s="1406"/>
      <c r="W787" s="1406"/>
      <c r="X787" s="1406"/>
      <c r="Y787" s="1406"/>
      <c r="Z787" s="1406"/>
      <c r="AA787" s="1406"/>
      <c r="AB787" s="1406"/>
      <c r="AC787" s="1406"/>
      <c r="AD787" s="1406"/>
      <c r="AE787" s="1406"/>
      <c r="AF787" s="1406"/>
      <c r="AG787" s="1406"/>
      <c r="AH787" s="1406"/>
      <c r="AI787" s="1406"/>
      <c r="AJ787" s="1406"/>
      <c r="AK787" s="1406"/>
      <c r="AL787" s="1406"/>
      <c r="AM787" s="1406"/>
      <c r="AN787" s="1406"/>
      <c r="AO787" s="1405"/>
      <c r="AP787" s="1405"/>
      <c r="AQ787" s="1405"/>
      <c r="AR787" s="1405"/>
      <c r="AS787" s="1405"/>
      <c r="AT787" s="1405"/>
      <c r="AU787" s="1405"/>
      <c r="AV787" s="1405"/>
    </row>
    <row r="788" spans="1:48" s="1431" customFormat="1">
      <c r="A788" s="1399"/>
      <c r="B788" s="1429"/>
      <c r="C788" s="1430"/>
      <c r="D788" s="1400"/>
      <c r="E788" s="1401"/>
      <c r="F788" s="1401"/>
      <c r="G788" s="1402"/>
      <c r="H788" s="1403"/>
      <c r="I788" s="1404"/>
      <c r="J788" s="1405"/>
      <c r="K788" s="1405"/>
      <c r="L788" s="1405"/>
      <c r="M788" s="1405"/>
      <c r="N788" s="1406"/>
      <c r="O788" s="1406"/>
      <c r="P788" s="1406"/>
      <c r="Q788" s="1406"/>
      <c r="R788" s="1406"/>
      <c r="S788" s="1406"/>
      <c r="T788" s="1406"/>
      <c r="U788" s="1406"/>
      <c r="V788" s="1406"/>
      <c r="W788" s="1406"/>
      <c r="X788" s="1406"/>
      <c r="Y788" s="1406"/>
      <c r="Z788" s="1406"/>
      <c r="AA788" s="1406"/>
      <c r="AB788" s="1406"/>
      <c r="AC788" s="1406"/>
      <c r="AD788" s="1406"/>
      <c r="AE788" s="1406"/>
      <c r="AF788" s="1406"/>
      <c r="AG788" s="1406"/>
      <c r="AH788" s="1406"/>
      <c r="AI788" s="1406"/>
      <c r="AJ788" s="1406"/>
      <c r="AK788" s="1406"/>
      <c r="AL788" s="1406"/>
      <c r="AM788" s="1406"/>
      <c r="AN788" s="1406"/>
      <c r="AO788" s="1405"/>
      <c r="AP788" s="1405"/>
      <c r="AQ788" s="1405"/>
      <c r="AR788" s="1405"/>
      <c r="AS788" s="1405"/>
      <c r="AT788" s="1405"/>
      <c r="AU788" s="1405"/>
      <c r="AV788" s="1405"/>
    </row>
    <row r="789" spans="1:48" s="1431" customFormat="1">
      <c r="A789" s="1399"/>
      <c r="B789" s="1429"/>
      <c r="C789" s="1430"/>
      <c r="D789" s="1400"/>
      <c r="E789" s="1401"/>
      <c r="F789" s="1401"/>
      <c r="G789" s="1402"/>
      <c r="H789" s="1403"/>
      <c r="I789" s="1404"/>
      <c r="J789" s="1405"/>
      <c r="K789" s="1405"/>
      <c r="L789" s="1405"/>
      <c r="M789" s="1405"/>
      <c r="N789" s="1406"/>
      <c r="O789" s="1406"/>
      <c r="P789" s="1406"/>
      <c r="Q789" s="1406"/>
      <c r="R789" s="1406"/>
      <c r="S789" s="1406"/>
      <c r="T789" s="1406"/>
      <c r="U789" s="1406"/>
      <c r="V789" s="1406"/>
      <c r="W789" s="1406"/>
      <c r="X789" s="1406"/>
      <c r="Y789" s="1406"/>
      <c r="Z789" s="1406"/>
      <c r="AA789" s="1406"/>
      <c r="AB789" s="1406"/>
      <c r="AC789" s="1406"/>
      <c r="AD789" s="1406"/>
      <c r="AE789" s="1406"/>
      <c r="AF789" s="1406"/>
      <c r="AG789" s="1406"/>
      <c r="AH789" s="1406"/>
      <c r="AI789" s="1406"/>
      <c r="AJ789" s="1406"/>
      <c r="AK789" s="1406"/>
      <c r="AL789" s="1406"/>
      <c r="AM789" s="1406"/>
      <c r="AN789" s="1406"/>
      <c r="AO789" s="1405"/>
      <c r="AP789" s="1405"/>
      <c r="AQ789" s="1405"/>
      <c r="AR789" s="1405"/>
      <c r="AS789" s="1405"/>
      <c r="AT789" s="1405"/>
      <c r="AU789" s="1405"/>
      <c r="AV789" s="1405"/>
    </row>
    <row r="790" spans="1:48" s="1431" customFormat="1">
      <c r="A790" s="1399"/>
      <c r="B790" s="1429"/>
      <c r="C790" s="1430"/>
      <c r="D790" s="1400"/>
      <c r="E790" s="1401"/>
      <c r="F790" s="1401"/>
      <c r="G790" s="1402"/>
      <c r="H790" s="1403"/>
      <c r="I790" s="1404"/>
      <c r="J790" s="1405"/>
      <c r="K790" s="1405"/>
      <c r="L790" s="1405"/>
      <c r="M790" s="1405"/>
      <c r="N790" s="1406"/>
      <c r="O790" s="1406"/>
      <c r="P790" s="1406"/>
      <c r="Q790" s="1406"/>
      <c r="R790" s="1406"/>
      <c r="S790" s="1406"/>
      <c r="T790" s="1406"/>
      <c r="U790" s="1406"/>
      <c r="V790" s="1406"/>
      <c r="W790" s="1406"/>
      <c r="X790" s="1406"/>
      <c r="Y790" s="1406"/>
      <c r="Z790" s="1406"/>
      <c r="AA790" s="1406"/>
      <c r="AB790" s="1406"/>
      <c r="AC790" s="1406"/>
      <c r="AD790" s="1406"/>
      <c r="AE790" s="1406"/>
      <c r="AF790" s="1406"/>
      <c r="AG790" s="1406"/>
      <c r="AH790" s="1406"/>
      <c r="AI790" s="1406"/>
      <c r="AJ790" s="1406"/>
      <c r="AK790" s="1406"/>
      <c r="AL790" s="1406"/>
      <c r="AM790" s="1406"/>
      <c r="AN790" s="1406"/>
      <c r="AO790" s="1405"/>
      <c r="AP790" s="1405"/>
      <c r="AQ790" s="1405"/>
      <c r="AR790" s="1405"/>
      <c r="AS790" s="1405"/>
      <c r="AT790" s="1405"/>
      <c r="AU790" s="1405"/>
      <c r="AV790" s="1405"/>
    </row>
    <row r="791" spans="1:48" s="1431" customFormat="1">
      <c r="A791" s="1399"/>
      <c r="B791" s="1429"/>
      <c r="C791" s="1430"/>
      <c r="D791" s="1400"/>
      <c r="E791" s="1401"/>
      <c r="F791" s="1401"/>
      <c r="G791" s="1402"/>
      <c r="H791" s="1403"/>
      <c r="I791" s="1404"/>
      <c r="J791" s="1405"/>
      <c r="K791" s="1405"/>
      <c r="L791" s="1405"/>
      <c r="M791" s="1405"/>
      <c r="N791" s="1406"/>
      <c r="O791" s="1406"/>
      <c r="P791" s="1406"/>
      <c r="Q791" s="1406"/>
      <c r="R791" s="1406"/>
      <c r="S791" s="1406"/>
      <c r="T791" s="1406"/>
      <c r="U791" s="1406"/>
      <c r="V791" s="1406"/>
      <c r="W791" s="1406"/>
      <c r="X791" s="1406"/>
      <c r="Y791" s="1406"/>
      <c r="Z791" s="1406"/>
      <c r="AA791" s="1406"/>
      <c r="AB791" s="1406"/>
      <c r="AC791" s="1406"/>
      <c r="AD791" s="1406"/>
      <c r="AE791" s="1406"/>
      <c r="AF791" s="1406"/>
      <c r="AG791" s="1406"/>
      <c r="AH791" s="1406"/>
      <c r="AI791" s="1406"/>
      <c r="AJ791" s="1406"/>
      <c r="AK791" s="1406"/>
      <c r="AL791" s="1406"/>
      <c r="AM791" s="1406"/>
      <c r="AN791" s="1406"/>
      <c r="AO791" s="1405"/>
      <c r="AP791" s="1405"/>
      <c r="AQ791" s="1405"/>
      <c r="AR791" s="1405"/>
      <c r="AS791" s="1405"/>
      <c r="AT791" s="1405"/>
      <c r="AU791" s="1405"/>
      <c r="AV791" s="1405"/>
    </row>
    <row r="792" spans="1:48" s="1431" customFormat="1">
      <c r="A792" s="1399"/>
      <c r="B792" s="1429"/>
      <c r="C792" s="1430"/>
      <c r="D792" s="1400"/>
      <c r="E792" s="1401"/>
      <c r="F792" s="1401"/>
      <c r="G792" s="1402"/>
      <c r="H792" s="1403"/>
      <c r="I792" s="1404"/>
      <c r="J792" s="1405"/>
      <c r="K792" s="1405"/>
      <c r="L792" s="1405"/>
      <c r="M792" s="1405"/>
      <c r="N792" s="1406"/>
      <c r="O792" s="1406"/>
      <c r="P792" s="1406"/>
      <c r="Q792" s="1406"/>
      <c r="R792" s="1406"/>
      <c r="S792" s="1406"/>
      <c r="T792" s="1406"/>
      <c r="U792" s="1406"/>
      <c r="V792" s="1406"/>
      <c r="W792" s="1406"/>
      <c r="X792" s="1406"/>
      <c r="Y792" s="1406"/>
      <c r="Z792" s="1406"/>
      <c r="AA792" s="1406"/>
      <c r="AB792" s="1406"/>
      <c r="AC792" s="1406"/>
      <c r="AD792" s="1406"/>
      <c r="AE792" s="1406"/>
      <c r="AF792" s="1406"/>
      <c r="AG792" s="1406"/>
      <c r="AH792" s="1406"/>
      <c r="AI792" s="1406"/>
      <c r="AJ792" s="1406"/>
      <c r="AK792" s="1406"/>
      <c r="AL792" s="1406"/>
      <c r="AM792" s="1406"/>
      <c r="AN792" s="1406"/>
      <c r="AO792" s="1405"/>
      <c r="AP792" s="1405"/>
      <c r="AQ792" s="1405"/>
      <c r="AR792" s="1405"/>
      <c r="AS792" s="1405"/>
      <c r="AT792" s="1405"/>
      <c r="AU792" s="1405"/>
      <c r="AV792" s="1405"/>
    </row>
    <row r="793" spans="1:48" s="1431" customFormat="1">
      <c r="A793" s="1399"/>
      <c r="B793" s="1429"/>
      <c r="C793" s="1430"/>
      <c r="D793" s="1400"/>
      <c r="E793" s="1401"/>
      <c r="F793" s="1401"/>
      <c r="G793" s="1402"/>
      <c r="H793" s="1403"/>
      <c r="I793" s="1404"/>
      <c r="J793" s="1405"/>
      <c r="K793" s="1405"/>
      <c r="L793" s="1405"/>
      <c r="M793" s="1405"/>
      <c r="N793" s="1406"/>
      <c r="O793" s="1406"/>
      <c r="P793" s="1406"/>
      <c r="Q793" s="1406"/>
      <c r="R793" s="1406"/>
      <c r="S793" s="1406"/>
      <c r="T793" s="1406"/>
      <c r="U793" s="1406"/>
      <c r="V793" s="1406"/>
      <c r="W793" s="1406"/>
      <c r="X793" s="1406"/>
      <c r="Y793" s="1406"/>
      <c r="Z793" s="1406"/>
      <c r="AA793" s="1406"/>
      <c r="AB793" s="1406"/>
      <c r="AC793" s="1406"/>
      <c r="AD793" s="1406"/>
      <c r="AE793" s="1406"/>
      <c r="AF793" s="1406"/>
      <c r="AG793" s="1406"/>
      <c r="AH793" s="1406"/>
      <c r="AI793" s="1406"/>
      <c r="AJ793" s="1406"/>
      <c r="AK793" s="1406"/>
      <c r="AL793" s="1406"/>
      <c r="AM793" s="1406"/>
      <c r="AN793" s="1406"/>
      <c r="AO793" s="1405"/>
      <c r="AP793" s="1405"/>
      <c r="AQ793" s="1405"/>
      <c r="AR793" s="1405"/>
      <c r="AS793" s="1405"/>
      <c r="AT793" s="1405"/>
      <c r="AU793" s="1405"/>
      <c r="AV793" s="1405"/>
    </row>
    <row r="794" spans="1:48" s="1431" customFormat="1">
      <c r="A794" s="1399"/>
      <c r="B794" s="1429"/>
      <c r="C794" s="1430"/>
      <c r="D794" s="1400"/>
      <c r="E794" s="1401"/>
      <c r="F794" s="1401"/>
      <c r="G794" s="1402"/>
      <c r="H794" s="1403"/>
      <c r="I794" s="1404"/>
      <c r="J794" s="1405"/>
      <c r="K794" s="1405"/>
      <c r="L794" s="1405"/>
      <c r="M794" s="1405"/>
      <c r="N794" s="1406"/>
      <c r="O794" s="1406"/>
      <c r="P794" s="1406"/>
      <c r="Q794" s="1406"/>
      <c r="R794" s="1406"/>
      <c r="S794" s="1406"/>
      <c r="T794" s="1406"/>
      <c r="U794" s="1406"/>
      <c r="V794" s="1406"/>
      <c r="W794" s="1406"/>
      <c r="X794" s="1406"/>
      <c r="Y794" s="1406"/>
      <c r="Z794" s="1406"/>
      <c r="AA794" s="1406"/>
      <c r="AB794" s="1406"/>
      <c r="AC794" s="1406"/>
      <c r="AD794" s="1406"/>
      <c r="AE794" s="1406"/>
      <c r="AF794" s="1406"/>
      <c r="AG794" s="1406"/>
      <c r="AH794" s="1406"/>
      <c r="AI794" s="1406"/>
      <c r="AJ794" s="1406"/>
      <c r="AK794" s="1406"/>
      <c r="AL794" s="1406"/>
      <c r="AM794" s="1406"/>
      <c r="AN794" s="1406"/>
      <c r="AO794" s="1405"/>
      <c r="AP794" s="1405"/>
      <c r="AQ794" s="1405"/>
      <c r="AR794" s="1405"/>
      <c r="AS794" s="1405"/>
      <c r="AT794" s="1405"/>
      <c r="AU794" s="1405"/>
      <c r="AV794" s="1405"/>
    </row>
    <row r="795" spans="1:48" s="1431" customFormat="1">
      <c r="A795" s="1399"/>
      <c r="B795" s="1429"/>
      <c r="C795" s="1430"/>
      <c r="D795" s="1400"/>
      <c r="E795" s="1401"/>
      <c r="F795" s="1401"/>
      <c r="G795" s="1402"/>
      <c r="H795" s="1403"/>
      <c r="I795" s="1404"/>
      <c r="J795" s="1405"/>
      <c r="K795" s="1405"/>
      <c r="L795" s="1405"/>
      <c r="M795" s="1405"/>
      <c r="N795" s="1406"/>
      <c r="O795" s="1406"/>
      <c r="P795" s="1406"/>
      <c r="Q795" s="1406"/>
      <c r="R795" s="1406"/>
      <c r="S795" s="1406"/>
      <c r="T795" s="1406"/>
      <c r="U795" s="1406"/>
      <c r="V795" s="1406"/>
      <c r="W795" s="1406"/>
      <c r="X795" s="1406"/>
      <c r="Y795" s="1406"/>
      <c r="Z795" s="1406"/>
      <c r="AA795" s="1406"/>
      <c r="AB795" s="1406"/>
      <c r="AC795" s="1406"/>
      <c r="AD795" s="1406"/>
      <c r="AE795" s="1406"/>
      <c r="AF795" s="1406"/>
      <c r="AG795" s="1406"/>
      <c r="AH795" s="1406"/>
      <c r="AI795" s="1406"/>
      <c r="AJ795" s="1406"/>
      <c r="AK795" s="1406"/>
      <c r="AL795" s="1406"/>
      <c r="AM795" s="1406"/>
      <c r="AN795" s="1406"/>
      <c r="AO795" s="1405"/>
      <c r="AP795" s="1405"/>
      <c r="AQ795" s="1405"/>
      <c r="AR795" s="1405"/>
      <c r="AS795" s="1405"/>
      <c r="AT795" s="1405"/>
      <c r="AU795" s="1405"/>
      <c r="AV795" s="1405"/>
    </row>
    <row r="796" spans="1:48" s="1431" customFormat="1">
      <c r="A796" s="1399"/>
      <c r="B796" s="1429"/>
      <c r="C796" s="1430"/>
      <c r="D796" s="1400"/>
      <c r="E796" s="1401"/>
      <c r="F796" s="1401"/>
      <c r="G796" s="1402"/>
      <c r="H796" s="1403"/>
      <c r="I796" s="1404"/>
      <c r="J796" s="1405"/>
      <c r="K796" s="1405"/>
      <c r="L796" s="1405"/>
      <c r="M796" s="1405"/>
      <c r="N796" s="1406"/>
      <c r="O796" s="1406"/>
      <c r="P796" s="1406"/>
      <c r="Q796" s="1406"/>
      <c r="R796" s="1406"/>
      <c r="S796" s="1406"/>
      <c r="T796" s="1406"/>
      <c r="U796" s="1406"/>
      <c r="V796" s="1406"/>
      <c r="W796" s="1406"/>
      <c r="X796" s="1406"/>
      <c r="Y796" s="1406"/>
      <c r="Z796" s="1406"/>
      <c r="AA796" s="1406"/>
      <c r="AB796" s="1406"/>
      <c r="AC796" s="1406"/>
      <c r="AD796" s="1406"/>
      <c r="AE796" s="1406"/>
      <c r="AF796" s="1406"/>
      <c r="AG796" s="1406"/>
      <c r="AH796" s="1406"/>
      <c r="AI796" s="1406"/>
      <c r="AJ796" s="1406"/>
      <c r="AK796" s="1406"/>
      <c r="AL796" s="1406"/>
      <c r="AM796" s="1406"/>
      <c r="AN796" s="1406"/>
      <c r="AO796" s="1405"/>
      <c r="AP796" s="1405"/>
      <c r="AQ796" s="1405"/>
      <c r="AR796" s="1405"/>
      <c r="AS796" s="1405"/>
      <c r="AT796" s="1405"/>
      <c r="AU796" s="1405"/>
      <c r="AV796" s="1405"/>
    </row>
    <row r="797" spans="1:48" s="1431" customFormat="1">
      <c r="A797" s="1399"/>
      <c r="B797" s="1429"/>
      <c r="C797" s="1430"/>
      <c r="D797" s="1400"/>
      <c r="E797" s="1401"/>
      <c r="F797" s="1401"/>
      <c r="G797" s="1402"/>
      <c r="H797" s="1403"/>
      <c r="I797" s="1404"/>
      <c r="J797" s="1405"/>
      <c r="K797" s="1405"/>
      <c r="L797" s="1405"/>
      <c r="M797" s="1405"/>
      <c r="N797" s="1406"/>
      <c r="O797" s="1406"/>
      <c r="P797" s="1406"/>
      <c r="Q797" s="1406"/>
      <c r="R797" s="1406"/>
      <c r="S797" s="1406"/>
      <c r="T797" s="1406"/>
      <c r="U797" s="1406"/>
      <c r="V797" s="1406"/>
      <c r="W797" s="1406"/>
      <c r="X797" s="1406"/>
      <c r="Y797" s="1406"/>
      <c r="Z797" s="1406"/>
      <c r="AA797" s="1406"/>
      <c r="AB797" s="1406"/>
      <c r="AC797" s="1406"/>
      <c r="AD797" s="1406"/>
      <c r="AE797" s="1406"/>
      <c r="AF797" s="1406"/>
      <c r="AG797" s="1406"/>
      <c r="AH797" s="1406"/>
      <c r="AI797" s="1406"/>
      <c r="AJ797" s="1406"/>
      <c r="AK797" s="1406"/>
      <c r="AL797" s="1406"/>
      <c r="AM797" s="1406"/>
      <c r="AN797" s="1406"/>
      <c r="AO797" s="1405"/>
      <c r="AP797" s="1405"/>
      <c r="AQ797" s="1405"/>
      <c r="AR797" s="1405"/>
      <c r="AS797" s="1405"/>
      <c r="AT797" s="1405"/>
      <c r="AU797" s="1405"/>
      <c r="AV797" s="1405"/>
    </row>
    <row r="798" spans="1:48" s="1431" customFormat="1">
      <c r="A798" s="1399"/>
      <c r="B798" s="1429"/>
      <c r="C798" s="1430"/>
      <c r="D798" s="1400"/>
      <c r="E798" s="1401"/>
      <c r="F798" s="1401"/>
      <c r="G798" s="1402"/>
      <c r="H798" s="1403"/>
      <c r="I798" s="1404"/>
      <c r="J798" s="1405"/>
      <c r="K798" s="1405"/>
      <c r="L798" s="1405"/>
      <c r="M798" s="1405"/>
      <c r="N798" s="1406"/>
      <c r="O798" s="1406"/>
      <c r="P798" s="1406"/>
      <c r="Q798" s="1406"/>
      <c r="R798" s="1406"/>
      <c r="S798" s="1406"/>
      <c r="T798" s="1406"/>
      <c r="U798" s="1406"/>
      <c r="V798" s="1406"/>
      <c r="W798" s="1406"/>
      <c r="X798" s="1406"/>
      <c r="Y798" s="1406"/>
      <c r="Z798" s="1406"/>
      <c r="AA798" s="1406"/>
      <c r="AB798" s="1406"/>
      <c r="AC798" s="1406"/>
      <c r="AD798" s="1406"/>
      <c r="AE798" s="1406"/>
      <c r="AF798" s="1406"/>
      <c r="AG798" s="1406"/>
      <c r="AH798" s="1406"/>
      <c r="AI798" s="1406"/>
      <c r="AJ798" s="1406"/>
      <c r="AK798" s="1406"/>
      <c r="AL798" s="1406"/>
      <c r="AM798" s="1406"/>
      <c r="AN798" s="1406"/>
      <c r="AO798" s="1405"/>
      <c r="AP798" s="1405"/>
      <c r="AQ798" s="1405"/>
      <c r="AR798" s="1405"/>
      <c r="AS798" s="1405"/>
      <c r="AT798" s="1405"/>
      <c r="AU798" s="1405"/>
      <c r="AV798" s="1405"/>
    </row>
    <row r="799" spans="1:48" s="1431" customFormat="1">
      <c r="A799" s="1399"/>
      <c r="B799" s="1429"/>
      <c r="C799" s="1430"/>
      <c r="D799" s="1400"/>
      <c r="E799" s="1401"/>
      <c r="F799" s="1401"/>
      <c r="G799" s="1402"/>
      <c r="H799" s="1403"/>
      <c r="I799" s="1404"/>
      <c r="J799" s="1405"/>
      <c r="K799" s="1405"/>
      <c r="L799" s="1405"/>
      <c r="M799" s="1405"/>
      <c r="N799" s="1406"/>
      <c r="O799" s="1406"/>
      <c r="P799" s="1406"/>
      <c r="Q799" s="1406"/>
      <c r="R799" s="1406"/>
      <c r="S799" s="1406"/>
      <c r="T799" s="1406"/>
      <c r="U799" s="1406"/>
      <c r="V799" s="1406"/>
      <c r="W799" s="1406"/>
      <c r="X799" s="1406"/>
      <c r="Y799" s="1406"/>
      <c r="Z799" s="1406"/>
      <c r="AA799" s="1406"/>
      <c r="AB799" s="1406"/>
      <c r="AC799" s="1406"/>
      <c r="AD799" s="1406"/>
      <c r="AE799" s="1406"/>
      <c r="AF799" s="1406"/>
      <c r="AG799" s="1406"/>
      <c r="AH799" s="1406"/>
      <c r="AI799" s="1406"/>
      <c r="AJ799" s="1406"/>
      <c r="AK799" s="1406"/>
      <c r="AL799" s="1406"/>
      <c r="AM799" s="1406"/>
      <c r="AN799" s="1406"/>
      <c r="AO799" s="1405"/>
      <c r="AP799" s="1405"/>
      <c r="AQ799" s="1405"/>
      <c r="AR799" s="1405"/>
      <c r="AS799" s="1405"/>
      <c r="AT799" s="1405"/>
      <c r="AU799" s="1405"/>
      <c r="AV799" s="1405"/>
    </row>
    <row r="800" spans="1:48" s="1431" customFormat="1">
      <c r="A800" s="1399"/>
      <c r="B800" s="1429"/>
      <c r="C800" s="1430"/>
      <c r="D800" s="1400"/>
      <c r="E800" s="1401"/>
      <c r="F800" s="1401"/>
      <c r="G800" s="1402"/>
      <c r="H800" s="1403"/>
      <c r="I800" s="1404"/>
      <c r="J800" s="1405"/>
      <c r="K800" s="1405"/>
      <c r="L800" s="1405"/>
      <c r="M800" s="1405"/>
      <c r="N800" s="1406"/>
      <c r="O800" s="1406"/>
      <c r="P800" s="1406"/>
      <c r="Q800" s="1406"/>
      <c r="R800" s="1406"/>
      <c r="S800" s="1406"/>
      <c r="T800" s="1406"/>
      <c r="U800" s="1406"/>
      <c r="V800" s="1406"/>
      <c r="W800" s="1406"/>
      <c r="X800" s="1406"/>
      <c r="Y800" s="1406"/>
      <c r="Z800" s="1406"/>
      <c r="AA800" s="1406"/>
      <c r="AB800" s="1406"/>
      <c r="AC800" s="1406"/>
      <c r="AD800" s="1406"/>
      <c r="AE800" s="1406"/>
      <c r="AF800" s="1406"/>
      <c r="AG800" s="1406"/>
      <c r="AH800" s="1406"/>
      <c r="AI800" s="1406"/>
      <c r="AJ800" s="1406"/>
      <c r="AK800" s="1406"/>
      <c r="AL800" s="1406"/>
      <c r="AM800" s="1406"/>
      <c r="AN800" s="1406"/>
      <c r="AO800" s="1405"/>
      <c r="AP800" s="1405"/>
      <c r="AQ800" s="1405"/>
      <c r="AR800" s="1405"/>
      <c r="AS800" s="1405"/>
      <c r="AT800" s="1405"/>
      <c r="AU800" s="1405"/>
      <c r="AV800" s="1405"/>
    </row>
    <row r="801" spans="1:48" s="1431" customFormat="1">
      <c r="A801" s="1399"/>
      <c r="B801" s="1429"/>
      <c r="C801" s="1430"/>
      <c r="D801" s="1400"/>
      <c r="E801" s="1401"/>
      <c r="F801" s="1401"/>
      <c r="G801" s="1402"/>
      <c r="H801" s="1403"/>
      <c r="I801" s="1404"/>
      <c r="J801" s="1405"/>
      <c r="K801" s="1405"/>
      <c r="L801" s="1405"/>
      <c r="M801" s="1405"/>
      <c r="N801" s="1406"/>
      <c r="O801" s="1406"/>
      <c r="P801" s="1406"/>
      <c r="Q801" s="1406"/>
      <c r="R801" s="1406"/>
      <c r="S801" s="1406"/>
      <c r="T801" s="1406"/>
      <c r="U801" s="1406"/>
      <c r="V801" s="1406"/>
      <c r="W801" s="1406"/>
      <c r="X801" s="1406"/>
      <c r="Y801" s="1406"/>
      <c r="Z801" s="1406"/>
      <c r="AA801" s="1406"/>
      <c r="AB801" s="1406"/>
      <c r="AC801" s="1406"/>
      <c r="AD801" s="1406"/>
      <c r="AE801" s="1406"/>
      <c r="AF801" s="1406"/>
      <c r="AG801" s="1406"/>
      <c r="AH801" s="1406"/>
      <c r="AI801" s="1406"/>
      <c r="AJ801" s="1406"/>
      <c r="AK801" s="1406"/>
      <c r="AL801" s="1406"/>
      <c r="AM801" s="1406"/>
      <c r="AN801" s="1406"/>
      <c r="AO801" s="1405"/>
      <c r="AP801" s="1405"/>
      <c r="AQ801" s="1405"/>
      <c r="AR801" s="1405"/>
      <c r="AS801" s="1405"/>
      <c r="AT801" s="1405"/>
      <c r="AU801" s="1405"/>
      <c r="AV801" s="1405"/>
    </row>
    <row r="802" spans="1:48" s="1431" customFormat="1">
      <c r="A802" s="1399"/>
      <c r="B802" s="1429"/>
      <c r="C802" s="1430"/>
      <c r="D802" s="1400"/>
      <c r="E802" s="1401"/>
      <c r="F802" s="1401"/>
      <c r="G802" s="1402"/>
      <c r="H802" s="1403"/>
      <c r="I802" s="1404"/>
      <c r="J802" s="1405"/>
      <c r="K802" s="1405"/>
      <c r="L802" s="1405"/>
      <c r="M802" s="1405"/>
      <c r="N802" s="1406"/>
      <c r="O802" s="1406"/>
      <c r="P802" s="1406"/>
      <c r="Q802" s="1406"/>
      <c r="R802" s="1406"/>
      <c r="S802" s="1406"/>
      <c r="T802" s="1406"/>
      <c r="U802" s="1406"/>
      <c r="V802" s="1406"/>
      <c r="W802" s="1406"/>
      <c r="X802" s="1406"/>
      <c r="Y802" s="1406"/>
      <c r="Z802" s="1406"/>
      <c r="AA802" s="1406"/>
      <c r="AB802" s="1406"/>
      <c r="AC802" s="1406"/>
      <c r="AD802" s="1406"/>
      <c r="AE802" s="1406"/>
      <c r="AF802" s="1406"/>
      <c r="AG802" s="1406"/>
      <c r="AH802" s="1406"/>
      <c r="AI802" s="1406"/>
      <c r="AJ802" s="1406"/>
      <c r="AK802" s="1406"/>
      <c r="AL802" s="1406"/>
      <c r="AM802" s="1406"/>
      <c r="AN802" s="1406"/>
      <c r="AO802" s="1405"/>
      <c r="AP802" s="1405"/>
      <c r="AQ802" s="1405"/>
      <c r="AR802" s="1405"/>
      <c r="AS802" s="1405"/>
      <c r="AT802" s="1405"/>
      <c r="AU802" s="1405"/>
      <c r="AV802" s="1405"/>
    </row>
    <row r="803" spans="1:48" s="1431" customFormat="1">
      <c r="A803" s="1399"/>
      <c r="B803" s="1429"/>
      <c r="C803" s="1430"/>
      <c r="D803" s="1400"/>
      <c r="E803" s="1401"/>
      <c r="F803" s="1401"/>
      <c r="G803" s="1402"/>
      <c r="H803" s="1403"/>
      <c r="I803" s="1404"/>
      <c r="J803" s="1405"/>
      <c r="K803" s="1405"/>
      <c r="L803" s="1405"/>
      <c r="M803" s="1405"/>
      <c r="N803" s="1406"/>
      <c r="O803" s="1406"/>
      <c r="P803" s="1406"/>
      <c r="Q803" s="1406"/>
      <c r="R803" s="1406"/>
      <c r="S803" s="1406"/>
      <c r="T803" s="1406"/>
      <c r="U803" s="1406"/>
      <c r="V803" s="1406"/>
      <c r="W803" s="1406"/>
      <c r="X803" s="1406"/>
      <c r="Y803" s="1406"/>
      <c r="Z803" s="1406"/>
      <c r="AA803" s="1406"/>
      <c r="AB803" s="1406"/>
      <c r="AC803" s="1406"/>
      <c r="AD803" s="1406"/>
      <c r="AE803" s="1406"/>
      <c r="AF803" s="1406"/>
      <c r="AG803" s="1406"/>
      <c r="AH803" s="1406"/>
      <c r="AI803" s="1406"/>
      <c r="AJ803" s="1406"/>
      <c r="AK803" s="1406"/>
      <c r="AL803" s="1406"/>
      <c r="AM803" s="1406"/>
      <c r="AN803" s="1406"/>
      <c r="AO803" s="1405"/>
      <c r="AP803" s="1405"/>
      <c r="AQ803" s="1405"/>
      <c r="AR803" s="1405"/>
      <c r="AS803" s="1405"/>
      <c r="AT803" s="1405"/>
      <c r="AU803" s="1405"/>
      <c r="AV803" s="1405"/>
    </row>
    <row r="804" spans="1:48" s="1431" customFormat="1">
      <c r="A804" s="1399"/>
      <c r="B804" s="1429"/>
      <c r="C804" s="1430"/>
      <c r="D804" s="1400"/>
      <c r="E804" s="1401"/>
      <c r="F804" s="1401"/>
      <c r="G804" s="1402"/>
      <c r="H804" s="1403"/>
      <c r="I804" s="1404"/>
      <c r="J804" s="1405"/>
      <c r="K804" s="1405"/>
      <c r="L804" s="1405"/>
      <c r="M804" s="1405"/>
      <c r="N804" s="1406"/>
      <c r="O804" s="1406"/>
      <c r="P804" s="1406"/>
      <c r="Q804" s="1406"/>
      <c r="R804" s="1406"/>
      <c r="S804" s="1406"/>
      <c r="T804" s="1406"/>
      <c r="U804" s="1406"/>
      <c r="V804" s="1406"/>
      <c r="W804" s="1406"/>
      <c r="X804" s="1406"/>
      <c r="Y804" s="1406"/>
      <c r="Z804" s="1406"/>
      <c r="AA804" s="1406"/>
      <c r="AB804" s="1406"/>
      <c r="AC804" s="1406"/>
      <c r="AD804" s="1406"/>
      <c r="AE804" s="1406"/>
      <c r="AF804" s="1406"/>
      <c r="AG804" s="1406"/>
      <c r="AH804" s="1406"/>
      <c r="AI804" s="1406"/>
      <c r="AJ804" s="1406"/>
      <c r="AK804" s="1406"/>
      <c r="AL804" s="1406"/>
      <c r="AM804" s="1406"/>
      <c r="AN804" s="1406"/>
      <c r="AO804" s="1405"/>
      <c r="AP804" s="1405"/>
      <c r="AQ804" s="1405"/>
      <c r="AR804" s="1405"/>
      <c r="AS804" s="1405"/>
      <c r="AT804" s="1405"/>
      <c r="AU804" s="1405"/>
      <c r="AV804" s="1405"/>
    </row>
    <row r="805" spans="1:48" s="1431" customFormat="1">
      <c r="A805" s="1399"/>
      <c r="B805" s="1429"/>
      <c r="C805" s="1430"/>
      <c r="D805" s="1400"/>
      <c r="E805" s="1401"/>
      <c r="F805" s="1401"/>
      <c r="G805" s="1402"/>
      <c r="H805" s="1403"/>
      <c r="I805" s="1404"/>
      <c r="J805" s="1405"/>
      <c r="K805" s="1405"/>
      <c r="L805" s="1405"/>
      <c r="M805" s="1405"/>
      <c r="N805" s="1406"/>
      <c r="O805" s="1406"/>
      <c r="P805" s="1406"/>
      <c r="Q805" s="1406"/>
      <c r="R805" s="1406"/>
      <c r="S805" s="1406"/>
      <c r="T805" s="1406"/>
      <c r="U805" s="1406"/>
      <c r="V805" s="1406"/>
      <c r="W805" s="1406"/>
      <c r="X805" s="1406"/>
      <c r="Y805" s="1406"/>
      <c r="Z805" s="1406"/>
      <c r="AA805" s="1406"/>
      <c r="AB805" s="1406"/>
      <c r="AC805" s="1406"/>
      <c r="AD805" s="1406"/>
      <c r="AE805" s="1406"/>
      <c r="AF805" s="1406"/>
      <c r="AG805" s="1406"/>
      <c r="AH805" s="1406"/>
      <c r="AI805" s="1406"/>
      <c r="AJ805" s="1406"/>
      <c r="AK805" s="1406"/>
      <c r="AL805" s="1406"/>
      <c r="AM805" s="1406"/>
      <c r="AN805" s="1406"/>
      <c r="AO805" s="1405"/>
      <c r="AP805" s="1405"/>
      <c r="AQ805" s="1405"/>
      <c r="AR805" s="1405"/>
      <c r="AS805" s="1405"/>
      <c r="AT805" s="1405"/>
      <c r="AU805" s="1405"/>
      <c r="AV805" s="1405"/>
    </row>
    <row r="806" spans="1:48" s="1431" customFormat="1">
      <c r="A806" s="1399"/>
      <c r="B806" s="1429"/>
      <c r="C806" s="1430"/>
      <c r="D806" s="1400"/>
      <c r="E806" s="1401"/>
      <c r="F806" s="1401"/>
      <c r="G806" s="1402"/>
      <c r="H806" s="1403"/>
      <c r="I806" s="1404"/>
      <c r="J806" s="1405"/>
      <c r="K806" s="1405"/>
      <c r="L806" s="1405"/>
      <c r="M806" s="1405"/>
      <c r="N806" s="1406"/>
      <c r="O806" s="1406"/>
      <c r="P806" s="1406"/>
      <c r="Q806" s="1406"/>
      <c r="R806" s="1406"/>
      <c r="S806" s="1406"/>
      <c r="T806" s="1406"/>
      <c r="U806" s="1406"/>
      <c r="V806" s="1406"/>
      <c r="W806" s="1406"/>
      <c r="X806" s="1406"/>
      <c r="Y806" s="1406"/>
      <c r="Z806" s="1406"/>
      <c r="AA806" s="1406"/>
      <c r="AB806" s="1406"/>
      <c r="AC806" s="1406"/>
      <c r="AD806" s="1406"/>
      <c r="AE806" s="1406"/>
      <c r="AF806" s="1406"/>
      <c r="AG806" s="1406"/>
      <c r="AH806" s="1406"/>
      <c r="AI806" s="1406"/>
      <c r="AJ806" s="1406"/>
      <c r="AK806" s="1406"/>
      <c r="AL806" s="1406"/>
      <c r="AM806" s="1406"/>
      <c r="AN806" s="1406"/>
      <c r="AO806" s="1405"/>
      <c r="AP806" s="1405"/>
      <c r="AQ806" s="1405"/>
      <c r="AR806" s="1405"/>
      <c r="AS806" s="1405"/>
      <c r="AT806" s="1405"/>
      <c r="AU806" s="1405"/>
      <c r="AV806" s="1405"/>
    </row>
    <row r="807" spans="1:48" s="1431" customFormat="1">
      <c r="A807" s="1399"/>
      <c r="B807" s="1429"/>
      <c r="C807" s="1430"/>
      <c r="D807" s="1400"/>
      <c r="E807" s="1401"/>
      <c r="F807" s="1401"/>
      <c r="G807" s="1402"/>
      <c r="H807" s="1403"/>
      <c r="I807" s="1404"/>
      <c r="J807" s="1405"/>
      <c r="K807" s="1405"/>
      <c r="L807" s="1405"/>
      <c r="M807" s="1405"/>
      <c r="N807" s="1406"/>
      <c r="O807" s="1406"/>
      <c r="P807" s="1406"/>
      <c r="Q807" s="1406"/>
      <c r="R807" s="1406"/>
      <c r="S807" s="1406"/>
      <c r="T807" s="1406"/>
      <c r="U807" s="1406"/>
      <c r="V807" s="1406"/>
      <c r="W807" s="1406"/>
      <c r="X807" s="1406"/>
      <c r="Y807" s="1406"/>
      <c r="Z807" s="1406"/>
      <c r="AA807" s="1406"/>
      <c r="AB807" s="1406"/>
      <c r="AC807" s="1406"/>
      <c r="AD807" s="1406"/>
      <c r="AE807" s="1406"/>
      <c r="AF807" s="1406"/>
      <c r="AG807" s="1406"/>
      <c r="AH807" s="1406"/>
      <c r="AI807" s="1406"/>
      <c r="AJ807" s="1406"/>
      <c r="AK807" s="1406"/>
      <c r="AL807" s="1406"/>
      <c r="AM807" s="1406"/>
      <c r="AN807" s="1406"/>
      <c r="AO807" s="1405"/>
      <c r="AP807" s="1405"/>
      <c r="AQ807" s="1405"/>
      <c r="AR807" s="1405"/>
      <c r="AS807" s="1405"/>
      <c r="AT807" s="1405"/>
      <c r="AU807" s="1405"/>
      <c r="AV807" s="1405"/>
    </row>
    <row r="808" spans="1:48" s="1431" customFormat="1">
      <c r="A808" s="1399"/>
      <c r="B808" s="1429"/>
      <c r="C808" s="1430"/>
      <c r="D808" s="1400"/>
      <c r="E808" s="1401"/>
      <c r="F808" s="1401"/>
      <c r="G808" s="1402"/>
      <c r="H808" s="1403"/>
      <c r="I808" s="1404"/>
      <c r="J808" s="1405"/>
      <c r="K808" s="1405"/>
      <c r="L808" s="1405"/>
      <c r="M808" s="1405"/>
      <c r="N808" s="1406"/>
      <c r="O808" s="1406"/>
      <c r="P808" s="1406"/>
      <c r="Q808" s="1406"/>
      <c r="R808" s="1406"/>
      <c r="S808" s="1406"/>
      <c r="T808" s="1406"/>
      <c r="U808" s="1406"/>
      <c r="V808" s="1406"/>
      <c r="W808" s="1406"/>
      <c r="X808" s="1406"/>
      <c r="Y808" s="1406"/>
      <c r="Z808" s="1406"/>
      <c r="AA808" s="1406"/>
      <c r="AB808" s="1406"/>
      <c r="AC808" s="1406"/>
      <c r="AD808" s="1406"/>
      <c r="AE808" s="1406"/>
      <c r="AF808" s="1406"/>
      <c r="AG808" s="1406"/>
      <c r="AH808" s="1406"/>
      <c r="AI808" s="1406"/>
      <c r="AJ808" s="1406"/>
      <c r="AK808" s="1406"/>
      <c r="AL808" s="1406"/>
      <c r="AM808" s="1406"/>
      <c r="AN808" s="1406"/>
      <c r="AO808" s="1405"/>
      <c r="AP808" s="1405"/>
      <c r="AQ808" s="1405"/>
      <c r="AR808" s="1405"/>
      <c r="AS808" s="1405"/>
      <c r="AT808" s="1405"/>
      <c r="AU808" s="1405"/>
      <c r="AV808" s="1405"/>
    </row>
    <row r="809" spans="1:48" s="1431" customFormat="1">
      <c r="A809" s="1399"/>
      <c r="B809" s="1429"/>
      <c r="C809" s="1430"/>
      <c r="D809" s="1400"/>
      <c r="E809" s="1401"/>
      <c r="F809" s="1401"/>
      <c r="G809" s="1402"/>
      <c r="H809" s="1403"/>
      <c r="I809" s="1404"/>
      <c r="J809" s="1405"/>
      <c r="K809" s="1405"/>
      <c r="L809" s="1405"/>
      <c r="M809" s="1405"/>
      <c r="N809" s="1406"/>
      <c r="O809" s="1406"/>
      <c r="P809" s="1406"/>
      <c r="Q809" s="1406"/>
      <c r="R809" s="1406"/>
      <c r="S809" s="1406"/>
      <c r="T809" s="1406"/>
      <c r="U809" s="1406"/>
      <c r="V809" s="1406"/>
      <c r="W809" s="1406"/>
      <c r="X809" s="1406"/>
      <c r="Y809" s="1406"/>
      <c r="Z809" s="1406"/>
      <c r="AA809" s="1406"/>
      <c r="AB809" s="1406"/>
      <c r="AC809" s="1406"/>
      <c r="AD809" s="1406"/>
      <c r="AE809" s="1406"/>
      <c r="AF809" s="1406"/>
      <c r="AG809" s="1406"/>
      <c r="AH809" s="1406"/>
      <c r="AI809" s="1406"/>
      <c r="AJ809" s="1406"/>
      <c r="AK809" s="1406"/>
      <c r="AL809" s="1406"/>
      <c r="AM809" s="1406"/>
      <c r="AN809" s="1406"/>
      <c r="AO809" s="1405"/>
      <c r="AP809" s="1405"/>
      <c r="AQ809" s="1405"/>
      <c r="AR809" s="1405"/>
      <c r="AS809" s="1405"/>
      <c r="AT809" s="1405"/>
      <c r="AU809" s="1405"/>
      <c r="AV809" s="1405"/>
    </row>
    <row r="810" spans="1:48" s="1431" customFormat="1">
      <c r="A810" s="1399"/>
      <c r="B810" s="1429"/>
      <c r="C810" s="1430"/>
      <c r="D810" s="1400"/>
      <c r="E810" s="1401"/>
      <c r="F810" s="1401"/>
      <c r="G810" s="1402"/>
      <c r="H810" s="1403"/>
      <c r="I810" s="1404"/>
      <c r="J810" s="1405"/>
      <c r="K810" s="1405"/>
      <c r="L810" s="1405"/>
      <c r="M810" s="1405"/>
      <c r="N810" s="1406"/>
      <c r="O810" s="1406"/>
      <c r="P810" s="1406"/>
      <c r="Q810" s="1406"/>
      <c r="R810" s="1406"/>
      <c r="S810" s="1406"/>
      <c r="T810" s="1406"/>
      <c r="U810" s="1406"/>
      <c r="V810" s="1406"/>
      <c r="W810" s="1406"/>
      <c r="X810" s="1406"/>
      <c r="Y810" s="1406"/>
      <c r="Z810" s="1406"/>
      <c r="AA810" s="1406"/>
      <c r="AB810" s="1406"/>
      <c r="AC810" s="1406"/>
      <c r="AD810" s="1406"/>
      <c r="AE810" s="1406"/>
      <c r="AF810" s="1406"/>
      <c r="AG810" s="1406"/>
      <c r="AH810" s="1406"/>
      <c r="AI810" s="1406"/>
      <c r="AJ810" s="1406"/>
      <c r="AK810" s="1406"/>
      <c r="AL810" s="1406"/>
      <c r="AM810" s="1406"/>
      <c r="AN810" s="1406"/>
      <c r="AO810" s="1405"/>
      <c r="AP810" s="1405"/>
      <c r="AQ810" s="1405"/>
      <c r="AR810" s="1405"/>
      <c r="AS810" s="1405"/>
      <c r="AT810" s="1405"/>
      <c r="AU810" s="1405"/>
      <c r="AV810" s="1405"/>
    </row>
    <row r="811" spans="1:48" s="1431" customFormat="1">
      <c r="A811" s="1399"/>
      <c r="B811" s="1429"/>
      <c r="C811" s="1430"/>
      <c r="D811" s="1400"/>
      <c r="E811" s="1401"/>
      <c r="F811" s="1401"/>
      <c r="G811" s="1402"/>
      <c r="H811" s="1403"/>
      <c r="I811" s="1404"/>
      <c r="J811" s="1405"/>
      <c r="K811" s="1405"/>
      <c r="L811" s="1405"/>
      <c r="M811" s="1405"/>
      <c r="N811" s="1406"/>
      <c r="O811" s="1406"/>
      <c r="P811" s="1406"/>
      <c r="Q811" s="1406"/>
      <c r="R811" s="1406"/>
      <c r="S811" s="1406"/>
      <c r="T811" s="1406"/>
      <c r="U811" s="1406"/>
      <c r="V811" s="1406"/>
      <c r="W811" s="1406"/>
      <c r="X811" s="1406"/>
      <c r="Y811" s="1406"/>
      <c r="Z811" s="1406"/>
      <c r="AA811" s="1406"/>
      <c r="AB811" s="1406"/>
      <c r="AC811" s="1406"/>
      <c r="AD811" s="1406"/>
      <c r="AE811" s="1406"/>
      <c r="AF811" s="1406"/>
      <c r="AG811" s="1406"/>
      <c r="AH811" s="1406"/>
      <c r="AI811" s="1406"/>
      <c r="AJ811" s="1406"/>
      <c r="AK811" s="1406"/>
      <c r="AL811" s="1406"/>
      <c r="AM811" s="1406"/>
      <c r="AN811" s="1406"/>
      <c r="AO811" s="1405"/>
      <c r="AP811" s="1405"/>
      <c r="AQ811" s="1405"/>
      <c r="AR811" s="1405"/>
      <c r="AS811" s="1405"/>
      <c r="AT811" s="1405"/>
      <c r="AU811" s="1405"/>
      <c r="AV811" s="1405"/>
    </row>
    <row r="812" spans="1:48" s="1431" customFormat="1">
      <c r="A812" s="1399"/>
      <c r="B812" s="1429"/>
      <c r="C812" s="1430"/>
      <c r="D812" s="1400"/>
      <c r="E812" s="1401"/>
      <c r="F812" s="1401"/>
      <c r="G812" s="1402"/>
      <c r="H812" s="1403"/>
      <c r="I812" s="1404"/>
      <c r="J812" s="1405"/>
      <c r="K812" s="1405"/>
      <c r="L812" s="1405"/>
      <c r="M812" s="1405"/>
      <c r="N812" s="1406"/>
      <c r="O812" s="1406"/>
      <c r="P812" s="1406"/>
      <c r="Q812" s="1406"/>
      <c r="R812" s="1406"/>
      <c r="S812" s="1406"/>
      <c r="T812" s="1406"/>
      <c r="U812" s="1406"/>
      <c r="V812" s="1406"/>
      <c r="W812" s="1406"/>
      <c r="X812" s="1406"/>
      <c r="Y812" s="1406"/>
      <c r="Z812" s="1406"/>
      <c r="AA812" s="1406"/>
      <c r="AB812" s="1406"/>
      <c r="AC812" s="1406"/>
      <c r="AD812" s="1406"/>
      <c r="AE812" s="1406"/>
      <c r="AF812" s="1406"/>
      <c r="AG812" s="1406"/>
      <c r="AH812" s="1406"/>
      <c r="AI812" s="1406"/>
      <c r="AJ812" s="1406"/>
      <c r="AK812" s="1406"/>
      <c r="AL812" s="1406"/>
      <c r="AM812" s="1406"/>
      <c r="AN812" s="1406"/>
      <c r="AO812" s="1405"/>
      <c r="AP812" s="1405"/>
      <c r="AQ812" s="1405"/>
      <c r="AR812" s="1405"/>
      <c r="AS812" s="1405"/>
      <c r="AT812" s="1405"/>
      <c r="AU812" s="1405"/>
      <c r="AV812" s="1405"/>
    </row>
    <row r="813" spans="1:48" s="1431" customFormat="1">
      <c r="A813" s="1399"/>
      <c r="B813" s="1429"/>
      <c r="C813" s="1430"/>
      <c r="D813" s="1400"/>
      <c r="E813" s="1401"/>
      <c r="F813" s="1401"/>
      <c r="G813" s="1402"/>
      <c r="H813" s="1403"/>
      <c r="I813" s="1404"/>
      <c r="J813" s="1405"/>
      <c r="K813" s="1405"/>
      <c r="L813" s="1405"/>
      <c r="M813" s="1405"/>
      <c r="N813" s="1406"/>
      <c r="O813" s="1406"/>
      <c r="P813" s="1406"/>
      <c r="Q813" s="1406"/>
      <c r="R813" s="1406"/>
      <c r="S813" s="1406"/>
      <c r="T813" s="1406"/>
      <c r="U813" s="1406"/>
      <c r="V813" s="1406"/>
      <c r="W813" s="1406"/>
      <c r="X813" s="1406"/>
      <c r="Y813" s="1406"/>
      <c r="Z813" s="1406"/>
      <c r="AA813" s="1406"/>
      <c r="AB813" s="1406"/>
      <c r="AC813" s="1406"/>
      <c r="AD813" s="1406"/>
      <c r="AE813" s="1406"/>
      <c r="AF813" s="1406"/>
      <c r="AG813" s="1406"/>
      <c r="AH813" s="1406"/>
      <c r="AI813" s="1406"/>
      <c r="AJ813" s="1406"/>
      <c r="AK813" s="1406"/>
      <c r="AL813" s="1406"/>
      <c r="AM813" s="1406"/>
      <c r="AN813" s="1406"/>
      <c r="AO813" s="1405"/>
      <c r="AP813" s="1405"/>
      <c r="AQ813" s="1405"/>
      <c r="AR813" s="1405"/>
      <c r="AS813" s="1405"/>
      <c r="AT813" s="1405"/>
      <c r="AU813" s="1405"/>
      <c r="AV813" s="1405"/>
    </row>
    <row r="814" spans="1:48" s="1431" customFormat="1">
      <c r="A814" s="1399"/>
      <c r="B814" s="1429"/>
      <c r="C814" s="1430"/>
      <c r="D814" s="1400"/>
      <c r="E814" s="1401"/>
      <c r="F814" s="1401"/>
      <c r="G814" s="1402"/>
      <c r="H814" s="1403"/>
      <c r="I814" s="1404"/>
      <c r="J814" s="1405"/>
      <c r="K814" s="1405"/>
      <c r="L814" s="1405"/>
      <c r="M814" s="1405"/>
      <c r="N814" s="1406"/>
      <c r="O814" s="1406"/>
      <c r="P814" s="1406"/>
      <c r="Q814" s="1406"/>
      <c r="R814" s="1406"/>
      <c r="S814" s="1406"/>
      <c r="T814" s="1406"/>
      <c r="U814" s="1406"/>
      <c r="V814" s="1406"/>
      <c r="W814" s="1406"/>
      <c r="X814" s="1406"/>
      <c r="Y814" s="1406"/>
      <c r="Z814" s="1406"/>
      <c r="AA814" s="1406"/>
      <c r="AB814" s="1406"/>
      <c r="AC814" s="1406"/>
      <c r="AD814" s="1406"/>
      <c r="AE814" s="1406"/>
      <c r="AF814" s="1406"/>
      <c r="AG814" s="1406"/>
      <c r="AH814" s="1406"/>
      <c r="AI814" s="1406"/>
      <c r="AJ814" s="1406"/>
      <c r="AK814" s="1406"/>
      <c r="AL814" s="1406"/>
      <c r="AM814" s="1406"/>
      <c r="AN814" s="1406"/>
      <c r="AO814" s="1405"/>
      <c r="AP814" s="1405"/>
      <c r="AQ814" s="1405"/>
      <c r="AR814" s="1405"/>
      <c r="AS814" s="1405"/>
      <c r="AT814" s="1405"/>
      <c r="AU814" s="1405"/>
      <c r="AV814" s="1405"/>
    </row>
    <row r="815" spans="1:48" s="1431" customFormat="1">
      <c r="A815" s="1399"/>
      <c r="B815" s="1429"/>
      <c r="C815" s="1430"/>
      <c r="D815" s="1400"/>
      <c r="E815" s="1401"/>
      <c r="F815" s="1401"/>
      <c r="G815" s="1402"/>
      <c r="H815" s="1403"/>
      <c r="I815" s="1404"/>
      <c r="J815" s="1405"/>
      <c r="K815" s="1405"/>
      <c r="L815" s="1405"/>
      <c r="M815" s="1405"/>
      <c r="N815" s="1406"/>
      <c r="O815" s="1406"/>
      <c r="P815" s="1406"/>
      <c r="Q815" s="1406"/>
      <c r="R815" s="1406"/>
      <c r="S815" s="1406"/>
      <c r="T815" s="1406"/>
      <c r="U815" s="1406"/>
      <c r="V815" s="1406"/>
      <c r="W815" s="1406"/>
      <c r="X815" s="1406"/>
      <c r="Y815" s="1406"/>
      <c r="Z815" s="1406"/>
      <c r="AA815" s="1406"/>
      <c r="AB815" s="1406"/>
      <c r="AC815" s="1406"/>
      <c r="AD815" s="1406"/>
      <c r="AE815" s="1406"/>
      <c r="AF815" s="1406"/>
      <c r="AG815" s="1406"/>
      <c r="AH815" s="1406"/>
      <c r="AI815" s="1406"/>
      <c r="AJ815" s="1406"/>
      <c r="AK815" s="1406"/>
      <c r="AL815" s="1406"/>
      <c r="AM815" s="1406"/>
      <c r="AN815" s="1406"/>
      <c r="AO815" s="1405"/>
      <c r="AP815" s="1405"/>
      <c r="AQ815" s="1405"/>
      <c r="AR815" s="1405"/>
      <c r="AS815" s="1405"/>
      <c r="AT815" s="1405"/>
      <c r="AU815" s="1405"/>
      <c r="AV815" s="1405"/>
    </row>
    <row r="816" spans="1:48" s="1431" customFormat="1">
      <c r="A816" s="1399"/>
      <c r="B816" s="1429"/>
      <c r="C816" s="1430"/>
      <c r="D816" s="1400"/>
      <c r="E816" s="1401"/>
      <c r="F816" s="1401"/>
      <c r="G816" s="1402"/>
      <c r="H816" s="1403"/>
      <c r="I816" s="1404"/>
      <c r="J816" s="1405"/>
      <c r="K816" s="1405"/>
      <c r="L816" s="1405"/>
      <c r="M816" s="1405"/>
      <c r="N816" s="1406"/>
      <c r="O816" s="1406"/>
      <c r="P816" s="1406"/>
      <c r="Q816" s="1406"/>
      <c r="R816" s="1406"/>
      <c r="S816" s="1406"/>
      <c r="T816" s="1406"/>
      <c r="U816" s="1406"/>
      <c r="V816" s="1406"/>
      <c r="W816" s="1406"/>
      <c r="X816" s="1406"/>
      <c r="Y816" s="1406"/>
      <c r="Z816" s="1406"/>
      <c r="AA816" s="1406"/>
      <c r="AB816" s="1406"/>
      <c r="AC816" s="1406"/>
      <c r="AD816" s="1406"/>
      <c r="AE816" s="1406"/>
      <c r="AF816" s="1406"/>
      <c r="AG816" s="1406"/>
      <c r="AH816" s="1406"/>
      <c r="AI816" s="1406"/>
      <c r="AJ816" s="1406"/>
      <c r="AK816" s="1406"/>
      <c r="AL816" s="1406"/>
      <c r="AM816" s="1406"/>
      <c r="AN816" s="1406"/>
      <c r="AO816" s="1405"/>
      <c r="AP816" s="1405"/>
      <c r="AQ816" s="1405"/>
      <c r="AR816" s="1405"/>
      <c r="AS816" s="1405"/>
      <c r="AT816" s="1405"/>
      <c r="AU816" s="1405"/>
      <c r="AV816" s="1405"/>
    </row>
    <row r="817" spans="1:48" s="1431" customFormat="1">
      <c r="A817" s="1399"/>
      <c r="B817" s="1429"/>
      <c r="C817" s="1430"/>
      <c r="D817" s="1400"/>
      <c r="E817" s="1401"/>
      <c r="F817" s="1401"/>
      <c r="G817" s="1402"/>
      <c r="H817" s="1403"/>
      <c r="I817" s="1404"/>
      <c r="J817" s="1405"/>
      <c r="K817" s="1405"/>
      <c r="L817" s="1405"/>
      <c r="M817" s="1405"/>
      <c r="N817" s="1406"/>
      <c r="O817" s="1406"/>
      <c r="P817" s="1406"/>
      <c r="Q817" s="1406"/>
      <c r="R817" s="1406"/>
      <c r="S817" s="1406"/>
      <c r="T817" s="1406"/>
      <c r="U817" s="1406"/>
      <c r="V817" s="1406"/>
      <c r="W817" s="1406"/>
      <c r="X817" s="1406"/>
      <c r="Y817" s="1406"/>
      <c r="Z817" s="1406"/>
      <c r="AA817" s="1406"/>
      <c r="AB817" s="1406"/>
      <c r="AC817" s="1406"/>
      <c r="AD817" s="1406"/>
      <c r="AE817" s="1406"/>
      <c r="AF817" s="1406"/>
      <c r="AG817" s="1406"/>
      <c r="AH817" s="1406"/>
      <c r="AI817" s="1406"/>
      <c r="AJ817" s="1406"/>
      <c r="AK817" s="1406"/>
      <c r="AL817" s="1406"/>
      <c r="AM817" s="1406"/>
      <c r="AN817" s="1406"/>
      <c r="AO817" s="1405"/>
      <c r="AP817" s="1405"/>
      <c r="AQ817" s="1405"/>
      <c r="AR817" s="1405"/>
      <c r="AS817" s="1405"/>
      <c r="AT817" s="1405"/>
      <c r="AU817" s="1405"/>
      <c r="AV817" s="1405"/>
    </row>
    <row r="818" spans="1:48" s="1431" customFormat="1">
      <c r="A818" s="1399"/>
      <c r="B818" s="1429"/>
      <c r="C818" s="1430"/>
      <c r="D818" s="1400"/>
      <c r="E818" s="1401"/>
      <c r="F818" s="1401"/>
      <c r="G818" s="1402"/>
      <c r="H818" s="1403"/>
      <c r="I818" s="1404"/>
      <c r="J818" s="1405"/>
      <c r="K818" s="1405"/>
      <c r="L818" s="1405"/>
      <c r="M818" s="1405"/>
      <c r="N818" s="1406"/>
      <c r="O818" s="1406"/>
      <c r="P818" s="1406"/>
      <c r="Q818" s="1406"/>
      <c r="R818" s="1406"/>
      <c r="S818" s="1406"/>
      <c r="T818" s="1406"/>
      <c r="U818" s="1406"/>
      <c r="V818" s="1406"/>
      <c r="W818" s="1406"/>
      <c r="X818" s="1406"/>
      <c r="Y818" s="1406"/>
      <c r="Z818" s="1406"/>
      <c r="AA818" s="1406"/>
      <c r="AB818" s="1406"/>
      <c r="AC818" s="1406"/>
      <c r="AD818" s="1406"/>
      <c r="AE818" s="1406"/>
      <c r="AF818" s="1406"/>
      <c r="AG818" s="1406"/>
      <c r="AH818" s="1406"/>
      <c r="AI818" s="1406"/>
      <c r="AJ818" s="1406"/>
      <c r="AK818" s="1406"/>
      <c r="AL818" s="1406"/>
      <c r="AM818" s="1406"/>
      <c r="AN818" s="1406"/>
      <c r="AO818" s="1405"/>
      <c r="AP818" s="1405"/>
      <c r="AQ818" s="1405"/>
      <c r="AR818" s="1405"/>
      <c r="AS818" s="1405"/>
      <c r="AT818" s="1405"/>
      <c r="AU818" s="1405"/>
      <c r="AV818" s="1405"/>
    </row>
    <row r="819" spans="1:48" s="1431" customFormat="1">
      <c r="A819" s="1399"/>
      <c r="B819" s="1429"/>
      <c r="C819" s="1430"/>
      <c r="D819" s="1400"/>
      <c r="E819" s="1401"/>
      <c r="F819" s="1401"/>
      <c r="G819" s="1402"/>
      <c r="H819" s="1403"/>
      <c r="I819" s="1404"/>
      <c r="J819" s="1405"/>
      <c r="K819" s="1405"/>
      <c r="L819" s="1405"/>
      <c r="M819" s="1405"/>
      <c r="N819" s="1406"/>
      <c r="O819" s="1406"/>
      <c r="P819" s="1406"/>
      <c r="Q819" s="1406"/>
      <c r="R819" s="1406"/>
      <c r="S819" s="1406"/>
      <c r="T819" s="1406"/>
      <c r="U819" s="1406"/>
      <c r="V819" s="1406"/>
      <c r="W819" s="1406"/>
      <c r="X819" s="1406"/>
      <c r="Y819" s="1406"/>
      <c r="Z819" s="1406"/>
      <c r="AA819" s="1406"/>
      <c r="AB819" s="1406"/>
      <c r="AC819" s="1406"/>
      <c r="AD819" s="1406"/>
      <c r="AE819" s="1406"/>
      <c r="AF819" s="1406"/>
      <c r="AG819" s="1406"/>
      <c r="AH819" s="1406"/>
      <c r="AI819" s="1406"/>
      <c r="AJ819" s="1406"/>
      <c r="AK819" s="1406"/>
      <c r="AL819" s="1406"/>
      <c r="AM819" s="1406"/>
      <c r="AN819" s="1406"/>
      <c r="AO819" s="1405"/>
      <c r="AP819" s="1405"/>
      <c r="AQ819" s="1405"/>
      <c r="AR819" s="1405"/>
      <c r="AS819" s="1405"/>
      <c r="AT819" s="1405"/>
      <c r="AU819" s="1405"/>
      <c r="AV819" s="1405"/>
    </row>
    <row r="820" spans="1:48" s="1431" customFormat="1">
      <c r="A820" s="1399"/>
      <c r="B820" s="1429"/>
      <c r="C820" s="1430"/>
      <c r="D820" s="1400"/>
      <c r="E820" s="1401"/>
      <c r="F820" s="1401"/>
      <c r="G820" s="1402"/>
      <c r="H820" s="1403"/>
      <c r="I820" s="1404"/>
      <c r="J820" s="1405"/>
      <c r="K820" s="1405"/>
      <c r="L820" s="1405"/>
      <c r="M820" s="1405"/>
      <c r="N820" s="1406"/>
      <c r="O820" s="1406"/>
      <c r="P820" s="1406"/>
      <c r="Q820" s="1406"/>
      <c r="R820" s="1406"/>
      <c r="S820" s="1406"/>
      <c r="T820" s="1406"/>
      <c r="U820" s="1406"/>
      <c r="V820" s="1406"/>
      <c r="W820" s="1406"/>
      <c r="X820" s="1406"/>
      <c r="Y820" s="1406"/>
      <c r="Z820" s="1406"/>
      <c r="AA820" s="1406"/>
      <c r="AB820" s="1406"/>
      <c r="AC820" s="1406"/>
      <c r="AD820" s="1406"/>
      <c r="AE820" s="1406"/>
      <c r="AF820" s="1406"/>
      <c r="AG820" s="1406"/>
      <c r="AH820" s="1406"/>
      <c r="AI820" s="1406"/>
      <c r="AJ820" s="1406"/>
      <c r="AK820" s="1406"/>
      <c r="AL820" s="1406"/>
      <c r="AM820" s="1406"/>
      <c r="AN820" s="1406"/>
      <c r="AO820" s="1405"/>
      <c r="AP820" s="1405"/>
      <c r="AQ820" s="1405"/>
      <c r="AR820" s="1405"/>
      <c r="AS820" s="1405"/>
      <c r="AT820" s="1405"/>
      <c r="AU820" s="1405"/>
      <c r="AV820" s="1405"/>
    </row>
    <row r="821" spans="1:48" s="1431" customFormat="1">
      <c r="A821" s="1399"/>
      <c r="B821" s="1429"/>
      <c r="C821" s="1430"/>
      <c r="D821" s="1400"/>
      <c r="E821" s="1401"/>
      <c r="F821" s="1401"/>
      <c r="G821" s="1402"/>
      <c r="H821" s="1403"/>
      <c r="I821" s="1404"/>
      <c r="J821" s="1405"/>
      <c r="K821" s="1405"/>
      <c r="L821" s="1405"/>
      <c r="M821" s="1405"/>
      <c r="N821" s="1406"/>
      <c r="O821" s="1406"/>
      <c r="P821" s="1406"/>
      <c r="Q821" s="1406"/>
      <c r="R821" s="1406"/>
      <c r="S821" s="1406"/>
      <c r="T821" s="1406"/>
      <c r="U821" s="1406"/>
      <c r="V821" s="1406"/>
      <c r="W821" s="1406"/>
      <c r="X821" s="1406"/>
      <c r="Y821" s="1406"/>
      <c r="Z821" s="1406"/>
      <c r="AA821" s="1406"/>
      <c r="AB821" s="1406"/>
      <c r="AC821" s="1406"/>
      <c r="AD821" s="1406"/>
      <c r="AE821" s="1406"/>
      <c r="AF821" s="1406"/>
      <c r="AG821" s="1406"/>
      <c r="AH821" s="1406"/>
      <c r="AI821" s="1406"/>
      <c r="AJ821" s="1406"/>
      <c r="AK821" s="1406"/>
      <c r="AL821" s="1406"/>
      <c r="AM821" s="1406"/>
      <c r="AN821" s="1406"/>
      <c r="AO821" s="1405"/>
      <c r="AP821" s="1405"/>
      <c r="AQ821" s="1405"/>
      <c r="AR821" s="1405"/>
      <c r="AS821" s="1405"/>
      <c r="AT821" s="1405"/>
      <c r="AU821" s="1405"/>
      <c r="AV821" s="1405"/>
    </row>
    <row r="822" spans="1:48" s="1431" customFormat="1">
      <c r="A822" s="1399"/>
      <c r="B822" s="1429"/>
      <c r="C822" s="1430"/>
      <c r="D822" s="1400"/>
      <c r="E822" s="1401"/>
      <c r="F822" s="1401"/>
      <c r="G822" s="1402"/>
      <c r="H822" s="1403"/>
      <c r="I822" s="1404"/>
      <c r="J822" s="1405"/>
      <c r="K822" s="1405"/>
      <c r="L822" s="1405"/>
      <c r="M822" s="1405"/>
      <c r="N822" s="1406"/>
      <c r="O822" s="1406"/>
      <c r="P822" s="1406"/>
      <c r="Q822" s="1406"/>
      <c r="R822" s="1406"/>
      <c r="S822" s="1406"/>
      <c r="T822" s="1406"/>
      <c r="U822" s="1406"/>
      <c r="V822" s="1406"/>
      <c r="W822" s="1406"/>
      <c r="X822" s="1406"/>
      <c r="Y822" s="1406"/>
      <c r="Z822" s="1406"/>
      <c r="AA822" s="1406"/>
      <c r="AB822" s="1406"/>
      <c r="AC822" s="1406"/>
      <c r="AD822" s="1406"/>
      <c r="AE822" s="1406"/>
      <c r="AF822" s="1406"/>
      <c r="AG822" s="1406"/>
      <c r="AH822" s="1406"/>
      <c r="AI822" s="1406"/>
      <c r="AJ822" s="1406"/>
      <c r="AK822" s="1406"/>
      <c r="AL822" s="1406"/>
      <c r="AM822" s="1406"/>
      <c r="AN822" s="1406"/>
      <c r="AO822" s="1405"/>
      <c r="AP822" s="1405"/>
      <c r="AQ822" s="1405"/>
      <c r="AR822" s="1405"/>
      <c r="AS822" s="1405"/>
      <c r="AT822" s="1405"/>
      <c r="AU822" s="1405"/>
      <c r="AV822" s="1405"/>
    </row>
    <row r="823" spans="1:48" s="1431" customFormat="1">
      <c r="A823" s="1399"/>
      <c r="B823" s="1429"/>
      <c r="C823" s="1430"/>
      <c r="D823" s="1400"/>
      <c r="E823" s="1401"/>
      <c r="F823" s="1401"/>
      <c r="G823" s="1402"/>
      <c r="H823" s="1403"/>
      <c r="I823" s="1404"/>
      <c r="J823" s="1405"/>
      <c r="K823" s="1405"/>
      <c r="L823" s="1405"/>
      <c r="M823" s="1405"/>
      <c r="N823" s="1406"/>
      <c r="O823" s="1406"/>
      <c r="P823" s="1406"/>
      <c r="Q823" s="1406"/>
      <c r="R823" s="1406"/>
      <c r="S823" s="1406"/>
      <c r="T823" s="1406"/>
      <c r="U823" s="1406"/>
      <c r="V823" s="1406"/>
      <c r="W823" s="1406"/>
      <c r="X823" s="1406"/>
      <c r="Y823" s="1406"/>
      <c r="Z823" s="1406"/>
      <c r="AA823" s="1406"/>
      <c r="AB823" s="1406"/>
      <c r="AC823" s="1406"/>
      <c r="AD823" s="1406"/>
      <c r="AE823" s="1406"/>
      <c r="AF823" s="1406"/>
      <c r="AG823" s="1406"/>
      <c r="AH823" s="1406"/>
      <c r="AI823" s="1406"/>
      <c r="AJ823" s="1406"/>
      <c r="AK823" s="1406"/>
      <c r="AL823" s="1406"/>
      <c r="AM823" s="1406"/>
      <c r="AN823" s="1406"/>
      <c r="AO823" s="1405"/>
      <c r="AP823" s="1405"/>
      <c r="AQ823" s="1405"/>
      <c r="AR823" s="1405"/>
      <c r="AS823" s="1405"/>
      <c r="AT823" s="1405"/>
      <c r="AU823" s="1405"/>
      <c r="AV823" s="1405"/>
    </row>
    <row r="824" spans="1:48" s="1431" customFormat="1">
      <c r="A824" s="1399"/>
      <c r="B824" s="1429"/>
      <c r="C824" s="1430"/>
      <c r="D824" s="1400"/>
      <c r="E824" s="1401"/>
      <c r="F824" s="1401"/>
      <c r="G824" s="1402"/>
      <c r="H824" s="1403"/>
      <c r="I824" s="1404"/>
      <c r="J824" s="1405"/>
      <c r="K824" s="1405"/>
      <c r="L824" s="1405"/>
      <c r="M824" s="1405"/>
      <c r="N824" s="1406"/>
      <c r="O824" s="1406"/>
      <c r="P824" s="1406"/>
      <c r="Q824" s="1406"/>
      <c r="R824" s="1406"/>
      <c r="S824" s="1406"/>
      <c r="T824" s="1406"/>
      <c r="U824" s="1406"/>
      <c r="V824" s="1406"/>
      <c r="W824" s="1406"/>
      <c r="X824" s="1406"/>
      <c r="Y824" s="1406"/>
      <c r="Z824" s="1406"/>
      <c r="AA824" s="1406"/>
      <c r="AB824" s="1406"/>
      <c r="AC824" s="1406"/>
      <c r="AD824" s="1406"/>
      <c r="AE824" s="1406"/>
      <c r="AF824" s="1406"/>
      <c r="AG824" s="1406"/>
      <c r="AH824" s="1406"/>
      <c r="AI824" s="1406"/>
      <c r="AJ824" s="1406"/>
      <c r="AK824" s="1406"/>
      <c r="AL824" s="1406"/>
      <c r="AM824" s="1406"/>
      <c r="AN824" s="1406"/>
      <c r="AO824" s="1405"/>
      <c r="AP824" s="1405"/>
      <c r="AQ824" s="1405"/>
      <c r="AR824" s="1405"/>
      <c r="AS824" s="1405"/>
      <c r="AT824" s="1405"/>
      <c r="AU824" s="1405"/>
      <c r="AV824" s="1405"/>
    </row>
    <row r="825" spans="1:48" s="1431" customFormat="1">
      <c r="A825" s="1399"/>
      <c r="B825" s="1429"/>
      <c r="C825" s="1430"/>
      <c r="D825" s="1400"/>
      <c r="E825" s="1401"/>
      <c r="F825" s="1401"/>
      <c r="G825" s="1402"/>
      <c r="H825" s="1403"/>
      <c r="I825" s="1404"/>
      <c r="J825" s="1405"/>
      <c r="K825" s="1405"/>
      <c r="L825" s="1405"/>
      <c r="M825" s="1405"/>
      <c r="N825" s="1406"/>
      <c r="O825" s="1406"/>
      <c r="P825" s="1406"/>
      <c r="Q825" s="1406"/>
      <c r="R825" s="1406"/>
      <c r="S825" s="1406"/>
      <c r="T825" s="1406"/>
      <c r="U825" s="1406"/>
      <c r="V825" s="1406"/>
      <c r="W825" s="1406"/>
      <c r="X825" s="1406"/>
      <c r="Y825" s="1406"/>
      <c r="Z825" s="1406"/>
      <c r="AA825" s="1406"/>
      <c r="AB825" s="1406"/>
      <c r="AC825" s="1406"/>
      <c r="AD825" s="1406"/>
      <c r="AE825" s="1406"/>
      <c r="AF825" s="1406"/>
      <c r="AG825" s="1406"/>
      <c r="AH825" s="1406"/>
      <c r="AI825" s="1406"/>
      <c r="AJ825" s="1406"/>
      <c r="AK825" s="1406"/>
      <c r="AL825" s="1406"/>
      <c r="AM825" s="1406"/>
      <c r="AN825" s="1406"/>
      <c r="AO825" s="1405"/>
      <c r="AP825" s="1405"/>
      <c r="AQ825" s="1405"/>
      <c r="AR825" s="1405"/>
      <c r="AS825" s="1405"/>
      <c r="AT825" s="1405"/>
      <c r="AU825" s="1405"/>
      <c r="AV825" s="1405"/>
    </row>
    <row r="826" spans="1:48" s="1431" customFormat="1">
      <c r="A826" s="1399"/>
      <c r="B826" s="1429"/>
      <c r="C826" s="1430"/>
      <c r="D826" s="1400"/>
      <c r="E826" s="1401"/>
      <c r="F826" s="1401"/>
      <c r="G826" s="1402"/>
      <c r="H826" s="1403"/>
      <c r="I826" s="1404"/>
      <c r="J826" s="1405"/>
      <c r="K826" s="1405"/>
      <c r="L826" s="1405"/>
      <c r="M826" s="1405"/>
      <c r="N826" s="1406"/>
      <c r="O826" s="1406"/>
      <c r="P826" s="1406"/>
      <c r="Q826" s="1406"/>
      <c r="R826" s="1406"/>
      <c r="S826" s="1406"/>
      <c r="T826" s="1406"/>
      <c r="U826" s="1406"/>
      <c r="V826" s="1406"/>
      <c r="W826" s="1406"/>
      <c r="X826" s="1406"/>
      <c r="Y826" s="1406"/>
      <c r="Z826" s="1406"/>
      <c r="AA826" s="1406"/>
      <c r="AB826" s="1406"/>
      <c r="AC826" s="1406"/>
      <c r="AD826" s="1406"/>
      <c r="AE826" s="1406"/>
      <c r="AF826" s="1406"/>
      <c r="AG826" s="1406"/>
      <c r="AH826" s="1406"/>
      <c r="AI826" s="1406"/>
      <c r="AJ826" s="1406"/>
      <c r="AK826" s="1406"/>
      <c r="AL826" s="1406"/>
      <c r="AM826" s="1406"/>
      <c r="AN826" s="1406"/>
      <c r="AO826" s="1405"/>
      <c r="AP826" s="1405"/>
      <c r="AQ826" s="1405"/>
      <c r="AR826" s="1405"/>
      <c r="AS826" s="1405"/>
      <c r="AT826" s="1405"/>
      <c r="AU826" s="1405"/>
      <c r="AV826" s="1405"/>
    </row>
    <row r="827" spans="1:48" s="1431" customFormat="1">
      <c r="A827" s="1399"/>
      <c r="B827" s="1429"/>
      <c r="C827" s="1430"/>
      <c r="D827" s="1400"/>
      <c r="E827" s="1401"/>
      <c r="F827" s="1401"/>
      <c r="G827" s="1402"/>
      <c r="H827" s="1403"/>
      <c r="I827" s="1404"/>
      <c r="J827" s="1405"/>
      <c r="K827" s="1405"/>
      <c r="L827" s="1405"/>
      <c r="M827" s="1405"/>
      <c r="N827" s="1406"/>
      <c r="O827" s="1406"/>
      <c r="P827" s="1406"/>
      <c r="Q827" s="1406"/>
      <c r="R827" s="1406"/>
      <c r="S827" s="1406"/>
      <c r="T827" s="1406"/>
      <c r="U827" s="1406"/>
      <c r="V827" s="1406"/>
      <c r="W827" s="1406"/>
      <c r="X827" s="1406"/>
      <c r="Y827" s="1406"/>
      <c r="Z827" s="1406"/>
      <c r="AA827" s="1406"/>
      <c r="AB827" s="1406"/>
      <c r="AC827" s="1406"/>
      <c r="AD827" s="1406"/>
      <c r="AE827" s="1406"/>
      <c r="AF827" s="1406"/>
      <c r="AG827" s="1406"/>
      <c r="AH827" s="1406"/>
      <c r="AI827" s="1406"/>
      <c r="AJ827" s="1406"/>
      <c r="AK827" s="1406"/>
      <c r="AL827" s="1406"/>
      <c r="AM827" s="1406"/>
      <c r="AN827" s="1406"/>
      <c r="AO827" s="1405"/>
      <c r="AP827" s="1405"/>
      <c r="AQ827" s="1405"/>
      <c r="AR827" s="1405"/>
      <c r="AS827" s="1405"/>
      <c r="AT827" s="1405"/>
      <c r="AU827" s="1405"/>
      <c r="AV827" s="1405"/>
    </row>
    <row r="828" spans="1:48" s="1431" customFormat="1">
      <c r="A828" s="1399"/>
      <c r="B828" s="1429"/>
      <c r="C828" s="1430"/>
      <c r="D828" s="1400"/>
      <c r="E828" s="1401"/>
      <c r="F828" s="1401"/>
      <c r="G828" s="1402"/>
      <c r="H828" s="1403"/>
      <c r="I828" s="1404"/>
      <c r="J828" s="1405"/>
      <c r="K828" s="1405"/>
      <c r="L828" s="1405"/>
      <c r="M828" s="1405"/>
      <c r="N828" s="1406"/>
      <c r="O828" s="1406"/>
      <c r="P828" s="1406"/>
      <c r="Q828" s="1406"/>
      <c r="R828" s="1406"/>
      <c r="S828" s="1406"/>
      <c r="T828" s="1406"/>
      <c r="U828" s="1406"/>
      <c r="V828" s="1406"/>
      <c r="W828" s="1406"/>
      <c r="X828" s="1406"/>
      <c r="Y828" s="1406"/>
      <c r="Z828" s="1406"/>
      <c r="AA828" s="1406"/>
      <c r="AB828" s="1406"/>
      <c r="AC828" s="1406"/>
      <c r="AD828" s="1406"/>
      <c r="AE828" s="1406"/>
      <c r="AF828" s="1406"/>
      <c r="AG828" s="1406"/>
      <c r="AH828" s="1406"/>
      <c r="AI828" s="1406"/>
      <c r="AJ828" s="1406"/>
      <c r="AK828" s="1406"/>
      <c r="AL828" s="1406"/>
      <c r="AM828" s="1406"/>
      <c r="AN828" s="1406"/>
      <c r="AO828" s="1405"/>
      <c r="AP828" s="1405"/>
      <c r="AQ828" s="1405"/>
      <c r="AR828" s="1405"/>
      <c r="AS828" s="1405"/>
      <c r="AT828" s="1405"/>
      <c r="AU828" s="1405"/>
      <c r="AV828" s="1405"/>
    </row>
    <row r="829" spans="1:48" s="1431" customFormat="1">
      <c r="A829" s="1399"/>
      <c r="B829" s="1429"/>
      <c r="C829" s="1430"/>
      <c r="D829" s="1400"/>
      <c r="E829" s="1401"/>
      <c r="F829" s="1401"/>
      <c r="G829" s="1402"/>
      <c r="H829" s="1403"/>
      <c r="I829" s="1404"/>
      <c r="J829" s="1405"/>
      <c r="K829" s="1405"/>
      <c r="L829" s="1405"/>
      <c r="M829" s="1405"/>
      <c r="N829" s="1406"/>
      <c r="O829" s="1406"/>
      <c r="P829" s="1406"/>
      <c r="Q829" s="1406"/>
      <c r="R829" s="1406"/>
      <c r="S829" s="1406"/>
      <c r="T829" s="1406"/>
      <c r="U829" s="1406"/>
      <c r="V829" s="1406"/>
      <c r="W829" s="1406"/>
      <c r="X829" s="1406"/>
      <c r="Y829" s="1406"/>
      <c r="Z829" s="1406"/>
      <c r="AA829" s="1406"/>
      <c r="AB829" s="1406"/>
      <c r="AC829" s="1406"/>
      <c r="AD829" s="1406"/>
      <c r="AE829" s="1406"/>
      <c r="AF829" s="1406"/>
      <c r="AG829" s="1406"/>
      <c r="AH829" s="1406"/>
      <c r="AI829" s="1406"/>
      <c r="AJ829" s="1406"/>
      <c r="AK829" s="1406"/>
      <c r="AL829" s="1406"/>
      <c r="AM829" s="1406"/>
      <c r="AN829" s="1406"/>
      <c r="AO829" s="1405"/>
      <c r="AP829" s="1405"/>
      <c r="AQ829" s="1405"/>
      <c r="AR829" s="1405"/>
      <c r="AS829" s="1405"/>
      <c r="AT829" s="1405"/>
      <c r="AU829" s="1405"/>
      <c r="AV829" s="1405"/>
    </row>
    <row r="830" spans="1:48" s="1431" customFormat="1">
      <c r="A830" s="1399"/>
      <c r="B830" s="1429"/>
      <c r="C830" s="1430"/>
      <c r="D830" s="1400"/>
      <c r="E830" s="1401"/>
      <c r="F830" s="1401"/>
      <c r="G830" s="1402"/>
      <c r="H830" s="1403"/>
      <c r="I830" s="1404"/>
      <c r="J830" s="1405"/>
      <c r="K830" s="1405"/>
      <c r="L830" s="1405"/>
      <c r="M830" s="1405"/>
      <c r="N830" s="1406"/>
      <c r="O830" s="1406"/>
      <c r="P830" s="1406"/>
      <c r="Q830" s="1406"/>
      <c r="R830" s="1406"/>
      <c r="S830" s="1406"/>
      <c r="T830" s="1406"/>
      <c r="U830" s="1406"/>
      <c r="V830" s="1406"/>
      <c r="W830" s="1406"/>
      <c r="X830" s="1406"/>
      <c r="Y830" s="1406"/>
      <c r="Z830" s="1406"/>
      <c r="AA830" s="1406"/>
      <c r="AB830" s="1406"/>
      <c r="AC830" s="1406"/>
      <c r="AD830" s="1406"/>
      <c r="AE830" s="1406"/>
      <c r="AF830" s="1406"/>
      <c r="AG830" s="1406"/>
      <c r="AH830" s="1406"/>
      <c r="AI830" s="1406"/>
      <c r="AJ830" s="1406"/>
      <c r="AK830" s="1406"/>
      <c r="AL830" s="1406"/>
      <c r="AM830" s="1406"/>
      <c r="AN830" s="1406"/>
      <c r="AO830" s="1405"/>
      <c r="AP830" s="1405"/>
      <c r="AQ830" s="1405"/>
      <c r="AR830" s="1405"/>
      <c r="AS830" s="1405"/>
      <c r="AT830" s="1405"/>
      <c r="AU830" s="1405"/>
      <c r="AV830" s="1405"/>
    </row>
    <row r="831" spans="1:48" s="1431" customFormat="1">
      <c r="A831" s="1399"/>
      <c r="B831" s="1429"/>
      <c r="C831" s="1430"/>
      <c r="D831" s="1400"/>
      <c r="E831" s="1401"/>
      <c r="F831" s="1401"/>
      <c r="G831" s="1402"/>
      <c r="H831" s="1403"/>
      <c r="I831" s="1404"/>
      <c r="J831" s="1405"/>
      <c r="K831" s="1405"/>
      <c r="L831" s="1405"/>
      <c r="M831" s="1405"/>
      <c r="N831" s="1406"/>
      <c r="O831" s="1406"/>
      <c r="P831" s="1406"/>
      <c r="Q831" s="1406"/>
      <c r="R831" s="1406"/>
      <c r="S831" s="1406"/>
      <c r="T831" s="1406"/>
      <c r="U831" s="1406"/>
      <c r="V831" s="1406"/>
      <c r="W831" s="1406"/>
      <c r="X831" s="1406"/>
      <c r="Y831" s="1406"/>
      <c r="Z831" s="1406"/>
      <c r="AA831" s="1406"/>
      <c r="AB831" s="1406"/>
      <c r="AC831" s="1406"/>
      <c r="AD831" s="1406"/>
      <c r="AE831" s="1406"/>
      <c r="AF831" s="1406"/>
      <c r="AG831" s="1406"/>
      <c r="AH831" s="1406"/>
      <c r="AI831" s="1406"/>
      <c r="AJ831" s="1406"/>
      <c r="AK831" s="1406"/>
      <c r="AL831" s="1406"/>
      <c r="AM831" s="1406"/>
      <c r="AN831" s="1406"/>
      <c r="AO831" s="1405"/>
      <c r="AP831" s="1405"/>
      <c r="AQ831" s="1405"/>
      <c r="AR831" s="1405"/>
      <c r="AS831" s="1405"/>
      <c r="AT831" s="1405"/>
      <c r="AU831" s="1405"/>
      <c r="AV831" s="1405"/>
    </row>
    <row r="832" spans="1:48" s="1431" customFormat="1">
      <c r="A832" s="1399"/>
      <c r="B832" s="1429"/>
      <c r="C832" s="1430"/>
      <c r="D832" s="1400"/>
      <c r="E832" s="1401"/>
      <c r="F832" s="1401"/>
      <c r="G832" s="1402"/>
      <c r="H832" s="1403"/>
      <c r="I832" s="1404"/>
      <c r="J832" s="1405"/>
      <c r="K832" s="1405"/>
      <c r="L832" s="1405"/>
      <c r="M832" s="1405"/>
      <c r="N832" s="1406"/>
      <c r="O832" s="1406"/>
      <c r="P832" s="1406"/>
      <c r="Q832" s="1406"/>
      <c r="R832" s="1406"/>
      <c r="S832" s="1406"/>
      <c r="T832" s="1406"/>
      <c r="U832" s="1406"/>
      <c r="V832" s="1406"/>
      <c r="W832" s="1406"/>
      <c r="X832" s="1406"/>
      <c r="Y832" s="1406"/>
      <c r="Z832" s="1406"/>
      <c r="AA832" s="1406"/>
      <c r="AB832" s="1406"/>
      <c r="AC832" s="1406"/>
      <c r="AD832" s="1406"/>
      <c r="AE832" s="1406"/>
      <c r="AF832" s="1406"/>
      <c r="AG832" s="1406"/>
      <c r="AH832" s="1406"/>
      <c r="AI832" s="1406"/>
      <c r="AJ832" s="1406"/>
      <c r="AK832" s="1406"/>
      <c r="AL832" s="1406"/>
      <c r="AM832" s="1406"/>
      <c r="AN832" s="1406"/>
      <c r="AO832" s="1405"/>
      <c r="AP832" s="1405"/>
      <c r="AQ832" s="1405"/>
      <c r="AR832" s="1405"/>
      <c r="AS832" s="1405"/>
      <c r="AT832" s="1405"/>
      <c r="AU832" s="1405"/>
      <c r="AV832" s="1405"/>
    </row>
    <row r="833" spans="1:48" s="1431" customFormat="1">
      <c r="A833" s="1399"/>
      <c r="B833" s="1429"/>
      <c r="C833" s="1430"/>
      <c r="D833" s="1400"/>
      <c r="E833" s="1401"/>
      <c r="F833" s="1401"/>
      <c r="G833" s="1402"/>
      <c r="H833" s="1403"/>
      <c r="I833" s="1404"/>
      <c r="J833" s="1405"/>
      <c r="K833" s="1405"/>
      <c r="L833" s="1405"/>
      <c r="M833" s="1405"/>
      <c r="N833" s="1406"/>
      <c r="O833" s="1406"/>
      <c r="P833" s="1406"/>
      <c r="Q833" s="1406"/>
      <c r="R833" s="1406"/>
      <c r="S833" s="1406"/>
      <c r="T833" s="1406"/>
      <c r="U833" s="1406"/>
      <c r="V833" s="1406"/>
      <c r="W833" s="1406"/>
      <c r="X833" s="1406"/>
      <c r="Y833" s="1406"/>
      <c r="Z833" s="1406"/>
      <c r="AA833" s="1406"/>
      <c r="AB833" s="1406"/>
      <c r="AC833" s="1406"/>
      <c r="AD833" s="1406"/>
      <c r="AE833" s="1406"/>
      <c r="AF833" s="1406"/>
      <c r="AG833" s="1406"/>
      <c r="AH833" s="1406"/>
      <c r="AI833" s="1406"/>
      <c r="AJ833" s="1406"/>
      <c r="AK833" s="1406"/>
      <c r="AL833" s="1406"/>
      <c r="AM833" s="1406"/>
      <c r="AN833" s="1406"/>
      <c r="AO833" s="1405"/>
      <c r="AP833" s="1405"/>
      <c r="AQ833" s="1405"/>
      <c r="AR833" s="1405"/>
      <c r="AS833" s="1405"/>
      <c r="AT833" s="1405"/>
      <c r="AU833" s="1405"/>
      <c r="AV833" s="1405"/>
    </row>
    <row r="834" spans="1:48" s="1431" customFormat="1">
      <c r="A834" s="1399"/>
      <c r="B834" s="1429"/>
      <c r="C834" s="1430"/>
      <c r="D834" s="1400"/>
      <c r="E834" s="1401"/>
      <c r="F834" s="1401"/>
      <c r="G834" s="1402"/>
      <c r="H834" s="1403"/>
      <c r="I834" s="1404"/>
      <c r="J834" s="1405"/>
      <c r="K834" s="1405"/>
      <c r="L834" s="1405"/>
      <c r="M834" s="1405"/>
      <c r="N834" s="1406"/>
      <c r="O834" s="1406"/>
      <c r="P834" s="1406"/>
      <c r="Q834" s="1406"/>
      <c r="R834" s="1406"/>
      <c r="S834" s="1406"/>
      <c r="T834" s="1406"/>
      <c r="U834" s="1406"/>
      <c r="V834" s="1406"/>
      <c r="W834" s="1406"/>
      <c r="X834" s="1406"/>
      <c r="Y834" s="1406"/>
      <c r="Z834" s="1406"/>
      <c r="AA834" s="1406"/>
      <c r="AB834" s="1406"/>
      <c r="AC834" s="1406"/>
      <c r="AD834" s="1406"/>
      <c r="AE834" s="1406"/>
      <c r="AF834" s="1406"/>
      <c r="AG834" s="1406"/>
      <c r="AH834" s="1406"/>
      <c r="AI834" s="1406"/>
      <c r="AJ834" s="1406"/>
      <c r="AK834" s="1406"/>
      <c r="AL834" s="1406"/>
      <c r="AM834" s="1406"/>
      <c r="AN834" s="1406"/>
      <c r="AO834" s="1405"/>
      <c r="AP834" s="1405"/>
      <c r="AQ834" s="1405"/>
      <c r="AR834" s="1405"/>
      <c r="AS834" s="1405"/>
      <c r="AT834" s="1405"/>
      <c r="AU834" s="1405"/>
      <c r="AV834" s="1405"/>
    </row>
    <row r="835" spans="1:48" s="1431" customFormat="1">
      <c r="A835" s="1399"/>
      <c r="B835" s="1429"/>
      <c r="C835" s="1430"/>
      <c r="D835" s="1400"/>
      <c r="E835" s="1401"/>
      <c r="F835" s="1401"/>
      <c r="G835" s="1402"/>
      <c r="H835" s="1403"/>
      <c r="I835" s="1404"/>
      <c r="J835" s="1405"/>
      <c r="K835" s="1405"/>
      <c r="L835" s="1405"/>
      <c r="M835" s="1405"/>
      <c r="N835" s="1406"/>
      <c r="O835" s="1406"/>
      <c r="P835" s="1406"/>
      <c r="Q835" s="1406"/>
      <c r="R835" s="1406"/>
      <c r="S835" s="1406"/>
      <c r="T835" s="1406"/>
      <c r="U835" s="1406"/>
      <c r="V835" s="1406"/>
      <c r="W835" s="1406"/>
      <c r="X835" s="1406"/>
      <c r="Y835" s="1406"/>
      <c r="Z835" s="1406"/>
      <c r="AA835" s="1406"/>
      <c r="AB835" s="1406"/>
      <c r="AC835" s="1406"/>
      <c r="AD835" s="1406"/>
      <c r="AE835" s="1406"/>
      <c r="AF835" s="1406"/>
      <c r="AG835" s="1406"/>
      <c r="AH835" s="1406"/>
      <c r="AI835" s="1406"/>
      <c r="AJ835" s="1406"/>
      <c r="AK835" s="1406"/>
      <c r="AL835" s="1406"/>
      <c r="AM835" s="1406"/>
      <c r="AN835" s="1406"/>
      <c r="AO835" s="1405"/>
      <c r="AP835" s="1405"/>
      <c r="AQ835" s="1405"/>
      <c r="AR835" s="1405"/>
      <c r="AS835" s="1405"/>
      <c r="AT835" s="1405"/>
      <c r="AU835" s="1405"/>
      <c r="AV835" s="1405"/>
    </row>
    <row r="836" spans="1:48" s="1431" customFormat="1">
      <c r="A836" s="1399"/>
      <c r="B836" s="1429"/>
      <c r="C836" s="1430"/>
      <c r="D836" s="1400"/>
      <c r="E836" s="1401"/>
      <c r="F836" s="1401"/>
      <c r="G836" s="1402"/>
      <c r="H836" s="1403"/>
      <c r="I836" s="1404"/>
      <c r="J836" s="1405"/>
      <c r="K836" s="1405"/>
      <c r="L836" s="1405"/>
      <c r="M836" s="1405"/>
      <c r="N836" s="1406"/>
      <c r="O836" s="1406"/>
      <c r="P836" s="1406"/>
      <c r="Q836" s="1406"/>
      <c r="R836" s="1406"/>
      <c r="S836" s="1406"/>
      <c r="T836" s="1406"/>
      <c r="U836" s="1406"/>
      <c r="V836" s="1406"/>
      <c r="W836" s="1406"/>
      <c r="X836" s="1406"/>
      <c r="Y836" s="1406"/>
      <c r="Z836" s="1406"/>
      <c r="AA836" s="1406"/>
      <c r="AB836" s="1406"/>
      <c r="AC836" s="1406"/>
      <c r="AD836" s="1406"/>
      <c r="AE836" s="1406"/>
      <c r="AF836" s="1406"/>
      <c r="AG836" s="1406"/>
      <c r="AH836" s="1406"/>
      <c r="AI836" s="1406"/>
      <c r="AJ836" s="1406"/>
      <c r="AK836" s="1406"/>
      <c r="AL836" s="1406"/>
      <c r="AM836" s="1406"/>
      <c r="AN836" s="1406"/>
      <c r="AO836" s="1405"/>
      <c r="AP836" s="1405"/>
      <c r="AQ836" s="1405"/>
      <c r="AR836" s="1405"/>
      <c r="AS836" s="1405"/>
      <c r="AT836" s="1405"/>
      <c r="AU836" s="1405"/>
      <c r="AV836" s="1405"/>
    </row>
    <row r="837" spans="1:48" s="1431" customFormat="1">
      <c r="A837" s="1399"/>
      <c r="B837" s="1429"/>
      <c r="C837" s="1430"/>
      <c r="D837" s="1400"/>
      <c r="E837" s="1401"/>
      <c r="F837" s="1401"/>
      <c r="G837" s="1402"/>
      <c r="H837" s="1403"/>
      <c r="I837" s="1404"/>
      <c r="J837" s="1405"/>
      <c r="K837" s="1405"/>
      <c r="L837" s="1405"/>
      <c r="M837" s="1405"/>
      <c r="N837" s="1406"/>
      <c r="O837" s="1406"/>
      <c r="P837" s="1406"/>
      <c r="Q837" s="1406"/>
      <c r="R837" s="1406"/>
      <c r="S837" s="1406"/>
      <c r="T837" s="1406"/>
      <c r="U837" s="1406"/>
      <c r="V837" s="1406"/>
      <c r="W837" s="1406"/>
      <c r="X837" s="1406"/>
      <c r="Y837" s="1406"/>
      <c r="Z837" s="1406"/>
      <c r="AA837" s="1406"/>
      <c r="AB837" s="1406"/>
      <c r="AC837" s="1406"/>
      <c r="AD837" s="1406"/>
      <c r="AE837" s="1406"/>
      <c r="AF837" s="1406"/>
      <c r="AG837" s="1406"/>
      <c r="AH837" s="1406"/>
      <c r="AI837" s="1406"/>
      <c r="AJ837" s="1406"/>
      <c r="AK837" s="1406"/>
      <c r="AL837" s="1406"/>
      <c r="AM837" s="1406"/>
      <c r="AN837" s="1406"/>
      <c r="AO837" s="1405"/>
      <c r="AP837" s="1405"/>
      <c r="AQ837" s="1405"/>
      <c r="AR837" s="1405"/>
      <c r="AS837" s="1405"/>
      <c r="AT837" s="1405"/>
      <c r="AU837" s="1405"/>
      <c r="AV837" s="1405"/>
    </row>
    <row r="838" spans="1:48" s="1431" customFormat="1">
      <c r="A838" s="1399"/>
      <c r="B838" s="1429"/>
      <c r="C838" s="1430"/>
      <c r="D838" s="1400"/>
      <c r="E838" s="1401"/>
      <c r="F838" s="1401"/>
      <c r="G838" s="1402"/>
      <c r="H838" s="1403"/>
      <c r="I838" s="1404"/>
      <c r="J838" s="1405"/>
      <c r="K838" s="1405"/>
      <c r="L838" s="1405"/>
      <c r="M838" s="1405"/>
      <c r="N838" s="1406"/>
      <c r="O838" s="1406"/>
      <c r="P838" s="1406"/>
      <c r="Q838" s="1406"/>
      <c r="R838" s="1406"/>
      <c r="S838" s="1406"/>
      <c r="T838" s="1406"/>
      <c r="U838" s="1406"/>
      <c r="V838" s="1406"/>
      <c r="W838" s="1406"/>
      <c r="X838" s="1406"/>
      <c r="Y838" s="1406"/>
      <c r="Z838" s="1406"/>
      <c r="AA838" s="1406"/>
      <c r="AB838" s="1406"/>
      <c r="AC838" s="1406"/>
      <c r="AD838" s="1406"/>
      <c r="AE838" s="1406"/>
      <c r="AF838" s="1406"/>
      <c r="AG838" s="1406"/>
      <c r="AH838" s="1406"/>
      <c r="AI838" s="1406"/>
      <c r="AJ838" s="1406"/>
      <c r="AK838" s="1406"/>
      <c r="AL838" s="1406"/>
      <c r="AM838" s="1406"/>
      <c r="AN838" s="1406"/>
      <c r="AO838" s="1405"/>
      <c r="AP838" s="1405"/>
      <c r="AQ838" s="1405"/>
      <c r="AR838" s="1405"/>
      <c r="AS838" s="1405"/>
      <c r="AT838" s="1405"/>
      <c r="AU838" s="1405"/>
      <c r="AV838" s="1405"/>
    </row>
    <row r="839" spans="1:48" s="1431" customFormat="1">
      <c r="A839" s="1399"/>
      <c r="B839" s="1429"/>
      <c r="C839" s="1430"/>
      <c r="D839" s="1400"/>
      <c r="E839" s="1401"/>
      <c r="F839" s="1401"/>
      <c r="G839" s="1402"/>
      <c r="H839" s="1403"/>
      <c r="I839" s="1404"/>
      <c r="J839" s="1405"/>
      <c r="K839" s="1405"/>
      <c r="L839" s="1405"/>
      <c r="M839" s="1405"/>
      <c r="N839" s="1406"/>
      <c r="O839" s="1406"/>
      <c r="P839" s="1406"/>
      <c r="Q839" s="1406"/>
      <c r="R839" s="1406"/>
      <c r="S839" s="1406"/>
      <c r="T839" s="1406"/>
      <c r="U839" s="1406"/>
      <c r="V839" s="1406"/>
      <c r="W839" s="1406"/>
      <c r="X839" s="1406"/>
      <c r="Y839" s="1406"/>
      <c r="Z839" s="1406"/>
      <c r="AA839" s="1406"/>
      <c r="AB839" s="1406"/>
      <c r="AC839" s="1406"/>
      <c r="AD839" s="1406"/>
      <c r="AE839" s="1406"/>
      <c r="AF839" s="1406"/>
      <c r="AG839" s="1406"/>
      <c r="AH839" s="1406"/>
      <c r="AI839" s="1406"/>
      <c r="AJ839" s="1406"/>
      <c r="AK839" s="1406"/>
      <c r="AL839" s="1406"/>
      <c r="AM839" s="1406"/>
      <c r="AN839" s="1406"/>
      <c r="AO839" s="1405"/>
      <c r="AP839" s="1405"/>
      <c r="AQ839" s="1405"/>
      <c r="AR839" s="1405"/>
      <c r="AS839" s="1405"/>
      <c r="AT839" s="1405"/>
      <c r="AU839" s="1405"/>
      <c r="AV839" s="1405"/>
    </row>
    <row r="840" spans="1:48" s="1431" customFormat="1">
      <c r="A840" s="1399"/>
      <c r="B840" s="1429"/>
      <c r="C840" s="1430"/>
      <c r="D840" s="1400"/>
      <c r="E840" s="1401"/>
      <c r="F840" s="1401"/>
      <c r="G840" s="1402"/>
      <c r="H840" s="1403"/>
      <c r="I840" s="1404"/>
      <c r="J840" s="1405"/>
      <c r="K840" s="1405"/>
      <c r="L840" s="1405"/>
      <c r="M840" s="1405"/>
      <c r="N840" s="1406"/>
      <c r="O840" s="1406"/>
      <c r="P840" s="1406"/>
      <c r="Q840" s="1406"/>
      <c r="R840" s="1406"/>
      <c r="S840" s="1406"/>
      <c r="T840" s="1406"/>
      <c r="U840" s="1406"/>
      <c r="V840" s="1406"/>
      <c r="W840" s="1406"/>
      <c r="X840" s="1406"/>
      <c r="Y840" s="1406"/>
      <c r="Z840" s="1406"/>
      <c r="AA840" s="1406"/>
      <c r="AB840" s="1406"/>
      <c r="AC840" s="1406"/>
      <c r="AD840" s="1406"/>
      <c r="AE840" s="1406"/>
      <c r="AF840" s="1406"/>
      <c r="AG840" s="1406"/>
      <c r="AH840" s="1406"/>
      <c r="AI840" s="1406"/>
      <c r="AJ840" s="1406"/>
      <c r="AK840" s="1406"/>
      <c r="AL840" s="1406"/>
      <c r="AM840" s="1406"/>
      <c r="AN840" s="1406"/>
      <c r="AO840" s="1405"/>
      <c r="AP840" s="1405"/>
      <c r="AQ840" s="1405"/>
      <c r="AR840" s="1405"/>
      <c r="AS840" s="1405"/>
      <c r="AT840" s="1405"/>
      <c r="AU840" s="1405"/>
      <c r="AV840" s="1405"/>
    </row>
    <row r="841" spans="1:48" s="1431" customFormat="1">
      <c r="A841" s="1399"/>
      <c r="B841" s="1429"/>
      <c r="C841" s="1430"/>
      <c r="D841" s="1400"/>
      <c r="E841" s="1401"/>
      <c r="F841" s="1401"/>
      <c r="G841" s="1402"/>
      <c r="H841" s="1403"/>
      <c r="I841" s="1404"/>
      <c r="J841" s="1405"/>
      <c r="K841" s="1405"/>
      <c r="L841" s="1405"/>
      <c r="M841" s="1405"/>
      <c r="N841" s="1406"/>
      <c r="O841" s="1406"/>
      <c r="P841" s="1406"/>
      <c r="Q841" s="1406"/>
      <c r="R841" s="1406"/>
      <c r="S841" s="1406"/>
      <c r="T841" s="1406"/>
      <c r="U841" s="1406"/>
      <c r="V841" s="1406"/>
      <c r="W841" s="1406"/>
      <c r="X841" s="1406"/>
      <c r="Y841" s="1406"/>
      <c r="Z841" s="1406"/>
      <c r="AA841" s="1406"/>
      <c r="AB841" s="1406"/>
      <c r="AC841" s="1406"/>
      <c r="AD841" s="1406"/>
      <c r="AE841" s="1406"/>
      <c r="AF841" s="1406"/>
      <c r="AG841" s="1406"/>
      <c r="AH841" s="1406"/>
      <c r="AI841" s="1406"/>
      <c r="AJ841" s="1406"/>
      <c r="AK841" s="1406"/>
      <c r="AL841" s="1406"/>
      <c r="AM841" s="1406"/>
      <c r="AN841" s="1406"/>
      <c r="AO841" s="1405"/>
      <c r="AP841" s="1405"/>
      <c r="AQ841" s="1405"/>
      <c r="AR841" s="1405"/>
      <c r="AS841" s="1405"/>
      <c r="AT841" s="1405"/>
      <c r="AU841" s="1405"/>
      <c r="AV841" s="1405"/>
    </row>
    <row r="842" spans="1:48" s="1431" customFormat="1">
      <c r="A842" s="1399"/>
      <c r="B842" s="1429"/>
      <c r="C842" s="1430"/>
      <c r="D842" s="1400"/>
      <c r="E842" s="1401"/>
      <c r="F842" s="1401"/>
      <c r="G842" s="1402"/>
      <c r="H842" s="1403"/>
      <c r="I842" s="1404"/>
      <c r="J842" s="1405"/>
      <c r="K842" s="1405"/>
      <c r="L842" s="1405"/>
      <c r="M842" s="1405"/>
      <c r="N842" s="1406"/>
      <c r="O842" s="1406"/>
      <c r="P842" s="1406"/>
      <c r="Q842" s="1406"/>
      <c r="R842" s="1406"/>
      <c r="S842" s="1406"/>
      <c r="T842" s="1406"/>
      <c r="U842" s="1406"/>
      <c r="V842" s="1406"/>
      <c r="W842" s="1406"/>
      <c r="X842" s="1406"/>
      <c r="Y842" s="1406"/>
      <c r="Z842" s="1406"/>
      <c r="AA842" s="1406"/>
      <c r="AB842" s="1406"/>
      <c r="AC842" s="1406"/>
      <c r="AD842" s="1406"/>
      <c r="AE842" s="1406"/>
      <c r="AF842" s="1406"/>
      <c r="AG842" s="1406"/>
      <c r="AH842" s="1406"/>
      <c r="AI842" s="1406"/>
      <c r="AJ842" s="1406"/>
      <c r="AK842" s="1406"/>
      <c r="AL842" s="1406"/>
      <c r="AM842" s="1406"/>
      <c r="AN842" s="1406"/>
      <c r="AO842" s="1405"/>
      <c r="AP842" s="1405"/>
      <c r="AQ842" s="1405"/>
      <c r="AR842" s="1405"/>
      <c r="AS842" s="1405"/>
      <c r="AT842" s="1405"/>
      <c r="AU842" s="1405"/>
      <c r="AV842" s="1405"/>
    </row>
    <row r="843" spans="1:48" s="1431" customFormat="1">
      <c r="A843" s="1399"/>
      <c r="B843" s="1429"/>
      <c r="C843" s="1430"/>
      <c r="D843" s="1400"/>
      <c r="E843" s="1401"/>
      <c r="F843" s="1401"/>
      <c r="G843" s="1402"/>
      <c r="H843" s="1403"/>
      <c r="I843" s="1404"/>
      <c r="J843" s="1405"/>
      <c r="K843" s="1405"/>
      <c r="L843" s="1405"/>
      <c r="M843" s="1405"/>
      <c r="N843" s="1406"/>
      <c r="O843" s="1406"/>
      <c r="P843" s="1406"/>
      <c r="Q843" s="1406"/>
      <c r="R843" s="1406"/>
      <c r="S843" s="1406"/>
      <c r="T843" s="1406"/>
      <c r="U843" s="1406"/>
      <c r="V843" s="1406"/>
      <c r="W843" s="1406"/>
      <c r="X843" s="1406"/>
      <c r="Y843" s="1406"/>
      <c r="Z843" s="1406"/>
      <c r="AA843" s="1406"/>
      <c r="AB843" s="1406"/>
      <c r="AC843" s="1406"/>
      <c r="AD843" s="1406"/>
      <c r="AE843" s="1406"/>
      <c r="AF843" s="1406"/>
      <c r="AG843" s="1406"/>
      <c r="AH843" s="1406"/>
      <c r="AI843" s="1406"/>
      <c r="AJ843" s="1406"/>
      <c r="AK843" s="1406"/>
      <c r="AL843" s="1406"/>
      <c r="AM843" s="1406"/>
      <c r="AN843" s="1406"/>
      <c r="AO843" s="1405"/>
      <c r="AP843" s="1405"/>
      <c r="AQ843" s="1405"/>
      <c r="AR843" s="1405"/>
      <c r="AS843" s="1405"/>
      <c r="AT843" s="1405"/>
      <c r="AU843" s="1405"/>
      <c r="AV843" s="1405"/>
    </row>
    <row r="844" spans="1:48" s="1431" customFormat="1">
      <c r="A844" s="1399"/>
      <c r="B844" s="1429"/>
      <c r="C844" s="1430"/>
      <c r="D844" s="1400"/>
      <c r="E844" s="1401"/>
      <c r="F844" s="1401"/>
      <c r="G844" s="1402"/>
      <c r="H844" s="1403"/>
      <c r="I844" s="1404"/>
      <c r="J844" s="1405"/>
      <c r="K844" s="1405"/>
      <c r="L844" s="1405"/>
      <c r="M844" s="1405"/>
      <c r="N844" s="1406"/>
      <c r="O844" s="1406"/>
      <c r="P844" s="1406"/>
      <c r="Q844" s="1406"/>
      <c r="R844" s="1406"/>
      <c r="S844" s="1406"/>
      <c r="T844" s="1406"/>
      <c r="U844" s="1406"/>
      <c r="V844" s="1406"/>
      <c r="W844" s="1406"/>
      <c r="X844" s="1406"/>
      <c r="Y844" s="1406"/>
      <c r="Z844" s="1406"/>
      <c r="AA844" s="1406"/>
      <c r="AB844" s="1406"/>
      <c r="AC844" s="1406"/>
      <c r="AD844" s="1406"/>
      <c r="AE844" s="1406"/>
      <c r="AF844" s="1406"/>
      <c r="AG844" s="1406"/>
      <c r="AH844" s="1406"/>
      <c r="AI844" s="1406"/>
      <c r="AJ844" s="1406"/>
      <c r="AK844" s="1406"/>
      <c r="AL844" s="1406"/>
      <c r="AM844" s="1406"/>
      <c r="AN844" s="1406"/>
      <c r="AO844" s="1405"/>
      <c r="AP844" s="1405"/>
      <c r="AQ844" s="1405"/>
      <c r="AR844" s="1405"/>
      <c r="AS844" s="1405"/>
      <c r="AT844" s="1405"/>
      <c r="AU844" s="1405"/>
      <c r="AV844" s="1405"/>
    </row>
    <row r="845" spans="1:48" s="1431" customFormat="1">
      <c r="A845" s="1399"/>
      <c r="B845" s="1429"/>
      <c r="C845" s="1430"/>
      <c r="D845" s="1400"/>
      <c r="E845" s="1401"/>
      <c r="F845" s="1401"/>
      <c r="G845" s="1402"/>
      <c r="H845" s="1403"/>
      <c r="I845" s="1404"/>
      <c r="J845" s="1405"/>
      <c r="K845" s="1405"/>
      <c r="L845" s="1405"/>
      <c r="M845" s="1405"/>
      <c r="N845" s="1406"/>
      <c r="O845" s="1406"/>
      <c r="P845" s="1406"/>
      <c r="Q845" s="1406"/>
      <c r="R845" s="1406"/>
      <c r="S845" s="1406"/>
      <c r="T845" s="1406"/>
      <c r="U845" s="1406"/>
      <c r="V845" s="1406"/>
      <c r="W845" s="1406"/>
      <c r="X845" s="1406"/>
      <c r="Y845" s="1406"/>
      <c r="Z845" s="1406"/>
      <c r="AA845" s="1406"/>
      <c r="AB845" s="1406"/>
      <c r="AC845" s="1406"/>
      <c r="AD845" s="1406"/>
      <c r="AE845" s="1406"/>
      <c r="AF845" s="1406"/>
      <c r="AG845" s="1406"/>
      <c r="AH845" s="1406"/>
      <c r="AI845" s="1406"/>
      <c r="AJ845" s="1406"/>
      <c r="AK845" s="1406"/>
      <c r="AL845" s="1406"/>
      <c r="AM845" s="1406"/>
      <c r="AN845" s="1406"/>
      <c r="AO845" s="1405"/>
      <c r="AP845" s="1405"/>
      <c r="AQ845" s="1405"/>
      <c r="AR845" s="1405"/>
      <c r="AS845" s="1405"/>
      <c r="AT845" s="1405"/>
      <c r="AU845" s="1405"/>
      <c r="AV845" s="1405"/>
    </row>
    <row r="846" spans="1:48" s="1431" customFormat="1">
      <c r="A846" s="1399"/>
      <c r="B846" s="1429"/>
      <c r="C846" s="1430"/>
      <c r="D846" s="1400"/>
      <c r="E846" s="1401"/>
      <c r="F846" s="1401"/>
      <c r="G846" s="1402"/>
      <c r="H846" s="1403"/>
      <c r="I846" s="1404"/>
      <c r="J846" s="1405"/>
      <c r="K846" s="1405"/>
      <c r="L846" s="1405"/>
      <c r="M846" s="1405"/>
      <c r="N846" s="1406"/>
      <c r="O846" s="1406"/>
      <c r="P846" s="1406"/>
      <c r="Q846" s="1406"/>
      <c r="R846" s="1406"/>
      <c r="S846" s="1406"/>
      <c r="T846" s="1406"/>
      <c r="U846" s="1406"/>
      <c r="V846" s="1406"/>
      <c r="W846" s="1406"/>
      <c r="X846" s="1406"/>
      <c r="Y846" s="1406"/>
      <c r="Z846" s="1406"/>
      <c r="AA846" s="1406"/>
      <c r="AB846" s="1406"/>
      <c r="AC846" s="1406"/>
      <c r="AD846" s="1406"/>
      <c r="AE846" s="1406"/>
      <c r="AF846" s="1406"/>
      <c r="AG846" s="1406"/>
      <c r="AH846" s="1406"/>
      <c r="AI846" s="1406"/>
      <c r="AJ846" s="1406"/>
      <c r="AK846" s="1406"/>
      <c r="AL846" s="1406"/>
      <c r="AM846" s="1406"/>
      <c r="AN846" s="1406"/>
      <c r="AO846" s="1405"/>
      <c r="AP846" s="1405"/>
      <c r="AQ846" s="1405"/>
      <c r="AR846" s="1405"/>
      <c r="AS846" s="1405"/>
      <c r="AT846" s="1405"/>
      <c r="AU846" s="1405"/>
      <c r="AV846" s="1405"/>
    </row>
    <row r="847" spans="1:48" s="1431" customFormat="1">
      <c r="A847" s="1399"/>
      <c r="B847" s="1429"/>
      <c r="C847" s="1430"/>
      <c r="D847" s="1400"/>
      <c r="E847" s="1401"/>
      <c r="F847" s="1401"/>
      <c r="G847" s="1402"/>
      <c r="H847" s="1403"/>
      <c r="I847" s="1404"/>
      <c r="J847" s="1405"/>
      <c r="K847" s="1405"/>
      <c r="L847" s="1405"/>
      <c r="M847" s="1405"/>
      <c r="N847" s="1406"/>
      <c r="O847" s="1406"/>
      <c r="P847" s="1406"/>
      <c r="Q847" s="1406"/>
      <c r="R847" s="1406"/>
      <c r="S847" s="1406"/>
      <c r="T847" s="1406"/>
      <c r="U847" s="1406"/>
      <c r="V847" s="1406"/>
      <c r="W847" s="1406"/>
      <c r="X847" s="1406"/>
      <c r="Y847" s="1406"/>
      <c r="Z847" s="1406"/>
      <c r="AA847" s="1406"/>
      <c r="AB847" s="1406"/>
      <c r="AC847" s="1406"/>
      <c r="AD847" s="1406"/>
      <c r="AE847" s="1406"/>
      <c r="AF847" s="1406"/>
      <c r="AG847" s="1406"/>
      <c r="AH847" s="1406"/>
      <c r="AI847" s="1406"/>
      <c r="AJ847" s="1406"/>
      <c r="AK847" s="1406"/>
      <c r="AL847" s="1406"/>
      <c r="AM847" s="1406"/>
      <c r="AN847" s="1406"/>
      <c r="AO847" s="1405"/>
      <c r="AP847" s="1405"/>
      <c r="AQ847" s="1405"/>
      <c r="AR847" s="1405"/>
      <c r="AS847" s="1405"/>
      <c r="AT847" s="1405"/>
      <c r="AU847" s="1405"/>
      <c r="AV847" s="1405"/>
    </row>
    <row r="848" spans="1:48" s="1431" customFormat="1">
      <c r="A848" s="1399"/>
      <c r="B848" s="1429"/>
      <c r="C848" s="1430"/>
      <c r="D848" s="1400"/>
      <c r="E848" s="1401"/>
      <c r="F848" s="1401"/>
      <c r="G848" s="1402"/>
      <c r="H848" s="1403"/>
      <c r="I848" s="1404"/>
      <c r="J848" s="1405"/>
      <c r="K848" s="1405"/>
      <c r="L848" s="1405"/>
      <c r="M848" s="1405"/>
      <c r="N848" s="1406"/>
      <c r="O848" s="1406"/>
      <c r="P848" s="1406"/>
      <c r="Q848" s="1406"/>
      <c r="R848" s="1406"/>
      <c r="S848" s="1406"/>
      <c r="T848" s="1406"/>
      <c r="U848" s="1406"/>
      <c r="V848" s="1406"/>
      <c r="W848" s="1406"/>
      <c r="X848" s="1406"/>
      <c r="Y848" s="1406"/>
      <c r="Z848" s="1406"/>
      <c r="AA848" s="1406"/>
      <c r="AB848" s="1406"/>
      <c r="AC848" s="1406"/>
      <c r="AD848" s="1406"/>
      <c r="AE848" s="1406"/>
      <c r="AF848" s="1406"/>
      <c r="AG848" s="1406"/>
      <c r="AH848" s="1406"/>
      <c r="AI848" s="1406"/>
      <c r="AJ848" s="1406"/>
      <c r="AK848" s="1406"/>
      <c r="AL848" s="1406"/>
      <c r="AM848" s="1406"/>
      <c r="AN848" s="1406"/>
      <c r="AO848" s="1405"/>
      <c r="AP848" s="1405"/>
      <c r="AQ848" s="1405"/>
      <c r="AR848" s="1405"/>
      <c r="AS848" s="1405"/>
      <c r="AT848" s="1405"/>
      <c r="AU848" s="1405"/>
      <c r="AV848" s="1405"/>
    </row>
    <row r="849" spans="1:48" s="1431" customFormat="1">
      <c r="A849" s="1399"/>
      <c r="B849" s="1429"/>
      <c r="C849" s="1430"/>
      <c r="D849" s="1400"/>
      <c r="E849" s="1401"/>
      <c r="F849" s="1401"/>
      <c r="G849" s="1402"/>
      <c r="H849" s="1403"/>
      <c r="I849" s="1404"/>
      <c r="J849" s="1405"/>
      <c r="K849" s="1405"/>
      <c r="L849" s="1405"/>
      <c r="M849" s="1405"/>
      <c r="N849" s="1406"/>
      <c r="O849" s="1406"/>
      <c r="P849" s="1406"/>
      <c r="Q849" s="1406"/>
      <c r="R849" s="1406"/>
      <c r="S849" s="1406"/>
      <c r="T849" s="1406"/>
      <c r="U849" s="1406"/>
      <c r="V849" s="1406"/>
      <c r="W849" s="1406"/>
      <c r="X849" s="1406"/>
      <c r="Y849" s="1406"/>
      <c r="Z849" s="1406"/>
      <c r="AA849" s="1406"/>
      <c r="AB849" s="1406"/>
      <c r="AC849" s="1406"/>
      <c r="AD849" s="1406"/>
      <c r="AE849" s="1406"/>
      <c r="AF849" s="1406"/>
      <c r="AG849" s="1406"/>
      <c r="AH849" s="1406"/>
      <c r="AI849" s="1406"/>
      <c r="AJ849" s="1406"/>
      <c r="AK849" s="1406"/>
      <c r="AL849" s="1406"/>
      <c r="AM849" s="1406"/>
      <c r="AN849" s="1406"/>
      <c r="AO849" s="1405"/>
      <c r="AP849" s="1405"/>
      <c r="AQ849" s="1405"/>
      <c r="AR849" s="1405"/>
      <c r="AS849" s="1405"/>
      <c r="AT849" s="1405"/>
      <c r="AU849" s="1405"/>
      <c r="AV849" s="1405"/>
    </row>
    <row r="850" spans="1:48" s="1431" customFormat="1">
      <c r="A850" s="1399"/>
      <c r="B850" s="1429"/>
      <c r="C850" s="1430"/>
      <c r="D850" s="1400"/>
      <c r="E850" s="1401"/>
      <c r="F850" s="1401"/>
      <c r="G850" s="1402"/>
      <c r="H850" s="1403"/>
      <c r="I850" s="1404"/>
      <c r="J850" s="1405"/>
      <c r="K850" s="1405"/>
      <c r="L850" s="1405"/>
      <c r="M850" s="1405"/>
      <c r="N850" s="1406"/>
      <c r="O850" s="1406"/>
      <c r="P850" s="1406"/>
      <c r="Q850" s="1406"/>
      <c r="R850" s="1406"/>
      <c r="S850" s="1406"/>
      <c r="T850" s="1406"/>
      <c r="U850" s="1406"/>
      <c r="V850" s="1406"/>
      <c r="W850" s="1406"/>
      <c r="X850" s="1406"/>
      <c r="Y850" s="1406"/>
      <c r="Z850" s="1406"/>
      <c r="AA850" s="1406"/>
      <c r="AB850" s="1406"/>
      <c r="AC850" s="1406"/>
      <c r="AD850" s="1406"/>
      <c r="AE850" s="1406"/>
      <c r="AF850" s="1406"/>
      <c r="AG850" s="1406"/>
      <c r="AH850" s="1406"/>
      <c r="AI850" s="1406"/>
      <c r="AJ850" s="1406"/>
      <c r="AK850" s="1406"/>
      <c r="AL850" s="1406"/>
      <c r="AM850" s="1406"/>
      <c r="AN850" s="1406"/>
      <c r="AO850" s="1405"/>
      <c r="AP850" s="1405"/>
      <c r="AQ850" s="1405"/>
      <c r="AR850" s="1405"/>
      <c r="AS850" s="1405"/>
      <c r="AT850" s="1405"/>
      <c r="AU850" s="1405"/>
      <c r="AV850" s="1405"/>
    </row>
    <row r="851" spans="1:48" s="1431" customFormat="1">
      <c r="A851" s="1399"/>
      <c r="B851" s="1429"/>
      <c r="C851" s="1430"/>
      <c r="D851" s="1400"/>
      <c r="E851" s="1401"/>
      <c r="F851" s="1401"/>
      <c r="G851" s="1402"/>
      <c r="H851" s="1403"/>
      <c r="I851" s="1404"/>
      <c r="J851" s="1405"/>
      <c r="K851" s="1405"/>
      <c r="L851" s="1405"/>
      <c r="M851" s="1405"/>
      <c r="N851" s="1406"/>
      <c r="O851" s="1406"/>
      <c r="P851" s="1406"/>
      <c r="Q851" s="1406"/>
      <c r="R851" s="1406"/>
      <c r="S851" s="1406"/>
      <c r="T851" s="1406"/>
      <c r="U851" s="1406"/>
      <c r="V851" s="1406"/>
      <c r="W851" s="1406"/>
      <c r="X851" s="1406"/>
      <c r="Y851" s="1406"/>
      <c r="Z851" s="1406"/>
      <c r="AA851" s="1406"/>
      <c r="AB851" s="1406"/>
      <c r="AC851" s="1406"/>
      <c r="AD851" s="1406"/>
      <c r="AE851" s="1406"/>
      <c r="AF851" s="1406"/>
      <c r="AG851" s="1406"/>
      <c r="AH851" s="1406"/>
      <c r="AI851" s="1406"/>
      <c r="AJ851" s="1406"/>
      <c r="AK851" s="1406"/>
      <c r="AL851" s="1406"/>
      <c r="AM851" s="1406"/>
      <c r="AN851" s="1406"/>
      <c r="AO851" s="1405"/>
      <c r="AP851" s="1405"/>
      <c r="AQ851" s="1405"/>
      <c r="AR851" s="1405"/>
      <c r="AS851" s="1405"/>
      <c r="AT851" s="1405"/>
      <c r="AU851" s="1405"/>
      <c r="AV851" s="1405"/>
    </row>
    <row r="852" spans="1:48" s="1431" customFormat="1">
      <c r="A852" s="1399"/>
      <c r="B852" s="1429"/>
      <c r="C852" s="1430"/>
      <c r="D852" s="1400"/>
      <c r="E852" s="1401"/>
      <c r="F852" s="1401"/>
      <c r="G852" s="1402"/>
      <c r="H852" s="1403"/>
      <c r="I852" s="1404"/>
      <c r="J852" s="1405"/>
      <c r="K852" s="1405"/>
      <c r="L852" s="1405"/>
      <c r="M852" s="1405"/>
      <c r="N852" s="1406"/>
      <c r="O852" s="1406"/>
      <c r="P852" s="1406"/>
      <c r="Q852" s="1406"/>
      <c r="R852" s="1406"/>
      <c r="S852" s="1406"/>
      <c r="T852" s="1406"/>
      <c r="U852" s="1406"/>
      <c r="V852" s="1406"/>
      <c r="W852" s="1406"/>
      <c r="X852" s="1406"/>
      <c r="Y852" s="1406"/>
      <c r="Z852" s="1406"/>
      <c r="AA852" s="1406"/>
      <c r="AB852" s="1406"/>
      <c r="AC852" s="1406"/>
      <c r="AD852" s="1406"/>
      <c r="AE852" s="1406"/>
      <c r="AF852" s="1406"/>
      <c r="AG852" s="1406"/>
      <c r="AH852" s="1406"/>
      <c r="AI852" s="1406"/>
      <c r="AJ852" s="1406"/>
      <c r="AK852" s="1406"/>
      <c r="AL852" s="1406"/>
      <c r="AM852" s="1406"/>
      <c r="AN852" s="1406"/>
      <c r="AO852" s="1405"/>
      <c r="AP852" s="1405"/>
      <c r="AQ852" s="1405"/>
      <c r="AR852" s="1405"/>
      <c r="AS852" s="1405"/>
      <c r="AT852" s="1405"/>
      <c r="AU852" s="1405"/>
      <c r="AV852" s="1405"/>
    </row>
    <row r="853" spans="1:48" s="1431" customFormat="1">
      <c r="A853" s="1399"/>
      <c r="B853" s="1429"/>
      <c r="C853" s="1430"/>
      <c r="D853" s="1400"/>
      <c r="E853" s="1401"/>
      <c r="F853" s="1401"/>
      <c r="G853" s="1402"/>
      <c r="H853" s="1403"/>
      <c r="I853" s="1404"/>
      <c r="J853" s="1405"/>
      <c r="K853" s="1405"/>
      <c r="L853" s="1405"/>
      <c r="M853" s="1405"/>
      <c r="N853" s="1406"/>
      <c r="O853" s="1406"/>
      <c r="P853" s="1406"/>
      <c r="Q853" s="1406"/>
      <c r="R853" s="1406"/>
      <c r="S853" s="1406"/>
      <c r="T853" s="1406"/>
      <c r="U853" s="1406"/>
      <c r="V853" s="1406"/>
      <c r="W853" s="1406"/>
      <c r="X853" s="1406"/>
      <c r="Y853" s="1406"/>
      <c r="Z853" s="1406"/>
      <c r="AA853" s="1406"/>
      <c r="AB853" s="1406"/>
      <c r="AC853" s="1406"/>
      <c r="AD853" s="1406"/>
      <c r="AE853" s="1406"/>
      <c r="AF853" s="1406"/>
      <c r="AG853" s="1406"/>
      <c r="AH853" s="1406"/>
      <c r="AI853" s="1406"/>
      <c r="AJ853" s="1406"/>
      <c r="AK853" s="1406"/>
      <c r="AL853" s="1406"/>
      <c r="AM853" s="1406"/>
      <c r="AN853" s="1406"/>
      <c r="AO853" s="1405"/>
      <c r="AP853" s="1405"/>
      <c r="AQ853" s="1405"/>
      <c r="AR853" s="1405"/>
      <c r="AS853" s="1405"/>
      <c r="AT853" s="1405"/>
      <c r="AU853" s="1405"/>
      <c r="AV853" s="1405"/>
    </row>
    <row r="854" spans="1:48" s="1431" customFormat="1">
      <c r="A854" s="1399"/>
      <c r="B854" s="1429"/>
      <c r="C854" s="1430"/>
      <c r="D854" s="1400"/>
      <c r="E854" s="1401"/>
      <c r="F854" s="1401"/>
      <c r="G854" s="1402"/>
      <c r="H854" s="1403"/>
      <c r="I854" s="1404"/>
      <c r="J854" s="1405"/>
      <c r="K854" s="1405"/>
      <c r="L854" s="1405"/>
      <c r="M854" s="1405"/>
      <c r="N854" s="1406"/>
      <c r="O854" s="1406"/>
      <c r="P854" s="1406"/>
      <c r="Q854" s="1406"/>
      <c r="R854" s="1406"/>
      <c r="S854" s="1406"/>
      <c r="T854" s="1406"/>
      <c r="U854" s="1406"/>
      <c r="V854" s="1406"/>
      <c r="W854" s="1406"/>
      <c r="X854" s="1406"/>
      <c r="Y854" s="1406"/>
      <c r="Z854" s="1406"/>
      <c r="AA854" s="1406"/>
      <c r="AB854" s="1406"/>
      <c r="AC854" s="1406"/>
      <c r="AD854" s="1406"/>
      <c r="AE854" s="1406"/>
      <c r="AF854" s="1406"/>
      <c r="AG854" s="1406"/>
      <c r="AH854" s="1406"/>
      <c r="AI854" s="1406"/>
      <c r="AJ854" s="1406"/>
      <c r="AK854" s="1406"/>
      <c r="AL854" s="1406"/>
      <c r="AM854" s="1406"/>
      <c r="AN854" s="1406"/>
      <c r="AO854" s="1405"/>
      <c r="AP854" s="1405"/>
      <c r="AQ854" s="1405"/>
      <c r="AR854" s="1405"/>
      <c r="AS854" s="1405"/>
      <c r="AT854" s="1405"/>
      <c r="AU854" s="1405"/>
      <c r="AV854" s="1405"/>
    </row>
    <row r="855" spans="1:48" s="1431" customFormat="1">
      <c r="A855" s="1399"/>
      <c r="B855" s="1429"/>
      <c r="C855" s="1430"/>
      <c r="D855" s="1400"/>
      <c r="E855" s="1401"/>
      <c r="F855" s="1401"/>
      <c r="G855" s="1402"/>
      <c r="H855" s="1403"/>
      <c r="I855" s="1404"/>
      <c r="J855" s="1405"/>
      <c r="K855" s="1405"/>
      <c r="L855" s="1405"/>
      <c r="M855" s="1405"/>
      <c r="N855" s="1406"/>
      <c r="O855" s="1406"/>
      <c r="P855" s="1406"/>
      <c r="Q855" s="1406"/>
      <c r="R855" s="1406"/>
      <c r="S855" s="1406"/>
      <c r="T855" s="1406"/>
      <c r="U855" s="1406"/>
      <c r="V855" s="1406"/>
      <c r="W855" s="1406"/>
      <c r="X855" s="1406"/>
      <c r="Y855" s="1406"/>
      <c r="Z855" s="1406"/>
      <c r="AA855" s="1406"/>
      <c r="AB855" s="1406"/>
      <c r="AC855" s="1406"/>
      <c r="AD855" s="1406"/>
      <c r="AE855" s="1406"/>
      <c r="AF855" s="1406"/>
      <c r="AG855" s="1406"/>
      <c r="AH855" s="1406"/>
      <c r="AI855" s="1406"/>
      <c r="AJ855" s="1406"/>
      <c r="AK855" s="1406"/>
      <c r="AL855" s="1406"/>
      <c r="AM855" s="1406"/>
      <c r="AN855" s="1406"/>
      <c r="AO855" s="1405"/>
      <c r="AP855" s="1405"/>
      <c r="AQ855" s="1405"/>
      <c r="AR855" s="1405"/>
      <c r="AS855" s="1405"/>
      <c r="AT855" s="1405"/>
      <c r="AU855" s="1405"/>
      <c r="AV855" s="1405"/>
    </row>
    <row r="856" spans="1:48" s="1431" customFormat="1">
      <c r="A856" s="1399"/>
      <c r="B856" s="1429"/>
      <c r="C856" s="1430"/>
      <c r="D856" s="1400"/>
      <c r="E856" s="1401"/>
      <c r="F856" s="1401"/>
      <c r="G856" s="1402"/>
      <c r="H856" s="1403"/>
      <c r="I856" s="1404"/>
      <c r="J856" s="1405"/>
      <c r="K856" s="1405"/>
      <c r="L856" s="1405"/>
      <c r="M856" s="1405"/>
      <c r="N856" s="1406"/>
      <c r="O856" s="1406"/>
      <c r="P856" s="1406"/>
      <c r="Q856" s="1406"/>
      <c r="R856" s="1406"/>
      <c r="S856" s="1406"/>
      <c r="T856" s="1406"/>
      <c r="U856" s="1406"/>
      <c r="V856" s="1406"/>
      <c r="W856" s="1406"/>
      <c r="X856" s="1406"/>
      <c r="Y856" s="1406"/>
      <c r="Z856" s="1406"/>
      <c r="AA856" s="1406"/>
      <c r="AB856" s="1406"/>
      <c r="AC856" s="1406"/>
      <c r="AD856" s="1406"/>
      <c r="AE856" s="1406"/>
      <c r="AF856" s="1406"/>
      <c r="AG856" s="1406"/>
      <c r="AH856" s="1406"/>
      <c r="AI856" s="1406"/>
      <c r="AJ856" s="1406"/>
      <c r="AK856" s="1406"/>
      <c r="AL856" s="1406"/>
      <c r="AM856" s="1406"/>
      <c r="AN856" s="1406"/>
      <c r="AO856" s="1405"/>
      <c r="AP856" s="1405"/>
      <c r="AQ856" s="1405"/>
      <c r="AR856" s="1405"/>
      <c r="AS856" s="1405"/>
      <c r="AT856" s="1405"/>
      <c r="AU856" s="1405"/>
      <c r="AV856" s="1405"/>
    </row>
    <row r="857" spans="1:48" s="1431" customFormat="1">
      <c r="A857" s="1399"/>
      <c r="B857" s="1429"/>
      <c r="C857" s="1430"/>
      <c r="D857" s="1400"/>
      <c r="E857" s="1401"/>
      <c r="F857" s="1401"/>
      <c r="G857" s="1402"/>
      <c r="H857" s="1403"/>
      <c r="I857" s="1404"/>
      <c r="J857" s="1405"/>
      <c r="K857" s="1405"/>
      <c r="L857" s="1405"/>
      <c r="M857" s="1405"/>
      <c r="N857" s="1406"/>
      <c r="O857" s="1406"/>
      <c r="P857" s="1406"/>
      <c r="Q857" s="1406"/>
      <c r="R857" s="1406"/>
      <c r="S857" s="1406"/>
      <c r="T857" s="1406"/>
      <c r="U857" s="1406"/>
      <c r="V857" s="1406"/>
      <c r="W857" s="1406"/>
      <c r="X857" s="1406"/>
      <c r="Y857" s="1406"/>
      <c r="Z857" s="1406"/>
      <c r="AA857" s="1406"/>
      <c r="AB857" s="1406"/>
      <c r="AC857" s="1406"/>
      <c r="AD857" s="1406"/>
      <c r="AE857" s="1406"/>
      <c r="AF857" s="1406"/>
      <c r="AG857" s="1406"/>
      <c r="AH857" s="1406"/>
      <c r="AI857" s="1406"/>
      <c r="AJ857" s="1406"/>
      <c r="AK857" s="1406"/>
      <c r="AL857" s="1406"/>
      <c r="AM857" s="1406"/>
      <c r="AN857" s="1406"/>
      <c r="AO857" s="1405"/>
      <c r="AP857" s="1405"/>
      <c r="AQ857" s="1405"/>
      <c r="AR857" s="1405"/>
      <c r="AS857" s="1405"/>
      <c r="AT857" s="1405"/>
      <c r="AU857" s="1405"/>
      <c r="AV857" s="1405"/>
    </row>
    <row r="858" spans="1:48" s="1431" customFormat="1">
      <c r="A858" s="1399"/>
      <c r="B858" s="1429"/>
      <c r="C858" s="1430"/>
      <c r="D858" s="1400"/>
      <c r="E858" s="1401"/>
      <c r="F858" s="1401"/>
      <c r="G858" s="1402"/>
      <c r="H858" s="1403"/>
      <c r="I858" s="1404"/>
      <c r="J858" s="1405"/>
      <c r="K858" s="1405"/>
      <c r="L858" s="1405"/>
      <c r="M858" s="1405"/>
      <c r="N858" s="1406"/>
      <c r="O858" s="1406"/>
      <c r="P858" s="1406"/>
      <c r="Q858" s="1406"/>
      <c r="R858" s="1406"/>
      <c r="S858" s="1406"/>
      <c r="T858" s="1406"/>
      <c r="U858" s="1406"/>
      <c r="V858" s="1406"/>
      <c r="W858" s="1406"/>
      <c r="X858" s="1406"/>
      <c r="Y858" s="1406"/>
      <c r="Z858" s="1406"/>
      <c r="AA858" s="1406"/>
      <c r="AB858" s="1406"/>
      <c r="AC858" s="1406"/>
      <c r="AD858" s="1406"/>
      <c r="AE858" s="1406"/>
      <c r="AF858" s="1406"/>
      <c r="AG858" s="1406"/>
      <c r="AH858" s="1406"/>
      <c r="AI858" s="1406"/>
      <c r="AJ858" s="1406"/>
      <c r="AK858" s="1406"/>
      <c r="AL858" s="1406"/>
      <c r="AM858" s="1406"/>
      <c r="AN858" s="1406"/>
      <c r="AO858" s="1405"/>
      <c r="AP858" s="1405"/>
      <c r="AQ858" s="1405"/>
      <c r="AR858" s="1405"/>
      <c r="AS858" s="1405"/>
      <c r="AT858" s="1405"/>
      <c r="AU858" s="1405"/>
      <c r="AV858" s="1405"/>
    </row>
    <row r="859" spans="1:48" s="1431" customFormat="1">
      <c r="A859" s="1399"/>
      <c r="B859" s="1429"/>
      <c r="C859" s="1430"/>
      <c r="D859" s="1400"/>
      <c r="E859" s="1401"/>
      <c r="F859" s="1401"/>
      <c r="G859" s="1402"/>
      <c r="H859" s="1403"/>
      <c r="I859" s="1404"/>
      <c r="J859" s="1405"/>
      <c r="K859" s="1405"/>
      <c r="L859" s="1405"/>
      <c r="M859" s="1405"/>
      <c r="N859" s="1406"/>
      <c r="O859" s="1406"/>
      <c r="P859" s="1406"/>
      <c r="Q859" s="1406"/>
      <c r="R859" s="1406"/>
      <c r="S859" s="1406"/>
      <c r="T859" s="1406"/>
      <c r="U859" s="1406"/>
      <c r="V859" s="1406"/>
      <c r="W859" s="1406"/>
      <c r="X859" s="1406"/>
      <c r="Y859" s="1406"/>
      <c r="Z859" s="1406"/>
      <c r="AA859" s="1406"/>
      <c r="AB859" s="1406"/>
      <c r="AC859" s="1406"/>
      <c r="AD859" s="1406"/>
      <c r="AE859" s="1406"/>
      <c r="AF859" s="1406"/>
      <c r="AG859" s="1406"/>
      <c r="AH859" s="1406"/>
      <c r="AI859" s="1406"/>
      <c r="AJ859" s="1406"/>
      <c r="AK859" s="1406"/>
      <c r="AL859" s="1406"/>
      <c r="AM859" s="1406"/>
      <c r="AN859" s="1406"/>
      <c r="AO859" s="1405"/>
      <c r="AP859" s="1405"/>
      <c r="AQ859" s="1405"/>
      <c r="AR859" s="1405"/>
      <c r="AS859" s="1405"/>
      <c r="AT859" s="1405"/>
      <c r="AU859" s="1405"/>
      <c r="AV859" s="1405"/>
    </row>
    <row r="860" spans="1:48" s="1431" customFormat="1">
      <c r="A860" s="1399"/>
      <c r="B860" s="1429"/>
      <c r="C860" s="1430"/>
      <c r="D860" s="1400"/>
      <c r="E860" s="1401"/>
      <c r="F860" s="1401"/>
      <c r="G860" s="1402"/>
      <c r="H860" s="1403"/>
      <c r="I860" s="1404"/>
      <c r="J860" s="1405"/>
      <c r="K860" s="1405"/>
      <c r="L860" s="1405"/>
      <c r="M860" s="1405"/>
      <c r="N860" s="1406"/>
      <c r="O860" s="1406"/>
      <c r="P860" s="1406"/>
      <c r="Q860" s="1406"/>
      <c r="R860" s="1406"/>
      <c r="S860" s="1406"/>
      <c r="T860" s="1406"/>
      <c r="U860" s="1406"/>
      <c r="V860" s="1406"/>
      <c r="W860" s="1406"/>
      <c r="X860" s="1406"/>
      <c r="Y860" s="1406"/>
      <c r="Z860" s="1406"/>
      <c r="AA860" s="1406"/>
      <c r="AB860" s="1406"/>
      <c r="AC860" s="1406"/>
      <c r="AD860" s="1406"/>
      <c r="AE860" s="1406"/>
      <c r="AF860" s="1406"/>
      <c r="AG860" s="1406"/>
      <c r="AH860" s="1406"/>
      <c r="AI860" s="1406"/>
      <c r="AJ860" s="1406"/>
      <c r="AK860" s="1406"/>
      <c r="AL860" s="1406"/>
      <c r="AM860" s="1406"/>
      <c r="AN860" s="1406"/>
      <c r="AO860" s="1405"/>
      <c r="AP860" s="1405"/>
      <c r="AQ860" s="1405"/>
      <c r="AR860" s="1405"/>
      <c r="AS860" s="1405"/>
      <c r="AT860" s="1405"/>
      <c r="AU860" s="1405"/>
      <c r="AV860" s="1405"/>
    </row>
    <row r="861" spans="1:48" s="1431" customFormat="1">
      <c r="A861" s="1399"/>
      <c r="B861" s="1429"/>
      <c r="C861" s="1430"/>
      <c r="D861" s="1400"/>
      <c r="E861" s="1401"/>
      <c r="F861" s="1401"/>
      <c r="G861" s="1402"/>
      <c r="H861" s="1403"/>
      <c r="I861" s="1404"/>
      <c r="J861" s="1405"/>
      <c r="K861" s="1405"/>
      <c r="L861" s="1405"/>
      <c r="M861" s="1405"/>
      <c r="N861" s="1406"/>
      <c r="O861" s="1406"/>
      <c r="P861" s="1406"/>
      <c r="Q861" s="1406"/>
      <c r="R861" s="1406"/>
      <c r="S861" s="1406"/>
      <c r="T861" s="1406"/>
      <c r="U861" s="1406"/>
      <c r="V861" s="1406"/>
      <c r="W861" s="1406"/>
      <c r="X861" s="1406"/>
      <c r="Y861" s="1406"/>
      <c r="Z861" s="1406"/>
      <c r="AA861" s="1406"/>
      <c r="AB861" s="1406"/>
      <c r="AC861" s="1406"/>
      <c r="AD861" s="1406"/>
      <c r="AE861" s="1406"/>
      <c r="AF861" s="1406"/>
      <c r="AG861" s="1406"/>
      <c r="AH861" s="1406"/>
      <c r="AI861" s="1406"/>
      <c r="AJ861" s="1406"/>
      <c r="AK861" s="1406"/>
      <c r="AL861" s="1406"/>
      <c r="AM861" s="1406"/>
      <c r="AN861" s="1406"/>
      <c r="AO861" s="1405"/>
      <c r="AP861" s="1405"/>
      <c r="AQ861" s="1405"/>
      <c r="AR861" s="1405"/>
      <c r="AS861" s="1405"/>
      <c r="AT861" s="1405"/>
      <c r="AU861" s="1405"/>
      <c r="AV861" s="1405"/>
    </row>
    <row r="862" spans="1:48" s="1431" customFormat="1">
      <c r="A862" s="1399"/>
      <c r="B862" s="1429"/>
      <c r="C862" s="1430"/>
      <c r="D862" s="1400"/>
      <c r="E862" s="1401"/>
      <c r="F862" s="1401"/>
      <c r="G862" s="1402"/>
      <c r="H862" s="1403"/>
      <c r="I862" s="1404"/>
      <c r="J862" s="1405"/>
      <c r="K862" s="1405"/>
      <c r="L862" s="1405"/>
      <c r="M862" s="1405"/>
      <c r="N862" s="1406"/>
      <c r="O862" s="1406"/>
      <c r="P862" s="1406"/>
      <c r="Q862" s="1406"/>
      <c r="R862" s="1406"/>
      <c r="S862" s="1406"/>
      <c r="T862" s="1406"/>
      <c r="U862" s="1406"/>
      <c r="V862" s="1406"/>
      <c r="W862" s="1406"/>
      <c r="X862" s="1406"/>
      <c r="Y862" s="1406"/>
      <c r="Z862" s="1406"/>
      <c r="AA862" s="1406"/>
      <c r="AB862" s="1406"/>
      <c r="AC862" s="1406"/>
      <c r="AD862" s="1406"/>
      <c r="AE862" s="1406"/>
      <c r="AF862" s="1406"/>
      <c r="AG862" s="1406"/>
      <c r="AH862" s="1406"/>
      <c r="AI862" s="1406"/>
      <c r="AJ862" s="1406"/>
      <c r="AK862" s="1406"/>
      <c r="AL862" s="1406"/>
      <c r="AM862" s="1406"/>
      <c r="AN862" s="1406"/>
      <c r="AO862" s="1405"/>
      <c r="AP862" s="1405"/>
      <c r="AQ862" s="1405"/>
      <c r="AR862" s="1405"/>
      <c r="AS862" s="1405"/>
      <c r="AT862" s="1405"/>
      <c r="AU862" s="1405"/>
      <c r="AV862" s="1405"/>
    </row>
    <row r="863" spans="1:48" s="1431" customFormat="1">
      <c r="A863" s="1399"/>
      <c r="B863" s="1429"/>
      <c r="C863" s="1430"/>
      <c r="D863" s="1400"/>
      <c r="E863" s="1401"/>
      <c r="F863" s="1401"/>
      <c r="G863" s="1402"/>
      <c r="H863" s="1403"/>
      <c r="I863" s="1404"/>
      <c r="J863" s="1405"/>
      <c r="K863" s="1405"/>
      <c r="L863" s="1405"/>
      <c r="M863" s="1405"/>
      <c r="N863" s="1406"/>
      <c r="O863" s="1406"/>
      <c r="P863" s="1406"/>
      <c r="Q863" s="1406"/>
      <c r="R863" s="1406"/>
      <c r="S863" s="1406"/>
      <c r="T863" s="1406"/>
      <c r="U863" s="1406"/>
      <c r="V863" s="1406"/>
      <c r="W863" s="1406"/>
      <c r="X863" s="1406"/>
      <c r="Y863" s="1406"/>
      <c r="Z863" s="1406"/>
      <c r="AA863" s="1406"/>
      <c r="AB863" s="1406"/>
      <c r="AC863" s="1406"/>
      <c r="AD863" s="1406"/>
      <c r="AE863" s="1406"/>
      <c r="AF863" s="1406"/>
      <c r="AG863" s="1406"/>
      <c r="AH863" s="1406"/>
      <c r="AI863" s="1406"/>
      <c r="AJ863" s="1406"/>
      <c r="AK863" s="1406"/>
      <c r="AL863" s="1406"/>
      <c r="AM863" s="1406"/>
      <c r="AN863" s="1406"/>
      <c r="AO863" s="1405"/>
      <c r="AP863" s="1405"/>
      <c r="AQ863" s="1405"/>
      <c r="AR863" s="1405"/>
      <c r="AS863" s="1405"/>
      <c r="AT863" s="1405"/>
      <c r="AU863" s="1405"/>
      <c r="AV863" s="1405"/>
    </row>
    <row r="864" spans="1:48" s="1431" customFormat="1">
      <c r="A864" s="1399"/>
      <c r="B864" s="1429"/>
      <c r="C864" s="1430"/>
      <c r="D864" s="1400"/>
      <c r="E864" s="1401"/>
      <c r="F864" s="1401"/>
      <c r="G864" s="1402"/>
      <c r="H864" s="1403"/>
      <c r="I864" s="1404"/>
      <c r="J864" s="1405"/>
      <c r="K864" s="1405"/>
      <c r="L864" s="1405"/>
      <c r="M864" s="1405"/>
      <c r="N864" s="1406"/>
      <c r="O864" s="1406"/>
      <c r="P864" s="1406"/>
      <c r="Q864" s="1406"/>
      <c r="R864" s="1406"/>
      <c r="S864" s="1406"/>
      <c r="T864" s="1406"/>
      <c r="U864" s="1406"/>
      <c r="V864" s="1406"/>
      <c r="W864" s="1406"/>
      <c r="X864" s="1406"/>
      <c r="Y864" s="1406"/>
      <c r="Z864" s="1406"/>
      <c r="AA864" s="1406"/>
      <c r="AB864" s="1406"/>
      <c r="AC864" s="1406"/>
      <c r="AD864" s="1406"/>
      <c r="AE864" s="1406"/>
      <c r="AF864" s="1406"/>
      <c r="AG864" s="1406"/>
      <c r="AH864" s="1406"/>
      <c r="AI864" s="1406"/>
      <c r="AJ864" s="1406"/>
      <c r="AK864" s="1406"/>
      <c r="AL864" s="1406"/>
      <c r="AM864" s="1406"/>
      <c r="AN864" s="1406"/>
      <c r="AO864" s="1405"/>
      <c r="AP864" s="1405"/>
      <c r="AQ864" s="1405"/>
      <c r="AR864" s="1405"/>
      <c r="AS864" s="1405"/>
      <c r="AT864" s="1405"/>
      <c r="AU864" s="1405"/>
      <c r="AV864" s="1405"/>
    </row>
    <row r="865" spans="1:48" s="1431" customFormat="1">
      <c r="A865" s="1399"/>
      <c r="B865" s="1429"/>
      <c r="C865" s="1430"/>
      <c r="D865" s="1400"/>
      <c r="E865" s="1401"/>
      <c r="F865" s="1401"/>
      <c r="G865" s="1402"/>
      <c r="H865" s="1403"/>
      <c r="I865" s="1404"/>
      <c r="J865" s="1405"/>
      <c r="K865" s="1405"/>
      <c r="L865" s="1405"/>
      <c r="M865" s="1405"/>
      <c r="N865" s="1406"/>
      <c r="O865" s="1406"/>
      <c r="P865" s="1406"/>
      <c r="Q865" s="1406"/>
      <c r="R865" s="1406"/>
      <c r="S865" s="1406"/>
      <c r="T865" s="1406"/>
      <c r="U865" s="1406"/>
      <c r="V865" s="1406"/>
      <c r="W865" s="1406"/>
      <c r="X865" s="1406"/>
      <c r="Y865" s="1406"/>
      <c r="Z865" s="1406"/>
      <c r="AA865" s="1406"/>
      <c r="AB865" s="1406"/>
      <c r="AC865" s="1406"/>
      <c r="AD865" s="1406"/>
      <c r="AE865" s="1406"/>
      <c r="AF865" s="1406"/>
      <c r="AG865" s="1406"/>
      <c r="AH865" s="1406"/>
      <c r="AI865" s="1406"/>
      <c r="AJ865" s="1406"/>
      <c r="AK865" s="1406"/>
      <c r="AL865" s="1406"/>
      <c r="AM865" s="1406"/>
      <c r="AN865" s="1406"/>
      <c r="AO865" s="1405"/>
      <c r="AP865" s="1405"/>
      <c r="AQ865" s="1405"/>
      <c r="AR865" s="1405"/>
      <c r="AS865" s="1405"/>
      <c r="AT865" s="1405"/>
      <c r="AU865" s="1405"/>
      <c r="AV865" s="1405"/>
    </row>
    <row r="866" spans="1:48" s="1431" customFormat="1">
      <c r="A866" s="1399"/>
      <c r="B866" s="1429"/>
      <c r="C866" s="1430"/>
      <c r="D866" s="1400"/>
      <c r="E866" s="1401"/>
      <c r="F866" s="1401"/>
      <c r="G866" s="1402"/>
      <c r="H866" s="1403"/>
      <c r="I866" s="1404"/>
      <c r="J866" s="1405"/>
      <c r="K866" s="1405"/>
      <c r="L866" s="1405"/>
      <c r="M866" s="1405"/>
      <c r="N866" s="1406"/>
      <c r="O866" s="1406"/>
      <c r="P866" s="1406"/>
      <c r="Q866" s="1406"/>
      <c r="R866" s="1406"/>
      <c r="S866" s="1406"/>
      <c r="T866" s="1406"/>
      <c r="U866" s="1406"/>
      <c r="V866" s="1406"/>
      <c r="W866" s="1406"/>
      <c r="X866" s="1406"/>
      <c r="Y866" s="1406"/>
      <c r="Z866" s="1406"/>
      <c r="AA866" s="1406"/>
      <c r="AB866" s="1406"/>
      <c r="AC866" s="1406"/>
      <c r="AD866" s="1406"/>
      <c r="AE866" s="1406"/>
      <c r="AF866" s="1406"/>
      <c r="AG866" s="1406"/>
      <c r="AH866" s="1406"/>
      <c r="AI866" s="1406"/>
      <c r="AJ866" s="1406"/>
      <c r="AK866" s="1406"/>
      <c r="AL866" s="1406"/>
      <c r="AM866" s="1406"/>
      <c r="AN866" s="1406"/>
      <c r="AO866" s="1405"/>
      <c r="AP866" s="1405"/>
      <c r="AQ866" s="1405"/>
      <c r="AR866" s="1405"/>
      <c r="AS866" s="1405"/>
      <c r="AT866" s="1405"/>
      <c r="AU866" s="1405"/>
      <c r="AV866" s="1405"/>
    </row>
    <row r="867" spans="1:48" s="1431" customFormat="1">
      <c r="A867" s="1399"/>
      <c r="B867" s="1429"/>
      <c r="C867" s="1430"/>
      <c r="D867" s="1400"/>
      <c r="E867" s="1401"/>
      <c r="F867" s="1401"/>
      <c r="G867" s="1402"/>
      <c r="H867" s="1403"/>
      <c r="I867" s="1404"/>
      <c r="J867" s="1405"/>
      <c r="K867" s="1405"/>
      <c r="L867" s="1405"/>
      <c r="M867" s="1405"/>
      <c r="N867" s="1406"/>
      <c r="O867" s="1406"/>
      <c r="P867" s="1406"/>
      <c r="Q867" s="1406"/>
      <c r="R867" s="1406"/>
      <c r="S867" s="1406"/>
      <c r="T867" s="1406"/>
      <c r="U867" s="1406"/>
      <c r="V867" s="1406"/>
      <c r="W867" s="1406"/>
      <c r="X867" s="1406"/>
      <c r="Y867" s="1406"/>
      <c r="Z867" s="1406"/>
      <c r="AA867" s="1406"/>
      <c r="AB867" s="1406"/>
      <c r="AC867" s="1406"/>
      <c r="AD867" s="1406"/>
      <c r="AE867" s="1406"/>
      <c r="AF867" s="1406"/>
      <c r="AG867" s="1406"/>
      <c r="AH867" s="1406"/>
      <c r="AI867" s="1406"/>
      <c r="AJ867" s="1406"/>
      <c r="AK867" s="1406"/>
      <c r="AL867" s="1406"/>
      <c r="AM867" s="1406"/>
      <c r="AN867" s="1406"/>
      <c r="AO867" s="1405"/>
      <c r="AP867" s="1405"/>
      <c r="AQ867" s="1405"/>
      <c r="AR867" s="1405"/>
      <c r="AS867" s="1405"/>
      <c r="AT867" s="1405"/>
      <c r="AU867" s="1405"/>
      <c r="AV867" s="1405"/>
    </row>
    <row r="868" spans="1:48" s="1431" customFormat="1">
      <c r="A868" s="1399"/>
      <c r="B868" s="1429"/>
      <c r="C868" s="1430"/>
      <c r="D868" s="1400"/>
      <c r="E868" s="1401"/>
      <c r="F868" s="1401"/>
      <c r="G868" s="1402"/>
      <c r="H868" s="1403"/>
      <c r="I868" s="1404"/>
      <c r="J868" s="1405"/>
      <c r="K868" s="1405"/>
      <c r="L868" s="1405"/>
      <c r="M868" s="1405"/>
      <c r="N868" s="1406"/>
      <c r="O868" s="1406"/>
      <c r="P868" s="1406"/>
      <c r="Q868" s="1406"/>
      <c r="R868" s="1406"/>
      <c r="S868" s="1406"/>
      <c r="T868" s="1406"/>
      <c r="U868" s="1406"/>
      <c r="V868" s="1406"/>
      <c r="W868" s="1406"/>
      <c r="X868" s="1406"/>
      <c r="Y868" s="1406"/>
      <c r="Z868" s="1406"/>
      <c r="AA868" s="1406"/>
      <c r="AB868" s="1406"/>
      <c r="AC868" s="1406"/>
      <c r="AD868" s="1406"/>
      <c r="AE868" s="1406"/>
      <c r="AF868" s="1406"/>
      <c r="AG868" s="1406"/>
      <c r="AH868" s="1406"/>
      <c r="AI868" s="1406"/>
      <c r="AJ868" s="1406"/>
      <c r="AK868" s="1406"/>
      <c r="AL868" s="1406"/>
      <c r="AM868" s="1406"/>
      <c r="AN868" s="1406"/>
      <c r="AO868" s="1405"/>
      <c r="AP868" s="1405"/>
      <c r="AQ868" s="1405"/>
      <c r="AR868" s="1405"/>
      <c r="AS868" s="1405"/>
      <c r="AT868" s="1405"/>
      <c r="AU868" s="1405"/>
      <c r="AV868" s="1405"/>
    </row>
    <row r="869" spans="1:48" s="1431" customFormat="1">
      <c r="A869" s="1399"/>
      <c r="B869" s="1429"/>
      <c r="C869" s="1430"/>
      <c r="D869" s="1400"/>
      <c r="E869" s="1401"/>
      <c r="F869" s="1401"/>
      <c r="G869" s="1402"/>
      <c r="H869" s="1403"/>
      <c r="I869" s="1404"/>
      <c r="J869" s="1405"/>
      <c r="K869" s="1405"/>
      <c r="L869" s="1405"/>
      <c r="M869" s="1405"/>
      <c r="N869" s="1406"/>
      <c r="O869" s="1406"/>
      <c r="P869" s="1406"/>
      <c r="Q869" s="1406"/>
      <c r="R869" s="1406"/>
      <c r="S869" s="1406"/>
      <c r="T869" s="1406"/>
      <c r="U869" s="1406"/>
      <c r="V869" s="1406"/>
      <c r="W869" s="1406"/>
      <c r="X869" s="1406"/>
      <c r="Y869" s="1406"/>
      <c r="Z869" s="1406"/>
      <c r="AA869" s="1406"/>
      <c r="AB869" s="1406"/>
      <c r="AC869" s="1406"/>
      <c r="AD869" s="1406"/>
      <c r="AE869" s="1406"/>
      <c r="AF869" s="1406"/>
      <c r="AG869" s="1406"/>
      <c r="AH869" s="1406"/>
      <c r="AI869" s="1406"/>
      <c r="AJ869" s="1406"/>
      <c r="AK869" s="1406"/>
      <c r="AL869" s="1406"/>
      <c r="AM869" s="1406"/>
      <c r="AN869" s="1406"/>
      <c r="AO869" s="1405"/>
      <c r="AP869" s="1405"/>
      <c r="AQ869" s="1405"/>
      <c r="AR869" s="1405"/>
      <c r="AS869" s="1405"/>
      <c r="AT869" s="1405"/>
      <c r="AU869" s="1405"/>
      <c r="AV869" s="1405"/>
    </row>
    <row r="870" spans="1:48" s="1431" customFormat="1">
      <c r="A870" s="1399"/>
      <c r="B870" s="1429"/>
      <c r="C870" s="1430"/>
      <c r="D870" s="1400"/>
      <c r="E870" s="1401"/>
      <c r="F870" s="1401"/>
      <c r="G870" s="1402"/>
      <c r="H870" s="1403"/>
      <c r="I870" s="1404"/>
      <c r="J870" s="1405"/>
      <c r="K870" s="1405"/>
      <c r="L870" s="1405"/>
      <c r="M870" s="1405"/>
      <c r="N870" s="1406"/>
      <c r="O870" s="1406"/>
      <c r="P870" s="1406"/>
      <c r="Q870" s="1406"/>
      <c r="R870" s="1406"/>
      <c r="S870" s="1406"/>
      <c r="T870" s="1406"/>
      <c r="U870" s="1406"/>
      <c r="V870" s="1406"/>
      <c r="W870" s="1406"/>
      <c r="X870" s="1406"/>
      <c r="Y870" s="1406"/>
      <c r="Z870" s="1406"/>
      <c r="AA870" s="1406"/>
      <c r="AB870" s="1406"/>
      <c r="AC870" s="1406"/>
      <c r="AD870" s="1406"/>
      <c r="AE870" s="1406"/>
      <c r="AF870" s="1406"/>
      <c r="AG870" s="1406"/>
      <c r="AH870" s="1406"/>
      <c r="AI870" s="1406"/>
      <c r="AJ870" s="1406"/>
      <c r="AK870" s="1406"/>
      <c r="AL870" s="1406"/>
      <c r="AM870" s="1406"/>
      <c r="AN870" s="1406"/>
      <c r="AO870" s="1405"/>
      <c r="AP870" s="1405"/>
      <c r="AQ870" s="1405"/>
      <c r="AR870" s="1405"/>
      <c r="AS870" s="1405"/>
      <c r="AT870" s="1405"/>
      <c r="AU870" s="1405"/>
      <c r="AV870" s="1405"/>
    </row>
    <row r="871" spans="1:48" s="1431" customFormat="1">
      <c r="A871" s="1399"/>
      <c r="B871" s="1429"/>
      <c r="C871" s="1430"/>
      <c r="D871" s="1400"/>
      <c r="E871" s="1401"/>
      <c r="F871" s="1401"/>
      <c r="G871" s="1402"/>
      <c r="H871" s="1403"/>
      <c r="I871" s="1404"/>
      <c r="J871" s="1405"/>
      <c r="K871" s="1405"/>
      <c r="L871" s="1405"/>
      <c r="M871" s="1405"/>
      <c r="N871" s="1406"/>
      <c r="O871" s="1406"/>
      <c r="P871" s="1406"/>
      <c r="Q871" s="1406"/>
      <c r="R871" s="1406"/>
      <c r="S871" s="1406"/>
      <c r="T871" s="1406"/>
      <c r="U871" s="1406"/>
      <c r="V871" s="1406"/>
      <c r="W871" s="1406"/>
      <c r="X871" s="1406"/>
      <c r="Y871" s="1406"/>
      <c r="Z871" s="1406"/>
      <c r="AA871" s="1406"/>
      <c r="AB871" s="1406"/>
      <c r="AC871" s="1406"/>
      <c r="AD871" s="1406"/>
      <c r="AE871" s="1406"/>
      <c r="AF871" s="1406"/>
      <c r="AG871" s="1406"/>
      <c r="AH871" s="1406"/>
      <c r="AI871" s="1406"/>
      <c r="AJ871" s="1406"/>
      <c r="AK871" s="1406"/>
      <c r="AL871" s="1406"/>
      <c r="AM871" s="1406"/>
      <c r="AN871" s="1406"/>
      <c r="AO871" s="1405"/>
      <c r="AP871" s="1405"/>
      <c r="AQ871" s="1405"/>
      <c r="AR871" s="1405"/>
      <c r="AS871" s="1405"/>
      <c r="AT871" s="1405"/>
      <c r="AU871" s="1405"/>
      <c r="AV871" s="1405"/>
    </row>
    <row r="872" spans="1:48" s="1431" customFormat="1">
      <c r="A872" s="1399"/>
      <c r="B872" s="1429"/>
      <c r="C872" s="1430"/>
      <c r="D872" s="1400"/>
      <c r="E872" s="1401"/>
      <c r="F872" s="1401"/>
      <c r="G872" s="1402"/>
      <c r="H872" s="1403"/>
      <c r="I872" s="1404"/>
      <c r="J872" s="1405"/>
      <c r="K872" s="1405"/>
      <c r="L872" s="1405"/>
      <c r="M872" s="1405"/>
      <c r="N872" s="1406"/>
      <c r="O872" s="1406"/>
      <c r="P872" s="1406"/>
      <c r="Q872" s="1406"/>
      <c r="R872" s="1406"/>
      <c r="S872" s="1406"/>
      <c r="T872" s="1406"/>
      <c r="U872" s="1406"/>
      <c r="V872" s="1406"/>
      <c r="W872" s="1406"/>
      <c r="X872" s="1406"/>
      <c r="Y872" s="1406"/>
      <c r="Z872" s="1406"/>
      <c r="AA872" s="1406"/>
      <c r="AB872" s="1406"/>
      <c r="AC872" s="1406"/>
      <c r="AD872" s="1406"/>
      <c r="AE872" s="1406"/>
      <c r="AF872" s="1406"/>
      <c r="AG872" s="1406"/>
      <c r="AH872" s="1406"/>
      <c r="AI872" s="1406"/>
      <c r="AJ872" s="1406"/>
      <c r="AK872" s="1406"/>
      <c r="AL872" s="1406"/>
      <c r="AM872" s="1406"/>
      <c r="AN872" s="1406"/>
      <c r="AO872" s="1405"/>
      <c r="AP872" s="1405"/>
      <c r="AQ872" s="1405"/>
      <c r="AR872" s="1405"/>
      <c r="AS872" s="1405"/>
      <c r="AT872" s="1405"/>
      <c r="AU872" s="1405"/>
      <c r="AV872" s="1405"/>
    </row>
    <row r="873" spans="1:48" s="1431" customFormat="1">
      <c r="A873" s="1399"/>
      <c r="B873" s="1429"/>
      <c r="C873" s="1430"/>
      <c r="D873" s="1400"/>
      <c r="E873" s="1401"/>
      <c r="F873" s="1401"/>
      <c r="G873" s="1402"/>
      <c r="H873" s="1403"/>
      <c r="I873" s="1404"/>
      <c r="J873" s="1405"/>
      <c r="K873" s="1405"/>
      <c r="L873" s="1405"/>
      <c r="M873" s="1405"/>
      <c r="N873" s="1406"/>
      <c r="O873" s="1406"/>
      <c r="P873" s="1406"/>
      <c r="Q873" s="1406"/>
      <c r="R873" s="1406"/>
      <c r="S873" s="1406"/>
      <c r="T873" s="1406"/>
      <c r="U873" s="1406"/>
      <c r="V873" s="1406"/>
      <c r="W873" s="1406"/>
      <c r="X873" s="1406"/>
      <c r="Y873" s="1406"/>
      <c r="Z873" s="1406"/>
      <c r="AA873" s="1406"/>
      <c r="AB873" s="1406"/>
      <c r="AC873" s="1406"/>
      <c r="AD873" s="1406"/>
      <c r="AE873" s="1406"/>
      <c r="AF873" s="1406"/>
      <c r="AG873" s="1406"/>
      <c r="AH873" s="1406"/>
      <c r="AI873" s="1406"/>
      <c r="AJ873" s="1406"/>
      <c r="AK873" s="1406"/>
      <c r="AL873" s="1406"/>
      <c r="AM873" s="1406"/>
      <c r="AN873" s="1406"/>
      <c r="AO873" s="1405"/>
      <c r="AP873" s="1405"/>
      <c r="AQ873" s="1405"/>
      <c r="AR873" s="1405"/>
      <c r="AS873" s="1405"/>
      <c r="AT873" s="1405"/>
      <c r="AU873" s="1405"/>
      <c r="AV873" s="1405"/>
    </row>
    <row r="874" spans="1:48" s="1431" customFormat="1">
      <c r="A874" s="1399"/>
      <c r="B874" s="1429"/>
      <c r="C874" s="1430"/>
      <c r="D874" s="1400"/>
      <c r="E874" s="1401"/>
      <c r="F874" s="1401"/>
      <c r="G874" s="1402"/>
      <c r="H874" s="1403"/>
      <c r="I874" s="1404"/>
      <c r="J874" s="1405"/>
      <c r="K874" s="1405"/>
      <c r="L874" s="1405"/>
      <c r="M874" s="1405"/>
      <c r="N874" s="1406"/>
      <c r="O874" s="1406"/>
      <c r="P874" s="1406"/>
      <c r="Q874" s="1406"/>
      <c r="R874" s="1406"/>
      <c r="S874" s="1406"/>
      <c r="T874" s="1406"/>
      <c r="U874" s="1406"/>
      <c r="V874" s="1406"/>
      <c r="W874" s="1406"/>
      <c r="X874" s="1406"/>
      <c r="Y874" s="1406"/>
      <c r="Z874" s="1406"/>
      <c r="AA874" s="1406"/>
      <c r="AB874" s="1406"/>
      <c r="AC874" s="1406"/>
      <c r="AD874" s="1406"/>
      <c r="AE874" s="1406"/>
      <c r="AF874" s="1406"/>
      <c r="AG874" s="1406"/>
      <c r="AH874" s="1406"/>
      <c r="AI874" s="1406"/>
      <c r="AJ874" s="1406"/>
      <c r="AK874" s="1406"/>
      <c r="AL874" s="1406"/>
      <c r="AM874" s="1406"/>
      <c r="AN874" s="1406"/>
      <c r="AO874" s="1405"/>
      <c r="AP874" s="1405"/>
      <c r="AQ874" s="1405"/>
      <c r="AR874" s="1405"/>
      <c r="AS874" s="1405"/>
      <c r="AT874" s="1405"/>
      <c r="AU874" s="1405"/>
      <c r="AV874" s="1405"/>
    </row>
    <row r="875" spans="1:48" s="1431" customFormat="1">
      <c r="A875" s="1399"/>
      <c r="B875" s="1429"/>
      <c r="C875" s="1430"/>
      <c r="D875" s="1400"/>
      <c r="E875" s="1401"/>
      <c r="F875" s="1401"/>
      <c r="G875" s="1402"/>
      <c r="H875" s="1403"/>
      <c r="I875" s="1404"/>
      <c r="J875" s="1405"/>
      <c r="K875" s="1405"/>
      <c r="L875" s="1405"/>
      <c r="M875" s="1405"/>
      <c r="N875" s="1406"/>
      <c r="O875" s="1406"/>
      <c r="P875" s="1406"/>
      <c r="Q875" s="1406"/>
      <c r="R875" s="1406"/>
      <c r="S875" s="1406"/>
      <c r="T875" s="1406"/>
      <c r="U875" s="1406"/>
      <c r="V875" s="1406"/>
      <c r="W875" s="1406"/>
      <c r="X875" s="1406"/>
      <c r="Y875" s="1406"/>
      <c r="Z875" s="1406"/>
      <c r="AA875" s="1406"/>
      <c r="AB875" s="1406"/>
      <c r="AC875" s="1406"/>
      <c r="AD875" s="1406"/>
      <c r="AE875" s="1406"/>
      <c r="AF875" s="1406"/>
      <c r="AG875" s="1406"/>
      <c r="AH875" s="1406"/>
      <c r="AI875" s="1406"/>
      <c r="AJ875" s="1406"/>
      <c r="AK875" s="1406"/>
      <c r="AL875" s="1406"/>
      <c r="AM875" s="1406"/>
      <c r="AN875" s="1406"/>
      <c r="AO875" s="1405"/>
      <c r="AP875" s="1405"/>
      <c r="AQ875" s="1405"/>
      <c r="AR875" s="1405"/>
      <c r="AS875" s="1405"/>
      <c r="AT875" s="1405"/>
      <c r="AU875" s="1405"/>
      <c r="AV875" s="1405"/>
    </row>
    <row r="876" spans="1:48" s="1431" customFormat="1">
      <c r="A876" s="1399"/>
      <c r="B876" s="1429"/>
      <c r="C876" s="1430"/>
      <c r="D876" s="1400"/>
      <c r="E876" s="1401"/>
      <c r="F876" s="1401"/>
      <c r="G876" s="1402"/>
      <c r="H876" s="1403"/>
      <c r="I876" s="1404"/>
      <c r="J876" s="1405"/>
      <c r="K876" s="1405"/>
      <c r="L876" s="1405"/>
      <c r="M876" s="1405"/>
      <c r="N876" s="1406"/>
      <c r="O876" s="1406"/>
      <c r="P876" s="1406"/>
      <c r="Q876" s="1406"/>
      <c r="R876" s="1406"/>
      <c r="S876" s="1406"/>
      <c r="T876" s="1406"/>
      <c r="U876" s="1406"/>
      <c r="V876" s="1406"/>
      <c r="W876" s="1406"/>
      <c r="X876" s="1406"/>
      <c r="Y876" s="1406"/>
      <c r="Z876" s="1406"/>
      <c r="AA876" s="1406"/>
      <c r="AB876" s="1406"/>
      <c r="AC876" s="1406"/>
      <c r="AD876" s="1406"/>
      <c r="AE876" s="1406"/>
      <c r="AF876" s="1406"/>
      <c r="AG876" s="1406"/>
      <c r="AH876" s="1406"/>
      <c r="AI876" s="1406"/>
      <c r="AJ876" s="1406"/>
      <c r="AK876" s="1406"/>
      <c r="AL876" s="1406"/>
      <c r="AM876" s="1406"/>
      <c r="AN876" s="1406"/>
      <c r="AO876" s="1405"/>
      <c r="AP876" s="1405"/>
      <c r="AQ876" s="1405"/>
      <c r="AR876" s="1405"/>
      <c r="AS876" s="1405"/>
      <c r="AT876" s="1405"/>
      <c r="AU876" s="1405"/>
      <c r="AV876" s="1405"/>
    </row>
    <row r="877" spans="1:48" s="1431" customFormat="1">
      <c r="A877" s="1399"/>
      <c r="B877" s="1429"/>
      <c r="C877" s="1430"/>
      <c r="D877" s="1400"/>
      <c r="E877" s="1401"/>
      <c r="F877" s="1401"/>
      <c r="G877" s="1402"/>
      <c r="H877" s="1403"/>
      <c r="I877" s="1404"/>
      <c r="J877" s="1405"/>
      <c r="K877" s="1405"/>
      <c r="L877" s="1405"/>
      <c r="M877" s="1405"/>
      <c r="N877" s="1406"/>
      <c r="O877" s="1406"/>
      <c r="P877" s="1406"/>
      <c r="Q877" s="1406"/>
      <c r="R877" s="1406"/>
      <c r="S877" s="1406"/>
      <c r="T877" s="1406"/>
      <c r="U877" s="1406"/>
      <c r="V877" s="1406"/>
      <c r="W877" s="1406"/>
      <c r="X877" s="1406"/>
      <c r="Y877" s="1406"/>
      <c r="Z877" s="1406"/>
      <c r="AA877" s="1406"/>
      <c r="AB877" s="1406"/>
      <c r="AC877" s="1406"/>
      <c r="AD877" s="1406"/>
      <c r="AE877" s="1406"/>
      <c r="AF877" s="1406"/>
      <c r="AG877" s="1406"/>
      <c r="AH877" s="1406"/>
      <c r="AI877" s="1406"/>
      <c r="AJ877" s="1406"/>
      <c r="AK877" s="1406"/>
      <c r="AL877" s="1406"/>
      <c r="AM877" s="1406"/>
      <c r="AN877" s="1406"/>
      <c r="AO877" s="1405"/>
      <c r="AP877" s="1405"/>
      <c r="AQ877" s="1405"/>
      <c r="AR877" s="1405"/>
      <c r="AS877" s="1405"/>
      <c r="AT877" s="1405"/>
      <c r="AU877" s="1405"/>
      <c r="AV877" s="1405"/>
    </row>
    <row r="878" spans="1:48" s="1431" customFormat="1">
      <c r="A878" s="1399"/>
      <c r="B878" s="1429"/>
      <c r="C878" s="1430"/>
      <c r="D878" s="1400"/>
      <c r="E878" s="1401"/>
      <c r="F878" s="1401"/>
      <c r="G878" s="1402"/>
      <c r="H878" s="1403"/>
      <c r="I878" s="1404"/>
      <c r="J878" s="1405"/>
      <c r="K878" s="1405"/>
      <c r="L878" s="1405"/>
      <c r="M878" s="1405"/>
      <c r="N878" s="1406"/>
      <c r="O878" s="1406"/>
      <c r="P878" s="1406"/>
      <c r="Q878" s="1406"/>
      <c r="R878" s="1406"/>
      <c r="S878" s="1406"/>
      <c r="T878" s="1406"/>
      <c r="U878" s="1406"/>
      <c r="V878" s="1406"/>
      <c r="W878" s="1406"/>
      <c r="X878" s="1406"/>
      <c r="Y878" s="1406"/>
      <c r="Z878" s="1406"/>
      <c r="AA878" s="1406"/>
      <c r="AB878" s="1406"/>
      <c r="AC878" s="1406"/>
      <c r="AD878" s="1406"/>
      <c r="AE878" s="1406"/>
      <c r="AF878" s="1406"/>
      <c r="AG878" s="1406"/>
      <c r="AH878" s="1406"/>
      <c r="AI878" s="1406"/>
      <c r="AJ878" s="1406"/>
      <c r="AK878" s="1406"/>
      <c r="AL878" s="1406"/>
      <c r="AM878" s="1406"/>
      <c r="AN878" s="1406"/>
      <c r="AO878" s="1405"/>
      <c r="AP878" s="1405"/>
      <c r="AQ878" s="1405"/>
      <c r="AR878" s="1405"/>
      <c r="AS878" s="1405"/>
      <c r="AT878" s="1405"/>
      <c r="AU878" s="1405"/>
      <c r="AV878" s="1405"/>
    </row>
    <row r="879" spans="1:48" s="1431" customFormat="1">
      <c r="A879" s="1399"/>
      <c r="B879" s="1429"/>
      <c r="C879" s="1430"/>
      <c r="D879" s="1400"/>
      <c r="E879" s="1401"/>
      <c r="F879" s="1401"/>
      <c r="G879" s="1402"/>
      <c r="H879" s="1403"/>
      <c r="I879" s="1404"/>
      <c r="J879" s="1405"/>
      <c r="K879" s="1405"/>
      <c r="L879" s="1405"/>
      <c r="M879" s="1405"/>
      <c r="N879" s="1406"/>
      <c r="O879" s="1406"/>
      <c r="P879" s="1406"/>
      <c r="Q879" s="1406"/>
      <c r="R879" s="1406"/>
      <c r="S879" s="1406"/>
      <c r="T879" s="1406"/>
      <c r="U879" s="1406"/>
      <c r="V879" s="1406"/>
      <c r="W879" s="1406"/>
      <c r="X879" s="1406"/>
      <c r="Y879" s="1406"/>
      <c r="Z879" s="1406"/>
      <c r="AA879" s="1406"/>
      <c r="AB879" s="1406"/>
      <c r="AC879" s="1406"/>
      <c r="AD879" s="1406"/>
      <c r="AE879" s="1406"/>
      <c r="AF879" s="1406"/>
      <c r="AG879" s="1406"/>
      <c r="AH879" s="1406"/>
      <c r="AI879" s="1406"/>
      <c r="AJ879" s="1406"/>
      <c r="AK879" s="1406"/>
      <c r="AL879" s="1406"/>
      <c r="AM879" s="1406"/>
      <c r="AN879" s="1406"/>
      <c r="AO879" s="1405"/>
      <c r="AP879" s="1405"/>
      <c r="AQ879" s="1405"/>
      <c r="AR879" s="1405"/>
      <c r="AS879" s="1405"/>
      <c r="AT879" s="1405"/>
      <c r="AU879" s="1405"/>
      <c r="AV879" s="1405"/>
    </row>
    <row r="880" spans="1:48" s="1431" customFormat="1">
      <c r="A880" s="1399"/>
      <c r="B880" s="1429"/>
      <c r="C880" s="1430"/>
      <c r="D880" s="1400"/>
      <c r="E880" s="1401"/>
      <c r="F880" s="1401"/>
      <c r="G880" s="1402"/>
      <c r="H880" s="1403"/>
      <c r="I880" s="1404"/>
      <c r="J880" s="1405"/>
      <c r="K880" s="1405"/>
      <c r="L880" s="1405"/>
      <c r="M880" s="1405"/>
      <c r="N880" s="1406"/>
      <c r="O880" s="1406"/>
      <c r="P880" s="1406"/>
      <c r="Q880" s="1406"/>
      <c r="R880" s="1406"/>
      <c r="S880" s="1406"/>
      <c r="T880" s="1406"/>
      <c r="U880" s="1406"/>
      <c r="V880" s="1406"/>
      <c r="W880" s="1406"/>
      <c r="X880" s="1406"/>
      <c r="Y880" s="1406"/>
      <c r="Z880" s="1406"/>
      <c r="AA880" s="1406"/>
      <c r="AB880" s="1406"/>
      <c r="AC880" s="1406"/>
      <c r="AD880" s="1406"/>
      <c r="AE880" s="1406"/>
      <c r="AF880" s="1406"/>
      <c r="AG880" s="1406"/>
      <c r="AH880" s="1406"/>
      <c r="AI880" s="1406"/>
      <c r="AJ880" s="1406"/>
      <c r="AK880" s="1406"/>
      <c r="AL880" s="1406"/>
      <c r="AM880" s="1406"/>
      <c r="AN880" s="1406"/>
      <c r="AO880" s="1405"/>
      <c r="AP880" s="1405"/>
      <c r="AQ880" s="1405"/>
      <c r="AR880" s="1405"/>
      <c r="AS880" s="1405"/>
      <c r="AT880" s="1405"/>
      <c r="AU880" s="1405"/>
      <c r="AV880" s="1405"/>
    </row>
    <row r="881" spans="1:48" s="1431" customFormat="1">
      <c r="A881" s="1399"/>
      <c r="B881" s="1429"/>
      <c r="C881" s="1430"/>
      <c r="D881" s="1400"/>
      <c r="E881" s="1401"/>
      <c r="F881" s="1401"/>
      <c r="G881" s="1402"/>
      <c r="H881" s="1403"/>
      <c r="I881" s="1404"/>
      <c r="J881" s="1405"/>
      <c r="K881" s="1405"/>
      <c r="L881" s="1405"/>
      <c r="M881" s="1405"/>
      <c r="N881" s="1406"/>
      <c r="O881" s="1406"/>
      <c r="P881" s="1406"/>
      <c r="Q881" s="1406"/>
      <c r="R881" s="1406"/>
      <c r="S881" s="1406"/>
      <c r="T881" s="1406"/>
      <c r="U881" s="1406"/>
      <c r="V881" s="1406"/>
      <c r="W881" s="1406"/>
      <c r="X881" s="1406"/>
      <c r="Y881" s="1406"/>
      <c r="Z881" s="1406"/>
      <c r="AA881" s="1406"/>
      <c r="AB881" s="1406"/>
      <c r="AC881" s="1406"/>
      <c r="AD881" s="1406"/>
      <c r="AE881" s="1406"/>
      <c r="AF881" s="1406"/>
      <c r="AG881" s="1406"/>
      <c r="AH881" s="1406"/>
      <c r="AI881" s="1406"/>
      <c r="AJ881" s="1406"/>
      <c r="AK881" s="1406"/>
      <c r="AL881" s="1406"/>
      <c r="AM881" s="1406"/>
      <c r="AN881" s="1406"/>
      <c r="AO881" s="1405"/>
      <c r="AP881" s="1405"/>
      <c r="AQ881" s="1405"/>
      <c r="AR881" s="1405"/>
      <c r="AS881" s="1405"/>
      <c r="AT881" s="1405"/>
      <c r="AU881" s="1405"/>
      <c r="AV881" s="1405"/>
    </row>
    <row r="882" spans="1:48" s="1431" customFormat="1">
      <c r="A882" s="1399"/>
      <c r="B882" s="1429"/>
      <c r="C882" s="1430"/>
      <c r="D882" s="1400"/>
      <c r="E882" s="1401"/>
      <c r="F882" s="1401"/>
      <c r="G882" s="1402"/>
      <c r="H882" s="1403"/>
      <c r="I882" s="1404"/>
      <c r="J882" s="1405"/>
      <c r="K882" s="1405"/>
      <c r="L882" s="1405"/>
      <c r="M882" s="1405"/>
      <c r="N882" s="1406"/>
      <c r="O882" s="1406"/>
      <c r="P882" s="1406"/>
      <c r="Q882" s="1406"/>
      <c r="R882" s="1406"/>
      <c r="S882" s="1406"/>
      <c r="T882" s="1406"/>
      <c r="U882" s="1406"/>
      <c r="V882" s="1406"/>
      <c r="W882" s="1406"/>
      <c r="X882" s="1406"/>
      <c r="Y882" s="1406"/>
      <c r="Z882" s="1406"/>
      <c r="AA882" s="1406"/>
      <c r="AB882" s="1406"/>
      <c r="AC882" s="1406"/>
      <c r="AD882" s="1406"/>
      <c r="AE882" s="1406"/>
      <c r="AF882" s="1406"/>
      <c r="AG882" s="1406"/>
      <c r="AH882" s="1406"/>
      <c r="AI882" s="1406"/>
      <c r="AJ882" s="1406"/>
      <c r="AK882" s="1406"/>
      <c r="AL882" s="1406"/>
      <c r="AM882" s="1406"/>
      <c r="AN882" s="1406"/>
      <c r="AO882" s="1405"/>
      <c r="AP882" s="1405"/>
      <c r="AQ882" s="1405"/>
      <c r="AR882" s="1405"/>
      <c r="AS882" s="1405"/>
      <c r="AT882" s="1405"/>
      <c r="AU882" s="1405"/>
      <c r="AV882" s="1405"/>
    </row>
    <row r="883" spans="1:48" s="1431" customFormat="1">
      <c r="A883" s="1399"/>
      <c r="B883" s="1429"/>
      <c r="C883" s="1430"/>
      <c r="D883" s="1400"/>
      <c r="E883" s="1401"/>
      <c r="F883" s="1401"/>
      <c r="G883" s="1402"/>
      <c r="H883" s="1403"/>
      <c r="I883" s="1404"/>
      <c r="J883" s="1405"/>
      <c r="K883" s="1405"/>
      <c r="L883" s="1405"/>
      <c r="M883" s="1405"/>
      <c r="N883" s="1406"/>
      <c r="O883" s="1406"/>
      <c r="P883" s="1406"/>
      <c r="Q883" s="1406"/>
      <c r="R883" s="1406"/>
      <c r="S883" s="1406"/>
      <c r="T883" s="1406"/>
      <c r="U883" s="1406"/>
      <c r="V883" s="1406"/>
      <c r="W883" s="1406"/>
      <c r="X883" s="1406"/>
      <c r="Y883" s="1406"/>
      <c r="Z883" s="1406"/>
      <c r="AA883" s="1406"/>
      <c r="AB883" s="1406"/>
      <c r="AC883" s="1406"/>
      <c r="AD883" s="1406"/>
      <c r="AE883" s="1406"/>
      <c r="AF883" s="1406"/>
      <c r="AG883" s="1406"/>
      <c r="AH883" s="1406"/>
      <c r="AI883" s="1406"/>
      <c r="AJ883" s="1406"/>
      <c r="AK883" s="1406"/>
      <c r="AL883" s="1406"/>
      <c r="AM883" s="1406"/>
      <c r="AN883" s="1406"/>
      <c r="AO883" s="1405"/>
      <c r="AP883" s="1405"/>
      <c r="AQ883" s="1405"/>
      <c r="AR883" s="1405"/>
      <c r="AS883" s="1405"/>
      <c r="AT883" s="1405"/>
      <c r="AU883" s="1405"/>
      <c r="AV883" s="1405"/>
    </row>
    <row r="884" spans="1:48" s="1431" customFormat="1">
      <c r="A884" s="1399"/>
      <c r="B884" s="1429"/>
      <c r="C884" s="1430"/>
      <c r="D884" s="1400"/>
      <c r="E884" s="1401"/>
      <c r="F884" s="1401"/>
      <c r="G884" s="1402"/>
      <c r="H884" s="1403"/>
      <c r="I884" s="1404"/>
      <c r="J884" s="1405"/>
      <c r="K884" s="1405"/>
      <c r="L884" s="1405"/>
      <c r="M884" s="1405"/>
      <c r="N884" s="1406"/>
      <c r="O884" s="1406"/>
      <c r="P884" s="1406"/>
      <c r="Q884" s="1406"/>
      <c r="R884" s="1406"/>
      <c r="S884" s="1406"/>
      <c r="T884" s="1406"/>
      <c r="U884" s="1406"/>
      <c r="V884" s="1406"/>
      <c r="W884" s="1406"/>
      <c r="X884" s="1406"/>
      <c r="Y884" s="1406"/>
      <c r="Z884" s="1406"/>
      <c r="AA884" s="1406"/>
      <c r="AB884" s="1406"/>
      <c r="AC884" s="1406"/>
      <c r="AD884" s="1406"/>
      <c r="AE884" s="1406"/>
      <c r="AF884" s="1406"/>
      <c r="AG884" s="1406"/>
      <c r="AH884" s="1406"/>
      <c r="AI884" s="1406"/>
      <c r="AJ884" s="1406"/>
      <c r="AK884" s="1406"/>
      <c r="AL884" s="1406"/>
      <c r="AM884" s="1406"/>
      <c r="AN884" s="1406"/>
      <c r="AO884" s="1405"/>
      <c r="AP884" s="1405"/>
      <c r="AQ884" s="1405"/>
      <c r="AR884" s="1405"/>
      <c r="AS884" s="1405"/>
      <c r="AT884" s="1405"/>
      <c r="AU884" s="1405"/>
      <c r="AV884" s="1405"/>
    </row>
    <row r="885" spans="1:48" s="1431" customFormat="1">
      <c r="A885" s="1399"/>
      <c r="B885" s="1429"/>
      <c r="C885" s="1430"/>
      <c r="D885" s="1400"/>
      <c r="E885" s="1401"/>
      <c r="F885" s="1401"/>
      <c r="G885" s="1402"/>
      <c r="H885" s="1403"/>
      <c r="I885" s="1404"/>
      <c r="J885" s="1405"/>
      <c r="K885" s="1405"/>
      <c r="L885" s="1405"/>
      <c r="M885" s="1405"/>
      <c r="N885" s="1406"/>
      <c r="O885" s="1406"/>
      <c r="P885" s="1406"/>
      <c r="Q885" s="1406"/>
      <c r="R885" s="1406"/>
      <c r="S885" s="1406"/>
      <c r="T885" s="1406"/>
      <c r="U885" s="1406"/>
      <c r="V885" s="1406"/>
      <c r="W885" s="1406"/>
      <c r="X885" s="1406"/>
      <c r="Y885" s="1406"/>
      <c r="Z885" s="1406"/>
      <c r="AA885" s="1406"/>
      <c r="AB885" s="1406"/>
      <c r="AC885" s="1406"/>
      <c r="AD885" s="1406"/>
      <c r="AE885" s="1406"/>
      <c r="AF885" s="1406"/>
      <c r="AG885" s="1406"/>
      <c r="AH885" s="1406"/>
      <c r="AI885" s="1406"/>
      <c r="AJ885" s="1406"/>
      <c r="AK885" s="1406"/>
      <c r="AL885" s="1406"/>
      <c r="AM885" s="1406"/>
      <c r="AN885" s="1406"/>
      <c r="AO885" s="1405"/>
      <c r="AP885" s="1405"/>
      <c r="AQ885" s="1405"/>
      <c r="AR885" s="1405"/>
      <c r="AS885" s="1405"/>
      <c r="AT885" s="1405"/>
      <c r="AU885" s="1405"/>
      <c r="AV885" s="1405"/>
    </row>
    <row r="886" spans="1:48" s="1431" customFormat="1">
      <c r="A886" s="1399"/>
      <c r="B886" s="1429"/>
      <c r="C886" s="1430"/>
      <c r="D886" s="1400"/>
      <c r="E886" s="1401"/>
      <c r="F886" s="1401"/>
      <c r="G886" s="1402"/>
      <c r="H886" s="1403"/>
      <c r="I886" s="1404"/>
      <c r="J886" s="1405"/>
      <c r="K886" s="1405"/>
      <c r="L886" s="1405"/>
      <c r="M886" s="1405"/>
      <c r="N886" s="1406"/>
      <c r="O886" s="1406"/>
      <c r="P886" s="1406"/>
      <c r="Q886" s="1406"/>
      <c r="R886" s="1406"/>
      <c r="S886" s="1406"/>
      <c r="T886" s="1406"/>
      <c r="U886" s="1406"/>
      <c r="V886" s="1406"/>
      <c r="W886" s="1406"/>
      <c r="X886" s="1406"/>
      <c r="Y886" s="1406"/>
      <c r="Z886" s="1406"/>
      <c r="AA886" s="1406"/>
      <c r="AB886" s="1406"/>
      <c r="AC886" s="1406"/>
      <c r="AD886" s="1406"/>
      <c r="AE886" s="1406"/>
      <c r="AF886" s="1406"/>
      <c r="AG886" s="1406"/>
      <c r="AH886" s="1406"/>
      <c r="AI886" s="1406"/>
      <c r="AJ886" s="1406"/>
      <c r="AK886" s="1406"/>
      <c r="AL886" s="1406"/>
      <c r="AM886" s="1406"/>
      <c r="AN886" s="1406"/>
      <c r="AO886" s="1405"/>
      <c r="AP886" s="1405"/>
      <c r="AQ886" s="1405"/>
      <c r="AR886" s="1405"/>
      <c r="AS886" s="1405"/>
      <c r="AT886" s="1405"/>
      <c r="AU886" s="1405"/>
      <c r="AV886" s="1405"/>
    </row>
    <row r="887" spans="1:48" s="1431" customFormat="1">
      <c r="A887" s="1399"/>
      <c r="B887" s="1429"/>
      <c r="C887" s="1430"/>
      <c r="D887" s="1400"/>
      <c r="E887" s="1401"/>
      <c r="F887" s="1401"/>
      <c r="G887" s="1402"/>
      <c r="H887" s="1403"/>
      <c r="I887" s="1404"/>
      <c r="J887" s="1405"/>
      <c r="K887" s="1405"/>
      <c r="L887" s="1405"/>
      <c r="M887" s="1405"/>
      <c r="N887" s="1406"/>
      <c r="O887" s="1406"/>
      <c r="P887" s="1406"/>
      <c r="Q887" s="1406"/>
      <c r="R887" s="1406"/>
      <c r="S887" s="1406"/>
      <c r="T887" s="1406"/>
      <c r="U887" s="1406"/>
      <c r="V887" s="1406"/>
      <c r="W887" s="1406"/>
      <c r="X887" s="1406"/>
      <c r="Y887" s="1406"/>
      <c r="Z887" s="1406"/>
      <c r="AA887" s="1406"/>
      <c r="AB887" s="1406"/>
      <c r="AC887" s="1406"/>
      <c r="AD887" s="1406"/>
      <c r="AE887" s="1406"/>
      <c r="AF887" s="1406"/>
      <c r="AG887" s="1406"/>
      <c r="AH887" s="1406"/>
      <c r="AI887" s="1406"/>
      <c r="AJ887" s="1406"/>
      <c r="AK887" s="1406"/>
      <c r="AL887" s="1406"/>
      <c r="AM887" s="1406"/>
      <c r="AN887" s="1406"/>
      <c r="AO887" s="1405"/>
      <c r="AP887" s="1405"/>
      <c r="AQ887" s="1405"/>
      <c r="AR887" s="1405"/>
      <c r="AS887" s="1405"/>
      <c r="AT887" s="1405"/>
      <c r="AU887" s="1405"/>
      <c r="AV887" s="1405"/>
    </row>
    <row r="888" spans="1:48" s="1431" customFormat="1">
      <c r="A888" s="1399"/>
      <c r="B888" s="1429"/>
      <c r="C888" s="1430"/>
      <c r="D888" s="1400"/>
      <c r="E888" s="1401"/>
      <c r="F888" s="1401"/>
      <c r="G888" s="1402"/>
      <c r="H888" s="1403"/>
      <c r="I888" s="1404"/>
      <c r="J888" s="1405"/>
      <c r="K888" s="1405"/>
      <c r="L888" s="1405"/>
      <c r="M888" s="1405"/>
      <c r="N888" s="1406"/>
      <c r="O888" s="1406"/>
      <c r="P888" s="1406"/>
      <c r="Q888" s="1406"/>
      <c r="R888" s="1406"/>
      <c r="S888" s="1406"/>
      <c r="T888" s="1406"/>
      <c r="U888" s="1406"/>
      <c r="V888" s="1406"/>
      <c r="W888" s="1406"/>
      <c r="X888" s="1406"/>
      <c r="Y888" s="1406"/>
      <c r="Z888" s="1406"/>
      <c r="AA888" s="1406"/>
      <c r="AB888" s="1406"/>
      <c r="AC888" s="1406"/>
      <c r="AD888" s="1406"/>
      <c r="AE888" s="1406"/>
      <c r="AF888" s="1406"/>
      <c r="AG888" s="1406"/>
      <c r="AH888" s="1406"/>
      <c r="AI888" s="1406"/>
      <c r="AJ888" s="1406"/>
      <c r="AK888" s="1406"/>
      <c r="AL888" s="1406"/>
      <c r="AM888" s="1406"/>
      <c r="AN888" s="1406"/>
      <c r="AO888" s="1405"/>
      <c r="AP888" s="1405"/>
      <c r="AQ888" s="1405"/>
      <c r="AR888" s="1405"/>
      <c r="AS888" s="1405"/>
      <c r="AT888" s="1405"/>
      <c r="AU888" s="1405"/>
      <c r="AV888" s="1405"/>
    </row>
    <row r="889" spans="1:48" s="1431" customFormat="1">
      <c r="A889" s="1399"/>
      <c r="B889" s="1429"/>
      <c r="C889" s="1430"/>
      <c r="D889" s="1400"/>
      <c r="E889" s="1401"/>
      <c r="F889" s="1401"/>
      <c r="G889" s="1402"/>
      <c r="H889" s="1403"/>
      <c r="I889" s="1404"/>
      <c r="J889" s="1405"/>
      <c r="K889" s="1405"/>
      <c r="L889" s="1405"/>
      <c r="M889" s="1405"/>
      <c r="N889" s="1406"/>
      <c r="O889" s="1406"/>
      <c r="P889" s="1406"/>
      <c r="Q889" s="1406"/>
      <c r="R889" s="1406"/>
      <c r="S889" s="1406"/>
      <c r="T889" s="1406"/>
      <c r="U889" s="1406"/>
      <c r="V889" s="1406"/>
      <c r="W889" s="1406"/>
      <c r="X889" s="1406"/>
      <c r="Y889" s="1406"/>
      <c r="Z889" s="1406"/>
      <c r="AA889" s="1406"/>
      <c r="AB889" s="1406"/>
      <c r="AC889" s="1406"/>
      <c r="AD889" s="1406"/>
      <c r="AE889" s="1406"/>
      <c r="AF889" s="1406"/>
      <c r="AG889" s="1406"/>
      <c r="AH889" s="1406"/>
      <c r="AI889" s="1406"/>
      <c r="AJ889" s="1406"/>
      <c r="AK889" s="1406"/>
      <c r="AL889" s="1406"/>
      <c r="AM889" s="1406"/>
      <c r="AN889" s="1406"/>
      <c r="AO889" s="1405"/>
      <c r="AP889" s="1405"/>
      <c r="AQ889" s="1405"/>
      <c r="AR889" s="1405"/>
      <c r="AS889" s="1405"/>
      <c r="AT889" s="1405"/>
      <c r="AU889" s="1405"/>
      <c r="AV889" s="1405"/>
    </row>
    <row r="890" spans="1:48" s="1431" customFormat="1">
      <c r="A890" s="1399"/>
      <c r="B890" s="1429"/>
      <c r="C890" s="1430"/>
      <c r="D890" s="1400"/>
      <c r="E890" s="1401"/>
      <c r="F890" s="1401"/>
      <c r="G890" s="1402"/>
      <c r="H890" s="1403"/>
      <c r="I890" s="1404"/>
      <c r="J890" s="1405"/>
      <c r="K890" s="1405"/>
      <c r="L890" s="1405"/>
      <c r="M890" s="1405"/>
      <c r="N890" s="1406"/>
      <c r="O890" s="1406"/>
      <c r="P890" s="1406"/>
      <c r="Q890" s="1406"/>
      <c r="R890" s="1406"/>
      <c r="S890" s="1406"/>
      <c r="T890" s="1406"/>
      <c r="U890" s="1406"/>
      <c r="V890" s="1406"/>
      <c r="W890" s="1406"/>
      <c r="X890" s="1406"/>
      <c r="Y890" s="1406"/>
      <c r="Z890" s="1406"/>
      <c r="AA890" s="1406"/>
      <c r="AB890" s="1406"/>
      <c r="AC890" s="1406"/>
      <c r="AD890" s="1406"/>
      <c r="AE890" s="1406"/>
      <c r="AF890" s="1406"/>
      <c r="AG890" s="1406"/>
      <c r="AH890" s="1406"/>
      <c r="AI890" s="1406"/>
      <c r="AJ890" s="1406"/>
      <c r="AK890" s="1406"/>
      <c r="AL890" s="1406"/>
      <c r="AM890" s="1406"/>
      <c r="AN890" s="1406"/>
      <c r="AO890" s="1405"/>
      <c r="AP890" s="1405"/>
      <c r="AQ890" s="1405"/>
      <c r="AR890" s="1405"/>
      <c r="AS890" s="1405"/>
      <c r="AT890" s="1405"/>
      <c r="AU890" s="1405"/>
      <c r="AV890" s="1405"/>
    </row>
    <row r="891" spans="1:48" s="1431" customFormat="1">
      <c r="A891" s="1399"/>
      <c r="B891" s="1429"/>
      <c r="C891" s="1430"/>
      <c r="D891" s="1400"/>
      <c r="E891" s="1401"/>
      <c r="F891" s="1401"/>
      <c r="G891" s="1402"/>
      <c r="H891" s="1403"/>
      <c r="I891" s="1404"/>
      <c r="J891" s="1405"/>
      <c r="K891" s="1405"/>
      <c r="L891" s="1405"/>
      <c r="M891" s="1405"/>
      <c r="N891" s="1406"/>
      <c r="O891" s="1406"/>
      <c r="P891" s="1406"/>
      <c r="Q891" s="1406"/>
      <c r="R891" s="1406"/>
      <c r="S891" s="1406"/>
      <c r="T891" s="1406"/>
      <c r="U891" s="1406"/>
      <c r="V891" s="1406"/>
      <c r="W891" s="1406"/>
      <c r="X891" s="1406"/>
      <c r="Y891" s="1406"/>
      <c r="Z891" s="1406"/>
      <c r="AA891" s="1406"/>
      <c r="AB891" s="1406"/>
      <c r="AC891" s="1406"/>
      <c r="AD891" s="1406"/>
      <c r="AE891" s="1406"/>
      <c r="AF891" s="1406"/>
      <c r="AG891" s="1406"/>
      <c r="AH891" s="1406"/>
      <c r="AI891" s="1406"/>
      <c r="AJ891" s="1406"/>
      <c r="AK891" s="1406"/>
      <c r="AL891" s="1406"/>
      <c r="AM891" s="1406"/>
      <c r="AN891" s="1406"/>
      <c r="AO891" s="1405"/>
      <c r="AP891" s="1405"/>
      <c r="AQ891" s="1405"/>
      <c r="AR891" s="1405"/>
      <c r="AS891" s="1405"/>
      <c r="AT891" s="1405"/>
      <c r="AU891" s="1405"/>
      <c r="AV891" s="1405"/>
    </row>
    <row r="892" spans="1:48" s="1431" customFormat="1">
      <c r="A892" s="1399"/>
      <c r="B892" s="1429"/>
      <c r="C892" s="1430"/>
      <c r="D892" s="1400"/>
      <c r="E892" s="1401"/>
      <c r="F892" s="1401"/>
      <c r="G892" s="1402"/>
      <c r="H892" s="1403"/>
      <c r="I892" s="1404"/>
      <c r="J892" s="1405"/>
      <c r="K892" s="1405"/>
      <c r="L892" s="1405"/>
      <c r="M892" s="1405"/>
      <c r="N892" s="1406"/>
      <c r="O892" s="1406"/>
      <c r="P892" s="1406"/>
      <c r="Q892" s="1406"/>
      <c r="R892" s="1406"/>
      <c r="S892" s="1406"/>
      <c r="T892" s="1406"/>
      <c r="U892" s="1406"/>
      <c r="V892" s="1406"/>
      <c r="W892" s="1406"/>
      <c r="X892" s="1406"/>
      <c r="Y892" s="1406"/>
      <c r="Z892" s="1406"/>
      <c r="AA892" s="1406"/>
      <c r="AB892" s="1406"/>
      <c r="AC892" s="1406"/>
      <c r="AD892" s="1406"/>
      <c r="AE892" s="1406"/>
      <c r="AF892" s="1406"/>
      <c r="AG892" s="1406"/>
      <c r="AH892" s="1406"/>
      <c r="AI892" s="1406"/>
      <c r="AJ892" s="1406"/>
      <c r="AK892" s="1406"/>
      <c r="AL892" s="1406"/>
      <c r="AM892" s="1406"/>
      <c r="AN892" s="1406"/>
      <c r="AO892" s="1405"/>
      <c r="AP892" s="1405"/>
      <c r="AQ892" s="1405"/>
      <c r="AR892" s="1405"/>
      <c r="AS892" s="1405"/>
      <c r="AT892" s="1405"/>
      <c r="AU892" s="1405"/>
      <c r="AV892" s="1405"/>
    </row>
    <row r="893" spans="1:48" s="1431" customFormat="1">
      <c r="A893" s="1399"/>
      <c r="B893" s="1429"/>
      <c r="C893" s="1430"/>
      <c r="D893" s="1400"/>
      <c r="E893" s="1401"/>
      <c r="F893" s="1401"/>
      <c r="G893" s="1402"/>
      <c r="H893" s="1403"/>
      <c r="I893" s="1404"/>
      <c r="J893" s="1405"/>
      <c r="K893" s="1405"/>
      <c r="L893" s="1405"/>
      <c r="M893" s="1405"/>
      <c r="N893" s="1406"/>
      <c r="O893" s="1406"/>
      <c r="P893" s="1406"/>
      <c r="Q893" s="1406"/>
      <c r="R893" s="1406"/>
      <c r="S893" s="1406"/>
      <c r="T893" s="1406"/>
      <c r="U893" s="1406"/>
      <c r="V893" s="1406"/>
      <c r="W893" s="1406"/>
      <c r="X893" s="1406"/>
      <c r="Y893" s="1406"/>
      <c r="Z893" s="1406"/>
      <c r="AA893" s="1406"/>
      <c r="AB893" s="1406"/>
      <c r="AC893" s="1406"/>
      <c r="AD893" s="1406"/>
      <c r="AE893" s="1406"/>
      <c r="AF893" s="1406"/>
      <c r="AG893" s="1406"/>
      <c r="AH893" s="1406"/>
      <c r="AI893" s="1406"/>
      <c r="AJ893" s="1406"/>
      <c r="AK893" s="1406"/>
      <c r="AL893" s="1406"/>
      <c r="AM893" s="1406"/>
      <c r="AN893" s="1406"/>
      <c r="AO893" s="1405"/>
      <c r="AP893" s="1405"/>
      <c r="AQ893" s="1405"/>
      <c r="AR893" s="1405"/>
      <c r="AS893" s="1405"/>
      <c r="AT893" s="1405"/>
      <c r="AU893" s="1405"/>
      <c r="AV893" s="1405"/>
    </row>
    <row r="894" spans="1:48" s="1431" customFormat="1">
      <c r="A894" s="1399"/>
      <c r="B894" s="1429"/>
      <c r="C894" s="1430"/>
      <c r="D894" s="1400"/>
      <c r="E894" s="1401"/>
      <c r="F894" s="1401"/>
      <c r="G894" s="1402"/>
      <c r="H894" s="1403"/>
      <c r="I894" s="1404"/>
      <c r="J894" s="1405"/>
      <c r="K894" s="1405"/>
      <c r="L894" s="1405"/>
      <c r="M894" s="1405"/>
      <c r="N894" s="1406"/>
      <c r="O894" s="1406"/>
      <c r="P894" s="1406"/>
      <c r="Q894" s="1406"/>
      <c r="R894" s="1406"/>
      <c r="S894" s="1406"/>
      <c r="T894" s="1406"/>
      <c r="U894" s="1406"/>
      <c r="V894" s="1406"/>
      <c r="W894" s="1406"/>
      <c r="X894" s="1406"/>
      <c r="Y894" s="1406"/>
      <c r="Z894" s="1406"/>
      <c r="AA894" s="1406"/>
      <c r="AB894" s="1406"/>
      <c r="AC894" s="1406"/>
      <c r="AD894" s="1406"/>
      <c r="AE894" s="1406"/>
      <c r="AF894" s="1406"/>
      <c r="AG894" s="1406"/>
      <c r="AH894" s="1406"/>
      <c r="AI894" s="1406"/>
      <c r="AJ894" s="1406"/>
      <c r="AK894" s="1406"/>
      <c r="AL894" s="1406"/>
      <c r="AM894" s="1406"/>
      <c r="AN894" s="1406"/>
      <c r="AO894" s="1405"/>
      <c r="AP894" s="1405"/>
      <c r="AQ894" s="1405"/>
      <c r="AR894" s="1405"/>
      <c r="AS894" s="1405"/>
      <c r="AT894" s="1405"/>
      <c r="AU894" s="1405"/>
      <c r="AV894" s="1405"/>
    </row>
    <row r="895" spans="1:48" s="1431" customFormat="1">
      <c r="A895" s="1399"/>
      <c r="B895" s="1429"/>
      <c r="C895" s="1430"/>
      <c r="D895" s="1400"/>
      <c r="E895" s="1401"/>
      <c r="F895" s="1401"/>
      <c r="G895" s="1402"/>
      <c r="H895" s="1403"/>
      <c r="I895" s="1404"/>
      <c r="J895" s="1405"/>
      <c r="K895" s="1405"/>
      <c r="L895" s="1405"/>
      <c r="M895" s="1405"/>
      <c r="N895" s="1406"/>
      <c r="O895" s="1406"/>
      <c r="P895" s="1406"/>
      <c r="Q895" s="1406"/>
      <c r="R895" s="1406"/>
      <c r="S895" s="1406"/>
      <c r="T895" s="1406"/>
      <c r="U895" s="1406"/>
      <c r="V895" s="1406"/>
      <c r="W895" s="1406"/>
      <c r="X895" s="1406"/>
      <c r="Y895" s="1406"/>
      <c r="Z895" s="1406"/>
      <c r="AA895" s="1406"/>
      <c r="AB895" s="1406"/>
      <c r="AC895" s="1406"/>
      <c r="AD895" s="1406"/>
      <c r="AE895" s="1406"/>
      <c r="AF895" s="1406"/>
      <c r="AG895" s="1406"/>
      <c r="AH895" s="1406"/>
      <c r="AI895" s="1406"/>
      <c r="AJ895" s="1406"/>
      <c r="AK895" s="1406"/>
      <c r="AL895" s="1406"/>
      <c r="AM895" s="1406"/>
      <c r="AN895" s="1406"/>
      <c r="AO895" s="1405"/>
      <c r="AP895" s="1405"/>
      <c r="AQ895" s="1405"/>
      <c r="AR895" s="1405"/>
      <c r="AS895" s="1405"/>
      <c r="AT895" s="1405"/>
      <c r="AU895" s="1405"/>
      <c r="AV895" s="1405"/>
    </row>
    <row r="896" spans="1:48" s="1431" customFormat="1">
      <c r="A896" s="1399"/>
      <c r="B896" s="1429"/>
      <c r="C896" s="1430"/>
      <c r="D896" s="1400"/>
      <c r="E896" s="1401"/>
      <c r="F896" s="1401"/>
      <c r="G896" s="1402"/>
      <c r="H896" s="1403"/>
      <c r="I896" s="1404"/>
      <c r="J896" s="1405"/>
      <c r="K896" s="1405"/>
      <c r="L896" s="1405"/>
      <c r="M896" s="1405"/>
      <c r="N896" s="1406"/>
      <c r="O896" s="1406"/>
      <c r="P896" s="1406"/>
      <c r="Q896" s="1406"/>
      <c r="R896" s="1406"/>
      <c r="S896" s="1406"/>
      <c r="T896" s="1406"/>
      <c r="U896" s="1406"/>
      <c r="V896" s="1406"/>
      <c r="W896" s="1406"/>
      <c r="X896" s="1406"/>
      <c r="Y896" s="1406"/>
      <c r="Z896" s="1406"/>
      <c r="AA896" s="1406"/>
      <c r="AB896" s="1406"/>
      <c r="AC896" s="1406"/>
      <c r="AD896" s="1406"/>
      <c r="AE896" s="1406"/>
      <c r="AF896" s="1406"/>
      <c r="AG896" s="1406"/>
      <c r="AH896" s="1406"/>
      <c r="AI896" s="1406"/>
      <c r="AJ896" s="1406"/>
      <c r="AK896" s="1406"/>
      <c r="AL896" s="1406"/>
      <c r="AM896" s="1406"/>
      <c r="AN896" s="1406"/>
      <c r="AO896" s="1405"/>
      <c r="AP896" s="1405"/>
      <c r="AQ896" s="1405"/>
      <c r="AR896" s="1405"/>
      <c r="AS896" s="1405"/>
      <c r="AT896" s="1405"/>
      <c r="AU896" s="1405"/>
      <c r="AV896" s="1405"/>
    </row>
    <row r="897" spans="1:48" s="1431" customFormat="1">
      <c r="A897" s="1399"/>
      <c r="B897" s="1429"/>
      <c r="C897" s="1430"/>
      <c r="D897" s="1400"/>
      <c r="E897" s="1401"/>
      <c r="F897" s="1401"/>
      <c r="G897" s="1402"/>
      <c r="H897" s="1403"/>
      <c r="I897" s="1404"/>
      <c r="J897" s="1405"/>
      <c r="K897" s="1405"/>
      <c r="L897" s="1405"/>
      <c r="M897" s="1405"/>
      <c r="N897" s="1406"/>
      <c r="O897" s="1406"/>
      <c r="P897" s="1406"/>
      <c r="Q897" s="1406"/>
      <c r="R897" s="1406"/>
      <c r="S897" s="1406"/>
      <c r="T897" s="1406"/>
      <c r="U897" s="1406"/>
      <c r="V897" s="1406"/>
      <c r="W897" s="1406"/>
      <c r="X897" s="1406"/>
      <c r="Y897" s="1406"/>
      <c r="Z897" s="1406"/>
      <c r="AA897" s="1406"/>
      <c r="AB897" s="1406"/>
      <c r="AC897" s="1406"/>
      <c r="AD897" s="1406"/>
      <c r="AE897" s="1406"/>
      <c r="AF897" s="1406"/>
      <c r="AG897" s="1406"/>
      <c r="AH897" s="1406"/>
      <c r="AI897" s="1406"/>
      <c r="AJ897" s="1406"/>
      <c r="AK897" s="1406"/>
      <c r="AL897" s="1406"/>
      <c r="AM897" s="1406"/>
      <c r="AN897" s="1406"/>
      <c r="AO897" s="1405"/>
      <c r="AP897" s="1405"/>
      <c r="AQ897" s="1405"/>
      <c r="AR897" s="1405"/>
      <c r="AS897" s="1405"/>
      <c r="AT897" s="1405"/>
      <c r="AU897" s="1405"/>
      <c r="AV897" s="1405"/>
    </row>
    <row r="898" spans="1:48" s="1431" customFormat="1">
      <c r="A898" s="1399"/>
      <c r="B898" s="1429"/>
      <c r="C898" s="1430"/>
      <c r="D898" s="1400"/>
      <c r="E898" s="1401"/>
      <c r="F898" s="1401"/>
      <c r="G898" s="1402"/>
      <c r="H898" s="1403"/>
      <c r="I898" s="1404"/>
      <c r="J898" s="1405"/>
      <c r="K898" s="1405"/>
      <c r="L898" s="1405"/>
      <c r="M898" s="1405"/>
      <c r="N898" s="1406"/>
      <c r="O898" s="1406"/>
      <c r="P898" s="1406"/>
      <c r="Q898" s="1406"/>
      <c r="R898" s="1406"/>
      <c r="S898" s="1406"/>
      <c r="T898" s="1406"/>
      <c r="U898" s="1406"/>
      <c r="V898" s="1406"/>
      <c r="W898" s="1406"/>
      <c r="X898" s="1406"/>
      <c r="Y898" s="1406"/>
      <c r="Z898" s="1406"/>
      <c r="AA898" s="1406"/>
      <c r="AB898" s="1406"/>
      <c r="AC898" s="1406"/>
      <c r="AD898" s="1406"/>
      <c r="AE898" s="1406"/>
      <c r="AF898" s="1406"/>
      <c r="AG898" s="1406"/>
      <c r="AH898" s="1406"/>
      <c r="AI898" s="1406"/>
      <c r="AJ898" s="1406"/>
      <c r="AK898" s="1406"/>
      <c r="AL898" s="1406"/>
      <c r="AM898" s="1406"/>
      <c r="AN898" s="1406"/>
      <c r="AO898" s="1405"/>
      <c r="AP898" s="1405"/>
      <c r="AQ898" s="1405"/>
      <c r="AR898" s="1405"/>
      <c r="AS898" s="1405"/>
      <c r="AT898" s="1405"/>
      <c r="AU898" s="1405"/>
      <c r="AV898" s="1405"/>
    </row>
    <row r="899" spans="1:48" s="1431" customFormat="1">
      <c r="A899" s="1399"/>
      <c r="B899" s="1429"/>
      <c r="C899" s="1430"/>
      <c r="D899" s="1400"/>
      <c r="E899" s="1401"/>
      <c r="F899" s="1401"/>
      <c r="G899" s="1402"/>
      <c r="H899" s="1403"/>
      <c r="I899" s="1404"/>
      <c r="J899" s="1405"/>
      <c r="K899" s="1405"/>
      <c r="L899" s="1405"/>
      <c r="M899" s="1405"/>
      <c r="N899" s="1406"/>
      <c r="O899" s="1406"/>
      <c r="P899" s="1406"/>
      <c r="Q899" s="1406"/>
      <c r="R899" s="1406"/>
      <c r="S899" s="1406"/>
      <c r="T899" s="1406"/>
      <c r="U899" s="1406"/>
      <c r="V899" s="1406"/>
      <c r="W899" s="1406"/>
      <c r="X899" s="1406"/>
      <c r="Y899" s="1406"/>
      <c r="Z899" s="1406"/>
      <c r="AA899" s="1406"/>
      <c r="AB899" s="1406"/>
      <c r="AC899" s="1406"/>
      <c r="AD899" s="1406"/>
      <c r="AE899" s="1406"/>
      <c r="AF899" s="1406"/>
      <c r="AG899" s="1406"/>
      <c r="AH899" s="1406"/>
      <c r="AI899" s="1406"/>
      <c r="AJ899" s="1406"/>
      <c r="AK899" s="1406"/>
      <c r="AL899" s="1406"/>
      <c r="AM899" s="1406"/>
      <c r="AN899" s="1406"/>
      <c r="AO899" s="1405"/>
      <c r="AP899" s="1405"/>
      <c r="AQ899" s="1405"/>
      <c r="AR899" s="1405"/>
      <c r="AS899" s="1405"/>
      <c r="AT899" s="1405"/>
      <c r="AU899" s="1405"/>
      <c r="AV899" s="1405"/>
    </row>
    <row r="900" spans="1:48" s="1431" customFormat="1">
      <c r="A900" s="1399"/>
      <c r="B900" s="1429"/>
      <c r="C900" s="1430"/>
      <c r="D900" s="1400"/>
      <c r="E900" s="1401"/>
      <c r="F900" s="1401"/>
      <c r="G900" s="1402"/>
      <c r="H900" s="1403"/>
      <c r="I900" s="1404"/>
      <c r="J900" s="1405"/>
      <c r="K900" s="1405"/>
      <c r="L900" s="1405"/>
      <c r="M900" s="1405"/>
      <c r="N900" s="1406"/>
      <c r="O900" s="1406"/>
      <c r="P900" s="1406"/>
      <c r="Q900" s="1406"/>
      <c r="R900" s="1406"/>
      <c r="S900" s="1406"/>
      <c r="T900" s="1406"/>
      <c r="U900" s="1406"/>
      <c r="V900" s="1406"/>
      <c r="W900" s="1406"/>
      <c r="X900" s="1406"/>
      <c r="Y900" s="1406"/>
      <c r="Z900" s="1406"/>
      <c r="AA900" s="1406"/>
      <c r="AB900" s="1406"/>
      <c r="AC900" s="1406"/>
      <c r="AD900" s="1406"/>
      <c r="AE900" s="1406"/>
      <c r="AF900" s="1406"/>
      <c r="AG900" s="1406"/>
      <c r="AH900" s="1406"/>
      <c r="AI900" s="1406"/>
      <c r="AJ900" s="1406"/>
      <c r="AK900" s="1406"/>
      <c r="AL900" s="1406"/>
      <c r="AM900" s="1406"/>
      <c r="AN900" s="1406"/>
      <c r="AO900" s="1405"/>
      <c r="AP900" s="1405"/>
      <c r="AQ900" s="1405"/>
      <c r="AR900" s="1405"/>
      <c r="AS900" s="1405"/>
      <c r="AT900" s="1405"/>
      <c r="AU900" s="1405"/>
      <c r="AV900" s="1405"/>
    </row>
    <row r="901" spans="1:48" s="1431" customFormat="1">
      <c r="A901" s="1399"/>
      <c r="B901" s="1429"/>
      <c r="C901" s="1430"/>
      <c r="D901" s="1400"/>
      <c r="E901" s="1401"/>
      <c r="F901" s="1401"/>
      <c r="G901" s="1402"/>
      <c r="H901" s="1403"/>
      <c r="I901" s="1404"/>
      <c r="J901" s="1405"/>
      <c r="K901" s="1405"/>
      <c r="L901" s="1405"/>
      <c r="M901" s="1405"/>
      <c r="N901" s="1406"/>
      <c r="O901" s="1406"/>
      <c r="P901" s="1406"/>
      <c r="Q901" s="1406"/>
      <c r="R901" s="1406"/>
      <c r="S901" s="1406"/>
      <c r="T901" s="1406"/>
      <c r="U901" s="1406"/>
      <c r="V901" s="1406"/>
      <c r="W901" s="1406"/>
      <c r="X901" s="1406"/>
      <c r="Y901" s="1406"/>
      <c r="Z901" s="1406"/>
      <c r="AA901" s="1406"/>
      <c r="AB901" s="1406"/>
      <c r="AC901" s="1406"/>
      <c r="AD901" s="1406"/>
      <c r="AE901" s="1406"/>
      <c r="AF901" s="1406"/>
      <c r="AG901" s="1406"/>
      <c r="AH901" s="1406"/>
      <c r="AI901" s="1406"/>
      <c r="AJ901" s="1406"/>
      <c r="AK901" s="1406"/>
      <c r="AL901" s="1406"/>
      <c r="AM901" s="1406"/>
      <c r="AN901" s="1406"/>
      <c r="AO901" s="1405"/>
      <c r="AP901" s="1405"/>
      <c r="AQ901" s="1405"/>
      <c r="AR901" s="1405"/>
      <c r="AS901" s="1405"/>
      <c r="AT901" s="1405"/>
      <c r="AU901" s="1405"/>
      <c r="AV901" s="1405"/>
    </row>
    <row r="902" spans="1:48" s="1431" customFormat="1">
      <c r="A902" s="1399"/>
      <c r="B902" s="1429"/>
      <c r="C902" s="1430"/>
      <c r="D902" s="1400"/>
      <c r="E902" s="1401"/>
      <c r="F902" s="1401"/>
      <c r="G902" s="1402"/>
      <c r="H902" s="1403"/>
      <c r="I902" s="1404"/>
      <c r="J902" s="1405"/>
      <c r="K902" s="1405"/>
      <c r="L902" s="1405"/>
      <c r="M902" s="1405"/>
      <c r="N902" s="1406"/>
      <c r="O902" s="1406"/>
      <c r="P902" s="1406"/>
      <c r="Q902" s="1406"/>
      <c r="R902" s="1406"/>
      <c r="S902" s="1406"/>
      <c r="T902" s="1406"/>
      <c r="U902" s="1406"/>
      <c r="V902" s="1406"/>
      <c r="W902" s="1406"/>
      <c r="X902" s="1406"/>
      <c r="Y902" s="1406"/>
      <c r="Z902" s="1406"/>
      <c r="AA902" s="1406"/>
      <c r="AB902" s="1406"/>
      <c r="AC902" s="1406"/>
      <c r="AD902" s="1406"/>
      <c r="AE902" s="1406"/>
      <c r="AF902" s="1406"/>
      <c r="AG902" s="1406"/>
      <c r="AH902" s="1406"/>
      <c r="AI902" s="1406"/>
      <c r="AJ902" s="1406"/>
      <c r="AK902" s="1406"/>
      <c r="AL902" s="1406"/>
      <c r="AM902" s="1406"/>
      <c r="AN902" s="1406"/>
      <c r="AO902" s="1405"/>
      <c r="AP902" s="1405"/>
      <c r="AQ902" s="1405"/>
      <c r="AR902" s="1405"/>
      <c r="AS902" s="1405"/>
      <c r="AT902" s="1405"/>
      <c r="AU902" s="1405"/>
      <c r="AV902" s="1405"/>
    </row>
    <row r="903" spans="1:48" s="1431" customFormat="1">
      <c r="A903" s="1399"/>
      <c r="B903" s="1429"/>
      <c r="C903" s="1430"/>
      <c r="D903" s="1400"/>
      <c r="E903" s="1401"/>
      <c r="F903" s="1401"/>
      <c r="G903" s="1402"/>
      <c r="H903" s="1403"/>
      <c r="I903" s="1404"/>
      <c r="J903" s="1405"/>
      <c r="K903" s="1405"/>
      <c r="L903" s="1405"/>
      <c r="M903" s="1405"/>
      <c r="N903" s="1406"/>
      <c r="O903" s="1406"/>
      <c r="P903" s="1406"/>
      <c r="Q903" s="1406"/>
      <c r="R903" s="1406"/>
      <c r="S903" s="1406"/>
      <c r="T903" s="1406"/>
      <c r="U903" s="1406"/>
      <c r="V903" s="1406"/>
      <c r="W903" s="1406"/>
      <c r="X903" s="1406"/>
      <c r="Y903" s="1406"/>
      <c r="Z903" s="1406"/>
      <c r="AA903" s="1406"/>
      <c r="AB903" s="1406"/>
      <c r="AC903" s="1406"/>
      <c r="AD903" s="1406"/>
      <c r="AE903" s="1406"/>
      <c r="AF903" s="1406"/>
      <c r="AG903" s="1406"/>
      <c r="AH903" s="1406"/>
      <c r="AI903" s="1406"/>
      <c r="AJ903" s="1406"/>
      <c r="AK903" s="1406"/>
      <c r="AL903" s="1406"/>
      <c r="AM903" s="1406"/>
      <c r="AN903" s="1406"/>
      <c r="AO903" s="1405"/>
      <c r="AP903" s="1405"/>
      <c r="AQ903" s="1405"/>
      <c r="AR903" s="1405"/>
      <c r="AS903" s="1405"/>
      <c r="AT903" s="1405"/>
      <c r="AU903" s="1405"/>
      <c r="AV903" s="1405"/>
    </row>
    <row r="904" spans="1:48" s="1431" customFormat="1">
      <c r="A904" s="1399"/>
      <c r="B904" s="1429"/>
      <c r="C904" s="1430"/>
      <c r="D904" s="1400"/>
      <c r="E904" s="1401"/>
      <c r="F904" s="1401"/>
      <c r="G904" s="1402"/>
      <c r="H904" s="1403"/>
      <c r="I904" s="1404"/>
      <c r="J904" s="1405"/>
      <c r="K904" s="1405"/>
      <c r="L904" s="1405"/>
      <c r="M904" s="1405"/>
      <c r="N904" s="1406"/>
      <c r="O904" s="1406"/>
      <c r="P904" s="1406"/>
      <c r="Q904" s="1406"/>
      <c r="R904" s="1406"/>
      <c r="S904" s="1406"/>
      <c r="T904" s="1406"/>
      <c r="U904" s="1406"/>
      <c r="V904" s="1406"/>
      <c r="W904" s="1406"/>
      <c r="X904" s="1406"/>
      <c r="Y904" s="1406"/>
      <c r="Z904" s="1406"/>
      <c r="AA904" s="1406"/>
      <c r="AB904" s="1406"/>
      <c r="AC904" s="1406"/>
      <c r="AD904" s="1406"/>
      <c r="AE904" s="1406"/>
      <c r="AF904" s="1406"/>
      <c r="AG904" s="1406"/>
      <c r="AH904" s="1406"/>
      <c r="AI904" s="1406"/>
      <c r="AJ904" s="1406"/>
      <c r="AK904" s="1406"/>
      <c r="AL904" s="1406"/>
      <c r="AM904" s="1406"/>
      <c r="AN904" s="1406"/>
      <c r="AO904" s="1405"/>
      <c r="AP904" s="1405"/>
      <c r="AQ904" s="1405"/>
      <c r="AR904" s="1405"/>
      <c r="AS904" s="1405"/>
      <c r="AT904" s="1405"/>
      <c r="AU904" s="1405"/>
      <c r="AV904" s="1405"/>
    </row>
    <row r="905" spans="1:48" s="1431" customFormat="1">
      <c r="A905" s="1399"/>
      <c r="B905" s="1429"/>
      <c r="C905" s="1430"/>
      <c r="D905" s="1400"/>
      <c r="E905" s="1401"/>
      <c r="F905" s="1401"/>
      <c r="G905" s="1402"/>
      <c r="H905" s="1403"/>
      <c r="I905" s="1404"/>
      <c r="J905" s="1405"/>
      <c r="K905" s="1405"/>
      <c r="L905" s="1405"/>
      <c r="M905" s="1405"/>
      <c r="N905" s="1406"/>
      <c r="O905" s="1406"/>
      <c r="P905" s="1406"/>
      <c r="Q905" s="1406"/>
      <c r="R905" s="1406"/>
      <c r="S905" s="1406"/>
      <c r="T905" s="1406"/>
      <c r="U905" s="1406"/>
      <c r="V905" s="1406"/>
      <c r="W905" s="1406"/>
      <c r="X905" s="1406"/>
      <c r="Y905" s="1406"/>
      <c r="Z905" s="1406"/>
      <c r="AA905" s="1406"/>
      <c r="AB905" s="1406"/>
      <c r="AC905" s="1406"/>
      <c r="AD905" s="1406"/>
      <c r="AE905" s="1406"/>
      <c r="AF905" s="1406"/>
      <c r="AG905" s="1406"/>
      <c r="AH905" s="1406"/>
      <c r="AI905" s="1406"/>
      <c r="AJ905" s="1406"/>
      <c r="AK905" s="1406"/>
      <c r="AL905" s="1406"/>
      <c r="AM905" s="1406"/>
      <c r="AN905" s="1406"/>
      <c r="AO905" s="1405"/>
      <c r="AP905" s="1405"/>
      <c r="AQ905" s="1405"/>
      <c r="AR905" s="1405"/>
      <c r="AS905" s="1405"/>
      <c r="AT905" s="1405"/>
      <c r="AU905" s="1405"/>
      <c r="AV905" s="1405"/>
    </row>
    <row r="906" spans="1:48" s="1431" customFormat="1">
      <c r="A906" s="1399"/>
      <c r="B906" s="1429"/>
      <c r="C906" s="1430"/>
      <c r="D906" s="1400"/>
      <c r="E906" s="1401"/>
      <c r="F906" s="1401"/>
      <c r="G906" s="1402"/>
      <c r="H906" s="1403"/>
      <c r="I906" s="1404"/>
      <c r="J906" s="1405"/>
      <c r="K906" s="1405"/>
      <c r="L906" s="1405"/>
      <c r="M906" s="1405"/>
      <c r="N906" s="1406"/>
      <c r="O906" s="1406"/>
      <c r="P906" s="1406"/>
      <c r="Q906" s="1406"/>
      <c r="R906" s="1406"/>
      <c r="S906" s="1406"/>
      <c r="T906" s="1406"/>
      <c r="U906" s="1406"/>
      <c r="V906" s="1406"/>
      <c r="W906" s="1406"/>
      <c r="X906" s="1406"/>
      <c r="Y906" s="1406"/>
      <c r="Z906" s="1406"/>
      <c r="AA906" s="1406"/>
      <c r="AB906" s="1406"/>
      <c r="AC906" s="1406"/>
      <c r="AD906" s="1406"/>
      <c r="AE906" s="1406"/>
      <c r="AF906" s="1406"/>
      <c r="AG906" s="1406"/>
      <c r="AH906" s="1406"/>
      <c r="AI906" s="1406"/>
      <c r="AJ906" s="1406"/>
      <c r="AK906" s="1406"/>
      <c r="AL906" s="1406"/>
      <c r="AM906" s="1406"/>
      <c r="AN906" s="1406"/>
      <c r="AO906" s="1405"/>
      <c r="AP906" s="1405"/>
      <c r="AQ906" s="1405"/>
      <c r="AR906" s="1405"/>
      <c r="AS906" s="1405"/>
      <c r="AT906" s="1405"/>
      <c r="AU906" s="1405"/>
      <c r="AV906" s="1405"/>
    </row>
    <row r="907" spans="1:48" s="1431" customFormat="1">
      <c r="A907" s="1399"/>
      <c r="B907" s="1429"/>
      <c r="C907" s="1430"/>
      <c r="D907" s="1400"/>
      <c r="E907" s="1401"/>
      <c r="F907" s="1401"/>
      <c r="G907" s="1402"/>
      <c r="H907" s="1403"/>
      <c r="I907" s="1404"/>
      <c r="J907" s="1405"/>
      <c r="K907" s="1405"/>
      <c r="L907" s="1405"/>
      <c r="M907" s="1405"/>
      <c r="N907" s="1406"/>
      <c r="O907" s="1406"/>
      <c r="P907" s="1406"/>
      <c r="Q907" s="1406"/>
      <c r="R907" s="1406"/>
      <c r="S907" s="1406"/>
      <c r="T907" s="1406"/>
      <c r="U907" s="1406"/>
      <c r="V907" s="1406"/>
      <c r="W907" s="1406"/>
      <c r="X907" s="1406"/>
      <c r="Y907" s="1406"/>
      <c r="Z907" s="1406"/>
      <c r="AA907" s="1406"/>
      <c r="AB907" s="1406"/>
      <c r="AC907" s="1406"/>
      <c r="AD907" s="1406"/>
      <c r="AE907" s="1406"/>
      <c r="AF907" s="1406"/>
      <c r="AG907" s="1406"/>
      <c r="AH907" s="1406"/>
      <c r="AI907" s="1406"/>
      <c r="AJ907" s="1406"/>
      <c r="AK907" s="1406"/>
      <c r="AL907" s="1406"/>
      <c r="AM907" s="1406"/>
      <c r="AN907" s="1406"/>
      <c r="AO907" s="1405"/>
      <c r="AP907" s="1405"/>
      <c r="AQ907" s="1405"/>
      <c r="AR907" s="1405"/>
      <c r="AS907" s="1405"/>
      <c r="AT907" s="1405"/>
      <c r="AU907" s="1405"/>
      <c r="AV907" s="1405"/>
    </row>
    <row r="908" spans="1:48" s="1431" customFormat="1">
      <c r="A908" s="1399"/>
      <c r="B908" s="1429"/>
      <c r="C908" s="1430"/>
      <c r="D908" s="1400"/>
      <c r="E908" s="1401"/>
      <c r="F908" s="1401"/>
      <c r="G908" s="1402"/>
      <c r="H908" s="1403"/>
      <c r="I908" s="1404"/>
      <c r="J908" s="1405"/>
      <c r="K908" s="1405"/>
      <c r="L908" s="1405"/>
      <c r="M908" s="1405"/>
      <c r="N908" s="1406"/>
      <c r="O908" s="1406"/>
      <c r="P908" s="1406"/>
      <c r="Q908" s="1406"/>
      <c r="R908" s="1406"/>
      <c r="S908" s="1406"/>
      <c r="T908" s="1406"/>
      <c r="U908" s="1406"/>
      <c r="V908" s="1406"/>
      <c r="W908" s="1406"/>
      <c r="X908" s="1406"/>
      <c r="Y908" s="1406"/>
      <c r="Z908" s="1406"/>
      <c r="AA908" s="1406"/>
      <c r="AB908" s="1406"/>
      <c r="AC908" s="1406"/>
      <c r="AD908" s="1406"/>
      <c r="AE908" s="1406"/>
      <c r="AF908" s="1406"/>
      <c r="AG908" s="1406"/>
      <c r="AH908" s="1406"/>
      <c r="AI908" s="1406"/>
      <c r="AJ908" s="1406"/>
      <c r="AK908" s="1406"/>
      <c r="AL908" s="1406"/>
      <c r="AM908" s="1406"/>
      <c r="AN908" s="1406"/>
      <c r="AO908" s="1405"/>
      <c r="AP908" s="1405"/>
      <c r="AQ908" s="1405"/>
      <c r="AR908" s="1405"/>
      <c r="AS908" s="1405"/>
      <c r="AT908" s="1405"/>
      <c r="AU908" s="1405"/>
      <c r="AV908" s="1405"/>
    </row>
    <row r="909" spans="1:48" s="1431" customFormat="1">
      <c r="A909" s="1399"/>
      <c r="B909" s="1429"/>
      <c r="C909" s="1430"/>
      <c r="D909" s="1400"/>
      <c r="E909" s="1401"/>
      <c r="F909" s="1401"/>
      <c r="G909" s="1402"/>
      <c r="H909" s="1403"/>
      <c r="I909" s="1404"/>
      <c r="J909" s="1405"/>
      <c r="K909" s="1405"/>
      <c r="L909" s="1405"/>
      <c r="M909" s="1405"/>
      <c r="N909" s="1406"/>
      <c r="O909" s="1406"/>
      <c r="P909" s="1406"/>
      <c r="Q909" s="1406"/>
      <c r="R909" s="1406"/>
      <c r="S909" s="1406"/>
      <c r="T909" s="1406"/>
      <c r="U909" s="1406"/>
      <c r="V909" s="1406"/>
      <c r="W909" s="1406"/>
      <c r="X909" s="1406"/>
      <c r="Y909" s="1406"/>
      <c r="Z909" s="1406"/>
      <c r="AA909" s="1406"/>
      <c r="AB909" s="1406"/>
      <c r="AC909" s="1406"/>
      <c r="AD909" s="1406"/>
      <c r="AE909" s="1406"/>
      <c r="AF909" s="1406"/>
      <c r="AG909" s="1406"/>
      <c r="AH909" s="1406"/>
      <c r="AI909" s="1406"/>
      <c r="AJ909" s="1406"/>
      <c r="AK909" s="1406"/>
      <c r="AL909" s="1406"/>
      <c r="AM909" s="1406"/>
      <c r="AN909" s="1406"/>
      <c r="AO909" s="1405"/>
      <c r="AP909" s="1405"/>
      <c r="AQ909" s="1405"/>
      <c r="AR909" s="1405"/>
      <c r="AS909" s="1405"/>
      <c r="AT909" s="1405"/>
      <c r="AU909" s="1405"/>
      <c r="AV909" s="1405"/>
    </row>
    <row r="910" spans="1:48" s="1431" customFormat="1">
      <c r="A910" s="1399"/>
      <c r="B910" s="1429"/>
      <c r="C910" s="1430"/>
      <c r="D910" s="1400"/>
      <c r="E910" s="1401"/>
      <c r="F910" s="1401"/>
      <c r="G910" s="1402"/>
      <c r="H910" s="1403"/>
      <c r="I910" s="1404"/>
      <c r="J910" s="1405"/>
      <c r="K910" s="1405"/>
      <c r="L910" s="1405"/>
      <c r="M910" s="1405"/>
      <c r="N910" s="1406"/>
      <c r="O910" s="1406"/>
      <c r="P910" s="1406"/>
      <c r="Q910" s="1406"/>
      <c r="R910" s="1406"/>
      <c r="S910" s="1406"/>
      <c r="T910" s="1406"/>
      <c r="U910" s="1406"/>
      <c r="V910" s="1406"/>
      <c r="W910" s="1406"/>
      <c r="X910" s="1406"/>
      <c r="Y910" s="1406"/>
      <c r="Z910" s="1406"/>
      <c r="AA910" s="1406"/>
      <c r="AB910" s="1406"/>
      <c r="AC910" s="1406"/>
      <c r="AD910" s="1406"/>
      <c r="AE910" s="1406"/>
      <c r="AF910" s="1406"/>
      <c r="AG910" s="1406"/>
      <c r="AH910" s="1406"/>
      <c r="AI910" s="1406"/>
      <c r="AJ910" s="1406"/>
      <c r="AK910" s="1406"/>
      <c r="AL910" s="1406"/>
      <c r="AM910" s="1406"/>
      <c r="AN910" s="1406"/>
      <c r="AO910" s="1405"/>
      <c r="AP910" s="1405"/>
      <c r="AQ910" s="1405"/>
      <c r="AR910" s="1405"/>
      <c r="AS910" s="1405"/>
      <c r="AT910" s="1405"/>
      <c r="AU910" s="1405"/>
      <c r="AV910" s="1405"/>
    </row>
    <row r="911" spans="1:48" s="1431" customFormat="1">
      <c r="A911" s="1399"/>
      <c r="B911" s="1429"/>
      <c r="C911" s="1430"/>
      <c r="D911" s="1400"/>
      <c r="E911" s="1401"/>
      <c r="F911" s="1401"/>
      <c r="G911" s="1402"/>
      <c r="H911" s="1403"/>
      <c r="I911" s="1404"/>
      <c r="J911" s="1405"/>
      <c r="K911" s="1405"/>
      <c r="L911" s="1405"/>
      <c r="M911" s="1405"/>
      <c r="N911" s="1406"/>
      <c r="O911" s="1406"/>
      <c r="P911" s="1406"/>
      <c r="Q911" s="1406"/>
      <c r="R911" s="1406"/>
      <c r="S911" s="1406"/>
      <c r="T911" s="1406"/>
      <c r="U911" s="1406"/>
      <c r="V911" s="1406"/>
      <c r="W911" s="1406"/>
      <c r="X911" s="1406"/>
      <c r="Y911" s="1406"/>
      <c r="Z911" s="1406"/>
      <c r="AA911" s="1406"/>
      <c r="AB911" s="1406"/>
      <c r="AC911" s="1406"/>
      <c r="AD911" s="1406"/>
      <c r="AE911" s="1406"/>
      <c r="AF911" s="1406"/>
      <c r="AG911" s="1406"/>
      <c r="AH911" s="1406"/>
      <c r="AI911" s="1406"/>
      <c r="AJ911" s="1406"/>
      <c r="AK911" s="1406"/>
      <c r="AL911" s="1406"/>
      <c r="AM911" s="1406"/>
      <c r="AN911" s="1406"/>
      <c r="AO911" s="1405"/>
      <c r="AP911" s="1405"/>
      <c r="AQ911" s="1405"/>
      <c r="AR911" s="1405"/>
      <c r="AS911" s="1405"/>
      <c r="AT911" s="1405"/>
      <c r="AU911" s="1405"/>
      <c r="AV911" s="1405"/>
    </row>
    <row r="912" spans="1:48" s="1431" customFormat="1">
      <c r="A912" s="1399"/>
      <c r="B912" s="1429"/>
      <c r="C912" s="1430"/>
      <c r="D912" s="1400"/>
      <c r="E912" s="1401"/>
      <c r="F912" s="1401"/>
      <c r="G912" s="1402"/>
      <c r="H912" s="1403"/>
      <c r="I912" s="1404"/>
      <c r="J912" s="1405"/>
      <c r="K912" s="1405"/>
      <c r="L912" s="1405"/>
      <c r="M912" s="1405"/>
      <c r="N912" s="1406"/>
      <c r="O912" s="1406"/>
      <c r="P912" s="1406"/>
      <c r="Q912" s="1406"/>
      <c r="R912" s="1406"/>
      <c r="S912" s="1406"/>
      <c r="T912" s="1406"/>
      <c r="U912" s="1406"/>
      <c r="V912" s="1406"/>
      <c r="W912" s="1406"/>
      <c r="X912" s="1406"/>
      <c r="Y912" s="1406"/>
      <c r="Z912" s="1406"/>
      <c r="AA912" s="1406"/>
      <c r="AB912" s="1406"/>
      <c r="AC912" s="1406"/>
      <c r="AD912" s="1406"/>
      <c r="AE912" s="1406"/>
      <c r="AF912" s="1406"/>
      <c r="AG912" s="1406"/>
      <c r="AH912" s="1406"/>
      <c r="AI912" s="1406"/>
      <c r="AJ912" s="1406"/>
      <c r="AK912" s="1406"/>
      <c r="AL912" s="1406"/>
      <c r="AM912" s="1406"/>
      <c r="AN912" s="1406"/>
      <c r="AO912" s="1405"/>
      <c r="AP912" s="1405"/>
      <c r="AQ912" s="1405"/>
      <c r="AR912" s="1405"/>
      <c r="AS912" s="1405"/>
      <c r="AT912" s="1405"/>
      <c r="AU912" s="1405"/>
      <c r="AV912" s="1405"/>
    </row>
    <row r="913" spans="1:48" s="1431" customFormat="1">
      <c r="A913" s="1399"/>
      <c r="B913" s="1429"/>
      <c r="C913" s="1430"/>
      <c r="D913" s="1400"/>
      <c r="E913" s="1401"/>
      <c r="F913" s="1401"/>
      <c r="G913" s="1402"/>
      <c r="H913" s="1403"/>
      <c r="I913" s="1404"/>
      <c r="J913" s="1405"/>
      <c r="K913" s="1405"/>
      <c r="L913" s="1405"/>
      <c r="M913" s="1405"/>
      <c r="N913" s="1406"/>
      <c r="O913" s="1406"/>
      <c r="P913" s="1406"/>
      <c r="Q913" s="1406"/>
      <c r="R913" s="1406"/>
      <c r="S913" s="1406"/>
      <c r="T913" s="1406"/>
      <c r="U913" s="1406"/>
      <c r="V913" s="1406"/>
      <c r="W913" s="1406"/>
      <c r="X913" s="1406"/>
      <c r="Y913" s="1406"/>
      <c r="Z913" s="1406"/>
      <c r="AA913" s="1406"/>
      <c r="AB913" s="1406"/>
      <c r="AC913" s="1406"/>
      <c r="AD913" s="1406"/>
      <c r="AE913" s="1406"/>
      <c r="AF913" s="1406"/>
      <c r="AG913" s="1406"/>
      <c r="AH913" s="1406"/>
      <c r="AI913" s="1406"/>
      <c r="AJ913" s="1406"/>
      <c r="AK913" s="1406"/>
      <c r="AL913" s="1406"/>
      <c r="AM913" s="1406"/>
      <c r="AN913" s="1406"/>
      <c r="AO913" s="1405"/>
      <c r="AP913" s="1405"/>
      <c r="AQ913" s="1405"/>
      <c r="AR913" s="1405"/>
      <c r="AS913" s="1405"/>
      <c r="AT913" s="1405"/>
      <c r="AU913" s="1405"/>
      <c r="AV913" s="1405"/>
    </row>
    <row r="914" spans="1:48" s="1431" customFormat="1">
      <c r="A914" s="1399"/>
      <c r="B914" s="1429"/>
      <c r="C914" s="1430"/>
      <c r="D914" s="1400"/>
      <c r="E914" s="1401"/>
      <c r="F914" s="1401"/>
      <c r="G914" s="1402"/>
      <c r="H914" s="1403"/>
      <c r="I914" s="1404"/>
      <c r="J914" s="1405"/>
      <c r="K914" s="1405"/>
      <c r="L914" s="1405"/>
      <c r="M914" s="1405"/>
      <c r="N914" s="1406"/>
      <c r="O914" s="1406"/>
      <c r="P914" s="1406"/>
      <c r="Q914" s="1406"/>
      <c r="R914" s="1406"/>
      <c r="S914" s="1406"/>
      <c r="T914" s="1406"/>
      <c r="U914" s="1406"/>
      <c r="V914" s="1406"/>
      <c r="W914" s="1406"/>
      <c r="X914" s="1406"/>
      <c r="Y914" s="1406"/>
      <c r="Z914" s="1406"/>
      <c r="AA914" s="1406"/>
      <c r="AB914" s="1406"/>
      <c r="AC914" s="1406"/>
      <c r="AD914" s="1406"/>
      <c r="AE914" s="1406"/>
      <c r="AF914" s="1406"/>
      <c r="AG914" s="1406"/>
      <c r="AH914" s="1406"/>
      <c r="AI914" s="1406"/>
      <c r="AJ914" s="1406"/>
      <c r="AK914" s="1406"/>
      <c r="AL914" s="1406"/>
      <c r="AM914" s="1406"/>
      <c r="AN914" s="1406"/>
      <c r="AO914" s="1405"/>
      <c r="AP914" s="1405"/>
      <c r="AQ914" s="1405"/>
      <c r="AR914" s="1405"/>
      <c r="AS914" s="1405"/>
      <c r="AT914" s="1405"/>
      <c r="AU914" s="1405"/>
      <c r="AV914" s="1405"/>
    </row>
    <row r="915" spans="1:48" s="1431" customFormat="1">
      <c r="A915" s="1399"/>
      <c r="B915" s="1429"/>
      <c r="C915" s="1430"/>
      <c r="D915" s="1400"/>
      <c r="E915" s="1401"/>
      <c r="F915" s="1401"/>
      <c r="G915" s="1402"/>
      <c r="H915" s="1403"/>
      <c r="I915" s="1404"/>
      <c r="J915" s="1405"/>
      <c r="K915" s="1405"/>
      <c r="L915" s="1405"/>
      <c r="M915" s="1405"/>
      <c r="N915" s="1406"/>
      <c r="O915" s="1406"/>
      <c r="P915" s="1406"/>
      <c r="Q915" s="1406"/>
      <c r="R915" s="1406"/>
      <c r="S915" s="1406"/>
      <c r="T915" s="1406"/>
      <c r="U915" s="1406"/>
      <c r="V915" s="1406"/>
      <c r="W915" s="1406"/>
      <c r="X915" s="1406"/>
      <c r="Y915" s="1406"/>
      <c r="Z915" s="1406"/>
      <c r="AA915" s="1406"/>
      <c r="AB915" s="1406"/>
      <c r="AC915" s="1406"/>
      <c r="AD915" s="1406"/>
      <c r="AE915" s="1406"/>
      <c r="AF915" s="1406"/>
      <c r="AG915" s="1406"/>
      <c r="AH915" s="1406"/>
      <c r="AI915" s="1406"/>
      <c r="AJ915" s="1406"/>
      <c r="AK915" s="1406"/>
      <c r="AL915" s="1406"/>
      <c r="AM915" s="1406"/>
      <c r="AN915" s="1406"/>
      <c r="AO915" s="1405"/>
      <c r="AP915" s="1405"/>
      <c r="AQ915" s="1405"/>
      <c r="AR915" s="1405"/>
      <c r="AS915" s="1405"/>
      <c r="AT915" s="1405"/>
      <c r="AU915" s="1405"/>
      <c r="AV915" s="1405"/>
    </row>
    <row r="916" spans="1:48" s="1431" customFormat="1">
      <c r="A916" s="1399"/>
      <c r="B916" s="1429"/>
      <c r="C916" s="1430"/>
      <c r="D916" s="1400"/>
      <c r="E916" s="1401"/>
      <c r="F916" s="1401"/>
      <c r="G916" s="1402"/>
      <c r="H916" s="1403"/>
      <c r="I916" s="1404"/>
      <c r="J916" s="1405"/>
      <c r="K916" s="1405"/>
      <c r="L916" s="1405"/>
      <c r="M916" s="1405"/>
      <c r="N916" s="1406"/>
      <c r="O916" s="1406"/>
      <c r="P916" s="1406"/>
      <c r="Q916" s="1406"/>
      <c r="R916" s="1406"/>
      <c r="S916" s="1406"/>
      <c r="T916" s="1406"/>
      <c r="U916" s="1406"/>
      <c r="V916" s="1406"/>
      <c r="W916" s="1406"/>
      <c r="X916" s="1406"/>
      <c r="Y916" s="1406"/>
      <c r="Z916" s="1406"/>
      <c r="AA916" s="1406"/>
      <c r="AB916" s="1406"/>
      <c r="AC916" s="1406"/>
      <c r="AD916" s="1406"/>
      <c r="AE916" s="1406"/>
      <c r="AF916" s="1406"/>
      <c r="AG916" s="1406"/>
      <c r="AH916" s="1406"/>
      <c r="AI916" s="1406"/>
      <c r="AJ916" s="1406"/>
      <c r="AK916" s="1406"/>
      <c r="AL916" s="1406"/>
      <c r="AM916" s="1406"/>
      <c r="AN916" s="1406"/>
      <c r="AO916" s="1405"/>
      <c r="AP916" s="1405"/>
      <c r="AQ916" s="1405"/>
      <c r="AR916" s="1405"/>
      <c r="AS916" s="1405"/>
      <c r="AT916" s="1405"/>
      <c r="AU916" s="1405"/>
      <c r="AV916" s="1405"/>
    </row>
    <row r="917" spans="1:48" s="1431" customFormat="1">
      <c r="A917" s="1399"/>
      <c r="B917" s="1429"/>
      <c r="C917" s="1430"/>
      <c r="D917" s="1400"/>
      <c r="E917" s="1401"/>
      <c r="F917" s="1401"/>
      <c r="G917" s="1402"/>
      <c r="H917" s="1403"/>
      <c r="I917" s="1404"/>
      <c r="J917" s="1405"/>
      <c r="K917" s="1405"/>
      <c r="L917" s="1405"/>
      <c r="M917" s="1405"/>
      <c r="N917" s="1406"/>
      <c r="O917" s="1406"/>
      <c r="P917" s="1406"/>
      <c r="Q917" s="1406"/>
      <c r="R917" s="1406"/>
      <c r="S917" s="1406"/>
      <c r="T917" s="1406"/>
      <c r="U917" s="1406"/>
      <c r="V917" s="1406"/>
      <c r="W917" s="1406"/>
      <c r="X917" s="1406"/>
      <c r="Y917" s="1406"/>
      <c r="Z917" s="1406"/>
      <c r="AA917" s="1406"/>
      <c r="AB917" s="1406"/>
      <c r="AC917" s="1406"/>
      <c r="AD917" s="1406"/>
      <c r="AE917" s="1406"/>
      <c r="AF917" s="1406"/>
      <c r="AG917" s="1406"/>
      <c r="AH917" s="1406"/>
      <c r="AI917" s="1406"/>
      <c r="AJ917" s="1406"/>
      <c r="AK917" s="1406"/>
      <c r="AL917" s="1406"/>
      <c r="AM917" s="1406"/>
      <c r="AN917" s="1406"/>
      <c r="AO917" s="1405"/>
      <c r="AP917" s="1405"/>
      <c r="AQ917" s="1405"/>
      <c r="AR917" s="1405"/>
      <c r="AS917" s="1405"/>
      <c r="AT917" s="1405"/>
      <c r="AU917" s="1405"/>
      <c r="AV917" s="1405"/>
    </row>
    <row r="918" spans="1:48" s="1431" customFormat="1">
      <c r="A918" s="1399"/>
      <c r="B918" s="1429"/>
      <c r="C918" s="1430"/>
      <c r="D918" s="1400"/>
      <c r="E918" s="1401"/>
      <c r="F918" s="1401"/>
      <c r="G918" s="1402"/>
      <c r="H918" s="1403"/>
      <c r="I918" s="1404"/>
      <c r="J918" s="1405"/>
      <c r="K918" s="1405"/>
      <c r="L918" s="1405"/>
      <c r="M918" s="1405"/>
      <c r="N918" s="1406"/>
      <c r="O918" s="1406"/>
      <c r="P918" s="1406"/>
      <c r="Q918" s="1406"/>
      <c r="R918" s="1406"/>
      <c r="S918" s="1406"/>
      <c r="T918" s="1406"/>
      <c r="U918" s="1406"/>
      <c r="V918" s="1406"/>
      <c r="W918" s="1406"/>
      <c r="X918" s="1406"/>
      <c r="Y918" s="1406"/>
      <c r="Z918" s="1406"/>
      <c r="AA918" s="1406"/>
      <c r="AB918" s="1406"/>
      <c r="AC918" s="1406"/>
      <c r="AD918" s="1406"/>
      <c r="AE918" s="1406"/>
      <c r="AF918" s="1406"/>
      <c r="AG918" s="1406"/>
      <c r="AH918" s="1406"/>
      <c r="AI918" s="1406"/>
      <c r="AJ918" s="1406"/>
      <c r="AK918" s="1406"/>
      <c r="AL918" s="1406"/>
      <c r="AM918" s="1406"/>
      <c r="AN918" s="1406"/>
      <c r="AO918" s="1405"/>
      <c r="AP918" s="1405"/>
      <c r="AQ918" s="1405"/>
      <c r="AR918" s="1405"/>
      <c r="AS918" s="1405"/>
      <c r="AT918" s="1405"/>
      <c r="AU918" s="1405"/>
      <c r="AV918" s="1405"/>
    </row>
    <row r="919" spans="1:48" s="1431" customFormat="1">
      <c r="A919" s="1399"/>
      <c r="B919" s="1429"/>
      <c r="C919" s="1430"/>
      <c r="D919" s="1400"/>
      <c r="E919" s="1401"/>
      <c r="F919" s="1401"/>
      <c r="G919" s="1402"/>
      <c r="H919" s="1403"/>
      <c r="I919" s="1404"/>
      <c r="J919" s="1405"/>
      <c r="K919" s="1405"/>
      <c r="L919" s="1405"/>
      <c r="M919" s="1405"/>
      <c r="N919" s="1406"/>
      <c r="O919" s="1406"/>
      <c r="P919" s="1406"/>
      <c r="Q919" s="1406"/>
      <c r="R919" s="1406"/>
      <c r="S919" s="1406"/>
      <c r="T919" s="1406"/>
      <c r="U919" s="1406"/>
      <c r="V919" s="1406"/>
      <c r="W919" s="1406"/>
      <c r="X919" s="1406"/>
      <c r="Y919" s="1406"/>
      <c r="Z919" s="1406"/>
      <c r="AA919" s="1406"/>
      <c r="AB919" s="1406"/>
      <c r="AC919" s="1406"/>
      <c r="AD919" s="1406"/>
      <c r="AE919" s="1406"/>
      <c r="AF919" s="1406"/>
      <c r="AG919" s="1406"/>
      <c r="AH919" s="1406"/>
      <c r="AI919" s="1406"/>
      <c r="AJ919" s="1406"/>
      <c r="AK919" s="1406"/>
      <c r="AL919" s="1406"/>
      <c r="AM919" s="1406"/>
      <c r="AN919" s="1406"/>
      <c r="AO919" s="1405"/>
      <c r="AP919" s="1405"/>
      <c r="AQ919" s="1405"/>
      <c r="AR919" s="1405"/>
      <c r="AS919" s="1405"/>
      <c r="AT919" s="1405"/>
      <c r="AU919" s="1405"/>
      <c r="AV919" s="1405"/>
    </row>
    <row r="920" spans="1:48" s="1431" customFormat="1">
      <c r="A920" s="1399"/>
      <c r="B920" s="1429"/>
      <c r="C920" s="1430"/>
      <c r="D920" s="1400"/>
      <c r="E920" s="1401"/>
      <c r="F920" s="1401"/>
      <c r="G920" s="1402"/>
      <c r="H920" s="1403"/>
      <c r="I920" s="1404"/>
      <c r="J920" s="1405"/>
      <c r="K920" s="1405"/>
      <c r="L920" s="1405"/>
      <c r="M920" s="1405"/>
      <c r="N920" s="1406"/>
      <c r="O920" s="1406"/>
      <c r="P920" s="1406"/>
      <c r="Q920" s="1406"/>
      <c r="R920" s="1406"/>
      <c r="S920" s="1406"/>
      <c r="T920" s="1406"/>
      <c r="U920" s="1406"/>
      <c r="V920" s="1406"/>
      <c r="W920" s="1406"/>
      <c r="X920" s="1406"/>
      <c r="Y920" s="1406"/>
      <c r="Z920" s="1406"/>
      <c r="AA920" s="1406"/>
      <c r="AB920" s="1406"/>
      <c r="AC920" s="1406"/>
      <c r="AD920" s="1406"/>
      <c r="AE920" s="1406"/>
      <c r="AF920" s="1406"/>
      <c r="AG920" s="1406"/>
      <c r="AH920" s="1406"/>
      <c r="AI920" s="1406"/>
      <c r="AJ920" s="1406"/>
      <c r="AK920" s="1406"/>
      <c r="AL920" s="1406"/>
      <c r="AM920" s="1406"/>
      <c r="AN920" s="1406"/>
      <c r="AO920" s="1405"/>
      <c r="AP920" s="1405"/>
      <c r="AQ920" s="1405"/>
      <c r="AR920" s="1405"/>
      <c r="AS920" s="1405"/>
      <c r="AT920" s="1405"/>
      <c r="AU920" s="1405"/>
      <c r="AV920" s="1405"/>
    </row>
    <row r="921" spans="1:48" s="1431" customFormat="1">
      <c r="A921" s="1399"/>
      <c r="B921" s="1429"/>
      <c r="C921" s="1430"/>
      <c r="D921" s="1400"/>
      <c r="E921" s="1401"/>
      <c r="F921" s="1401"/>
      <c r="G921" s="1402"/>
      <c r="H921" s="1403"/>
      <c r="I921" s="1404"/>
      <c r="J921" s="1405"/>
      <c r="K921" s="1405"/>
      <c r="L921" s="1405"/>
      <c r="M921" s="1405"/>
      <c r="N921" s="1406"/>
      <c r="O921" s="1406"/>
      <c r="P921" s="1406"/>
      <c r="Q921" s="1406"/>
      <c r="R921" s="1406"/>
      <c r="S921" s="1406"/>
      <c r="T921" s="1406"/>
      <c r="U921" s="1406"/>
      <c r="V921" s="1406"/>
      <c r="W921" s="1406"/>
      <c r="X921" s="1406"/>
      <c r="Y921" s="1406"/>
      <c r="Z921" s="1406"/>
      <c r="AA921" s="1406"/>
      <c r="AB921" s="1406"/>
      <c r="AC921" s="1406"/>
      <c r="AD921" s="1406"/>
      <c r="AE921" s="1406"/>
      <c r="AF921" s="1406"/>
      <c r="AG921" s="1406"/>
      <c r="AH921" s="1406"/>
      <c r="AI921" s="1406"/>
      <c r="AJ921" s="1406"/>
      <c r="AK921" s="1406"/>
      <c r="AL921" s="1406"/>
      <c r="AM921" s="1406"/>
      <c r="AN921" s="1406"/>
      <c r="AO921" s="1405"/>
      <c r="AP921" s="1405"/>
      <c r="AQ921" s="1405"/>
      <c r="AR921" s="1405"/>
      <c r="AS921" s="1405"/>
      <c r="AT921" s="1405"/>
      <c r="AU921" s="1405"/>
      <c r="AV921" s="1405"/>
    </row>
    <row r="922" spans="1:48" s="1431" customFormat="1">
      <c r="A922" s="1399"/>
      <c r="B922" s="1429"/>
      <c r="C922" s="1430"/>
      <c r="D922" s="1400"/>
      <c r="E922" s="1401"/>
      <c r="F922" s="1401"/>
      <c r="G922" s="1402"/>
      <c r="H922" s="1403"/>
      <c r="I922" s="1404"/>
      <c r="J922" s="1405"/>
      <c r="K922" s="1405"/>
      <c r="L922" s="1405"/>
      <c r="M922" s="1405"/>
      <c r="N922" s="1406"/>
      <c r="O922" s="1406"/>
      <c r="P922" s="1406"/>
      <c r="Q922" s="1406"/>
      <c r="R922" s="1406"/>
      <c r="S922" s="1406"/>
      <c r="T922" s="1406"/>
      <c r="U922" s="1406"/>
      <c r="V922" s="1406"/>
      <c r="W922" s="1406"/>
      <c r="X922" s="1406"/>
      <c r="Y922" s="1406"/>
      <c r="Z922" s="1406"/>
      <c r="AA922" s="1406"/>
      <c r="AB922" s="1406"/>
      <c r="AC922" s="1406"/>
      <c r="AD922" s="1406"/>
      <c r="AE922" s="1406"/>
      <c r="AF922" s="1406"/>
      <c r="AG922" s="1406"/>
      <c r="AH922" s="1406"/>
      <c r="AI922" s="1406"/>
      <c r="AJ922" s="1406"/>
      <c r="AK922" s="1406"/>
      <c r="AL922" s="1406"/>
      <c r="AM922" s="1406"/>
      <c r="AN922" s="1406"/>
      <c r="AO922" s="1405"/>
      <c r="AP922" s="1405"/>
      <c r="AQ922" s="1405"/>
      <c r="AR922" s="1405"/>
      <c r="AS922" s="1405"/>
      <c r="AT922" s="1405"/>
      <c r="AU922" s="1405"/>
      <c r="AV922" s="1405"/>
    </row>
    <row r="923" spans="1:48" s="1431" customFormat="1">
      <c r="A923" s="1399"/>
      <c r="B923" s="1429"/>
      <c r="C923" s="1430"/>
      <c r="D923" s="1400"/>
      <c r="E923" s="1401"/>
      <c r="F923" s="1401"/>
      <c r="G923" s="1402"/>
      <c r="H923" s="1403"/>
      <c r="I923" s="1404"/>
      <c r="J923" s="1405"/>
      <c r="K923" s="1405"/>
      <c r="L923" s="1405"/>
      <c r="M923" s="1405"/>
      <c r="N923" s="1406"/>
      <c r="O923" s="1406"/>
      <c r="P923" s="1406"/>
      <c r="Q923" s="1406"/>
      <c r="R923" s="1406"/>
      <c r="S923" s="1406"/>
      <c r="T923" s="1406"/>
      <c r="U923" s="1406"/>
      <c r="V923" s="1406"/>
      <c r="W923" s="1406"/>
      <c r="X923" s="1406"/>
      <c r="Y923" s="1406"/>
      <c r="Z923" s="1406"/>
      <c r="AA923" s="1406"/>
      <c r="AB923" s="1406"/>
      <c r="AC923" s="1406"/>
      <c r="AD923" s="1406"/>
      <c r="AE923" s="1406"/>
      <c r="AF923" s="1406"/>
      <c r="AG923" s="1406"/>
      <c r="AH923" s="1406"/>
      <c r="AI923" s="1406"/>
      <c r="AJ923" s="1406"/>
      <c r="AK923" s="1406"/>
      <c r="AL923" s="1406"/>
      <c r="AM923" s="1406"/>
      <c r="AN923" s="1406"/>
      <c r="AO923" s="1405"/>
      <c r="AP923" s="1405"/>
      <c r="AQ923" s="1405"/>
      <c r="AR923" s="1405"/>
      <c r="AS923" s="1405"/>
      <c r="AT923" s="1405"/>
      <c r="AU923" s="1405"/>
      <c r="AV923" s="1405"/>
    </row>
    <row r="924" spans="1:48" s="1431" customFormat="1">
      <c r="A924" s="1399"/>
      <c r="B924" s="1429"/>
      <c r="C924" s="1430"/>
      <c r="D924" s="1400"/>
      <c r="E924" s="1401"/>
      <c r="F924" s="1401"/>
      <c r="G924" s="1402"/>
      <c r="H924" s="1403"/>
      <c r="I924" s="1404"/>
      <c r="J924" s="1405"/>
      <c r="K924" s="1405"/>
      <c r="L924" s="1405"/>
      <c r="M924" s="1405"/>
      <c r="N924" s="1406"/>
      <c r="O924" s="1406"/>
      <c r="P924" s="1406"/>
      <c r="Q924" s="1406"/>
      <c r="R924" s="1406"/>
      <c r="S924" s="1406"/>
      <c r="T924" s="1406"/>
      <c r="U924" s="1406"/>
      <c r="V924" s="1406"/>
      <c r="W924" s="1406"/>
      <c r="X924" s="1406"/>
      <c r="Y924" s="1406"/>
      <c r="Z924" s="1406"/>
      <c r="AA924" s="1406"/>
      <c r="AB924" s="1406"/>
      <c r="AC924" s="1406"/>
      <c r="AD924" s="1406"/>
      <c r="AE924" s="1406"/>
      <c r="AF924" s="1406"/>
      <c r="AG924" s="1406"/>
      <c r="AH924" s="1406"/>
      <c r="AI924" s="1406"/>
      <c r="AJ924" s="1406"/>
      <c r="AK924" s="1406"/>
      <c r="AL924" s="1406"/>
      <c r="AM924" s="1406"/>
      <c r="AN924" s="1406"/>
      <c r="AO924" s="1405"/>
      <c r="AP924" s="1405"/>
      <c r="AQ924" s="1405"/>
      <c r="AR924" s="1405"/>
      <c r="AS924" s="1405"/>
      <c r="AT924" s="1405"/>
      <c r="AU924" s="1405"/>
      <c r="AV924" s="1405"/>
    </row>
    <row r="925" spans="1:48" s="1431" customFormat="1">
      <c r="A925" s="1399"/>
      <c r="B925" s="1429"/>
      <c r="C925" s="1430"/>
      <c r="D925" s="1400"/>
      <c r="E925" s="1401"/>
      <c r="F925" s="1401"/>
      <c r="G925" s="1402"/>
      <c r="H925" s="1403"/>
      <c r="I925" s="1404"/>
      <c r="J925" s="1405"/>
      <c r="K925" s="1405"/>
      <c r="L925" s="1405"/>
      <c r="M925" s="1405"/>
      <c r="N925" s="1406"/>
      <c r="O925" s="1406"/>
      <c r="P925" s="1406"/>
      <c r="Q925" s="1406"/>
      <c r="R925" s="1406"/>
      <c r="S925" s="1406"/>
      <c r="T925" s="1406"/>
      <c r="U925" s="1406"/>
      <c r="V925" s="1406"/>
      <c r="W925" s="1406"/>
      <c r="X925" s="1406"/>
      <c r="Y925" s="1406"/>
      <c r="Z925" s="1406"/>
      <c r="AA925" s="1406"/>
      <c r="AB925" s="1406"/>
      <c r="AC925" s="1406"/>
      <c r="AD925" s="1406"/>
      <c r="AE925" s="1406"/>
      <c r="AF925" s="1406"/>
      <c r="AG925" s="1406"/>
      <c r="AH925" s="1406"/>
      <c r="AI925" s="1406"/>
      <c r="AJ925" s="1406"/>
      <c r="AK925" s="1406"/>
      <c r="AL925" s="1406"/>
      <c r="AM925" s="1406"/>
      <c r="AN925" s="1406"/>
      <c r="AO925" s="1405"/>
      <c r="AP925" s="1405"/>
      <c r="AQ925" s="1405"/>
      <c r="AR925" s="1405"/>
      <c r="AS925" s="1405"/>
      <c r="AT925" s="1405"/>
      <c r="AU925" s="1405"/>
      <c r="AV925" s="1405"/>
    </row>
    <row r="926" spans="1:48" s="1431" customFormat="1">
      <c r="A926" s="1399"/>
      <c r="B926" s="1429"/>
      <c r="C926" s="1430"/>
      <c r="D926" s="1400"/>
      <c r="E926" s="1401"/>
      <c r="F926" s="1401"/>
      <c r="G926" s="1402"/>
      <c r="H926" s="1403"/>
      <c r="I926" s="1404"/>
      <c r="J926" s="1405"/>
      <c r="K926" s="1405"/>
      <c r="L926" s="1405"/>
      <c r="M926" s="1405"/>
      <c r="N926" s="1406"/>
      <c r="O926" s="1406"/>
      <c r="P926" s="1406"/>
      <c r="Q926" s="1406"/>
      <c r="R926" s="1406"/>
      <c r="S926" s="1406"/>
      <c r="T926" s="1406"/>
      <c r="U926" s="1406"/>
      <c r="V926" s="1406"/>
      <c r="W926" s="1406"/>
      <c r="X926" s="1406"/>
      <c r="Y926" s="1406"/>
      <c r="Z926" s="1406"/>
      <c r="AA926" s="1406"/>
      <c r="AB926" s="1406"/>
      <c r="AC926" s="1406"/>
      <c r="AD926" s="1406"/>
      <c r="AE926" s="1406"/>
      <c r="AF926" s="1406"/>
      <c r="AG926" s="1406"/>
      <c r="AH926" s="1406"/>
      <c r="AI926" s="1406"/>
      <c r="AJ926" s="1406"/>
      <c r="AK926" s="1406"/>
      <c r="AL926" s="1406"/>
      <c r="AM926" s="1406"/>
      <c r="AN926" s="1406"/>
      <c r="AO926" s="1405"/>
      <c r="AP926" s="1405"/>
      <c r="AQ926" s="1405"/>
      <c r="AR926" s="1405"/>
      <c r="AS926" s="1405"/>
      <c r="AT926" s="1405"/>
      <c r="AU926" s="1405"/>
      <c r="AV926" s="1405"/>
    </row>
    <row r="927" spans="1:48" s="1431" customFormat="1">
      <c r="A927" s="1399"/>
      <c r="B927" s="1429"/>
      <c r="C927" s="1430"/>
      <c r="D927" s="1400"/>
      <c r="E927" s="1401"/>
      <c r="F927" s="1401"/>
      <c r="G927" s="1402"/>
      <c r="H927" s="1403"/>
      <c r="I927" s="1404"/>
      <c r="J927" s="1405"/>
      <c r="K927" s="1405"/>
      <c r="L927" s="1405"/>
      <c r="M927" s="1405"/>
      <c r="N927" s="1406"/>
      <c r="O927" s="1406"/>
      <c r="P927" s="1406"/>
      <c r="Q927" s="1406"/>
      <c r="R927" s="1406"/>
      <c r="S927" s="1406"/>
      <c r="T927" s="1406"/>
      <c r="U927" s="1406"/>
      <c r="V927" s="1406"/>
      <c r="W927" s="1406"/>
      <c r="X927" s="1406"/>
      <c r="Y927" s="1406"/>
      <c r="Z927" s="1406"/>
      <c r="AA927" s="1406"/>
      <c r="AB927" s="1406"/>
      <c r="AC927" s="1406"/>
      <c r="AD927" s="1406"/>
      <c r="AE927" s="1406"/>
      <c r="AF927" s="1406"/>
      <c r="AG927" s="1406"/>
      <c r="AH927" s="1406"/>
      <c r="AI927" s="1406"/>
      <c r="AJ927" s="1406"/>
      <c r="AK927" s="1406"/>
      <c r="AL927" s="1406"/>
      <c r="AM927" s="1406"/>
      <c r="AN927" s="1406"/>
      <c r="AO927" s="1405"/>
      <c r="AP927" s="1405"/>
      <c r="AQ927" s="1405"/>
      <c r="AR927" s="1405"/>
      <c r="AS927" s="1405"/>
      <c r="AT927" s="1405"/>
      <c r="AU927" s="1405"/>
      <c r="AV927" s="1405"/>
    </row>
    <row r="928" spans="1:48" s="1431" customFormat="1">
      <c r="A928" s="1399"/>
      <c r="B928" s="1429"/>
      <c r="C928" s="1430"/>
      <c r="D928" s="1400"/>
      <c r="E928" s="1401"/>
      <c r="F928" s="1401"/>
      <c r="G928" s="1402"/>
      <c r="H928" s="1403"/>
      <c r="I928" s="1404"/>
      <c r="J928" s="1405"/>
      <c r="K928" s="1405"/>
      <c r="L928" s="1405"/>
      <c r="M928" s="1405"/>
      <c r="N928" s="1406"/>
      <c r="O928" s="1406"/>
      <c r="P928" s="1406"/>
      <c r="Q928" s="1406"/>
      <c r="R928" s="1406"/>
      <c r="S928" s="1406"/>
      <c r="T928" s="1406"/>
      <c r="U928" s="1406"/>
      <c r="V928" s="1406"/>
      <c r="W928" s="1406"/>
      <c r="X928" s="1406"/>
      <c r="Y928" s="1406"/>
      <c r="Z928" s="1406"/>
      <c r="AA928" s="1406"/>
      <c r="AB928" s="1406"/>
      <c r="AC928" s="1406"/>
      <c r="AD928" s="1406"/>
      <c r="AE928" s="1406"/>
      <c r="AF928" s="1406"/>
      <c r="AG928" s="1406"/>
      <c r="AH928" s="1406"/>
      <c r="AI928" s="1406"/>
      <c r="AJ928" s="1406"/>
      <c r="AK928" s="1406"/>
      <c r="AL928" s="1406"/>
      <c r="AM928" s="1406"/>
      <c r="AN928" s="1406"/>
      <c r="AO928" s="1405"/>
      <c r="AP928" s="1405"/>
      <c r="AQ928" s="1405"/>
      <c r="AR928" s="1405"/>
      <c r="AS928" s="1405"/>
      <c r="AT928" s="1405"/>
      <c r="AU928" s="1405"/>
      <c r="AV928" s="1405"/>
    </row>
    <row r="929" spans="1:48" s="1431" customFormat="1">
      <c r="A929" s="1399"/>
      <c r="B929" s="1429"/>
      <c r="C929" s="1430"/>
      <c r="D929" s="1400"/>
      <c r="E929" s="1401"/>
      <c r="F929" s="1401"/>
      <c r="G929" s="1402"/>
      <c r="H929" s="1403"/>
      <c r="I929" s="1404"/>
      <c r="J929" s="1405"/>
      <c r="K929" s="1405"/>
      <c r="L929" s="1405"/>
      <c r="M929" s="1405"/>
      <c r="N929" s="1406"/>
      <c r="O929" s="1406"/>
      <c r="P929" s="1406"/>
      <c r="Q929" s="1406"/>
      <c r="R929" s="1406"/>
      <c r="S929" s="1406"/>
      <c r="T929" s="1406"/>
      <c r="U929" s="1406"/>
      <c r="V929" s="1406"/>
      <c r="W929" s="1406"/>
      <c r="X929" s="1406"/>
      <c r="Y929" s="1406"/>
      <c r="Z929" s="1406"/>
      <c r="AA929" s="1406"/>
      <c r="AB929" s="1406"/>
      <c r="AC929" s="1406"/>
      <c r="AD929" s="1406"/>
      <c r="AE929" s="1406"/>
      <c r="AF929" s="1406"/>
      <c r="AG929" s="1406"/>
      <c r="AH929" s="1406"/>
      <c r="AI929" s="1406"/>
      <c r="AJ929" s="1406"/>
      <c r="AK929" s="1406"/>
      <c r="AL929" s="1406"/>
      <c r="AM929" s="1406"/>
      <c r="AN929" s="1406"/>
      <c r="AO929" s="1405"/>
      <c r="AP929" s="1405"/>
      <c r="AQ929" s="1405"/>
      <c r="AR929" s="1405"/>
      <c r="AS929" s="1405"/>
      <c r="AT929" s="1405"/>
      <c r="AU929" s="1405"/>
      <c r="AV929" s="1405"/>
    </row>
    <row r="930" spans="1:48" s="1431" customFormat="1">
      <c r="A930" s="1399"/>
      <c r="B930" s="1429"/>
      <c r="C930" s="1430"/>
      <c r="D930" s="1400"/>
      <c r="E930" s="1401"/>
      <c r="F930" s="1401"/>
      <c r="G930" s="1402"/>
      <c r="H930" s="1403"/>
      <c r="I930" s="1404"/>
      <c r="J930" s="1405"/>
      <c r="K930" s="1405"/>
      <c r="L930" s="1405"/>
      <c r="M930" s="1405"/>
      <c r="N930" s="1406"/>
      <c r="O930" s="1406"/>
      <c r="P930" s="1406"/>
      <c r="Q930" s="1406"/>
      <c r="R930" s="1406"/>
      <c r="S930" s="1406"/>
      <c r="T930" s="1406"/>
      <c r="U930" s="1406"/>
      <c r="V930" s="1406"/>
      <c r="W930" s="1406"/>
      <c r="X930" s="1406"/>
      <c r="Y930" s="1406"/>
      <c r="Z930" s="1406"/>
      <c r="AA930" s="1406"/>
      <c r="AB930" s="1406"/>
      <c r="AC930" s="1406"/>
      <c r="AD930" s="1406"/>
      <c r="AE930" s="1406"/>
      <c r="AF930" s="1406"/>
      <c r="AG930" s="1406"/>
      <c r="AH930" s="1406"/>
      <c r="AI930" s="1406"/>
      <c r="AJ930" s="1406"/>
      <c r="AK930" s="1406"/>
      <c r="AL930" s="1406"/>
      <c r="AM930" s="1406"/>
      <c r="AN930" s="1406"/>
      <c r="AO930" s="1405"/>
      <c r="AP930" s="1405"/>
      <c r="AQ930" s="1405"/>
      <c r="AR930" s="1405"/>
      <c r="AS930" s="1405"/>
      <c r="AT930" s="1405"/>
      <c r="AU930" s="1405"/>
      <c r="AV930" s="1405"/>
    </row>
    <row r="931" spans="1:48" s="1431" customFormat="1">
      <c r="A931" s="1399"/>
      <c r="B931" s="1429"/>
      <c r="C931" s="1430"/>
      <c r="D931" s="1400"/>
      <c r="E931" s="1401"/>
      <c r="F931" s="1401"/>
      <c r="G931" s="1402"/>
      <c r="H931" s="1403"/>
      <c r="I931" s="1404"/>
      <c r="J931" s="1405"/>
      <c r="K931" s="1405"/>
      <c r="L931" s="1405"/>
      <c r="M931" s="1405"/>
      <c r="N931" s="1406"/>
      <c r="O931" s="1406"/>
      <c r="P931" s="1406"/>
      <c r="Q931" s="1406"/>
      <c r="R931" s="1406"/>
      <c r="S931" s="1406"/>
      <c r="T931" s="1406"/>
      <c r="U931" s="1406"/>
      <c r="V931" s="1406"/>
      <c r="W931" s="1406"/>
      <c r="X931" s="1406"/>
      <c r="Y931" s="1406"/>
      <c r="Z931" s="1406"/>
      <c r="AA931" s="1406"/>
      <c r="AB931" s="1406"/>
      <c r="AC931" s="1406"/>
      <c r="AD931" s="1406"/>
      <c r="AE931" s="1406"/>
      <c r="AF931" s="1406"/>
      <c r="AG931" s="1406"/>
      <c r="AH931" s="1406"/>
      <c r="AI931" s="1406"/>
      <c r="AJ931" s="1406"/>
      <c r="AK931" s="1406"/>
      <c r="AL931" s="1406"/>
      <c r="AM931" s="1406"/>
      <c r="AN931" s="1406"/>
      <c r="AO931" s="1405"/>
      <c r="AP931" s="1405"/>
      <c r="AQ931" s="1405"/>
      <c r="AR931" s="1405"/>
      <c r="AS931" s="1405"/>
      <c r="AT931" s="1405"/>
      <c r="AU931" s="1405"/>
      <c r="AV931" s="1405"/>
    </row>
    <row r="932" spans="1:48" s="1431" customFormat="1">
      <c r="A932" s="1399"/>
      <c r="B932" s="1429"/>
      <c r="C932" s="1430"/>
      <c r="D932" s="1400"/>
      <c r="E932" s="1401"/>
      <c r="F932" s="1401"/>
      <c r="G932" s="1402"/>
      <c r="H932" s="1403"/>
      <c r="I932" s="1404"/>
      <c r="J932" s="1405"/>
      <c r="K932" s="1405"/>
      <c r="L932" s="1405"/>
      <c r="M932" s="1405"/>
      <c r="N932" s="1406"/>
      <c r="O932" s="1406"/>
      <c r="P932" s="1406"/>
      <c r="Q932" s="1406"/>
      <c r="R932" s="1406"/>
      <c r="S932" s="1406"/>
      <c r="T932" s="1406"/>
      <c r="U932" s="1406"/>
      <c r="V932" s="1406"/>
      <c r="W932" s="1406"/>
      <c r="X932" s="1406"/>
      <c r="Y932" s="1406"/>
      <c r="Z932" s="1406"/>
      <c r="AA932" s="1406"/>
      <c r="AB932" s="1406"/>
      <c r="AC932" s="1406"/>
      <c r="AD932" s="1406"/>
      <c r="AE932" s="1406"/>
      <c r="AF932" s="1406"/>
      <c r="AG932" s="1406"/>
      <c r="AH932" s="1406"/>
      <c r="AI932" s="1406"/>
      <c r="AJ932" s="1406"/>
      <c r="AK932" s="1406"/>
      <c r="AL932" s="1406"/>
      <c r="AM932" s="1406"/>
      <c r="AN932" s="1406"/>
      <c r="AO932" s="1405"/>
      <c r="AP932" s="1405"/>
      <c r="AQ932" s="1405"/>
      <c r="AR932" s="1405"/>
      <c r="AS932" s="1405"/>
      <c r="AT932" s="1405"/>
      <c r="AU932" s="1405"/>
      <c r="AV932" s="1405"/>
    </row>
    <row r="933" spans="1:48" s="1431" customFormat="1">
      <c r="A933" s="1399"/>
      <c r="B933" s="1429"/>
      <c r="C933" s="1430"/>
      <c r="D933" s="1400"/>
      <c r="E933" s="1401"/>
      <c r="F933" s="1401"/>
      <c r="G933" s="1402"/>
      <c r="H933" s="1403"/>
      <c r="I933" s="1404"/>
      <c r="J933" s="1405"/>
      <c r="K933" s="1405"/>
      <c r="L933" s="1405"/>
      <c r="M933" s="1405"/>
      <c r="N933" s="1406"/>
      <c r="O933" s="1406"/>
      <c r="P933" s="1406"/>
      <c r="Q933" s="1406"/>
      <c r="R933" s="1406"/>
      <c r="S933" s="1406"/>
      <c r="T933" s="1406"/>
      <c r="U933" s="1406"/>
      <c r="V933" s="1406"/>
      <c r="W933" s="1406"/>
      <c r="X933" s="1406"/>
      <c r="Y933" s="1406"/>
      <c r="Z933" s="1406"/>
      <c r="AA933" s="1406"/>
      <c r="AB933" s="1406"/>
      <c r="AC933" s="1406"/>
      <c r="AD933" s="1406"/>
      <c r="AE933" s="1406"/>
      <c r="AF933" s="1406"/>
      <c r="AG933" s="1406"/>
      <c r="AH933" s="1406"/>
      <c r="AI933" s="1406"/>
      <c r="AJ933" s="1406"/>
      <c r="AK933" s="1406"/>
      <c r="AL933" s="1406"/>
      <c r="AM933" s="1406"/>
      <c r="AN933" s="1406"/>
      <c r="AO933" s="1405"/>
      <c r="AP933" s="1405"/>
      <c r="AQ933" s="1405"/>
      <c r="AR933" s="1405"/>
      <c r="AS933" s="1405"/>
      <c r="AT933" s="1405"/>
      <c r="AU933" s="1405"/>
      <c r="AV933" s="1405"/>
    </row>
    <row r="934" spans="1:48" s="1431" customFormat="1">
      <c r="A934" s="1399"/>
      <c r="B934" s="1429"/>
      <c r="C934" s="1430"/>
      <c r="D934" s="1400"/>
      <c r="E934" s="1401"/>
      <c r="F934" s="1401"/>
      <c r="G934" s="1402"/>
      <c r="H934" s="1403"/>
      <c r="I934" s="1404"/>
      <c r="J934" s="1405"/>
      <c r="K934" s="1405"/>
      <c r="L934" s="1405"/>
      <c r="M934" s="1405"/>
      <c r="N934" s="1406"/>
      <c r="O934" s="1406"/>
      <c r="P934" s="1406"/>
      <c r="Q934" s="1406"/>
      <c r="R934" s="1406"/>
      <c r="S934" s="1406"/>
      <c r="T934" s="1406"/>
      <c r="U934" s="1406"/>
      <c r="V934" s="1406"/>
      <c r="W934" s="1406"/>
      <c r="X934" s="1406"/>
      <c r="Y934" s="1406"/>
      <c r="Z934" s="1406"/>
      <c r="AA934" s="1406"/>
      <c r="AB934" s="1406"/>
      <c r="AC934" s="1406"/>
      <c r="AD934" s="1406"/>
      <c r="AE934" s="1406"/>
      <c r="AF934" s="1406"/>
      <c r="AG934" s="1406"/>
      <c r="AH934" s="1406"/>
      <c r="AI934" s="1406"/>
      <c r="AJ934" s="1406"/>
      <c r="AK934" s="1406"/>
      <c r="AL934" s="1406"/>
      <c r="AM934" s="1406"/>
      <c r="AN934" s="1406"/>
      <c r="AO934" s="1405"/>
      <c r="AP934" s="1405"/>
      <c r="AQ934" s="1405"/>
      <c r="AR934" s="1405"/>
      <c r="AS934" s="1405"/>
      <c r="AT934" s="1405"/>
      <c r="AU934" s="1405"/>
      <c r="AV934" s="1405"/>
    </row>
    <row r="935" spans="1:48" s="1431" customFormat="1">
      <c r="A935" s="1399"/>
      <c r="B935" s="1429"/>
      <c r="C935" s="1430"/>
      <c r="D935" s="1400"/>
      <c r="E935" s="1401"/>
      <c r="F935" s="1401"/>
      <c r="G935" s="1402"/>
      <c r="H935" s="1403"/>
      <c r="I935" s="1404"/>
      <c r="J935" s="1405"/>
      <c r="K935" s="1405"/>
      <c r="L935" s="1405"/>
      <c r="M935" s="1405"/>
      <c r="N935" s="1406"/>
      <c r="O935" s="1406"/>
      <c r="P935" s="1406"/>
      <c r="Q935" s="1406"/>
      <c r="R935" s="1406"/>
      <c r="S935" s="1406"/>
      <c r="T935" s="1406"/>
      <c r="U935" s="1406"/>
      <c r="V935" s="1406"/>
      <c r="W935" s="1406"/>
      <c r="X935" s="1406"/>
      <c r="Y935" s="1406"/>
      <c r="Z935" s="1406"/>
      <c r="AA935" s="1406"/>
      <c r="AB935" s="1406"/>
      <c r="AC935" s="1406"/>
      <c r="AD935" s="1406"/>
      <c r="AE935" s="1406"/>
      <c r="AF935" s="1406"/>
      <c r="AG935" s="1406"/>
      <c r="AH935" s="1406"/>
      <c r="AI935" s="1406"/>
      <c r="AJ935" s="1406"/>
      <c r="AK935" s="1406"/>
      <c r="AL935" s="1406"/>
      <c r="AM935" s="1406"/>
      <c r="AN935" s="1406"/>
      <c r="AO935" s="1405"/>
      <c r="AP935" s="1405"/>
      <c r="AQ935" s="1405"/>
      <c r="AR935" s="1405"/>
      <c r="AS935" s="1405"/>
      <c r="AT935" s="1405"/>
      <c r="AU935" s="1405"/>
      <c r="AV935" s="1405"/>
    </row>
    <row r="936" spans="1:48" s="1431" customFormat="1">
      <c r="A936" s="1399"/>
      <c r="B936" s="1429"/>
      <c r="C936" s="1430"/>
      <c r="D936" s="1400"/>
      <c r="E936" s="1401"/>
      <c r="F936" s="1401"/>
      <c r="G936" s="1402"/>
      <c r="H936" s="1403"/>
      <c r="I936" s="1404"/>
      <c r="J936" s="1405"/>
      <c r="K936" s="1405"/>
      <c r="L936" s="1405"/>
      <c r="M936" s="1405"/>
      <c r="N936" s="1406"/>
      <c r="O936" s="1406"/>
      <c r="P936" s="1406"/>
      <c r="Q936" s="1406"/>
      <c r="R936" s="1406"/>
      <c r="S936" s="1406"/>
      <c r="T936" s="1406"/>
      <c r="U936" s="1406"/>
      <c r="V936" s="1406"/>
      <c r="W936" s="1406"/>
      <c r="X936" s="1406"/>
      <c r="Y936" s="1406"/>
      <c r="Z936" s="1406"/>
      <c r="AA936" s="1406"/>
      <c r="AB936" s="1406"/>
      <c r="AC936" s="1406"/>
      <c r="AD936" s="1406"/>
      <c r="AE936" s="1406"/>
      <c r="AF936" s="1406"/>
      <c r="AG936" s="1406"/>
      <c r="AH936" s="1406"/>
      <c r="AI936" s="1406"/>
      <c r="AJ936" s="1406"/>
      <c r="AK936" s="1406"/>
      <c r="AL936" s="1406"/>
      <c r="AM936" s="1406"/>
      <c r="AN936" s="1406"/>
      <c r="AO936" s="1405"/>
      <c r="AP936" s="1405"/>
      <c r="AQ936" s="1405"/>
      <c r="AR936" s="1405"/>
      <c r="AS936" s="1405"/>
      <c r="AT936" s="1405"/>
      <c r="AU936" s="1405"/>
      <c r="AV936" s="1405"/>
    </row>
    <row r="937" spans="1:48" s="1431" customFormat="1">
      <c r="A937" s="1399"/>
      <c r="B937" s="1429"/>
      <c r="C937" s="1430"/>
      <c r="D937" s="1400"/>
      <c r="E937" s="1401"/>
      <c r="F937" s="1401"/>
      <c r="G937" s="1402"/>
      <c r="H937" s="1403"/>
      <c r="I937" s="1404"/>
      <c r="J937" s="1405"/>
      <c r="K937" s="1405"/>
      <c r="L937" s="1405"/>
      <c r="M937" s="1405"/>
      <c r="N937" s="1406"/>
      <c r="O937" s="1406"/>
      <c r="P937" s="1406"/>
      <c r="Q937" s="1406"/>
      <c r="R937" s="1406"/>
      <c r="S937" s="1406"/>
      <c r="T937" s="1406"/>
      <c r="U937" s="1406"/>
      <c r="V937" s="1406"/>
      <c r="W937" s="1406"/>
      <c r="X937" s="1406"/>
      <c r="Y937" s="1406"/>
      <c r="Z937" s="1406"/>
      <c r="AA937" s="1406"/>
      <c r="AB937" s="1406"/>
      <c r="AC937" s="1406"/>
      <c r="AD937" s="1406"/>
      <c r="AE937" s="1406"/>
      <c r="AF937" s="1406"/>
      <c r="AG937" s="1406"/>
      <c r="AH937" s="1406"/>
      <c r="AI937" s="1406"/>
      <c r="AJ937" s="1406"/>
      <c r="AK937" s="1406"/>
      <c r="AL937" s="1406"/>
      <c r="AM937" s="1406"/>
      <c r="AN937" s="1406"/>
      <c r="AO937" s="1405"/>
      <c r="AP937" s="1405"/>
      <c r="AQ937" s="1405"/>
      <c r="AR937" s="1405"/>
      <c r="AS937" s="1405"/>
      <c r="AT937" s="1405"/>
      <c r="AU937" s="1405"/>
      <c r="AV937" s="1405"/>
    </row>
    <row r="938" spans="1:48" s="1431" customFormat="1">
      <c r="A938" s="1399"/>
      <c r="B938" s="1429"/>
      <c r="C938" s="1430"/>
      <c r="D938" s="1400"/>
      <c r="E938" s="1401"/>
      <c r="F938" s="1401"/>
      <c r="G938" s="1402"/>
      <c r="H938" s="1403"/>
      <c r="I938" s="1404"/>
      <c r="J938" s="1405"/>
      <c r="K938" s="1405"/>
      <c r="L938" s="1405"/>
      <c r="M938" s="1405"/>
      <c r="N938" s="1406"/>
      <c r="O938" s="1406"/>
      <c r="P938" s="1406"/>
      <c r="Q938" s="1406"/>
      <c r="R938" s="1406"/>
      <c r="S938" s="1406"/>
      <c r="T938" s="1406"/>
      <c r="U938" s="1406"/>
      <c r="V938" s="1406"/>
      <c r="W938" s="1406"/>
      <c r="X938" s="1406"/>
      <c r="Y938" s="1406"/>
      <c r="Z938" s="1406"/>
      <c r="AA938" s="1406"/>
      <c r="AB938" s="1406"/>
      <c r="AC938" s="1406"/>
      <c r="AD938" s="1406"/>
      <c r="AE938" s="1406"/>
      <c r="AF938" s="1406"/>
      <c r="AG938" s="1406"/>
      <c r="AH938" s="1406"/>
      <c r="AI938" s="1406"/>
      <c r="AJ938" s="1406"/>
      <c r="AK938" s="1406"/>
      <c r="AL938" s="1406"/>
      <c r="AM938" s="1406"/>
      <c r="AN938" s="1406"/>
      <c r="AO938" s="1405"/>
      <c r="AP938" s="1405"/>
      <c r="AQ938" s="1405"/>
      <c r="AR938" s="1405"/>
      <c r="AS938" s="1405"/>
      <c r="AT938" s="1405"/>
      <c r="AU938" s="1405"/>
      <c r="AV938" s="1405"/>
    </row>
    <row r="939" spans="1:48" s="1431" customFormat="1">
      <c r="A939" s="1399"/>
      <c r="B939" s="1429"/>
      <c r="C939" s="1430"/>
      <c r="D939" s="1400"/>
      <c r="E939" s="1401"/>
      <c r="F939" s="1401"/>
      <c r="G939" s="1402"/>
      <c r="H939" s="1403"/>
      <c r="I939" s="1404"/>
      <c r="J939" s="1405"/>
      <c r="K939" s="1405"/>
      <c r="L939" s="1405"/>
      <c r="M939" s="1405"/>
      <c r="N939" s="1406"/>
      <c r="O939" s="1406"/>
      <c r="P939" s="1406"/>
      <c r="Q939" s="1406"/>
      <c r="R939" s="1406"/>
      <c r="S939" s="1406"/>
      <c r="T939" s="1406"/>
      <c r="U939" s="1406"/>
      <c r="V939" s="1406"/>
      <c r="W939" s="1406"/>
      <c r="X939" s="1406"/>
      <c r="Y939" s="1406"/>
      <c r="Z939" s="1406"/>
      <c r="AA939" s="1406"/>
      <c r="AB939" s="1406"/>
      <c r="AC939" s="1406"/>
      <c r="AD939" s="1406"/>
      <c r="AE939" s="1406"/>
      <c r="AF939" s="1406"/>
      <c r="AG939" s="1406"/>
      <c r="AH939" s="1406"/>
      <c r="AI939" s="1406"/>
      <c r="AJ939" s="1406"/>
      <c r="AK939" s="1406"/>
      <c r="AL939" s="1406"/>
      <c r="AM939" s="1406"/>
      <c r="AN939" s="1406"/>
      <c r="AO939" s="1405"/>
      <c r="AP939" s="1405"/>
      <c r="AQ939" s="1405"/>
      <c r="AR939" s="1405"/>
      <c r="AS939" s="1405"/>
      <c r="AT939" s="1405"/>
      <c r="AU939" s="1405"/>
      <c r="AV939" s="1405"/>
    </row>
    <row r="940" spans="1:48" s="1431" customFormat="1">
      <c r="A940" s="1399"/>
      <c r="B940" s="1429"/>
      <c r="C940" s="1430"/>
      <c r="D940" s="1400"/>
      <c r="E940" s="1401"/>
      <c r="F940" s="1401"/>
      <c r="G940" s="1402"/>
      <c r="H940" s="1403"/>
      <c r="I940" s="1404"/>
      <c r="J940" s="1405"/>
      <c r="K940" s="1405"/>
      <c r="L940" s="1405"/>
      <c r="M940" s="1405"/>
      <c r="N940" s="1406"/>
      <c r="O940" s="1406"/>
      <c r="P940" s="1406"/>
      <c r="Q940" s="1406"/>
      <c r="R940" s="1406"/>
      <c r="S940" s="1406"/>
      <c r="T940" s="1406"/>
      <c r="U940" s="1406"/>
      <c r="V940" s="1406"/>
      <c r="W940" s="1406"/>
      <c r="X940" s="1406"/>
      <c r="Y940" s="1406"/>
      <c r="Z940" s="1406"/>
      <c r="AA940" s="1406"/>
      <c r="AB940" s="1406"/>
      <c r="AC940" s="1406"/>
      <c r="AD940" s="1406"/>
      <c r="AE940" s="1406"/>
      <c r="AF940" s="1406"/>
      <c r="AG940" s="1406"/>
      <c r="AH940" s="1406"/>
      <c r="AI940" s="1406"/>
      <c r="AJ940" s="1406"/>
      <c r="AK940" s="1406"/>
      <c r="AL940" s="1406"/>
      <c r="AM940" s="1406"/>
      <c r="AN940" s="1406"/>
      <c r="AO940" s="1405"/>
      <c r="AP940" s="1405"/>
      <c r="AQ940" s="1405"/>
      <c r="AR940" s="1405"/>
      <c r="AS940" s="1405"/>
      <c r="AT940" s="1405"/>
      <c r="AU940" s="1405"/>
      <c r="AV940" s="1405"/>
    </row>
    <row r="941" spans="1:48" s="1431" customFormat="1">
      <c r="A941" s="1399"/>
      <c r="B941" s="1429"/>
      <c r="C941" s="1430"/>
      <c r="D941" s="1400"/>
      <c r="E941" s="1401"/>
      <c r="F941" s="1401"/>
      <c r="G941" s="1402"/>
      <c r="H941" s="1403"/>
      <c r="I941" s="1404"/>
      <c r="J941" s="1405"/>
      <c r="K941" s="1405"/>
      <c r="L941" s="1405"/>
      <c r="M941" s="1405"/>
      <c r="N941" s="1406"/>
      <c r="O941" s="1406"/>
      <c r="P941" s="1406"/>
      <c r="Q941" s="1406"/>
      <c r="R941" s="1406"/>
      <c r="S941" s="1406"/>
      <c r="T941" s="1406"/>
      <c r="U941" s="1406"/>
      <c r="V941" s="1406"/>
      <c r="W941" s="1406"/>
      <c r="X941" s="1406"/>
      <c r="Y941" s="1406"/>
      <c r="Z941" s="1406"/>
      <c r="AA941" s="1406"/>
      <c r="AB941" s="1406"/>
      <c r="AC941" s="1406"/>
      <c r="AD941" s="1406"/>
      <c r="AE941" s="1406"/>
      <c r="AF941" s="1406"/>
      <c r="AG941" s="1406"/>
      <c r="AH941" s="1406"/>
      <c r="AI941" s="1406"/>
      <c r="AJ941" s="1406"/>
      <c r="AK941" s="1406"/>
      <c r="AL941" s="1406"/>
      <c r="AM941" s="1406"/>
      <c r="AN941" s="1406"/>
      <c r="AO941" s="1405"/>
      <c r="AP941" s="1405"/>
      <c r="AQ941" s="1405"/>
      <c r="AR941" s="1405"/>
      <c r="AS941" s="1405"/>
      <c r="AT941" s="1405"/>
      <c r="AU941" s="1405"/>
      <c r="AV941" s="1405"/>
    </row>
    <row r="942" spans="1:48" s="1431" customFormat="1">
      <c r="A942" s="1399"/>
      <c r="B942" s="1429"/>
      <c r="C942" s="1430"/>
      <c r="D942" s="1400"/>
      <c r="E942" s="1401"/>
      <c r="F942" s="1401"/>
      <c r="G942" s="1402"/>
      <c r="H942" s="1403"/>
      <c r="I942" s="1404"/>
      <c r="J942" s="1405"/>
      <c r="K942" s="1405"/>
      <c r="L942" s="1405"/>
      <c r="M942" s="1405"/>
      <c r="N942" s="1406"/>
      <c r="O942" s="1406"/>
      <c r="P942" s="1406"/>
      <c r="Q942" s="1406"/>
      <c r="R942" s="1406"/>
      <c r="S942" s="1406"/>
      <c r="T942" s="1406"/>
      <c r="U942" s="1406"/>
      <c r="V942" s="1406"/>
      <c r="W942" s="1406"/>
      <c r="X942" s="1406"/>
      <c r="Y942" s="1406"/>
      <c r="Z942" s="1406"/>
      <c r="AA942" s="1406"/>
      <c r="AB942" s="1406"/>
      <c r="AC942" s="1406"/>
      <c r="AD942" s="1406"/>
      <c r="AE942" s="1406"/>
      <c r="AF942" s="1406"/>
      <c r="AG942" s="1406"/>
      <c r="AH942" s="1406"/>
      <c r="AI942" s="1406"/>
      <c r="AJ942" s="1406"/>
      <c r="AK942" s="1406"/>
      <c r="AL942" s="1406"/>
      <c r="AM942" s="1406"/>
      <c r="AN942" s="1406"/>
      <c r="AO942" s="1405"/>
      <c r="AP942" s="1405"/>
      <c r="AQ942" s="1405"/>
      <c r="AR942" s="1405"/>
      <c r="AS942" s="1405"/>
      <c r="AT942" s="1405"/>
      <c r="AU942" s="1405"/>
      <c r="AV942" s="1405"/>
    </row>
    <row r="943" spans="1:48" s="1431" customFormat="1">
      <c r="A943" s="1399"/>
      <c r="B943" s="1429"/>
      <c r="C943" s="1430"/>
      <c r="D943" s="1400"/>
      <c r="E943" s="1401"/>
      <c r="F943" s="1401"/>
      <c r="G943" s="1402"/>
      <c r="H943" s="1403"/>
      <c r="I943" s="1404"/>
      <c r="J943" s="1405"/>
      <c r="K943" s="1405"/>
      <c r="L943" s="1405"/>
      <c r="M943" s="1405"/>
      <c r="N943" s="1406"/>
      <c r="O943" s="1406"/>
      <c r="P943" s="1406"/>
      <c r="Q943" s="1406"/>
      <c r="R943" s="1406"/>
      <c r="S943" s="1406"/>
      <c r="T943" s="1406"/>
      <c r="U943" s="1406"/>
      <c r="V943" s="1406"/>
      <c r="W943" s="1406"/>
      <c r="X943" s="1406"/>
      <c r="Y943" s="1406"/>
      <c r="Z943" s="1406"/>
      <c r="AA943" s="1406"/>
      <c r="AB943" s="1406"/>
      <c r="AC943" s="1406"/>
      <c r="AD943" s="1406"/>
      <c r="AE943" s="1406"/>
      <c r="AF943" s="1406"/>
      <c r="AG943" s="1406"/>
      <c r="AH943" s="1406"/>
      <c r="AI943" s="1406"/>
      <c r="AJ943" s="1406"/>
      <c r="AK943" s="1406"/>
      <c r="AL943" s="1406"/>
      <c r="AM943" s="1406"/>
      <c r="AN943" s="1406"/>
      <c r="AO943" s="1405"/>
      <c r="AP943" s="1405"/>
      <c r="AQ943" s="1405"/>
      <c r="AR943" s="1405"/>
      <c r="AS943" s="1405"/>
      <c r="AT943" s="1405"/>
      <c r="AU943" s="1405"/>
      <c r="AV943" s="1405"/>
    </row>
    <row r="944" spans="1:48" s="1431" customFormat="1">
      <c r="A944" s="1399"/>
      <c r="B944" s="1429"/>
      <c r="C944" s="1430"/>
      <c r="D944" s="1400"/>
      <c r="E944" s="1401"/>
      <c r="F944" s="1401"/>
      <c r="G944" s="1402"/>
      <c r="H944" s="1403"/>
      <c r="I944" s="1404"/>
      <c r="J944" s="1405"/>
      <c r="K944" s="1405"/>
      <c r="L944" s="1405"/>
      <c r="M944" s="1405"/>
      <c r="N944" s="1406"/>
      <c r="O944" s="1406"/>
      <c r="P944" s="1406"/>
      <c r="Q944" s="1406"/>
      <c r="R944" s="1406"/>
      <c r="S944" s="1406"/>
      <c r="T944" s="1406"/>
      <c r="U944" s="1406"/>
      <c r="V944" s="1406"/>
      <c r="W944" s="1406"/>
      <c r="X944" s="1406"/>
      <c r="Y944" s="1406"/>
      <c r="Z944" s="1406"/>
      <c r="AA944" s="1406"/>
      <c r="AB944" s="1406"/>
      <c r="AC944" s="1406"/>
      <c r="AD944" s="1406"/>
      <c r="AE944" s="1406"/>
      <c r="AF944" s="1406"/>
      <c r="AG944" s="1406"/>
      <c r="AH944" s="1406"/>
      <c r="AI944" s="1406"/>
      <c r="AJ944" s="1406"/>
      <c r="AK944" s="1406"/>
      <c r="AL944" s="1406"/>
      <c r="AM944" s="1406"/>
      <c r="AN944" s="1406"/>
      <c r="AO944" s="1405"/>
      <c r="AP944" s="1405"/>
      <c r="AQ944" s="1405"/>
      <c r="AR944" s="1405"/>
      <c r="AS944" s="1405"/>
      <c r="AT944" s="1405"/>
      <c r="AU944" s="1405"/>
      <c r="AV944" s="1405"/>
    </row>
    <row r="945" spans="1:48" s="1431" customFormat="1">
      <c r="A945" s="1399"/>
      <c r="B945" s="1429"/>
      <c r="C945" s="1430"/>
      <c r="D945" s="1400"/>
      <c r="E945" s="1401"/>
      <c r="F945" s="1401"/>
      <c r="G945" s="1402"/>
      <c r="H945" s="1403"/>
      <c r="I945" s="1404"/>
      <c r="J945" s="1405"/>
      <c r="K945" s="1405"/>
      <c r="L945" s="1405"/>
      <c r="M945" s="1405"/>
      <c r="N945" s="1406"/>
      <c r="O945" s="1406"/>
      <c r="P945" s="1406"/>
      <c r="Q945" s="1406"/>
      <c r="R945" s="1406"/>
      <c r="S945" s="1406"/>
      <c r="T945" s="1406"/>
      <c r="U945" s="1406"/>
      <c r="V945" s="1406"/>
      <c r="W945" s="1406"/>
      <c r="X945" s="1406"/>
      <c r="Y945" s="1406"/>
      <c r="Z945" s="1406"/>
      <c r="AA945" s="1406"/>
      <c r="AB945" s="1406"/>
      <c r="AC945" s="1406"/>
      <c r="AD945" s="1406"/>
      <c r="AE945" s="1406"/>
      <c r="AF945" s="1406"/>
      <c r="AG945" s="1406"/>
      <c r="AH945" s="1406"/>
      <c r="AI945" s="1406"/>
      <c r="AJ945" s="1406"/>
      <c r="AK945" s="1406"/>
      <c r="AL945" s="1406"/>
      <c r="AM945" s="1406"/>
      <c r="AN945" s="1406"/>
      <c r="AO945" s="1405"/>
      <c r="AP945" s="1405"/>
      <c r="AQ945" s="1405"/>
      <c r="AR945" s="1405"/>
      <c r="AS945" s="1405"/>
      <c r="AT945" s="1405"/>
      <c r="AU945" s="1405"/>
      <c r="AV945" s="1405"/>
    </row>
    <row r="946" spans="1:48" s="1431" customFormat="1">
      <c r="A946" s="1399"/>
      <c r="B946" s="1429"/>
      <c r="C946" s="1430"/>
      <c r="D946" s="1400"/>
      <c r="E946" s="1401"/>
      <c r="F946" s="1401"/>
      <c r="G946" s="1402"/>
      <c r="H946" s="1403"/>
      <c r="I946" s="1404"/>
      <c r="J946" s="1405"/>
      <c r="K946" s="1405"/>
      <c r="L946" s="1405"/>
      <c r="M946" s="1405"/>
      <c r="N946" s="1406"/>
      <c r="O946" s="1406"/>
      <c r="P946" s="1406"/>
      <c r="Q946" s="1406"/>
      <c r="R946" s="1406"/>
      <c r="S946" s="1406"/>
      <c r="T946" s="1406"/>
      <c r="U946" s="1406"/>
      <c r="V946" s="1406"/>
      <c r="W946" s="1406"/>
      <c r="X946" s="1406"/>
      <c r="Y946" s="1406"/>
      <c r="Z946" s="1406"/>
      <c r="AA946" s="1406"/>
      <c r="AB946" s="1406"/>
      <c r="AC946" s="1406"/>
      <c r="AD946" s="1406"/>
      <c r="AE946" s="1406"/>
      <c r="AF946" s="1406"/>
      <c r="AG946" s="1406"/>
      <c r="AH946" s="1406"/>
      <c r="AI946" s="1406"/>
      <c r="AJ946" s="1406"/>
      <c r="AK946" s="1406"/>
      <c r="AL946" s="1406"/>
      <c r="AM946" s="1406"/>
      <c r="AN946" s="1406"/>
      <c r="AO946" s="1405"/>
      <c r="AP946" s="1405"/>
      <c r="AQ946" s="1405"/>
      <c r="AR946" s="1405"/>
      <c r="AS946" s="1405"/>
      <c r="AT946" s="1405"/>
      <c r="AU946" s="1405"/>
      <c r="AV946" s="1405"/>
    </row>
    <row r="947" spans="1:48" s="1431" customFormat="1">
      <c r="A947" s="1399"/>
      <c r="B947" s="1429"/>
      <c r="C947" s="1430"/>
      <c r="D947" s="1400"/>
      <c r="E947" s="1401"/>
      <c r="F947" s="1401"/>
      <c r="G947" s="1402"/>
      <c r="H947" s="1403"/>
      <c r="I947" s="1404"/>
      <c r="J947" s="1405"/>
      <c r="K947" s="1405"/>
      <c r="L947" s="1405"/>
      <c r="M947" s="1405"/>
      <c r="N947" s="1406"/>
      <c r="O947" s="1406"/>
      <c r="P947" s="1406"/>
      <c r="Q947" s="1406"/>
      <c r="R947" s="1406"/>
      <c r="S947" s="1406"/>
      <c r="T947" s="1406"/>
      <c r="U947" s="1406"/>
      <c r="V947" s="1406"/>
      <c r="W947" s="1406"/>
      <c r="X947" s="1406"/>
      <c r="Y947" s="1406"/>
      <c r="Z947" s="1406"/>
      <c r="AA947" s="1406"/>
      <c r="AB947" s="1406"/>
      <c r="AC947" s="1406"/>
      <c r="AD947" s="1406"/>
      <c r="AE947" s="1406"/>
      <c r="AF947" s="1406"/>
      <c r="AG947" s="1406"/>
      <c r="AH947" s="1406"/>
      <c r="AI947" s="1406"/>
      <c r="AJ947" s="1406"/>
      <c r="AK947" s="1406"/>
      <c r="AL947" s="1406"/>
      <c r="AM947" s="1406"/>
      <c r="AN947" s="1406"/>
      <c r="AO947" s="1405"/>
      <c r="AP947" s="1405"/>
      <c r="AQ947" s="1405"/>
      <c r="AR947" s="1405"/>
      <c r="AS947" s="1405"/>
      <c r="AT947" s="1405"/>
      <c r="AU947" s="1405"/>
      <c r="AV947" s="1405"/>
    </row>
    <row r="948" spans="1:48" s="1431" customFormat="1">
      <c r="A948" s="1399"/>
      <c r="B948" s="1429"/>
      <c r="C948" s="1430"/>
      <c r="D948" s="1400"/>
      <c r="E948" s="1401"/>
      <c r="F948" s="1401"/>
      <c r="G948" s="1402"/>
      <c r="H948" s="1403"/>
      <c r="I948" s="1404"/>
      <c r="J948" s="1405"/>
      <c r="K948" s="1405"/>
      <c r="L948" s="1405"/>
      <c r="M948" s="1405"/>
      <c r="N948" s="1406"/>
      <c r="O948" s="1406"/>
      <c r="P948" s="1406"/>
      <c r="Q948" s="1406"/>
      <c r="R948" s="1406"/>
      <c r="S948" s="1406"/>
      <c r="T948" s="1406"/>
      <c r="U948" s="1406"/>
      <c r="V948" s="1406"/>
      <c r="W948" s="1406"/>
      <c r="X948" s="1406"/>
      <c r="Y948" s="1406"/>
      <c r="Z948" s="1406"/>
      <c r="AA948" s="1406"/>
      <c r="AB948" s="1406"/>
      <c r="AC948" s="1406"/>
      <c r="AD948" s="1406"/>
      <c r="AE948" s="1406"/>
      <c r="AF948" s="1406"/>
      <c r="AG948" s="1406"/>
      <c r="AH948" s="1406"/>
      <c r="AI948" s="1406"/>
      <c r="AJ948" s="1406"/>
      <c r="AK948" s="1406"/>
      <c r="AL948" s="1406"/>
      <c r="AM948" s="1406"/>
      <c r="AN948" s="1406"/>
      <c r="AO948" s="1405"/>
      <c r="AP948" s="1405"/>
      <c r="AQ948" s="1405"/>
      <c r="AR948" s="1405"/>
      <c r="AS948" s="1405"/>
      <c r="AT948" s="1405"/>
      <c r="AU948" s="1405"/>
      <c r="AV948" s="1405"/>
    </row>
    <row r="949" spans="1:48" s="1431" customFormat="1">
      <c r="A949" s="1399"/>
      <c r="B949" s="1429"/>
      <c r="C949" s="1430"/>
      <c r="D949" s="1400"/>
      <c r="E949" s="1401"/>
      <c r="F949" s="1401"/>
      <c r="G949" s="1402"/>
      <c r="H949" s="1403"/>
      <c r="I949" s="1404"/>
      <c r="J949" s="1405"/>
      <c r="K949" s="1405"/>
      <c r="L949" s="1405"/>
      <c r="M949" s="1405"/>
      <c r="N949" s="1406"/>
      <c r="O949" s="1406"/>
      <c r="P949" s="1406"/>
      <c r="Q949" s="1406"/>
      <c r="R949" s="1406"/>
      <c r="S949" s="1406"/>
      <c r="T949" s="1406"/>
      <c r="U949" s="1406"/>
      <c r="V949" s="1406"/>
      <c r="W949" s="1406"/>
      <c r="X949" s="1406"/>
      <c r="Y949" s="1406"/>
      <c r="Z949" s="1406"/>
      <c r="AA949" s="1406"/>
      <c r="AB949" s="1406"/>
      <c r="AC949" s="1406"/>
      <c r="AD949" s="1406"/>
      <c r="AE949" s="1406"/>
      <c r="AF949" s="1406"/>
      <c r="AG949" s="1406"/>
      <c r="AH949" s="1406"/>
      <c r="AI949" s="1406"/>
      <c r="AJ949" s="1406"/>
      <c r="AK949" s="1406"/>
      <c r="AL949" s="1406"/>
      <c r="AM949" s="1406"/>
      <c r="AN949" s="1406"/>
      <c r="AO949" s="1405"/>
      <c r="AP949" s="1405"/>
      <c r="AQ949" s="1405"/>
      <c r="AR949" s="1405"/>
      <c r="AS949" s="1405"/>
      <c r="AT949" s="1405"/>
      <c r="AU949" s="1405"/>
      <c r="AV949" s="1405"/>
    </row>
    <row r="950" spans="1:48" s="1431" customFormat="1">
      <c r="A950" s="1399"/>
      <c r="B950" s="1429"/>
      <c r="C950" s="1430"/>
      <c r="D950" s="1400"/>
      <c r="E950" s="1401"/>
      <c r="F950" s="1401"/>
      <c r="G950" s="1402"/>
      <c r="H950" s="1403"/>
      <c r="I950" s="1404"/>
      <c r="J950" s="1405"/>
      <c r="K950" s="1405"/>
      <c r="L950" s="1405"/>
      <c r="M950" s="1405"/>
      <c r="N950" s="1406"/>
      <c r="O950" s="1406"/>
      <c r="P950" s="1406"/>
      <c r="Q950" s="1406"/>
      <c r="R950" s="1406"/>
      <c r="S950" s="1406"/>
      <c r="T950" s="1406"/>
      <c r="U950" s="1406"/>
      <c r="V950" s="1406"/>
      <c r="W950" s="1406"/>
      <c r="X950" s="1406"/>
      <c r="Y950" s="1406"/>
      <c r="Z950" s="1406"/>
      <c r="AA950" s="1406"/>
      <c r="AB950" s="1406"/>
      <c r="AC950" s="1406"/>
      <c r="AD950" s="1406"/>
      <c r="AE950" s="1406"/>
      <c r="AF950" s="1406"/>
      <c r="AG950" s="1406"/>
      <c r="AH950" s="1406"/>
      <c r="AI950" s="1406"/>
      <c r="AJ950" s="1406"/>
      <c r="AK950" s="1406"/>
      <c r="AL950" s="1406"/>
      <c r="AM950" s="1406"/>
      <c r="AN950" s="1406"/>
      <c r="AO950" s="1405"/>
      <c r="AP950" s="1405"/>
      <c r="AQ950" s="1405"/>
      <c r="AR950" s="1405"/>
      <c r="AS950" s="1405"/>
      <c r="AT950" s="1405"/>
      <c r="AU950" s="1405"/>
      <c r="AV950" s="1405"/>
    </row>
    <row r="951" spans="1:48" s="1431" customFormat="1">
      <c r="A951" s="1399"/>
      <c r="B951" s="1429"/>
      <c r="C951" s="1430"/>
      <c r="D951" s="1400"/>
      <c r="E951" s="1401"/>
      <c r="F951" s="1401"/>
      <c r="G951" s="1402"/>
      <c r="H951" s="1403"/>
      <c r="I951" s="1404"/>
      <c r="J951" s="1405"/>
      <c r="K951" s="1405"/>
      <c r="L951" s="1405"/>
      <c r="M951" s="1405"/>
      <c r="N951" s="1406"/>
      <c r="O951" s="1406"/>
      <c r="P951" s="1406"/>
      <c r="Q951" s="1406"/>
      <c r="R951" s="1406"/>
      <c r="S951" s="1406"/>
      <c r="T951" s="1406"/>
      <c r="U951" s="1406"/>
      <c r="V951" s="1406"/>
      <c r="W951" s="1406"/>
      <c r="X951" s="1406"/>
      <c r="Y951" s="1406"/>
      <c r="Z951" s="1406"/>
      <c r="AA951" s="1406"/>
      <c r="AB951" s="1406"/>
      <c r="AC951" s="1406"/>
      <c r="AD951" s="1406"/>
      <c r="AE951" s="1406"/>
      <c r="AF951" s="1406"/>
      <c r="AG951" s="1406"/>
      <c r="AH951" s="1406"/>
      <c r="AI951" s="1406"/>
      <c r="AJ951" s="1406"/>
      <c r="AK951" s="1406"/>
      <c r="AL951" s="1406"/>
      <c r="AM951" s="1406"/>
      <c r="AN951" s="1406"/>
      <c r="AO951" s="1405"/>
      <c r="AP951" s="1405"/>
      <c r="AQ951" s="1405"/>
      <c r="AR951" s="1405"/>
      <c r="AS951" s="1405"/>
      <c r="AT951" s="1405"/>
      <c r="AU951" s="1405"/>
      <c r="AV951" s="1405"/>
    </row>
    <row r="952" spans="1:48" s="1431" customFormat="1">
      <c r="A952" s="1399"/>
      <c r="B952" s="1429"/>
      <c r="C952" s="1430"/>
      <c r="D952" s="1400"/>
      <c r="E952" s="1401"/>
      <c r="F952" s="1401"/>
      <c r="G952" s="1402"/>
      <c r="H952" s="1403"/>
      <c r="I952" s="1404"/>
      <c r="J952" s="1405"/>
      <c r="K952" s="1405"/>
      <c r="L952" s="1405"/>
      <c r="M952" s="1405"/>
      <c r="N952" s="1406"/>
      <c r="O952" s="1406"/>
      <c r="P952" s="1406"/>
      <c r="Q952" s="1406"/>
      <c r="R952" s="1406"/>
      <c r="S952" s="1406"/>
      <c r="T952" s="1406"/>
      <c r="U952" s="1406"/>
      <c r="V952" s="1406"/>
      <c r="W952" s="1406"/>
      <c r="X952" s="1406"/>
      <c r="Y952" s="1406"/>
      <c r="Z952" s="1406"/>
      <c r="AA952" s="1406"/>
      <c r="AB952" s="1406"/>
      <c r="AC952" s="1406"/>
      <c r="AD952" s="1406"/>
      <c r="AE952" s="1406"/>
      <c r="AF952" s="1406"/>
      <c r="AG952" s="1406"/>
      <c r="AH952" s="1406"/>
      <c r="AI952" s="1406"/>
      <c r="AJ952" s="1406"/>
      <c r="AK952" s="1406"/>
      <c r="AL952" s="1406"/>
      <c r="AM952" s="1406"/>
      <c r="AN952" s="1406"/>
      <c r="AO952" s="1405"/>
      <c r="AP952" s="1405"/>
      <c r="AQ952" s="1405"/>
      <c r="AR952" s="1405"/>
      <c r="AS952" s="1405"/>
      <c r="AT952" s="1405"/>
      <c r="AU952" s="1405"/>
      <c r="AV952" s="1405"/>
    </row>
    <row r="953" spans="1:48" s="1431" customFormat="1">
      <c r="A953" s="1399"/>
      <c r="B953" s="1429"/>
      <c r="C953" s="1430"/>
      <c r="D953" s="1400"/>
      <c r="E953" s="1401"/>
      <c r="F953" s="1401"/>
      <c r="G953" s="1402"/>
      <c r="H953" s="1403"/>
      <c r="I953" s="1404"/>
      <c r="J953" s="1405"/>
      <c r="K953" s="1405"/>
      <c r="L953" s="1405"/>
      <c r="M953" s="1405"/>
      <c r="N953" s="1406"/>
      <c r="O953" s="1406"/>
      <c r="P953" s="1406"/>
      <c r="Q953" s="1406"/>
      <c r="R953" s="1406"/>
      <c r="S953" s="1406"/>
      <c r="T953" s="1406"/>
      <c r="U953" s="1406"/>
      <c r="V953" s="1406"/>
      <c r="W953" s="1406"/>
      <c r="X953" s="1406"/>
      <c r="Y953" s="1406"/>
      <c r="Z953" s="1406"/>
      <c r="AA953" s="1406"/>
      <c r="AB953" s="1406"/>
      <c r="AC953" s="1406"/>
      <c r="AD953" s="1406"/>
      <c r="AE953" s="1406"/>
      <c r="AF953" s="1406"/>
      <c r="AG953" s="1406"/>
      <c r="AH953" s="1406"/>
      <c r="AI953" s="1406"/>
      <c r="AJ953" s="1406"/>
      <c r="AK953" s="1406"/>
      <c r="AL953" s="1406"/>
      <c r="AM953" s="1406"/>
      <c r="AN953" s="1406"/>
      <c r="AO953" s="1405"/>
      <c r="AP953" s="1405"/>
      <c r="AQ953" s="1405"/>
      <c r="AR953" s="1405"/>
      <c r="AS953" s="1405"/>
      <c r="AT953" s="1405"/>
      <c r="AU953" s="1405"/>
      <c r="AV953" s="1405"/>
    </row>
    <row r="954" spans="1:48" s="1431" customFormat="1">
      <c r="A954" s="1399"/>
      <c r="B954" s="1429"/>
      <c r="C954" s="1430"/>
      <c r="D954" s="1400"/>
      <c r="E954" s="1401"/>
      <c r="F954" s="1401"/>
      <c r="G954" s="1402"/>
      <c r="H954" s="1403"/>
      <c r="I954" s="1404"/>
      <c r="J954" s="1405"/>
      <c r="K954" s="1405"/>
      <c r="L954" s="1405"/>
      <c r="M954" s="1405"/>
      <c r="N954" s="1406"/>
      <c r="O954" s="1406"/>
      <c r="P954" s="1406"/>
      <c r="Q954" s="1406"/>
      <c r="R954" s="1406"/>
      <c r="S954" s="1406"/>
      <c r="T954" s="1406"/>
      <c r="U954" s="1406"/>
      <c r="V954" s="1406"/>
      <c r="W954" s="1406"/>
      <c r="X954" s="1406"/>
      <c r="Y954" s="1406"/>
      <c r="Z954" s="1406"/>
      <c r="AA954" s="1406"/>
      <c r="AB954" s="1406"/>
      <c r="AC954" s="1406"/>
      <c r="AD954" s="1406"/>
      <c r="AE954" s="1406"/>
      <c r="AF954" s="1406"/>
      <c r="AG954" s="1406"/>
      <c r="AH954" s="1406"/>
      <c r="AI954" s="1406"/>
      <c r="AJ954" s="1406"/>
      <c r="AK954" s="1406"/>
      <c r="AL954" s="1406"/>
      <c r="AM954" s="1406"/>
      <c r="AN954" s="1406"/>
      <c r="AO954" s="1405"/>
      <c r="AP954" s="1405"/>
      <c r="AQ954" s="1405"/>
      <c r="AR954" s="1405"/>
      <c r="AS954" s="1405"/>
      <c r="AT954" s="1405"/>
      <c r="AU954" s="1405"/>
      <c r="AV954" s="1405"/>
    </row>
    <row r="955" spans="1:48" s="1431" customFormat="1">
      <c r="A955" s="1399"/>
      <c r="B955" s="1429"/>
      <c r="C955" s="1430"/>
      <c r="D955" s="1400"/>
      <c r="E955" s="1401"/>
      <c r="F955" s="1401"/>
      <c r="G955" s="1402"/>
      <c r="H955" s="1403"/>
      <c r="I955" s="1404"/>
      <c r="J955" s="1405"/>
      <c r="K955" s="1405"/>
      <c r="L955" s="1405"/>
      <c r="M955" s="1405"/>
      <c r="N955" s="1406"/>
      <c r="O955" s="1406"/>
      <c r="P955" s="1406"/>
      <c r="Q955" s="1406"/>
      <c r="R955" s="1406"/>
      <c r="S955" s="1406"/>
      <c r="T955" s="1406"/>
      <c r="U955" s="1406"/>
      <c r="V955" s="1406"/>
      <c r="W955" s="1406"/>
      <c r="X955" s="1406"/>
      <c r="Y955" s="1406"/>
      <c r="Z955" s="1406"/>
      <c r="AA955" s="1406"/>
      <c r="AB955" s="1406"/>
      <c r="AC955" s="1406"/>
      <c r="AD955" s="1406"/>
      <c r="AE955" s="1406"/>
      <c r="AF955" s="1406"/>
      <c r="AG955" s="1406"/>
      <c r="AH955" s="1406"/>
      <c r="AI955" s="1406"/>
      <c r="AJ955" s="1406"/>
      <c r="AK955" s="1406"/>
      <c r="AL955" s="1406"/>
      <c r="AM955" s="1406"/>
      <c r="AN955" s="1406"/>
      <c r="AO955" s="1405"/>
      <c r="AP955" s="1405"/>
      <c r="AQ955" s="1405"/>
      <c r="AR955" s="1405"/>
      <c r="AS955" s="1405"/>
      <c r="AT955" s="1405"/>
      <c r="AU955" s="1405"/>
      <c r="AV955" s="1405"/>
    </row>
    <row r="956" spans="1:48" s="1431" customFormat="1">
      <c r="A956" s="1399"/>
      <c r="B956" s="1429"/>
      <c r="C956" s="1430"/>
      <c r="D956" s="1400"/>
      <c r="E956" s="1401"/>
      <c r="F956" s="1401"/>
      <c r="G956" s="1402"/>
      <c r="H956" s="1403"/>
      <c r="I956" s="1404"/>
      <c r="J956" s="1405"/>
      <c r="K956" s="1405"/>
      <c r="L956" s="1405"/>
      <c r="M956" s="1405"/>
      <c r="N956" s="1406"/>
      <c r="O956" s="1406"/>
      <c r="P956" s="1406"/>
      <c r="Q956" s="1406"/>
      <c r="R956" s="1406"/>
      <c r="S956" s="1406"/>
      <c r="T956" s="1406"/>
      <c r="U956" s="1406"/>
      <c r="V956" s="1406"/>
      <c r="W956" s="1406"/>
      <c r="X956" s="1406"/>
      <c r="Y956" s="1406"/>
      <c r="Z956" s="1406"/>
      <c r="AA956" s="1406"/>
      <c r="AB956" s="1406"/>
      <c r="AC956" s="1406"/>
      <c r="AD956" s="1406"/>
      <c r="AE956" s="1406"/>
      <c r="AF956" s="1406"/>
      <c r="AG956" s="1406"/>
      <c r="AH956" s="1406"/>
      <c r="AI956" s="1406"/>
      <c r="AJ956" s="1406"/>
      <c r="AK956" s="1406"/>
      <c r="AL956" s="1406"/>
      <c r="AM956" s="1406"/>
      <c r="AN956" s="1406"/>
      <c r="AO956" s="1405"/>
      <c r="AP956" s="1405"/>
      <c r="AQ956" s="1405"/>
      <c r="AR956" s="1405"/>
      <c r="AS956" s="1405"/>
      <c r="AT956" s="1405"/>
      <c r="AU956" s="1405"/>
      <c r="AV956" s="1405"/>
    </row>
    <row r="957" spans="1:48" s="1431" customFormat="1">
      <c r="A957" s="1399"/>
      <c r="B957" s="1429"/>
      <c r="C957" s="1430"/>
      <c r="D957" s="1400"/>
      <c r="E957" s="1401"/>
      <c r="F957" s="1401"/>
      <c r="G957" s="1402"/>
      <c r="H957" s="1403"/>
      <c r="I957" s="1404"/>
      <c r="J957" s="1405"/>
      <c r="K957" s="1405"/>
      <c r="L957" s="1405"/>
      <c r="M957" s="1405"/>
      <c r="N957" s="1406"/>
      <c r="O957" s="1406"/>
      <c r="P957" s="1406"/>
      <c r="Q957" s="1406"/>
      <c r="R957" s="1406"/>
      <c r="S957" s="1406"/>
      <c r="T957" s="1406"/>
      <c r="U957" s="1406"/>
      <c r="V957" s="1406"/>
      <c r="W957" s="1406"/>
      <c r="X957" s="1406"/>
      <c r="Y957" s="1406"/>
      <c r="Z957" s="1406"/>
      <c r="AA957" s="1406"/>
      <c r="AB957" s="1406"/>
      <c r="AC957" s="1406"/>
      <c r="AD957" s="1406"/>
      <c r="AE957" s="1406"/>
      <c r="AF957" s="1406"/>
      <c r="AG957" s="1406"/>
      <c r="AH957" s="1406"/>
      <c r="AI957" s="1406"/>
      <c r="AJ957" s="1406"/>
      <c r="AK957" s="1406"/>
      <c r="AL957" s="1406"/>
      <c r="AM957" s="1406"/>
      <c r="AN957" s="1406"/>
      <c r="AO957" s="1405"/>
      <c r="AP957" s="1405"/>
      <c r="AQ957" s="1405"/>
      <c r="AR957" s="1405"/>
      <c r="AS957" s="1405"/>
      <c r="AT957" s="1405"/>
      <c r="AU957" s="1405"/>
      <c r="AV957" s="1405"/>
    </row>
    <row r="958" spans="1:48" s="1431" customFormat="1">
      <c r="A958" s="1399"/>
      <c r="B958" s="1429"/>
      <c r="C958" s="1430"/>
      <c r="D958" s="1400"/>
      <c r="E958" s="1401"/>
      <c r="F958" s="1401"/>
      <c r="G958" s="1402"/>
      <c r="H958" s="1403"/>
      <c r="I958" s="1404"/>
      <c r="J958" s="1405"/>
      <c r="K958" s="1405"/>
      <c r="L958" s="1405"/>
      <c r="M958" s="1405"/>
      <c r="N958" s="1406"/>
      <c r="O958" s="1406"/>
      <c r="P958" s="1406"/>
      <c r="Q958" s="1406"/>
      <c r="R958" s="1406"/>
      <c r="S958" s="1406"/>
      <c r="T958" s="1406"/>
      <c r="U958" s="1406"/>
      <c r="V958" s="1406"/>
      <c r="W958" s="1406"/>
      <c r="X958" s="1406"/>
      <c r="Y958" s="1406"/>
      <c r="Z958" s="1406"/>
      <c r="AA958" s="1406"/>
      <c r="AB958" s="1406"/>
      <c r="AC958" s="1406"/>
      <c r="AD958" s="1406"/>
      <c r="AE958" s="1406"/>
      <c r="AF958" s="1406"/>
      <c r="AG958" s="1406"/>
      <c r="AH958" s="1406"/>
      <c r="AI958" s="1406"/>
      <c r="AJ958" s="1406"/>
      <c r="AK958" s="1406"/>
      <c r="AL958" s="1406"/>
      <c r="AM958" s="1406"/>
      <c r="AN958" s="1406"/>
      <c r="AO958" s="1405"/>
      <c r="AP958" s="1405"/>
      <c r="AQ958" s="1405"/>
      <c r="AR958" s="1405"/>
      <c r="AS958" s="1405"/>
      <c r="AT958" s="1405"/>
      <c r="AU958" s="1405"/>
      <c r="AV958" s="1405"/>
    </row>
    <row r="959" spans="1:48" s="1431" customFormat="1">
      <c r="A959" s="1399"/>
      <c r="B959" s="1429"/>
      <c r="C959" s="1430"/>
      <c r="D959" s="1400"/>
      <c r="E959" s="1401"/>
      <c r="F959" s="1401"/>
      <c r="G959" s="1402"/>
      <c r="H959" s="1403"/>
      <c r="I959" s="1404"/>
      <c r="J959" s="1405"/>
      <c r="K959" s="1405"/>
      <c r="L959" s="1405"/>
      <c r="M959" s="1405"/>
      <c r="N959" s="1406"/>
      <c r="O959" s="1406"/>
      <c r="P959" s="1406"/>
      <c r="Q959" s="1406"/>
      <c r="R959" s="1406"/>
      <c r="S959" s="1406"/>
      <c r="T959" s="1406"/>
      <c r="U959" s="1406"/>
      <c r="V959" s="1406"/>
      <c r="W959" s="1406"/>
      <c r="X959" s="1406"/>
      <c r="Y959" s="1406"/>
      <c r="Z959" s="1406"/>
      <c r="AA959" s="1406"/>
      <c r="AB959" s="1406"/>
      <c r="AC959" s="1406"/>
      <c r="AD959" s="1406"/>
      <c r="AE959" s="1406"/>
      <c r="AF959" s="1406"/>
      <c r="AG959" s="1406"/>
      <c r="AH959" s="1406"/>
      <c r="AI959" s="1406"/>
      <c r="AJ959" s="1406"/>
      <c r="AK959" s="1406"/>
      <c r="AL959" s="1406"/>
      <c r="AM959" s="1406"/>
      <c r="AN959" s="1406"/>
      <c r="AO959" s="1405"/>
      <c r="AP959" s="1405"/>
      <c r="AQ959" s="1405"/>
      <c r="AR959" s="1405"/>
      <c r="AS959" s="1405"/>
      <c r="AT959" s="1405"/>
      <c r="AU959" s="1405"/>
      <c r="AV959" s="1405"/>
    </row>
    <row r="960" spans="1:48" s="1431" customFormat="1">
      <c r="A960" s="1399"/>
      <c r="B960" s="1429"/>
      <c r="C960" s="1430"/>
      <c r="D960" s="1400"/>
      <c r="E960" s="1401"/>
      <c r="F960" s="1401"/>
      <c r="G960" s="1402"/>
      <c r="H960" s="1403"/>
      <c r="I960" s="1404"/>
      <c r="J960" s="1405"/>
      <c r="K960" s="1405"/>
      <c r="L960" s="1405"/>
      <c r="M960" s="1405"/>
      <c r="N960" s="1406"/>
      <c r="O960" s="1406"/>
      <c r="P960" s="1406"/>
      <c r="Q960" s="1406"/>
      <c r="R960" s="1406"/>
      <c r="S960" s="1406"/>
      <c r="T960" s="1406"/>
      <c r="U960" s="1406"/>
      <c r="V960" s="1406"/>
      <c r="W960" s="1406"/>
      <c r="X960" s="1406"/>
      <c r="Y960" s="1406"/>
      <c r="Z960" s="1406"/>
      <c r="AA960" s="1406"/>
      <c r="AB960" s="1406"/>
      <c r="AC960" s="1406"/>
      <c r="AD960" s="1406"/>
      <c r="AE960" s="1406"/>
      <c r="AF960" s="1406"/>
      <c r="AG960" s="1406"/>
      <c r="AH960" s="1406"/>
      <c r="AI960" s="1406"/>
      <c r="AJ960" s="1406"/>
      <c r="AK960" s="1406"/>
      <c r="AL960" s="1406"/>
      <c r="AM960" s="1406"/>
      <c r="AN960" s="1406"/>
      <c r="AO960" s="1405"/>
      <c r="AP960" s="1405"/>
      <c r="AQ960" s="1405"/>
      <c r="AR960" s="1405"/>
      <c r="AS960" s="1405"/>
      <c r="AT960" s="1405"/>
      <c r="AU960" s="1405"/>
      <c r="AV960" s="1405"/>
    </row>
    <row r="961" spans="1:48" s="1431" customFormat="1">
      <c r="A961" s="1399"/>
      <c r="B961" s="1429"/>
      <c r="C961" s="1430"/>
      <c r="D961" s="1400"/>
      <c r="E961" s="1401"/>
      <c r="F961" s="1401"/>
      <c r="G961" s="1402"/>
      <c r="H961" s="1403"/>
      <c r="I961" s="1404"/>
      <c r="J961" s="1405"/>
      <c r="K961" s="1405"/>
      <c r="L961" s="1405"/>
      <c r="M961" s="1405"/>
      <c r="N961" s="1406"/>
      <c r="O961" s="1406"/>
      <c r="P961" s="1406"/>
      <c r="Q961" s="1406"/>
      <c r="R961" s="1406"/>
      <c r="S961" s="1406"/>
      <c r="T961" s="1406"/>
      <c r="U961" s="1406"/>
      <c r="V961" s="1406"/>
      <c r="W961" s="1406"/>
      <c r="X961" s="1406"/>
      <c r="Y961" s="1406"/>
      <c r="Z961" s="1406"/>
      <c r="AA961" s="1406"/>
      <c r="AB961" s="1406"/>
      <c r="AC961" s="1406"/>
      <c r="AD961" s="1406"/>
      <c r="AE961" s="1406"/>
      <c r="AF961" s="1406"/>
      <c r="AG961" s="1406"/>
      <c r="AH961" s="1406"/>
      <c r="AI961" s="1406"/>
      <c r="AJ961" s="1406"/>
      <c r="AK961" s="1406"/>
      <c r="AL961" s="1406"/>
      <c r="AM961" s="1406"/>
      <c r="AN961" s="1406"/>
      <c r="AO961" s="1405"/>
      <c r="AP961" s="1405"/>
      <c r="AQ961" s="1405"/>
      <c r="AR961" s="1405"/>
      <c r="AS961" s="1405"/>
      <c r="AT961" s="1405"/>
      <c r="AU961" s="1405"/>
      <c r="AV961" s="1405"/>
    </row>
    <row r="962" spans="1:48" s="1431" customFormat="1">
      <c r="A962" s="1399"/>
      <c r="B962" s="1429"/>
      <c r="C962" s="1430"/>
      <c r="D962" s="1400"/>
      <c r="E962" s="1401"/>
      <c r="F962" s="1401"/>
      <c r="G962" s="1402"/>
      <c r="H962" s="1403"/>
      <c r="I962" s="1404"/>
      <c r="J962" s="1405"/>
      <c r="K962" s="1405"/>
      <c r="L962" s="1405"/>
      <c r="M962" s="1405"/>
      <c r="N962" s="1406"/>
      <c r="O962" s="1406"/>
      <c r="P962" s="1406"/>
      <c r="Q962" s="1406"/>
      <c r="R962" s="1406"/>
      <c r="S962" s="1406"/>
      <c r="T962" s="1406"/>
      <c r="U962" s="1406"/>
      <c r="V962" s="1406"/>
      <c r="W962" s="1406"/>
      <c r="X962" s="1406"/>
      <c r="Y962" s="1406"/>
      <c r="Z962" s="1406"/>
      <c r="AA962" s="1406"/>
      <c r="AB962" s="1406"/>
      <c r="AC962" s="1406"/>
      <c r="AD962" s="1406"/>
      <c r="AE962" s="1406"/>
      <c r="AF962" s="1406"/>
      <c r="AG962" s="1406"/>
      <c r="AH962" s="1406"/>
      <c r="AI962" s="1406"/>
      <c r="AJ962" s="1406"/>
      <c r="AK962" s="1406"/>
      <c r="AL962" s="1406"/>
      <c r="AM962" s="1406"/>
      <c r="AN962" s="1406"/>
      <c r="AO962" s="1405"/>
      <c r="AP962" s="1405"/>
      <c r="AQ962" s="1405"/>
      <c r="AR962" s="1405"/>
      <c r="AS962" s="1405"/>
      <c r="AT962" s="1405"/>
      <c r="AU962" s="1405"/>
      <c r="AV962" s="1405"/>
    </row>
    <row r="963" spans="1:48" s="1431" customFormat="1">
      <c r="A963" s="1399"/>
      <c r="B963" s="1429"/>
      <c r="C963" s="1430"/>
      <c r="D963" s="1400"/>
      <c r="E963" s="1401"/>
      <c r="F963" s="1401"/>
      <c r="G963" s="1402"/>
      <c r="H963" s="1403"/>
      <c r="I963" s="1404"/>
      <c r="J963" s="1405"/>
      <c r="K963" s="1405"/>
      <c r="L963" s="1405"/>
      <c r="M963" s="1405"/>
      <c r="N963" s="1406"/>
      <c r="O963" s="1406"/>
      <c r="P963" s="1406"/>
      <c r="Q963" s="1406"/>
      <c r="R963" s="1406"/>
      <c r="S963" s="1406"/>
      <c r="T963" s="1406"/>
      <c r="U963" s="1406"/>
      <c r="V963" s="1406"/>
      <c r="W963" s="1406"/>
      <c r="X963" s="1406"/>
      <c r="Y963" s="1406"/>
      <c r="Z963" s="1406"/>
      <c r="AA963" s="1406"/>
      <c r="AB963" s="1406"/>
      <c r="AC963" s="1406"/>
      <c r="AD963" s="1406"/>
      <c r="AE963" s="1406"/>
      <c r="AF963" s="1406"/>
      <c r="AG963" s="1406"/>
      <c r="AH963" s="1406"/>
      <c r="AI963" s="1406"/>
      <c r="AJ963" s="1406"/>
      <c r="AK963" s="1406"/>
      <c r="AL963" s="1406"/>
      <c r="AM963" s="1406"/>
      <c r="AN963" s="1406"/>
      <c r="AO963" s="1405"/>
      <c r="AP963" s="1405"/>
      <c r="AQ963" s="1405"/>
      <c r="AR963" s="1405"/>
      <c r="AS963" s="1405"/>
      <c r="AT963" s="1405"/>
      <c r="AU963" s="1405"/>
      <c r="AV963" s="1405"/>
    </row>
    <row r="964" spans="1:48" s="1431" customFormat="1">
      <c r="A964" s="1399"/>
      <c r="B964" s="1429"/>
      <c r="C964" s="1430"/>
      <c r="D964" s="1400"/>
      <c r="E964" s="1401"/>
      <c r="F964" s="1401"/>
      <c r="G964" s="1402"/>
      <c r="H964" s="1403"/>
      <c r="I964" s="1404"/>
      <c r="J964" s="1405"/>
      <c r="K964" s="1405"/>
      <c r="L964" s="1405"/>
      <c r="M964" s="1405"/>
      <c r="N964" s="1406"/>
      <c r="O964" s="1406"/>
      <c r="P964" s="1406"/>
      <c r="Q964" s="1406"/>
      <c r="R964" s="1406"/>
      <c r="S964" s="1406"/>
      <c r="T964" s="1406"/>
      <c r="U964" s="1406"/>
      <c r="V964" s="1406"/>
      <c r="W964" s="1406"/>
      <c r="X964" s="1406"/>
      <c r="Y964" s="1406"/>
      <c r="Z964" s="1406"/>
      <c r="AA964" s="1406"/>
      <c r="AB964" s="1406"/>
      <c r="AC964" s="1406"/>
      <c r="AD964" s="1406"/>
      <c r="AE964" s="1406"/>
      <c r="AF964" s="1406"/>
      <c r="AG964" s="1406"/>
      <c r="AH964" s="1406"/>
      <c r="AI964" s="1406"/>
      <c r="AJ964" s="1406"/>
      <c r="AK964" s="1406"/>
      <c r="AL964" s="1406"/>
      <c r="AM964" s="1406"/>
      <c r="AN964" s="1406"/>
      <c r="AO964" s="1405"/>
      <c r="AP964" s="1405"/>
      <c r="AQ964" s="1405"/>
      <c r="AR964" s="1405"/>
      <c r="AS964" s="1405"/>
      <c r="AT964" s="1405"/>
      <c r="AU964" s="1405"/>
      <c r="AV964" s="1405"/>
    </row>
    <row r="965" spans="1:48" s="1431" customFormat="1">
      <c r="A965" s="1399"/>
      <c r="B965" s="1429"/>
      <c r="C965" s="1430"/>
      <c r="D965" s="1400"/>
      <c r="E965" s="1401"/>
      <c r="F965" s="1401"/>
      <c r="G965" s="1402"/>
      <c r="H965" s="1403"/>
      <c r="I965" s="1404"/>
      <c r="J965" s="1405"/>
      <c r="K965" s="1405"/>
      <c r="L965" s="1405"/>
      <c r="M965" s="1405"/>
      <c r="N965" s="1406"/>
      <c r="O965" s="1406"/>
      <c r="P965" s="1406"/>
      <c r="Q965" s="1406"/>
      <c r="R965" s="1406"/>
      <c r="S965" s="1406"/>
      <c r="T965" s="1406"/>
      <c r="U965" s="1406"/>
      <c r="V965" s="1406"/>
      <c r="W965" s="1406"/>
      <c r="X965" s="1406"/>
      <c r="Y965" s="1406"/>
      <c r="Z965" s="1406"/>
      <c r="AA965" s="1406"/>
      <c r="AB965" s="1406"/>
      <c r="AC965" s="1406"/>
      <c r="AD965" s="1406"/>
      <c r="AE965" s="1406"/>
      <c r="AF965" s="1406"/>
      <c r="AG965" s="1406"/>
      <c r="AH965" s="1406"/>
      <c r="AI965" s="1406"/>
      <c r="AJ965" s="1406"/>
      <c r="AK965" s="1406"/>
      <c r="AL965" s="1406"/>
      <c r="AM965" s="1406"/>
      <c r="AN965" s="1406"/>
      <c r="AO965" s="1405"/>
      <c r="AP965" s="1405"/>
      <c r="AQ965" s="1405"/>
      <c r="AR965" s="1405"/>
      <c r="AS965" s="1405"/>
      <c r="AT965" s="1405"/>
      <c r="AU965" s="1405"/>
      <c r="AV965" s="1405"/>
    </row>
    <row r="966" spans="1:48" s="1431" customFormat="1">
      <c r="A966" s="1399"/>
      <c r="B966" s="1429"/>
      <c r="C966" s="1430"/>
      <c r="D966" s="1400"/>
      <c r="E966" s="1401"/>
      <c r="F966" s="1401"/>
      <c r="G966" s="1402"/>
      <c r="H966" s="1403"/>
      <c r="I966" s="1404"/>
      <c r="J966" s="1405"/>
      <c r="K966" s="1405"/>
      <c r="L966" s="1405"/>
      <c r="M966" s="1405"/>
      <c r="N966" s="1406"/>
      <c r="O966" s="1406"/>
      <c r="P966" s="1406"/>
      <c r="Q966" s="1406"/>
      <c r="R966" s="1406"/>
      <c r="S966" s="1406"/>
      <c r="T966" s="1406"/>
      <c r="U966" s="1406"/>
      <c r="V966" s="1406"/>
      <c r="W966" s="1406"/>
      <c r="X966" s="1406"/>
      <c r="Y966" s="1406"/>
      <c r="Z966" s="1406"/>
      <c r="AA966" s="1406"/>
      <c r="AB966" s="1406"/>
      <c r="AC966" s="1406"/>
      <c r="AD966" s="1406"/>
      <c r="AE966" s="1406"/>
      <c r="AF966" s="1406"/>
      <c r="AG966" s="1406"/>
      <c r="AH966" s="1406"/>
      <c r="AI966" s="1406"/>
      <c r="AJ966" s="1406"/>
      <c r="AK966" s="1406"/>
      <c r="AL966" s="1406"/>
      <c r="AM966" s="1406"/>
      <c r="AN966" s="1406"/>
      <c r="AO966" s="1405"/>
      <c r="AP966" s="1405"/>
      <c r="AQ966" s="1405"/>
      <c r="AR966" s="1405"/>
      <c r="AS966" s="1405"/>
      <c r="AT966" s="1405"/>
      <c r="AU966" s="1405"/>
      <c r="AV966" s="1405"/>
    </row>
    <row r="967" spans="1:48" s="1431" customFormat="1">
      <c r="A967" s="1399"/>
      <c r="B967" s="1429"/>
      <c r="C967" s="1430"/>
      <c r="D967" s="1400"/>
      <c r="E967" s="1401"/>
      <c r="F967" s="1401"/>
      <c r="G967" s="1402"/>
      <c r="H967" s="1403"/>
      <c r="I967" s="1404"/>
      <c r="J967" s="1405"/>
      <c r="K967" s="1405"/>
      <c r="L967" s="1405"/>
      <c r="M967" s="1405"/>
      <c r="N967" s="1406"/>
      <c r="O967" s="1406"/>
      <c r="P967" s="1406"/>
      <c r="Q967" s="1406"/>
      <c r="R967" s="1406"/>
      <c r="S967" s="1406"/>
      <c r="T967" s="1406"/>
      <c r="U967" s="1406"/>
      <c r="V967" s="1406"/>
      <c r="W967" s="1406"/>
      <c r="X967" s="1406"/>
      <c r="Y967" s="1406"/>
      <c r="Z967" s="1406"/>
      <c r="AA967" s="1406"/>
      <c r="AB967" s="1406"/>
      <c r="AC967" s="1406"/>
      <c r="AD967" s="1406"/>
      <c r="AE967" s="1406"/>
      <c r="AF967" s="1406"/>
      <c r="AG967" s="1406"/>
      <c r="AH967" s="1406"/>
      <c r="AI967" s="1406"/>
      <c r="AJ967" s="1406"/>
      <c r="AK967" s="1406"/>
      <c r="AL967" s="1406"/>
      <c r="AM967" s="1406"/>
      <c r="AN967" s="1406"/>
      <c r="AO967" s="1405"/>
      <c r="AP967" s="1405"/>
      <c r="AQ967" s="1405"/>
      <c r="AR967" s="1405"/>
      <c r="AS967" s="1405"/>
      <c r="AT967" s="1405"/>
      <c r="AU967" s="1405"/>
      <c r="AV967" s="1405"/>
    </row>
    <row r="968" spans="1:48" s="1431" customFormat="1">
      <c r="A968" s="1399"/>
      <c r="B968" s="1429"/>
      <c r="C968" s="1430"/>
      <c r="D968" s="1400"/>
      <c r="E968" s="1401"/>
      <c r="F968" s="1401"/>
      <c r="G968" s="1402"/>
      <c r="H968" s="1403"/>
      <c r="I968" s="1404"/>
      <c r="J968" s="1405"/>
      <c r="K968" s="1405"/>
      <c r="L968" s="1405"/>
      <c r="M968" s="1405"/>
      <c r="N968" s="1406"/>
      <c r="O968" s="1406"/>
      <c r="P968" s="1406"/>
      <c r="Q968" s="1406"/>
      <c r="R968" s="1406"/>
      <c r="S968" s="1406"/>
      <c r="T968" s="1406"/>
      <c r="U968" s="1406"/>
      <c r="V968" s="1406"/>
      <c r="W968" s="1406"/>
      <c r="X968" s="1406"/>
      <c r="Y968" s="1406"/>
      <c r="Z968" s="1406"/>
      <c r="AA968" s="1406"/>
      <c r="AB968" s="1406"/>
      <c r="AC968" s="1406"/>
      <c r="AD968" s="1406"/>
      <c r="AE968" s="1406"/>
      <c r="AF968" s="1406"/>
      <c r="AG968" s="1406"/>
      <c r="AH968" s="1406"/>
      <c r="AI968" s="1406"/>
      <c r="AJ968" s="1406"/>
      <c r="AK968" s="1406"/>
      <c r="AL968" s="1406"/>
      <c r="AM968" s="1406"/>
      <c r="AN968" s="1406"/>
      <c r="AO968" s="1405"/>
      <c r="AP968" s="1405"/>
      <c r="AQ968" s="1405"/>
      <c r="AR968" s="1405"/>
      <c r="AS968" s="1405"/>
      <c r="AT968" s="1405"/>
      <c r="AU968" s="1405"/>
      <c r="AV968" s="1405"/>
    </row>
    <row r="969" spans="1:48" s="1431" customFormat="1">
      <c r="A969" s="1399"/>
      <c r="B969" s="1429"/>
      <c r="C969" s="1430"/>
      <c r="D969" s="1400"/>
      <c r="E969" s="1401"/>
      <c r="F969" s="1401"/>
      <c r="G969" s="1402"/>
      <c r="H969" s="1403"/>
      <c r="I969" s="1404"/>
      <c r="J969" s="1405"/>
      <c r="K969" s="1405"/>
      <c r="L969" s="1405"/>
      <c r="M969" s="1405"/>
      <c r="N969" s="1406"/>
      <c r="O969" s="1406"/>
      <c r="P969" s="1406"/>
      <c r="Q969" s="1406"/>
      <c r="R969" s="1406"/>
      <c r="S969" s="1406"/>
      <c r="T969" s="1406"/>
      <c r="U969" s="1406"/>
      <c r="V969" s="1406"/>
      <c r="W969" s="1406"/>
      <c r="X969" s="1406"/>
      <c r="Y969" s="1406"/>
      <c r="Z969" s="1406"/>
      <c r="AA969" s="1406"/>
      <c r="AB969" s="1406"/>
      <c r="AC969" s="1406"/>
      <c r="AD969" s="1406"/>
      <c r="AE969" s="1406"/>
      <c r="AF969" s="1406"/>
      <c r="AG969" s="1406"/>
      <c r="AH969" s="1406"/>
      <c r="AI969" s="1406"/>
      <c r="AJ969" s="1406"/>
      <c r="AK969" s="1406"/>
      <c r="AL969" s="1406"/>
      <c r="AM969" s="1406"/>
      <c r="AN969" s="1406"/>
      <c r="AO969" s="1405"/>
      <c r="AP969" s="1405"/>
      <c r="AQ969" s="1405"/>
      <c r="AR969" s="1405"/>
      <c r="AS969" s="1405"/>
      <c r="AT969" s="1405"/>
      <c r="AU969" s="1405"/>
      <c r="AV969" s="1405"/>
    </row>
    <row r="970" spans="1:48" s="1431" customFormat="1">
      <c r="A970" s="1399"/>
      <c r="B970" s="1429"/>
      <c r="C970" s="1430"/>
      <c r="D970" s="1400"/>
      <c r="E970" s="1401"/>
      <c r="F970" s="1401"/>
      <c r="G970" s="1402"/>
      <c r="H970" s="1403"/>
      <c r="I970" s="1404"/>
      <c r="J970" s="1405"/>
      <c r="K970" s="1405"/>
      <c r="L970" s="1405"/>
      <c r="M970" s="1405"/>
      <c r="N970" s="1406"/>
      <c r="O970" s="1406"/>
      <c r="P970" s="1406"/>
      <c r="Q970" s="1406"/>
      <c r="R970" s="1406"/>
      <c r="S970" s="1406"/>
      <c r="T970" s="1406"/>
      <c r="U970" s="1406"/>
      <c r="V970" s="1406"/>
      <c r="W970" s="1406"/>
      <c r="X970" s="1406"/>
      <c r="Y970" s="1406"/>
      <c r="Z970" s="1406"/>
      <c r="AA970" s="1406"/>
      <c r="AB970" s="1406"/>
      <c r="AC970" s="1406"/>
      <c r="AD970" s="1406"/>
      <c r="AE970" s="1406"/>
      <c r="AF970" s="1406"/>
      <c r="AG970" s="1406"/>
      <c r="AH970" s="1406"/>
      <c r="AI970" s="1406"/>
      <c r="AJ970" s="1406"/>
      <c r="AK970" s="1406"/>
      <c r="AL970" s="1406"/>
      <c r="AM970" s="1406"/>
      <c r="AN970" s="1406"/>
      <c r="AO970" s="1405"/>
      <c r="AP970" s="1405"/>
      <c r="AQ970" s="1405"/>
      <c r="AR970" s="1405"/>
      <c r="AS970" s="1405"/>
      <c r="AT970" s="1405"/>
      <c r="AU970" s="1405"/>
      <c r="AV970" s="1405"/>
    </row>
    <row r="971" spans="1:48" s="1431" customFormat="1">
      <c r="A971" s="1399"/>
      <c r="B971" s="1429"/>
      <c r="C971" s="1430"/>
      <c r="D971" s="1400"/>
      <c r="E971" s="1401"/>
      <c r="F971" s="1401"/>
      <c r="G971" s="1402"/>
      <c r="H971" s="1403"/>
      <c r="I971" s="1404"/>
      <c r="J971" s="1405"/>
      <c r="K971" s="1405"/>
      <c r="L971" s="1405"/>
      <c r="M971" s="1405"/>
      <c r="N971" s="1406"/>
      <c r="O971" s="1406"/>
      <c r="P971" s="1406"/>
      <c r="Q971" s="1406"/>
      <c r="R971" s="1406"/>
      <c r="S971" s="1406"/>
      <c r="T971" s="1406"/>
      <c r="U971" s="1406"/>
      <c r="V971" s="1406"/>
      <c r="W971" s="1406"/>
      <c r="X971" s="1406"/>
      <c r="Y971" s="1406"/>
      <c r="Z971" s="1406"/>
      <c r="AA971" s="1406"/>
      <c r="AB971" s="1406"/>
      <c r="AC971" s="1406"/>
      <c r="AD971" s="1406"/>
      <c r="AE971" s="1406"/>
      <c r="AF971" s="1406"/>
      <c r="AG971" s="1406"/>
      <c r="AH971" s="1406"/>
      <c r="AI971" s="1406"/>
      <c r="AJ971" s="1406"/>
      <c r="AK971" s="1406"/>
      <c r="AL971" s="1406"/>
      <c r="AM971" s="1406"/>
      <c r="AN971" s="1406"/>
      <c r="AO971" s="1405"/>
      <c r="AP971" s="1405"/>
      <c r="AQ971" s="1405"/>
      <c r="AR971" s="1405"/>
      <c r="AS971" s="1405"/>
      <c r="AT971" s="1405"/>
      <c r="AU971" s="1405"/>
      <c r="AV971" s="1405"/>
    </row>
    <row r="972" spans="1:48" s="1431" customFormat="1">
      <c r="A972" s="1399"/>
      <c r="B972" s="1429"/>
      <c r="C972" s="1430"/>
      <c r="D972" s="1400"/>
      <c r="E972" s="1401"/>
      <c r="F972" s="1401"/>
      <c r="G972" s="1402"/>
      <c r="H972" s="1403"/>
      <c r="I972" s="1404"/>
      <c r="J972" s="1405"/>
      <c r="K972" s="1405"/>
      <c r="L972" s="1405"/>
      <c r="M972" s="1405"/>
      <c r="N972" s="1406"/>
      <c r="O972" s="1406"/>
      <c r="P972" s="1406"/>
      <c r="Q972" s="1406"/>
      <c r="R972" s="1406"/>
      <c r="S972" s="1406"/>
      <c r="T972" s="1406"/>
      <c r="U972" s="1406"/>
      <c r="V972" s="1406"/>
      <c r="W972" s="1406"/>
      <c r="X972" s="1406"/>
      <c r="Y972" s="1406"/>
      <c r="Z972" s="1406"/>
      <c r="AA972" s="1406"/>
      <c r="AB972" s="1406"/>
      <c r="AC972" s="1406"/>
      <c r="AD972" s="1406"/>
      <c r="AE972" s="1406"/>
      <c r="AF972" s="1406"/>
      <c r="AG972" s="1406"/>
      <c r="AH972" s="1406"/>
      <c r="AI972" s="1406"/>
      <c r="AJ972" s="1406"/>
      <c r="AK972" s="1406"/>
      <c r="AL972" s="1406"/>
      <c r="AM972" s="1406"/>
      <c r="AN972" s="1406"/>
      <c r="AO972" s="1405"/>
      <c r="AP972" s="1405"/>
      <c r="AQ972" s="1405"/>
      <c r="AR972" s="1405"/>
      <c r="AS972" s="1405"/>
      <c r="AT972" s="1405"/>
      <c r="AU972" s="1405"/>
      <c r="AV972" s="1405"/>
    </row>
    <row r="973" spans="1:48" s="1431" customFormat="1">
      <c r="A973" s="1399"/>
      <c r="B973" s="1429"/>
      <c r="C973" s="1430"/>
      <c r="D973" s="1400"/>
      <c r="E973" s="1401"/>
      <c r="F973" s="1401"/>
      <c r="G973" s="1402"/>
      <c r="H973" s="1403"/>
      <c r="I973" s="1404"/>
      <c r="J973" s="1405"/>
      <c r="K973" s="1405"/>
      <c r="L973" s="1405"/>
      <c r="M973" s="1405"/>
      <c r="N973" s="1406"/>
      <c r="O973" s="1406"/>
      <c r="P973" s="1406"/>
      <c r="Q973" s="1406"/>
      <c r="R973" s="1406"/>
      <c r="S973" s="1406"/>
      <c r="T973" s="1406"/>
      <c r="U973" s="1406"/>
      <c r="V973" s="1406"/>
      <c r="W973" s="1406"/>
      <c r="X973" s="1406"/>
      <c r="Y973" s="1406"/>
      <c r="Z973" s="1406"/>
      <c r="AA973" s="1406"/>
      <c r="AB973" s="1406"/>
      <c r="AC973" s="1406"/>
      <c r="AD973" s="1406"/>
      <c r="AE973" s="1406"/>
      <c r="AF973" s="1406"/>
      <c r="AG973" s="1406"/>
      <c r="AH973" s="1406"/>
      <c r="AI973" s="1406"/>
      <c r="AJ973" s="1406"/>
      <c r="AK973" s="1406"/>
      <c r="AL973" s="1406"/>
      <c r="AM973" s="1406"/>
      <c r="AN973" s="1406"/>
      <c r="AO973" s="1405"/>
      <c r="AP973" s="1405"/>
      <c r="AQ973" s="1405"/>
      <c r="AR973" s="1405"/>
      <c r="AS973" s="1405"/>
      <c r="AT973" s="1405"/>
      <c r="AU973" s="1405"/>
      <c r="AV973" s="1405"/>
    </row>
    <row r="974" spans="1:48" s="1431" customFormat="1">
      <c r="A974" s="1399"/>
      <c r="B974" s="1429"/>
      <c r="C974" s="1430"/>
      <c r="D974" s="1400"/>
      <c r="E974" s="1401"/>
      <c r="F974" s="1401"/>
      <c r="G974" s="1402"/>
      <c r="H974" s="1403"/>
      <c r="I974" s="1404"/>
      <c r="J974" s="1405"/>
      <c r="K974" s="1405"/>
      <c r="L974" s="1405"/>
      <c r="M974" s="1405"/>
      <c r="N974" s="1406"/>
      <c r="O974" s="1406"/>
      <c r="P974" s="1406"/>
      <c r="Q974" s="1406"/>
      <c r="R974" s="1406"/>
      <c r="S974" s="1406"/>
      <c r="T974" s="1406"/>
      <c r="U974" s="1406"/>
      <c r="V974" s="1406"/>
      <c r="W974" s="1406"/>
      <c r="X974" s="1406"/>
      <c r="Y974" s="1406"/>
      <c r="Z974" s="1406"/>
      <c r="AA974" s="1406"/>
      <c r="AB974" s="1406"/>
      <c r="AC974" s="1406"/>
      <c r="AD974" s="1406"/>
      <c r="AE974" s="1406"/>
      <c r="AF974" s="1406"/>
      <c r="AG974" s="1406"/>
      <c r="AH974" s="1406"/>
      <c r="AI974" s="1406"/>
      <c r="AJ974" s="1406"/>
      <c r="AK974" s="1406"/>
      <c r="AL974" s="1406"/>
      <c r="AM974" s="1406"/>
      <c r="AN974" s="1406"/>
      <c r="AO974" s="1405"/>
      <c r="AP974" s="1405"/>
      <c r="AQ974" s="1405"/>
      <c r="AR974" s="1405"/>
      <c r="AS974" s="1405"/>
      <c r="AT974" s="1405"/>
      <c r="AU974" s="1405"/>
      <c r="AV974" s="1405"/>
    </row>
    <row r="975" spans="1:48" s="1431" customFormat="1">
      <c r="A975" s="1399"/>
      <c r="B975" s="1429"/>
      <c r="C975" s="1430"/>
      <c r="D975" s="1400"/>
      <c r="E975" s="1401"/>
      <c r="F975" s="1401"/>
      <c r="G975" s="1402"/>
      <c r="H975" s="1403"/>
      <c r="I975" s="1404"/>
      <c r="J975" s="1405"/>
      <c r="K975" s="1405"/>
      <c r="L975" s="1405"/>
      <c r="M975" s="1405"/>
      <c r="N975" s="1406"/>
      <c r="O975" s="1406"/>
      <c r="P975" s="1406"/>
      <c r="Q975" s="1406"/>
      <c r="R975" s="1406"/>
      <c r="S975" s="1406"/>
      <c r="T975" s="1406"/>
      <c r="U975" s="1406"/>
      <c r="V975" s="1406"/>
      <c r="W975" s="1406"/>
      <c r="X975" s="1406"/>
      <c r="Y975" s="1406"/>
      <c r="Z975" s="1406"/>
      <c r="AA975" s="1406"/>
      <c r="AB975" s="1406"/>
      <c r="AC975" s="1406"/>
      <c r="AD975" s="1406"/>
      <c r="AE975" s="1406"/>
      <c r="AF975" s="1406"/>
      <c r="AG975" s="1406"/>
      <c r="AH975" s="1406"/>
      <c r="AI975" s="1406"/>
      <c r="AJ975" s="1406"/>
      <c r="AK975" s="1406"/>
      <c r="AL975" s="1406"/>
      <c r="AM975" s="1406"/>
      <c r="AN975" s="1406"/>
      <c r="AO975" s="1405"/>
      <c r="AP975" s="1405"/>
      <c r="AQ975" s="1405"/>
      <c r="AR975" s="1405"/>
      <c r="AS975" s="1405"/>
      <c r="AT975" s="1405"/>
      <c r="AU975" s="1405"/>
      <c r="AV975" s="1405"/>
    </row>
    <row r="976" spans="1:48" s="1431" customFormat="1">
      <c r="A976" s="1399"/>
      <c r="B976" s="1429"/>
      <c r="C976" s="1430"/>
      <c r="D976" s="1400"/>
      <c r="E976" s="1401"/>
      <c r="F976" s="1401"/>
      <c r="G976" s="1402"/>
      <c r="H976" s="1403"/>
      <c r="I976" s="1404"/>
      <c r="J976" s="1405"/>
      <c r="K976" s="1405"/>
      <c r="L976" s="1405"/>
      <c r="M976" s="1405"/>
      <c r="N976" s="1406"/>
      <c r="O976" s="1406"/>
      <c r="P976" s="1406"/>
      <c r="Q976" s="1406"/>
      <c r="R976" s="1406"/>
      <c r="S976" s="1406"/>
      <c r="T976" s="1406"/>
      <c r="U976" s="1406"/>
      <c r="V976" s="1406"/>
      <c r="W976" s="1406"/>
      <c r="X976" s="1406"/>
      <c r="Y976" s="1406"/>
      <c r="Z976" s="1406"/>
      <c r="AA976" s="1406"/>
      <c r="AB976" s="1406"/>
      <c r="AC976" s="1406"/>
      <c r="AD976" s="1406"/>
      <c r="AE976" s="1406"/>
      <c r="AF976" s="1406"/>
      <c r="AG976" s="1406"/>
      <c r="AH976" s="1406"/>
      <c r="AI976" s="1406"/>
      <c r="AJ976" s="1406"/>
      <c r="AK976" s="1406"/>
      <c r="AL976" s="1406"/>
      <c r="AM976" s="1406"/>
      <c r="AN976" s="1406"/>
      <c r="AO976" s="1405"/>
      <c r="AP976" s="1405"/>
      <c r="AQ976" s="1405"/>
      <c r="AR976" s="1405"/>
      <c r="AS976" s="1405"/>
      <c r="AT976" s="1405"/>
      <c r="AU976" s="1405"/>
      <c r="AV976" s="1405"/>
    </row>
    <row r="977" spans="1:48" s="1431" customFormat="1">
      <c r="A977" s="1399"/>
      <c r="B977" s="1429"/>
      <c r="C977" s="1430"/>
      <c r="D977" s="1400"/>
      <c r="E977" s="1401"/>
      <c r="F977" s="1401"/>
      <c r="G977" s="1402"/>
      <c r="H977" s="1403"/>
      <c r="I977" s="1404"/>
      <c r="J977" s="1405"/>
      <c r="K977" s="1405"/>
      <c r="L977" s="1405"/>
      <c r="M977" s="1405"/>
      <c r="N977" s="1406"/>
      <c r="O977" s="1406"/>
      <c r="P977" s="1406"/>
      <c r="Q977" s="1406"/>
      <c r="R977" s="1406"/>
      <c r="S977" s="1406"/>
      <c r="T977" s="1406"/>
      <c r="U977" s="1406"/>
      <c r="V977" s="1406"/>
      <c r="W977" s="1406"/>
      <c r="X977" s="1406"/>
      <c r="Y977" s="1406"/>
      <c r="Z977" s="1406"/>
      <c r="AA977" s="1406"/>
      <c r="AB977" s="1406"/>
      <c r="AC977" s="1406"/>
      <c r="AD977" s="1406"/>
      <c r="AE977" s="1406"/>
      <c r="AF977" s="1406"/>
      <c r="AG977" s="1406"/>
      <c r="AH977" s="1406"/>
      <c r="AI977" s="1406"/>
      <c r="AJ977" s="1406"/>
      <c r="AK977" s="1406"/>
      <c r="AL977" s="1406"/>
      <c r="AM977" s="1406"/>
      <c r="AN977" s="1406"/>
      <c r="AO977" s="1405"/>
      <c r="AP977" s="1405"/>
      <c r="AQ977" s="1405"/>
      <c r="AR977" s="1405"/>
      <c r="AS977" s="1405"/>
      <c r="AT977" s="1405"/>
      <c r="AU977" s="1405"/>
      <c r="AV977" s="1405"/>
    </row>
    <row r="978" spans="1:48" s="1431" customFormat="1">
      <c r="A978" s="1399"/>
      <c r="B978" s="1429"/>
      <c r="C978" s="1430"/>
      <c r="D978" s="1400"/>
      <c r="E978" s="1401"/>
      <c r="F978" s="1401"/>
      <c r="G978" s="1402"/>
      <c r="H978" s="1403"/>
      <c r="I978" s="1404"/>
      <c r="J978" s="1405"/>
      <c r="K978" s="1405"/>
      <c r="L978" s="1405"/>
      <c r="M978" s="1405"/>
      <c r="N978" s="1406"/>
      <c r="O978" s="1406"/>
      <c r="P978" s="1406"/>
      <c r="Q978" s="1406"/>
      <c r="R978" s="1406"/>
      <c r="S978" s="1406"/>
      <c r="T978" s="1406"/>
      <c r="U978" s="1406"/>
      <c r="V978" s="1406"/>
      <c r="W978" s="1406"/>
      <c r="X978" s="1406"/>
      <c r="Y978" s="1406"/>
      <c r="Z978" s="1406"/>
      <c r="AA978" s="1406"/>
      <c r="AB978" s="1406"/>
      <c r="AC978" s="1406"/>
      <c r="AD978" s="1406"/>
      <c r="AE978" s="1406"/>
      <c r="AF978" s="1406"/>
      <c r="AG978" s="1406"/>
      <c r="AH978" s="1406"/>
      <c r="AI978" s="1406"/>
      <c r="AJ978" s="1406"/>
      <c r="AK978" s="1406"/>
      <c r="AL978" s="1406"/>
      <c r="AM978" s="1406"/>
      <c r="AN978" s="1406"/>
      <c r="AO978" s="1405"/>
      <c r="AP978" s="1405"/>
      <c r="AQ978" s="1405"/>
      <c r="AR978" s="1405"/>
      <c r="AS978" s="1405"/>
      <c r="AT978" s="1405"/>
      <c r="AU978" s="1405"/>
      <c r="AV978" s="1405"/>
    </row>
    <row r="979" spans="1:48" s="1431" customFormat="1">
      <c r="A979" s="1399"/>
      <c r="B979" s="1429"/>
      <c r="C979" s="1430"/>
      <c r="D979" s="1400"/>
      <c r="E979" s="1401"/>
      <c r="F979" s="1401"/>
      <c r="G979" s="1402"/>
      <c r="H979" s="1403"/>
      <c r="I979" s="1404"/>
      <c r="J979" s="1405"/>
      <c r="K979" s="1405"/>
      <c r="L979" s="1405"/>
      <c r="M979" s="1405"/>
      <c r="N979" s="1406"/>
      <c r="O979" s="1406"/>
      <c r="P979" s="1406"/>
      <c r="Q979" s="1406"/>
      <c r="R979" s="1406"/>
      <c r="S979" s="1406"/>
      <c r="T979" s="1406"/>
      <c r="U979" s="1406"/>
      <c r="V979" s="1406"/>
      <c r="W979" s="1406"/>
      <c r="X979" s="1406"/>
      <c r="Y979" s="1406"/>
      <c r="Z979" s="1406"/>
      <c r="AA979" s="1406"/>
      <c r="AB979" s="1406"/>
      <c r="AC979" s="1406"/>
      <c r="AD979" s="1406"/>
      <c r="AE979" s="1406"/>
      <c r="AF979" s="1406"/>
      <c r="AG979" s="1406"/>
      <c r="AH979" s="1406"/>
      <c r="AI979" s="1406"/>
      <c r="AJ979" s="1406"/>
      <c r="AK979" s="1406"/>
      <c r="AL979" s="1406"/>
      <c r="AM979" s="1406"/>
      <c r="AN979" s="1406"/>
      <c r="AO979" s="1405"/>
      <c r="AP979" s="1405"/>
      <c r="AQ979" s="1405"/>
      <c r="AR979" s="1405"/>
      <c r="AS979" s="1405"/>
      <c r="AT979" s="1405"/>
      <c r="AU979" s="1405"/>
      <c r="AV979" s="1405"/>
    </row>
    <row r="980" spans="1:48" s="1431" customFormat="1">
      <c r="A980" s="1399"/>
      <c r="B980" s="1429"/>
      <c r="C980" s="1430"/>
      <c r="D980" s="1400"/>
      <c r="E980" s="1401"/>
      <c r="F980" s="1401"/>
      <c r="G980" s="1402"/>
      <c r="H980" s="1403"/>
      <c r="I980" s="1404"/>
      <c r="J980" s="1405"/>
      <c r="K980" s="1405"/>
      <c r="L980" s="1405"/>
      <c r="M980" s="1405"/>
      <c r="N980" s="1406"/>
      <c r="O980" s="1406"/>
      <c r="P980" s="1406"/>
      <c r="Q980" s="1406"/>
      <c r="R980" s="1406"/>
      <c r="S980" s="1406"/>
      <c r="T980" s="1406"/>
      <c r="U980" s="1406"/>
      <c r="V980" s="1406"/>
      <c r="W980" s="1406"/>
      <c r="X980" s="1406"/>
      <c r="Y980" s="1406"/>
      <c r="Z980" s="1406"/>
      <c r="AA980" s="1406"/>
      <c r="AB980" s="1406"/>
      <c r="AC980" s="1406"/>
      <c r="AD980" s="1406"/>
      <c r="AE980" s="1406"/>
      <c r="AF980" s="1406"/>
      <c r="AG980" s="1406"/>
      <c r="AH980" s="1406"/>
      <c r="AI980" s="1406"/>
      <c r="AJ980" s="1406"/>
      <c r="AK980" s="1406"/>
      <c r="AL980" s="1406"/>
      <c r="AM980" s="1406"/>
      <c r="AN980" s="1406"/>
      <c r="AO980" s="1405"/>
      <c r="AP980" s="1405"/>
      <c r="AQ980" s="1405"/>
      <c r="AR980" s="1405"/>
      <c r="AS980" s="1405"/>
      <c r="AT980" s="1405"/>
      <c r="AU980" s="1405"/>
      <c r="AV980" s="1405"/>
    </row>
    <row r="981" spans="1:48" s="1431" customFormat="1">
      <c r="A981" s="1399"/>
      <c r="B981" s="1429"/>
      <c r="C981" s="1430"/>
      <c r="D981" s="1400"/>
      <c r="E981" s="1401"/>
      <c r="F981" s="1401"/>
      <c r="G981" s="1402"/>
      <c r="H981" s="1403"/>
      <c r="I981" s="1404"/>
      <c r="J981" s="1405"/>
      <c r="K981" s="1405"/>
      <c r="L981" s="1405"/>
      <c r="M981" s="1405"/>
      <c r="N981" s="1406"/>
      <c r="O981" s="1406"/>
      <c r="P981" s="1406"/>
      <c r="Q981" s="1406"/>
      <c r="R981" s="1406"/>
      <c r="S981" s="1406"/>
      <c r="T981" s="1406"/>
      <c r="U981" s="1406"/>
      <c r="V981" s="1406"/>
      <c r="W981" s="1406"/>
      <c r="X981" s="1406"/>
      <c r="Y981" s="1406"/>
      <c r="Z981" s="1406"/>
      <c r="AA981" s="1406"/>
      <c r="AB981" s="1406"/>
      <c r="AC981" s="1406"/>
      <c r="AD981" s="1406"/>
      <c r="AE981" s="1406"/>
      <c r="AF981" s="1406"/>
      <c r="AG981" s="1406"/>
      <c r="AH981" s="1406"/>
      <c r="AI981" s="1406"/>
      <c r="AJ981" s="1406"/>
      <c r="AK981" s="1406"/>
      <c r="AL981" s="1406"/>
      <c r="AM981" s="1406"/>
      <c r="AN981" s="1406"/>
      <c r="AO981" s="1405"/>
      <c r="AP981" s="1405"/>
      <c r="AQ981" s="1405"/>
      <c r="AR981" s="1405"/>
      <c r="AS981" s="1405"/>
      <c r="AT981" s="1405"/>
      <c r="AU981" s="1405"/>
      <c r="AV981" s="1405"/>
    </row>
    <row r="982" spans="1:48" s="1431" customFormat="1">
      <c r="A982" s="1399"/>
      <c r="B982" s="1429"/>
      <c r="C982" s="1430"/>
      <c r="D982" s="1400"/>
      <c r="E982" s="1401"/>
      <c r="F982" s="1401"/>
      <c r="G982" s="1402"/>
      <c r="H982" s="1403"/>
      <c r="I982" s="1404"/>
      <c r="J982" s="1405"/>
      <c r="K982" s="1405"/>
      <c r="L982" s="1405"/>
      <c r="M982" s="1405"/>
      <c r="N982" s="1406"/>
      <c r="O982" s="1406"/>
      <c r="P982" s="1406"/>
      <c r="Q982" s="1406"/>
      <c r="R982" s="1406"/>
      <c r="S982" s="1406"/>
      <c r="T982" s="1406"/>
      <c r="U982" s="1406"/>
      <c r="V982" s="1406"/>
      <c r="W982" s="1406"/>
      <c r="X982" s="1406"/>
      <c r="Y982" s="1406"/>
      <c r="Z982" s="1406"/>
      <c r="AA982" s="1406"/>
      <c r="AB982" s="1406"/>
      <c r="AC982" s="1406"/>
      <c r="AD982" s="1406"/>
      <c r="AE982" s="1406"/>
      <c r="AF982" s="1406"/>
      <c r="AG982" s="1406"/>
      <c r="AH982" s="1406"/>
      <c r="AI982" s="1406"/>
      <c r="AJ982" s="1406"/>
      <c r="AK982" s="1406"/>
      <c r="AL982" s="1406"/>
      <c r="AM982" s="1406"/>
      <c r="AN982" s="1406"/>
      <c r="AO982" s="1405"/>
      <c r="AP982" s="1405"/>
      <c r="AQ982" s="1405"/>
      <c r="AR982" s="1405"/>
      <c r="AS982" s="1405"/>
      <c r="AT982" s="1405"/>
      <c r="AU982" s="1405"/>
      <c r="AV982" s="1405"/>
    </row>
    <row r="983" spans="1:48" s="1431" customFormat="1">
      <c r="A983" s="1399"/>
      <c r="B983" s="1429"/>
      <c r="C983" s="1430"/>
      <c r="D983" s="1400"/>
      <c r="E983" s="1401"/>
      <c r="F983" s="1401"/>
      <c r="G983" s="1402"/>
      <c r="H983" s="1403"/>
      <c r="I983" s="1404"/>
      <c r="J983" s="1405"/>
      <c r="K983" s="1405"/>
      <c r="L983" s="1405"/>
      <c r="M983" s="1405"/>
      <c r="N983" s="1406"/>
      <c r="O983" s="1406"/>
      <c r="P983" s="1406"/>
      <c r="Q983" s="1406"/>
      <c r="R983" s="1406"/>
      <c r="S983" s="1406"/>
      <c r="T983" s="1406"/>
      <c r="U983" s="1406"/>
      <c r="V983" s="1406"/>
      <c r="W983" s="1406"/>
      <c r="X983" s="1406"/>
      <c r="Y983" s="1406"/>
      <c r="Z983" s="1406"/>
      <c r="AA983" s="1406"/>
      <c r="AB983" s="1406"/>
      <c r="AC983" s="1406"/>
      <c r="AD983" s="1406"/>
      <c r="AE983" s="1406"/>
      <c r="AF983" s="1406"/>
      <c r="AG983" s="1406"/>
      <c r="AH983" s="1406"/>
      <c r="AI983" s="1406"/>
      <c r="AJ983" s="1406"/>
      <c r="AK983" s="1406"/>
      <c r="AL983" s="1406"/>
      <c r="AM983" s="1406"/>
      <c r="AN983" s="1406"/>
      <c r="AO983" s="1405"/>
      <c r="AP983" s="1405"/>
      <c r="AQ983" s="1405"/>
      <c r="AR983" s="1405"/>
      <c r="AS983" s="1405"/>
      <c r="AT983" s="1405"/>
      <c r="AU983" s="1405"/>
      <c r="AV983" s="1405"/>
    </row>
    <row r="984" spans="1:48" s="1431" customFormat="1">
      <c r="A984" s="1399"/>
      <c r="B984" s="1429"/>
      <c r="C984" s="1430"/>
      <c r="D984" s="1400"/>
      <c r="E984" s="1401"/>
      <c r="F984" s="1401"/>
      <c r="G984" s="1402"/>
      <c r="H984" s="1403"/>
      <c r="I984" s="1404"/>
      <c r="J984" s="1405"/>
      <c r="K984" s="1405"/>
      <c r="L984" s="1405"/>
      <c r="M984" s="1405"/>
      <c r="N984" s="1406"/>
      <c r="O984" s="1406"/>
      <c r="P984" s="1406"/>
      <c r="Q984" s="1406"/>
      <c r="R984" s="1406"/>
      <c r="S984" s="1406"/>
      <c r="T984" s="1406"/>
      <c r="U984" s="1406"/>
      <c r="V984" s="1406"/>
      <c r="W984" s="1406"/>
      <c r="X984" s="1406"/>
      <c r="Y984" s="1406"/>
      <c r="Z984" s="1406"/>
      <c r="AA984" s="1406"/>
      <c r="AB984" s="1406"/>
      <c r="AC984" s="1406"/>
      <c r="AD984" s="1406"/>
      <c r="AE984" s="1406"/>
      <c r="AF984" s="1406"/>
      <c r="AG984" s="1406"/>
      <c r="AH984" s="1406"/>
      <c r="AI984" s="1406"/>
      <c r="AJ984" s="1406"/>
      <c r="AK984" s="1406"/>
      <c r="AL984" s="1406"/>
      <c r="AM984" s="1406"/>
      <c r="AN984" s="1406"/>
      <c r="AO984" s="1405"/>
      <c r="AP984" s="1405"/>
      <c r="AQ984" s="1405"/>
      <c r="AR984" s="1405"/>
      <c r="AS984" s="1405"/>
      <c r="AT984" s="1405"/>
      <c r="AU984" s="1405"/>
      <c r="AV984" s="1405"/>
    </row>
    <row r="985" spans="1:48" s="1431" customFormat="1">
      <c r="A985" s="1399"/>
      <c r="B985" s="1429"/>
      <c r="C985" s="1430"/>
      <c r="D985" s="1400"/>
      <c r="E985" s="1401"/>
      <c r="F985" s="1401"/>
      <c r="G985" s="1402"/>
      <c r="H985" s="1403"/>
      <c r="I985" s="1404"/>
      <c r="J985" s="1405"/>
      <c r="K985" s="1405"/>
      <c r="L985" s="1405"/>
      <c r="M985" s="1405"/>
      <c r="N985" s="1406"/>
      <c r="O985" s="1406"/>
      <c r="P985" s="1406"/>
      <c r="Q985" s="1406"/>
      <c r="R985" s="1406"/>
      <c r="S985" s="1406"/>
      <c r="T985" s="1406"/>
      <c r="U985" s="1406"/>
      <c r="V985" s="1406"/>
      <c r="W985" s="1406"/>
      <c r="X985" s="1406"/>
      <c r="Y985" s="1406"/>
      <c r="Z985" s="1406"/>
      <c r="AA985" s="1406"/>
      <c r="AB985" s="1406"/>
      <c r="AC985" s="1406"/>
      <c r="AD985" s="1406"/>
      <c r="AE985" s="1406"/>
      <c r="AF985" s="1406"/>
      <c r="AG985" s="1406"/>
      <c r="AH985" s="1406"/>
      <c r="AI985" s="1406"/>
      <c r="AJ985" s="1406"/>
      <c r="AK985" s="1406"/>
      <c r="AL985" s="1406"/>
      <c r="AM985" s="1406"/>
      <c r="AN985" s="1406"/>
      <c r="AO985" s="1405"/>
      <c r="AP985" s="1405"/>
      <c r="AQ985" s="1405"/>
      <c r="AR985" s="1405"/>
      <c r="AS985" s="1405"/>
      <c r="AT985" s="1405"/>
      <c r="AU985" s="1405"/>
      <c r="AV985" s="1405"/>
    </row>
    <row r="986" spans="1:48" s="1431" customFormat="1">
      <c r="A986" s="1399"/>
      <c r="B986" s="1429"/>
      <c r="C986" s="1430"/>
      <c r="D986" s="1400"/>
      <c r="E986" s="1401"/>
      <c r="F986" s="1401"/>
      <c r="G986" s="1402"/>
      <c r="H986" s="1403"/>
      <c r="I986" s="1404"/>
      <c r="J986" s="1405"/>
      <c r="K986" s="1405"/>
      <c r="L986" s="1405"/>
      <c r="M986" s="1405"/>
      <c r="N986" s="1406"/>
      <c r="O986" s="1406"/>
      <c r="P986" s="1406"/>
      <c r="Q986" s="1406"/>
      <c r="R986" s="1406"/>
      <c r="S986" s="1406"/>
      <c r="T986" s="1406"/>
      <c r="U986" s="1406"/>
      <c r="V986" s="1406"/>
      <c r="W986" s="1406"/>
      <c r="X986" s="1406"/>
      <c r="Y986" s="1406"/>
      <c r="Z986" s="1406"/>
      <c r="AA986" s="1406"/>
      <c r="AB986" s="1406"/>
      <c r="AC986" s="1406"/>
      <c r="AD986" s="1406"/>
      <c r="AE986" s="1406"/>
      <c r="AF986" s="1406"/>
      <c r="AG986" s="1406"/>
      <c r="AH986" s="1406"/>
      <c r="AI986" s="1406"/>
      <c r="AJ986" s="1406"/>
      <c r="AK986" s="1406"/>
      <c r="AL986" s="1406"/>
      <c r="AM986" s="1406"/>
      <c r="AN986" s="1406"/>
      <c r="AO986" s="1405"/>
      <c r="AP986" s="1405"/>
      <c r="AQ986" s="1405"/>
      <c r="AR986" s="1405"/>
      <c r="AS986" s="1405"/>
      <c r="AT986" s="1405"/>
      <c r="AU986" s="1405"/>
      <c r="AV986" s="1405"/>
    </row>
    <row r="987" spans="1:48" s="1431" customFormat="1">
      <c r="A987" s="1399"/>
      <c r="B987" s="1429"/>
      <c r="C987" s="1430"/>
      <c r="D987" s="1400"/>
      <c r="E987" s="1401"/>
      <c r="F987" s="1401"/>
      <c r="G987" s="1402"/>
      <c r="H987" s="1403"/>
      <c r="I987" s="1404"/>
      <c r="J987" s="1405"/>
      <c r="K987" s="1405"/>
      <c r="L987" s="1405"/>
      <c r="M987" s="1405"/>
      <c r="N987" s="1406"/>
      <c r="O987" s="1406"/>
      <c r="P987" s="1406"/>
      <c r="Q987" s="1406"/>
      <c r="R987" s="1406"/>
      <c r="S987" s="1406"/>
      <c r="T987" s="1406"/>
      <c r="U987" s="1406"/>
      <c r="V987" s="1406"/>
      <c r="W987" s="1406"/>
      <c r="X987" s="1406"/>
      <c r="Y987" s="1406"/>
      <c r="Z987" s="1406"/>
      <c r="AA987" s="1406"/>
      <c r="AB987" s="1406"/>
      <c r="AC987" s="1406"/>
      <c r="AD987" s="1406"/>
      <c r="AE987" s="1406"/>
      <c r="AF987" s="1406"/>
      <c r="AG987" s="1406"/>
      <c r="AH987" s="1406"/>
      <c r="AI987" s="1406"/>
      <c r="AJ987" s="1406"/>
      <c r="AK987" s="1406"/>
      <c r="AL987" s="1406"/>
      <c r="AM987" s="1406"/>
      <c r="AN987" s="1406"/>
      <c r="AO987" s="1405"/>
      <c r="AP987" s="1405"/>
      <c r="AQ987" s="1405"/>
      <c r="AR987" s="1405"/>
      <c r="AS987" s="1405"/>
      <c r="AT987" s="1405"/>
      <c r="AU987" s="1405"/>
      <c r="AV987" s="1405"/>
    </row>
    <row r="988" spans="1:48" s="1431" customFormat="1">
      <c r="A988" s="1399"/>
      <c r="B988" s="1429"/>
      <c r="C988" s="1430"/>
      <c r="D988" s="1400"/>
      <c r="E988" s="1401"/>
      <c r="F988" s="1401"/>
      <c r="G988" s="1402"/>
      <c r="H988" s="1403"/>
      <c r="I988" s="1404"/>
      <c r="J988" s="1405"/>
      <c r="K988" s="1405"/>
      <c r="L988" s="1405"/>
      <c r="M988" s="1405"/>
      <c r="N988" s="1406"/>
      <c r="O988" s="1406"/>
      <c r="P988" s="1406"/>
      <c r="Q988" s="1406"/>
      <c r="R988" s="1406"/>
      <c r="S988" s="1406"/>
      <c r="T988" s="1406"/>
      <c r="U988" s="1406"/>
      <c r="V988" s="1406"/>
      <c r="W988" s="1406"/>
      <c r="X988" s="1406"/>
      <c r="Y988" s="1406"/>
      <c r="Z988" s="1406"/>
      <c r="AA988" s="1406"/>
      <c r="AB988" s="1406"/>
      <c r="AC988" s="1406"/>
      <c r="AD988" s="1406"/>
      <c r="AE988" s="1406"/>
      <c r="AF988" s="1406"/>
      <c r="AG988" s="1406"/>
      <c r="AH988" s="1406"/>
      <c r="AI988" s="1406"/>
      <c r="AJ988" s="1406"/>
      <c r="AK988" s="1406"/>
      <c r="AL988" s="1406"/>
      <c r="AM988" s="1406"/>
      <c r="AN988" s="1406"/>
      <c r="AO988" s="1405"/>
      <c r="AP988" s="1405"/>
      <c r="AQ988" s="1405"/>
      <c r="AR988" s="1405"/>
      <c r="AS988" s="1405"/>
      <c r="AT988" s="1405"/>
      <c r="AU988" s="1405"/>
      <c r="AV988" s="1405"/>
    </row>
    <row r="989" spans="1:48" s="1431" customFormat="1">
      <c r="A989" s="1399"/>
      <c r="B989" s="1429"/>
      <c r="C989" s="1430"/>
      <c r="D989" s="1400"/>
      <c r="E989" s="1401"/>
      <c r="F989" s="1401"/>
      <c r="G989" s="1402"/>
      <c r="H989" s="1403"/>
      <c r="I989" s="1404"/>
      <c r="J989" s="1405"/>
      <c r="K989" s="1405"/>
      <c r="L989" s="1405"/>
      <c r="M989" s="1405"/>
      <c r="N989" s="1406"/>
      <c r="O989" s="1406"/>
      <c r="P989" s="1406"/>
      <c r="Q989" s="1406"/>
      <c r="R989" s="1406"/>
      <c r="S989" s="1406"/>
      <c r="T989" s="1406"/>
      <c r="U989" s="1406"/>
      <c r="V989" s="1406"/>
      <c r="W989" s="1406"/>
      <c r="X989" s="1406"/>
      <c r="Y989" s="1406"/>
      <c r="Z989" s="1406"/>
      <c r="AA989" s="1406"/>
      <c r="AB989" s="1406"/>
      <c r="AC989" s="1406"/>
      <c r="AD989" s="1406"/>
      <c r="AE989" s="1406"/>
      <c r="AF989" s="1406"/>
      <c r="AG989" s="1406"/>
      <c r="AH989" s="1406"/>
      <c r="AI989" s="1406"/>
      <c r="AJ989" s="1406"/>
      <c r="AK989" s="1406"/>
      <c r="AL989" s="1406"/>
      <c r="AM989" s="1406"/>
      <c r="AN989" s="1406"/>
      <c r="AO989" s="1405"/>
      <c r="AP989" s="1405"/>
      <c r="AQ989" s="1405"/>
      <c r="AR989" s="1405"/>
      <c r="AS989" s="1405"/>
      <c r="AT989" s="1405"/>
      <c r="AU989" s="1405"/>
      <c r="AV989" s="1405"/>
    </row>
    <row r="990" spans="1:48" s="1431" customFormat="1">
      <c r="A990" s="1399"/>
      <c r="B990" s="1429"/>
      <c r="C990" s="1430"/>
      <c r="D990" s="1400"/>
      <c r="E990" s="1401"/>
      <c r="F990" s="1401"/>
      <c r="G990" s="1402"/>
      <c r="H990" s="1403"/>
      <c r="I990" s="1404"/>
      <c r="J990" s="1405"/>
      <c r="K990" s="1405"/>
      <c r="L990" s="1405"/>
      <c r="M990" s="1405"/>
      <c r="N990" s="1406"/>
      <c r="O990" s="1406"/>
      <c r="P990" s="1406"/>
      <c r="Q990" s="1406"/>
      <c r="R990" s="1406"/>
      <c r="S990" s="1406"/>
      <c r="T990" s="1406"/>
      <c r="U990" s="1406"/>
      <c r="V990" s="1406"/>
      <c r="W990" s="1406"/>
      <c r="X990" s="1406"/>
      <c r="Y990" s="1406"/>
      <c r="Z990" s="1406"/>
      <c r="AA990" s="1406"/>
      <c r="AB990" s="1406"/>
      <c r="AC990" s="1406"/>
      <c r="AD990" s="1406"/>
      <c r="AE990" s="1406"/>
      <c r="AF990" s="1406"/>
      <c r="AG990" s="1406"/>
      <c r="AH990" s="1406"/>
      <c r="AI990" s="1406"/>
      <c r="AJ990" s="1406"/>
      <c r="AK990" s="1406"/>
      <c r="AL990" s="1406"/>
      <c r="AM990" s="1406"/>
      <c r="AN990" s="1406"/>
      <c r="AO990" s="1405"/>
      <c r="AP990" s="1405"/>
      <c r="AQ990" s="1405"/>
      <c r="AR990" s="1405"/>
      <c r="AS990" s="1405"/>
      <c r="AT990" s="1405"/>
      <c r="AU990" s="1405"/>
      <c r="AV990" s="1405"/>
    </row>
    <row r="991" spans="1:48" s="1431" customFormat="1">
      <c r="A991" s="1399"/>
      <c r="B991" s="1429"/>
      <c r="C991" s="1430"/>
      <c r="D991" s="1400"/>
      <c r="E991" s="1401"/>
      <c r="F991" s="1401"/>
      <c r="G991" s="1402"/>
      <c r="H991" s="1403"/>
      <c r="I991" s="1404"/>
      <c r="J991" s="1405"/>
      <c r="K991" s="1405"/>
      <c r="L991" s="1405"/>
      <c r="M991" s="1405"/>
      <c r="N991" s="1406"/>
      <c r="O991" s="1406"/>
      <c r="P991" s="1406"/>
      <c r="Q991" s="1406"/>
      <c r="R991" s="1406"/>
      <c r="S991" s="1406"/>
      <c r="T991" s="1406"/>
      <c r="U991" s="1406"/>
      <c r="V991" s="1406"/>
      <c r="W991" s="1406"/>
      <c r="X991" s="1406"/>
      <c r="Y991" s="1406"/>
      <c r="Z991" s="1406"/>
      <c r="AA991" s="1406"/>
      <c r="AB991" s="1406"/>
      <c r="AC991" s="1406"/>
      <c r="AD991" s="1406"/>
      <c r="AE991" s="1406"/>
      <c r="AF991" s="1406"/>
      <c r="AG991" s="1406"/>
      <c r="AH991" s="1406"/>
      <c r="AI991" s="1406"/>
      <c r="AJ991" s="1406"/>
      <c r="AK991" s="1406"/>
      <c r="AL991" s="1406"/>
      <c r="AM991" s="1406"/>
      <c r="AN991" s="1406"/>
      <c r="AO991" s="1405"/>
      <c r="AP991" s="1405"/>
      <c r="AQ991" s="1405"/>
      <c r="AR991" s="1405"/>
      <c r="AS991" s="1405"/>
      <c r="AT991" s="1405"/>
      <c r="AU991" s="1405"/>
      <c r="AV991" s="1405"/>
    </row>
    <row r="992" spans="1:48" s="1431" customFormat="1">
      <c r="A992" s="1399"/>
      <c r="B992" s="1429"/>
      <c r="C992" s="1430"/>
      <c r="D992" s="1400"/>
      <c r="E992" s="1401"/>
      <c r="F992" s="1401"/>
      <c r="G992" s="1402"/>
      <c r="H992" s="1403"/>
      <c r="I992" s="1404"/>
      <c r="J992" s="1405"/>
      <c r="K992" s="1405"/>
      <c r="L992" s="1405"/>
      <c r="M992" s="1405"/>
      <c r="N992" s="1406"/>
      <c r="O992" s="1406"/>
      <c r="P992" s="1406"/>
      <c r="Q992" s="1406"/>
      <c r="R992" s="1406"/>
      <c r="S992" s="1406"/>
      <c r="T992" s="1406"/>
      <c r="U992" s="1406"/>
      <c r="V992" s="1406"/>
      <c r="W992" s="1406"/>
      <c r="X992" s="1406"/>
      <c r="Y992" s="1406"/>
      <c r="Z992" s="1406"/>
      <c r="AA992" s="1406"/>
      <c r="AB992" s="1406"/>
      <c r="AC992" s="1406"/>
      <c r="AD992" s="1406"/>
      <c r="AE992" s="1406"/>
      <c r="AF992" s="1406"/>
      <c r="AG992" s="1406"/>
      <c r="AH992" s="1406"/>
      <c r="AI992" s="1406"/>
      <c r="AJ992" s="1406"/>
      <c r="AK992" s="1406"/>
      <c r="AL992" s="1406"/>
      <c r="AM992" s="1406"/>
      <c r="AN992" s="1406"/>
      <c r="AO992" s="1405"/>
      <c r="AP992" s="1405"/>
      <c r="AQ992" s="1405"/>
      <c r="AR992" s="1405"/>
      <c r="AS992" s="1405"/>
      <c r="AT992" s="1405"/>
      <c r="AU992" s="1405"/>
      <c r="AV992" s="1405"/>
    </row>
    <row r="993" spans="1:48" s="1431" customFormat="1">
      <c r="A993" s="1399"/>
      <c r="B993" s="1429"/>
      <c r="C993" s="1430"/>
      <c r="D993" s="1400"/>
      <c r="E993" s="1401"/>
      <c r="F993" s="1401"/>
      <c r="G993" s="1402"/>
      <c r="H993" s="1403"/>
      <c r="I993" s="1404"/>
      <c r="J993" s="1405"/>
      <c r="K993" s="1405"/>
      <c r="L993" s="1405"/>
      <c r="M993" s="1405"/>
      <c r="N993" s="1406"/>
      <c r="O993" s="1406"/>
      <c r="P993" s="1406"/>
      <c r="Q993" s="1406"/>
      <c r="R993" s="1406"/>
      <c r="S993" s="1406"/>
      <c r="T993" s="1406"/>
      <c r="U993" s="1406"/>
      <c r="V993" s="1406"/>
      <c r="W993" s="1406"/>
      <c r="X993" s="1406"/>
      <c r="Y993" s="1406"/>
      <c r="Z993" s="1406"/>
      <c r="AA993" s="1406"/>
      <c r="AB993" s="1406"/>
      <c r="AC993" s="1406"/>
      <c r="AD993" s="1406"/>
      <c r="AE993" s="1406"/>
      <c r="AF993" s="1406"/>
      <c r="AG993" s="1406"/>
      <c r="AH993" s="1406"/>
      <c r="AI993" s="1406"/>
      <c r="AJ993" s="1406"/>
      <c r="AK993" s="1406"/>
      <c r="AL993" s="1406"/>
      <c r="AM993" s="1406"/>
      <c r="AN993" s="1406"/>
      <c r="AO993" s="1405"/>
      <c r="AP993" s="1405"/>
      <c r="AQ993" s="1405"/>
      <c r="AR993" s="1405"/>
      <c r="AS993" s="1405"/>
      <c r="AT993" s="1405"/>
      <c r="AU993" s="1405"/>
      <c r="AV993" s="1405"/>
    </row>
    <row r="994" spans="1:48" s="1431" customFormat="1">
      <c r="A994" s="1399"/>
      <c r="B994" s="1429"/>
      <c r="C994" s="1430"/>
      <c r="D994" s="1400"/>
      <c r="E994" s="1401"/>
      <c r="F994" s="1401"/>
      <c r="G994" s="1402"/>
      <c r="H994" s="1403"/>
      <c r="I994" s="1404"/>
      <c r="J994" s="1405"/>
      <c r="K994" s="1405"/>
      <c r="L994" s="1405"/>
      <c r="M994" s="1405"/>
      <c r="N994" s="1406"/>
      <c r="O994" s="1406"/>
      <c r="P994" s="1406"/>
      <c r="Q994" s="1406"/>
      <c r="R994" s="1406"/>
      <c r="S994" s="1406"/>
      <c r="T994" s="1406"/>
      <c r="U994" s="1406"/>
      <c r="V994" s="1406"/>
      <c r="W994" s="1406"/>
      <c r="X994" s="1406"/>
      <c r="Y994" s="1406"/>
      <c r="Z994" s="1406"/>
      <c r="AA994" s="1406"/>
      <c r="AB994" s="1406"/>
      <c r="AC994" s="1406"/>
      <c r="AD994" s="1406"/>
      <c r="AE994" s="1406"/>
      <c r="AF994" s="1406"/>
      <c r="AG994" s="1406"/>
      <c r="AH994" s="1406"/>
      <c r="AI994" s="1406"/>
      <c r="AJ994" s="1406"/>
      <c r="AK994" s="1406"/>
      <c r="AL994" s="1406"/>
      <c r="AM994" s="1406"/>
      <c r="AN994" s="1406"/>
      <c r="AO994" s="1405"/>
      <c r="AP994" s="1405"/>
      <c r="AQ994" s="1405"/>
      <c r="AR994" s="1405"/>
      <c r="AS994" s="1405"/>
      <c r="AT994" s="1405"/>
      <c r="AU994" s="1405"/>
      <c r="AV994" s="1405"/>
    </row>
    <row r="995" spans="1:48" s="1431" customFormat="1">
      <c r="A995" s="1399"/>
      <c r="B995" s="1429"/>
      <c r="C995" s="1430"/>
      <c r="D995" s="1400"/>
      <c r="E995" s="1401"/>
      <c r="F995" s="1401"/>
      <c r="G995" s="1402"/>
      <c r="H995" s="1403"/>
      <c r="I995" s="1404"/>
      <c r="J995" s="1405"/>
      <c r="K995" s="1405"/>
      <c r="L995" s="1405"/>
      <c r="M995" s="1405"/>
      <c r="N995" s="1406"/>
      <c r="O995" s="1406"/>
      <c r="P995" s="1406"/>
      <c r="Q995" s="1406"/>
      <c r="R995" s="1406"/>
      <c r="S995" s="1406"/>
      <c r="T995" s="1406"/>
      <c r="U995" s="1406"/>
      <c r="V995" s="1406"/>
      <c r="W995" s="1406"/>
      <c r="X995" s="1406"/>
      <c r="Y995" s="1406"/>
      <c r="Z995" s="1406"/>
      <c r="AA995" s="1406"/>
      <c r="AB995" s="1406"/>
      <c r="AC995" s="1406"/>
      <c r="AD995" s="1406"/>
      <c r="AE995" s="1406"/>
      <c r="AF995" s="1406"/>
      <c r="AG995" s="1406"/>
      <c r="AH995" s="1406"/>
      <c r="AI995" s="1406"/>
      <c r="AJ995" s="1406"/>
      <c r="AK995" s="1406"/>
      <c r="AL995" s="1406"/>
      <c r="AM995" s="1406"/>
      <c r="AN995" s="1406"/>
      <c r="AO995" s="1405"/>
      <c r="AP995" s="1405"/>
      <c r="AQ995" s="1405"/>
      <c r="AR995" s="1405"/>
      <c r="AS995" s="1405"/>
      <c r="AT995" s="1405"/>
      <c r="AU995" s="1405"/>
      <c r="AV995" s="1405"/>
    </row>
    <row r="996" spans="1:48" s="1431" customFormat="1">
      <c r="A996" s="1399"/>
      <c r="B996" s="1429"/>
      <c r="C996" s="1430"/>
      <c r="D996" s="1400"/>
      <c r="E996" s="1401"/>
      <c r="F996" s="1401"/>
      <c r="G996" s="1402"/>
      <c r="H996" s="1403"/>
      <c r="I996" s="1404"/>
      <c r="J996" s="1405"/>
      <c r="K996" s="1405"/>
      <c r="L996" s="1405"/>
      <c r="M996" s="1405"/>
      <c r="N996" s="1406"/>
      <c r="O996" s="1406"/>
      <c r="P996" s="1406"/>
      <c r="Q996" s="1406"/>
      <c r="R996" s="1406"/>
      <c r="S996" s="1406"/>
      <c r="T996" s="1406"/>
      <c r="U996" s="1406"/>
      <c r="V996" s="1406"/>
      <c r="W996" s="1406"/>
      <c r="X996" s="1406"/>
      <c r="Y996" s="1406"/>
      <c r="Z996" s="1406"/>
      <c r="AA996" s="1406"/>
      <c r="AB996" s="1406"/>
      <c r="AC996" s="1406"/>
      <c r="AD996" s="1406"/>
      <c r="AE996" s="1406"/>
      <c r="AF996" s="1406"/>
      <c r="AG996" s="1406"/>
      <c r="AH996" s="1406"/>
      <c r="AI996" s="1406"/>
      <c r="AJ996" s="1406"/>
      <c r="AK996" s="1406"/>
      <c r="AL996" s="1406"/>
      <c r="AM996" s="1406"/>
      <c r="AN996" s="1406"/>
      <c r="AO996" s="1405"/>
      <c r="AP996" s="1405"/>
      <c r="AQ996" s="1405"/>
      <c r="AR996" s="1405"/>
      <c r="AS996" s="1405"/>
      <c r="AT996" s="1405"/>
      <c r="AU996" s="1405"/>
      <c r="AV996" s="1405"/>
    </row>
    <row r="997" spans="1:48" s="1431" customFormat="1">
      <c r="A997" s="1399"/>
      <c r="B997" s="1429"/>
      <c r="C997" s="1430"/>
      <c r="D997" s="1400"/>
      <c r="E997" s="1401"/>
      <c r="F997" s="1401"/>
      <c r="G997" s="1402"/>
      <c r="H997" s="1403"/>
      <c r="I997" s="1404"/>
      <c r="J997" s="1405"/>
      <c r="K997" s="1405"/>
      <c r="L997" s="1405"/>
      <c r="M997" s="1405"/>
      <c r="N997" s="1406"/>
      <c r="O997" s="1406"/>
      <c r="P997" s="1406"/>
      <c r="Q997" s="1406"/>
      <c r="R997" s="1406"/>
      <c r="S997" s="1406"/>
      <c r="T997" s="1406"/>
      <c r="U997" s="1406"/>
      <c r="V997" s="1406"/>
      <c r="W997" s="1406"/>
      <c r="X997" s="1406"/>
      <c r="Y997" s="1406"/>
      <c r="Z997" s="1406"/>
      <c r="AA997" s="1406"/>
      <c r="AB997" s="1406"/>
      <c r="AC997" s="1406"/>
      <c r="AD997" s="1406"/>
      <c r="AE997" s="1406"/>
      <c r="AF997" s="1406"/>
      <c r="AG997" s="1406"/>
      <c r="AH997" s="1406"/>
      <c r="AI997" s="1406"/>
      <c r="AJ997" s="1406"/>
      <c r="AK997" s="1406"/>
      <c r="AL997" s="1406"/>
      <c r="AM997" s="1406"/>
      <c r="AN997" s="1406"/>
      <c r="AO997" s="1405"/>
      <c r="AP997" s="1405"/>
      <c r="AQ997" s="1405"/>
      <c r="AR997" s="1405"/>
      <c r="AS997" s="1405"/>
      <c r="AT997" s="1405"/>
      <c r="AU997" s="1405"/>
      <c r="AV997" s="1405"/>
    </row>
    <row r="998" spans="1:48" s="1431" customFormat="1">
      <c r="A998" s="1399"/>
      <c r="B998" s="1429"/>
      <c r="C998" s="1430"/>
      <c r="D998" s="1400"/>
      <c r="E998" s="1401"/>
      <c r="F998" s="1401"/>
      <c r="G998" s="1402"/>
      <c r="H998" s="1403"/>
      <c r="I998" s="1404"/>
      <c r="J998" s="1405"/>
      <c r="K998" s="1405"/>
      <c r="L998" s="1405"/>
      <c r="M998" s="1405"/>
      <c r="N998" s="1406"/>
      <c r="O998" s="1406"/>
      <c r="P998" s="1406"/>
      <c r="Q998" s="1406"/>
      <c r="R998" s="1406"/>
      <c r="S998" s="1406"/>
      <c r="T998" s="1406"/>
      <c r="U998" s="1406"/>
      <c r="V998" s="1406"/>
      <c r="W998" s="1406"/>
      <c r="X998" s="1406"/>
      <c r="Y998" s="1406"/>
      <c r="Z998" s="1406"/>
      <c r="AA998" s="1406"/>
      <c r="AB998" s="1406"/>
      <c r="AC998" s="1406"/>
      <c r="AD998" s="1406"/>
      <c r="AE998" s="1406"/>
      <c r="AF998" s="1406"/>
      <c r="AG998" s="1406"/>
      <c r="AH998" s="1406"/>
      <c r="AI998" s="1406"/>
      <c r="AJ998" s="1406"/>
      <c r="AK998" s="1406"/>
      <c r="AL998" s="1406"/>
      <c r="AM998" s="1406"/>
      <c r="AN998" s="1406"/>
      <c r="AO998" s="1405"/>
      <c r="AP998" s="1405"/>
      <c r="AQ998" s="1405"/>
      <c r="AR998" s="1405"/>
      <c r="AS998" s="1405"/>
      <c r="AT998" s="1405"/>
      <c r="AU998" s="1405"/>
      <c r="AV998" s="1405"/>
    </row>
    <row r="999" spans="1:48" s="1431" customFormat="1">
      <c r="A999" s="1399"/>
      <c r="B999" s="1429"/>
      <c r="C999" s="1430"/>
      <c r="D999" s="1400"/>
      <c r="E999" s="1401"/>
      <c r="F999" s="1401"/>
      <c r="G999" s="1402"/>
      <c r="H999" s="1403"/>
      <c r="I999" s="1404"/>
      <c r="J999" s="1405"/>
      <c r="K999" s="1405"/>
      <c r="L999" s="1405"/>
      <c r="M999" s="1405"/>
      <c r="N999" s="1406"/>
      <c r="O999" s="1406"/>
      <c r="P999" s="1406"/>
      <c r="Q999" s="1406"/>
      <c r="R999" s="1406"/>
      <c r="S999" s="1406"/>
      <c r="T999" s="1406"/>
      <c r="U999" s="1406"/>
      <c r="V999" s="1406"/>
      <c r="W999" s="1406"/>
      <c r="X999" s="1406"/>
      <c r="Y999" s="1406"/>
      <c r="Z999" s="1406"/>
      <c r="AA999" s="1406"/>
      <c r="AB999" s="1406"/>
      <c r="AC999" s="1406"/>
      <c r="AD999" s="1406"/>
      <c r="AE999" s="1406"/>
      <c r="AF999" s="1406"/>
      <c r="AG999" s="1406"/>
      <c r="AH999" s="1406"/>
      <c r="AI999" s="1406"/>
      <c r="AJ999" s="1406"/>
      <c r="AK999" s="1406"/>
      <c r="AL999" s="1406"/>
      <c r="AM999" s="1406"/>
      <c r="AN999" s="1406"/>
      <c r="AO999" s="1405"/>
      <c r="AP999" s="1405"/>
      <c r="AQ999" s="1405"/>
      <c r="AR999" s="1405"/>
      <c r="AS999" s="1405"/>
      <c r="AT999" s="1405"/>
      <c r="AU999" s="1405"/>
      <c r="AV999" s="1405"/>
    </row>
    <row r="1000" spans="1:48" s="1431" customFormat="1">
      <c r="A1000" s="1399"/>
      <c r="B1000" s="1429"/>
      <c r="C1000" s="1430"/>
      <c r="D1000" s="1400"/>
      <c r="E1000" s="1401"/>
      <c r="F1000" s="1401"/>
      <c r="G1000" s="1402"/>
      <c r="H1000" s="1403"/>
      <c r="I1000" s="1404"/>
      <c r="J1000" s="1405"/>
      <c r="K1000" s="1405"/>
      <c r="L1000" s="1405"/>
      <c r="M1000" s="1405"/>
      <c r="N1000" s="1406"/>
      <c r="O1000" s="1406"/>
      <c r="P1000" s="1406"/>
      <c r="Q1000" s="1406"/>
      <c r="R1000" s="1406"/>
      <c r="S1000" s="1406"/>
      <c r="T1000" s="1406"/>
      <c r="U1000" s="1406"/>
      <c r="V1000" s="1406"/>
      <c r="W1000" s="1406"/>
      <c r="X1000" s="1406"/>
      <c r="Y1000" s="1406"/>
      <c r="Z1000" s="1406"/>
      <c r="AA1000" s="1406"/>
      <c r="AB1000" s="1406"/>
      <c r="AC1000" s="1406"/>
      <c r="AD1000" s="1406"/>
      <c r="AE1000" s="1406"/>
      <c r="AF1000" s="1406"/>
      <c r="AG1000" s="1406"/>
      <c r="AH1000" s="1406"/>
      <c r="AI1000" s="1406"/>
      <c r="AJ1000" s="1406"/>
      <c r="AK1000" s="1406"/>
      <c r="AL1000" s="1406"/>
      <c r="AM1000" s="1406"/>
      <c r="AN1000" s="1406"/>
      <c r="AO1000" s="1405"/>
      <c r="AP1000" s="1405"/>
      <c r="AQ1000" s="1405"/>
      <c r="AR1000" s="1405"/>
      <c r="AS1000" s="1405"/>
      <c r="AT1000" s="1405"/>
      <c r="AU1000" s="1405"/>
      <c r="AV1000" s="1405"/>
    </row>
    <row r="1001" spans="1:48" s="1431" customFormat="1">
      <c r="A1001" s="1399"/>
      <c r="B1001" s="1429"/>
      <c r="C1001" s="1430"/>
      <c r="D1001" s="1400"/>
      <c r="E1001" s="1401"/>
      <c r="F1001" s="1401"/>
      <c r="G1001" s="1402"/>
      <c r="H1001" s="1403"/>
      <c r="I1001" s="1404"/>
      <c r="J1001" s="1405"/>
      <c r="K1001" s="1405"/>
      <c r="L1001" s="1405"/>
      <c r="M1001" s="1405"/>
      <c r="N1001" s="1406"/>
      <c r="O1001" s="1406"/>
      <c r="P1001" s="1406"/>
      <c r="Q1001" s="1406"/>
      <c r="R1001" s="1406"/>
      <c r="S1001" s="1406"/>
      <c r="T1001" s="1406"/>
      <c r="U1001" s="1406"/>
      <c r="V1001" s="1406"/>
      <c r="W1001" s="1406"/>
      <c r="X1001" s="1406"/>
      <c r="Y1001" s="1406"/>
      <c r="Z1001" s="1406"/>
      <c r="AA1001" s="1406"/>
      <c r="AB1001" s="1406"/>
      <c r="AC1001" s="1406"/>
      <c r="AD1001" s="1406"/>
      <c r="AE1001" s="1406"/>
      <c r="AF1001" s="1406"/>
      <c r="AG1001" s="1406"/>
      <c r="AH1001" s="1406"/>
      <c r="AI1001" s="1406"/>
      <c r="AJ1001" s="1406"/>
      <c r="AK1001" s="1406"/>
      <c r="AL1001" s="1406"/>
      <c r="AM1001" s="1406"/>
      <c r="AN1001" s="1406"/>
      <c r="AO1001" s="1405"/>
      <c r="AP1001" s="1405"/>
      <c r="AQ1001" s="1405"/>
      <c r="AR1001" s="1405"/>
      <c r="AS1001" s="1405"/>
      <c r="AT1001" s="1405"/>
      <c r="AU1001" s="1405"/>
      <c r="AV1001" s="1405"/>
    </row>
    <row r="1002" spans="1:48" s="1431" customFormat="1">
      <c r="A1002" s="1399"/>
      <c r="B1002" s="1429"/>
      <c r="C1002" s="1430"/>
      <c r="D1002" s="1400"/>
      <c r="E1002" s="1401"/>
      <c r="F1002" s="1401"/>
      <c r="G1002" s="1402"/>
      <c r="H1002" s="1403"/>
      <c r="I1002" s="1404"/>
      <c r="J1002" s="1405"/>
      <c r="K1002" s="1405"/>
      <c r="L1002" s="1405"/>
      <c r="M1002" s="1405"/>
      <c r="N1002" s="1406"/>
      <c r="O1002" s="1406"/>
      <c r="P1002" s="1406"/>
      <c r="Q1002" s="1406"/>
      <c r="R1002" s="1406"/>
      <c r="S1002" s="1406"/>
      <c r="T1002" s="1406"/>
      <c r="U1002" s="1406"/>
      <c r="V1002" s="1406"/>
      <c r="W1002" s="1406"/>
      <c r="X1002" s="1406"/>
      <c r="Y1002" s="1406"/>
      <c r="Z1002" s="1406"/>
      <c r="AA1002" s="1406"/>
      <c r="AB1002" s="1406"/>
      <c r="AC1002" s="1406"/>
      <c r="AD1002" s="1406"/>
      <c r="AE1002" s="1406"/>
      <c r="AF1002" s="1406"/>
      <c r="AG1002" s="1406"/>
      <c r="AH1002" s="1406"/>
      <c r="AI1002" s="1406"/>
      <c r="AJ1002" s="1406"/>
      <c r="AK1002" s="1406"/>
      <c r="AL1002" s="1406"/>
      <c r="AM1002" s="1406"/>
      <c r="AN1002" s="1406"/>
      <c r="AO1002" s="1405"/>
      <c r="AP1002" s="1405"/>
      <c r="AQ1002" s="1405"/>
      <c r="AR1002" s="1405"/>
      <c r="AS1002" s="1405"/>
      <c r="AT1002" s="1405"/>
      <c r="AU1002" s="1405"/>
      <c r="AV1002" s="1405"/>
    </row>
    <row r="1003" spans="1:48" s="1431" customFormat="1">
      <c r="A1003" s="1399"/>
      <c r="B1003" s="1429"/>
      <c r="C1003" s="1430"/>
      <c r="D1003" s="1400"/>
      <c r="E1003" s="1401"/>
      <c r="F1003" s="1401"/>
      <c r="G1003" s="1402"/>
      <c r="H1003" s="1403"/>
      <c r="I1003" s="1404"/>
      <c r="J1003" s="1405"/>
      <c r="K1003" s="1405"/>
      <c r="L1003" s="1405"/>
      <c r="M1003" s="1405"/>
      <c r="N1003" s="1406"/>
      <c r="O1003" s="1406"/>
      <c r="P1003" s="1406"/>
      <c r="Q1003" s="1406"/>
      <c r="R1003" s="1406"/>
      <c r="S1003" s="1406"/>
      <c r="T1003" s="1406"/>
      <c r="U1003" s="1406"/>
      <c r="V1003" s="1406"/>
      <c r="W1003" s="1406"/>
      <c r="X1003" s="1406"/>
      <c r="Y1003" s="1406"/>
      <c r="Z1003" s="1406"/>
      <c r="AA1003" s="1406"/>
      <c r="AB1003" s="1406"/>
      <c r="AC1003" s="1406"/>
      <c r="AD1003" s="1406"/>
      <c r="AE1003" s="1406"/>
      <c r="AF1003" s="1406"/>
      <c r="AG1003" s="1406"/>
      <c r="AH1003" s="1406"/>
      <c r="AI1003" s="1406"/>
      <c r="AJ1003" s="1406"/>
      <c r="AK1003" s="1406"/>
      <c r="AL1003" s="1406"/>
      <c r="AM1003" s="1406"/>
      <c r="AN1003" s="1406"/>
      <c r="AO1003" s="1405"/>
      <c r="AP1003" s="1405"/>
      <c r="AQ1003" s="1405"/>
      <c r="AR1003" s="1405"/>
      <c r="AS1003" s="1405"/>
      <c r="AT1003" s="1405"/>
      <c r="AU1003" s="1405"/>
      <c r="AV1003" s="1405"/>
    </row>
    <row r="1004" spans="1:48" s="1431" customFormat="1">
      <c r="A1004" s="1399"/>
      <c r="B1004" s="1429"/>
      <c r="C1004" s="1430"/>
      <c r="D1004" s="1400"/>
      <c r="E1004" s="1401"/>
      <c r="F1004" s="1401"/>
      <c r="G1004" s="1402"/>
      <c r="H1004" s="1403"/>
      <c r="I1004" s="1404"/>
      <c r="J1004" s="1405"/>
      <c r="K1004" s="1405"/>
      <c r="L1004" s="1405"/>
      <c r="M1004" s="1405"/>
      <c r="N1004" s="1406"/>
      <c r="O1004" s="1406"/>
      <c r="P1004" s="1406"/>
      <c r="Q1004" s="1406"/>
      <c r="R1004" s="1406"/>
      <c r="S1004" s="1406"/>
      <c r="T1004" s="1406"/>
      <c r="U1004" s="1406"/>
      <c r="V1004" s="1406"/>
      <c r="W1004" s="1406"/>
      <c r="X1004" s="1406"/>
      <c r="Y1004" s="1406"/>
      <c r="Z1004" s="1406"/>
      <c r="AA1004" s="1406"/>
      <c r="AB1004" s="1406"/>
      <c r="AC1004" s="1406"/>
      <c r="AD1004" s="1406"/>
      <c r="AE1004" s="1406"/>
      <c r="AF1004" s="1406"/>
      <c r="AG1004" s="1406"/>
      <c r="AH1004" s="1406"/>
      <c r="AI1004" s="1406"/>
      <c r="AJ1004" s="1406"/>
      <c r="AK1004" s="1406"/>
      <c r="AL1004" s="1406"/>
      <c r="AM1004" s="1406"/>
      <c r="AN1004" s="1406"/>
      <c r="AO1004" s="1405"/>
      <c r="AP1004" s="1405"/>
      <c r="AQ1004" s="1405"/>
      <c r="AR1004" s="1405"/>
      <c r="AS1004" s="1405"/>
      <c r="AT1004" s="1405"/>
      <c r="AU1004" s="1405"/>
      <c r="AV1004" s="1405"/>
    </row>
    <row r="1005" spans="1:48" s="1431" customFormat="1">
      <c r="A1005" s="1399"/>
      <c r="B1005" s="1429"/>
      <c r="C1005" s="1430"/>
      <c r="D1005" s="1400"/>
      <c r="E1005" s="1401"/>
      <c r="F1005" s="1401"/>
      <c r="G1005" s="1402"/>
      <c r="H1005" s="1403"/>
      <c r="I1005" s="1404"/>
      <c r="J1005" s="1405"/>
      <c r="K1005" s="1405"/>
      <c r="L1005" s="1405"/>
      <c r="M1005" s="1405"/>
      <c r="N1005" s="1406"/>
      <c r="O1005" s="1406"/>
      <c r="P1005" s="1406"/>
      <c r="Q1005" s="1406"/>
      <c r="R1005" s="1406"/>
      <c r="S1005" s="1406"/>
      <c r="T1005" s="1406"/>
      <c r="U1005" s="1406"/>
      <c r="V1005" s="1406"/>
      <c r="W1005" s="1406"/>
      <c r="X1005" s="1406"/>
      <c r="Y1005" s="1406"/>
      <c r="Z1005" s="1406"/>
      <c r="AA1005" s="1406"/>
      <c r="AB1005" s="1406"/>
      <c r="AC1005" s="1406"/>
      <c r="AD1005" s="1406"/>
      <c r="AE1005" s="1406"/>
      <c r="AF1005" s="1406"/>
      <c r="AG1005" s="1406"/>
      <c r="AH1005" s="1406"/>
      <c r="AI1005" s="1406"/>
      <c r="AJ1005" s="1406"/>
      <c r="AK1005" s="1406"/>
      <c r="AL1005" s="1406"/>
      <c r="AM1005" s="1406"/>
      <c r="AN1005" s="1406"/>
      <c r="AO1005" s="1405"/>
      <c r="AP1005" s="1405"/>
      <c r="AQ1005" s="1405"/>
      <c r="AR1005" s="1405"/>
      <c r="AS1005" s="1405"/>
      <c r="AT1005" s="1405"/>
      <c r="AU1005" s="1405"/>
      <c r="AV1005" s="1405"/>
    </row>
    <row r="1006" spans="1:48" s="1431" customFormat="1">
      <c r="A1006" s="1399"/>
      <c r="B1006" s="1429"/>
      <c r="C1006" s="1430"/>
      <c r="D1006" s="1400"/>
      <c r="E1006" s="1401"/>
      <c r="F1006" s="1401"/>
      <c r="G1006" s="1402"/>
      <c r="H1006" s="1403"/>
      <c r="I1006" s="1404"/>
      <c r="J1006" s="1405"/>
      <c r="K1006" s="1405"/>
      <c r="L1006" s="1405"/>
      <c r="M1006" s="1405"/>
      <c r="N1006" s="1406"/>
      <c r="O1006" s="1406"/>
      <c r="P1006" s="1406"/>
      <c r="Q1006" s="1406"/>
      <c r="R1006" s="1406"/>
      <c r="S1006" s="1406"/>
      <c r="T1006" s="1406"/>
      <c r="U1006" s="1406"/>
      <c r="V1006" s="1406"/>
      <c r="W1006" s="1406"/>
      <c r="X1006" s="1406"/>
      <c r="Y1006" s="1406"/>
      <c r="Z1006" s="1406"/>
      <c r="AA1006" s="1406"/>
      <c r="AB1006" s="1406"/>
      <c r="AC1006" s="1406"/>
      <c r="AD1006" s="1406"/>
      <c r="AE1006" s="1406"/>
      <c r="AF1006" s="1406"/>
      <c r="AG1006" s="1406"/>
      <c r="AH1006" s="1406"/>
      <c r="AI1006" s="1406"/>
      <c r="AJ1006" s="1406"/>
      <c r="AK1006" s="1406"/>
      <c r="AL1006" s="1406"/>
      <c r="AM1006" s="1406"/>
      <c r="AN1006" s="1406"/>
      <c r="AO1006" s="1405"/>
      <c r="AP1006" s="1405"/>
      <c r="AQ1006" s="1405"/>
      <c r="AR1006" s="1405"/>
      <c r="AS1006" s="1405"/>
      <c r="AT1006" s="1405"/>
      <c r="AU1006" s="1405"/>
      <c r="AV1006" s="1405"/>
    </row>
    <row r="1007" spans="1:48" s="1431" customFormat="1">
      <c r="A1007" s="1399"/>
      <c r="B1007" s="1429"/>
      <c r="C1007" s="1430"/>
      <c r="D1007" s="1400"/>
      <c r="E1007" s="1401"/>
      <c r="F1007" s="1401"/>
      <c r="G1007" s="1402"/>
      <c r="H1007" s="1403"/>
      <c r="I1007" s="1404"/>
      <c r="J1007" s="1405"/>
      <c r="K1007" s="1405"/>
      <c r="L1007" s="1405"/>
      <c r="M1007" s="1405"/>
      <c r="N1007" s="1406"/>
      <c r="O1007" s="1406"/>
      <c r="P1007" s="1406"/>
      <c r="Q1007" s="1406"/>
      <c r="R1007" s="1406"/>
      <c r="S1007" s="1406"/>
      <c r="T1007" s="1406"/>
      <c r="U1007" s="1406"/>
      <c r="V1007" s="1406"/>
      <c r="W1007" s="1406"/>
      <c r="X1007" s="1406"/>
      <c r="Y1007" s="1406"/>
      <c r="Z1007" s="1406"/>
      <c r="AA1007" s="1406"/>
      <c r="AB1007" s="1406"/>
      <c r="AC1007" s="1406"/>
      <c r="AD1007" s="1406"/>
      <c r="AE1007" s="1406"/>
      <c r="AF1007" s="1406"/>
      <c r="AG1007" s="1406"/>
      <c r="AH1007" s="1406"/>
      <c r="AI1007" s="1406"/>
      <c r="AJ1007" s="1406"/>
      <c r="AK1007" s="1406"/>
      <c r="AL1007" s="1406"/>
      <c r="AM1007" s="1406"/>
      <c r="AN1007" s="1406"/>
      <c r="AO1007" s="1405"/>
      <c r="AP1007" s="1405"/>
      <c r="AQ1007" s="1405"/>
      <c r="AR1007" s="1405"/>
      <c r="AS1007" s="1405"/>
      <c r="AT1007" s="1405"/>
      <c r="AU1007" s="1405"/>
      <c r="AV1007" s="1405"/>
    </row>
    <row r="1008" spans="1:48" s="1431" customFormat="1">
      <c r="A1008" s="1399"/>
      <c r="B1008" s="1429"/>
      <c r="C1008" s="1430"/>
      <c r="D1008" s="1400"/>
      <c r="E1008" s="1401"/>
      <c r="F1008" s="1401"/>
      <c r="G1008" s="1402"/>
      <c r="H1008" s="1403"/>
      <c r="I1008" s="1404"/>
      <c r="J1008" s="1405"/>
      <c r="K1008" s="1405"/>
      <c r="L1008" s="1405"/>
      <c r="M1008" s="1405"/>
      <c r="N1008" s="1406"/>
      <c r="O1008" s="1406"/>
      <c r="P1008" s="1406"/>
      <c r="Q1008" s="1406"/>
      <c r="R1008" s="1406"/>
      <c r="S1008" s="1406"/>
      <c r="T1008" s="1406"/>
      <c r="U1008" s="1406"/>
      <c r="V1008" s="1406"/>
      <c r="W1008" s="1406"/>
      <c r="X1008" s="1406"/>
      <c r="Y1008" s="1406"/>
      <c r="Z1008" s="1406"/>
      <c r="AA1008" s="1406"/>
      <c r="AB1008" s="1406"/>
      <c r="AC1008" s="1406"/>
      <c r="AD1008" s="1406"/>
      <c r="AE1008" s="1406"/>
      <c r="AF1008" s="1406"/>
      <c r="AG1008" s="1406"/>
      <c r="AH1008" s="1406"/>
      <c r="AI1008" s="1406"/>
      <c r="AJ1008" s="1406"/>
      <c r="AK1008" s="1406"/>
      <c r="AL1008" s="1406"/>
      <c r="AM1008" s="1406"/>
      <c r="AN1008" s="1406"/>
      <c r="AO1008" s="1405"/>
      <c r="AP1008" s="1405"/>
      <c r="AQ1008" s="1405"/>
      <c r="AR1008" s="1405"/>
      <c r="AS1008" s="1405"/>
      <c r="AT1008" s="1405"/>
      <c r="AU1008" s="1405"/>
      <c r="AV1008" s="1405"/>
    </row>
    <row r="1009" spans="1:48" s="1431" customFormat="1">
      <c r="A1009" s="1399"/>
      <c r="B1009" s="1429"/>
      <c r="C1009" s="1430"/>
      <c r="D1009" s="1400"/>
      <c r="E1009" s="1401"/>
      <c r="F1009" s="1401"/>
      <c r="G1009" s="1402"/>
      <c r="H1009" s="1403"/>
      <c r="I1009" s="1404"/>
      <c r="J1009" s="1405"/>
      <c r="K1009" s="1405"/>
      <c r="L1009" s="1405"/>
      <c r="M1009" s="1405"/>
      <c r="N1009" s="1406"/>
      <c r="O1009" s="1406"/>
      <c r="P1009" s="1406"/>
      <c r="Q1009" s="1406"/>
      <c r="R1009" s="1406"/>
      <c r="S1009" s="1406"/>
      <c r="T1009" s="1406"/>
      <c r="U1009" s="1406"/>
      <c r="V1009" s="1406"/>
      <c r="W1009" s="1406"/>
      <c r="X1009" s="1406"/>
      <c r="Y1009" s="1406"/>
      <c r="Z1009" s="1406"/>
      <c r="AA1009" s="1406"/>
      <c r="AB1009" s="1406"/>
      <c r="AC1009" s="1406"/>
      <c r="AD1009" s="1406"/>
      <c r="AE1009" s="1406"/>
      <c r="AF1009" s="1406"/>
      <c r="AG1009" s="1406"/>
      <c r="AH1009" s="1406"/>
      <c r="AI1009" s="1406"/>
      <c r="AJ1009" s="1406"/>
      <c r="AK1009" s="1406"/>
      <c r="AL1009" s="1406"/>
      <c r="AM1009" s="1406"/>
      <c r="AN1009" s="1406"/>
      <c r="AO1009" s="1405"/>
      <c r="AP1009" s="1405"/>
      <c r="AQ1009" s="1405"/>
      <c r="AR1009" s="1405"/>
      <c r="AS1009" s="1405"/>
      <c r="AT1009" s="1405"/>
      <c r="AU1009" s="1405"/>
      <c r="AV1009" s="1405"/>
    </row>
    <row r="1010" spans="1:48" s="1431" customFormat="1">
      <c r="A1010" s="1399"/>
      <c r="B1010" s="1429"/>
      <c r="C1010" s="1430"/>
      <c r="D1010" s="1400"/>
      <c r="E1010" s="1401"/>
      <c r="F1010" s="1401"/>
      <c r="G1010" s="1402"/>
      <c r="H1010" s="1403"/>
      <c r="I1010" s="1404"/>
      <c r="J1010" s="1405"/>
      <c r="K1010" s="1405"/>
      <c r="L1010" s="1405"/>
      <c r="M1010" s="1405"/>
      <c r="N1010" s="1406"/>
      <c r="O1010" s="1406"/>
      <c r="P1010" s="1406"/>
      <c r="Q1010" s="1406"/>
      <c r="R1010" s="1406"/>
      <c r="S1010" s="1406"/>
      <c r="T1010" s="1406"/>
      <c r="U1010" s="1406"/>
      <c r="V1010" s="1406"/>
      <c r="W1010" s="1406"/>
      <c r="X1010" s="1406"/>
      <c r="Y1010" s="1406"/>
      <c r="Z1010" s="1406"/>
      <c r="AA1010" s="1406"/>
      <c r="AB1010" s="1406"/>
      <c r="AC1010" s="1406"/>
      <c r="AD1010" s="1406"/>
      <c r="AE1010" s="1406"/>
      <c r="AF1010" s="1406"/>
      <c r="AG1010" s="1406"/>
      <c r="AH1010" s="1406"/>
      <c r="AI1010" s="1406"/>
      <c r="AJ1010" s="1406"/>
      <c r="AK1010" s="1406"/>
      <c r="AL1010" s="1406"/>
      <c r="AM1010" s="1406"/>
      <c r="AN1010" s="1406"/>
      <c r="AO1010" s="1405"/>
      <c r="AP1010" s="1405"/>
      <c r="AQ1010" s="1405"/>
      <c r="AR1010" s="1405"/>
      <c r="AS1010" s="1405"/>
      <c r="AT1010" s="1405"/>
      <c r="AU1010" s="1405"/>
      <c r="AV1010" s="1405"/>
    </row>
    <row r="1011" spans="1:48" s="1431" customFormat="1">
      <c r="A1011" s="1399"/>
      <c r="B1011" s="1429"/>
      <c r="C1011" s="1430"/>
      <c r="D1011" s="1400"/>
      <c r="E1011" s="1401"/>
      <c r="F1011" s="1401"/>
      <c r="G1011" s="1402"/>
      <c r="H1011" s="1403"/>
      <c r="I1011" s="1404"/>
      <c r="J1011" s="1405"/>
      <c r="K1011" s="1405"/>
      <c r="L1011" s="1405"/>
      <c r="M1011" s="1405"/>
      <c r="N1011" s="1406"/>
      <c r="O1011" s="1406"/>
      <c r="P1011" s="1406"/>
      <c r="Q1011" s="1406"/>
      <c r="R1011" s="1406"/>
      <c r="S1011" s="1406"/>
      <c r="T1011" s="1406"/>
      <c r="U1011" s="1406"/>
      <c r="V1011" s="1406"/>
      <c r="W1011" s="1406"/>
      <c r="X1011" s="1406"/>
      <c r="Y1011" s="1406"/>
      <c r="Z1011" s="1406"/>
      <c r="AA1011" s="1406"/>
      <c r="AB1011" s="1406"/>
      <c r="AC1011" s="1406"/>
      <c r="AD1011" s="1406"/>
      <c r="AE1011" s="1406"/>
      <c r="AF1011" s="1406"/>
      <c r="AG1011" s="1406"/>
      <c r="AH1011" s="1406"/>
      <c r="AI1011" s="1406"/>
      <c r="AJ1011" s="1406"/>
      <c r="AK1011" s="1406"/>
      <c r="AL1011" s="1406"/>
      <c r="AM1011" s="1406"/>
      <c r="AN1011" s="1406"/>
      <c r="AO1011" s="1405"/>
      <c r="AP1011" s="1405"/>
      <c r="AQ1011" s="1405"/>
      <c r="AR1011" s="1405"/>
      <c r="AS1011" s="1405"/>
      <c r="AT1011" s="1405"/>
      <c r="AU1011" s="1405"/>
      <c r="AV1011" s="1405"/>
    </row>
    <row r="1012" spans="1:48" s="1431" customFormat="1">
      <c r="A1012" s="1399"/>
      <c r="B1012" s="1429"/>
      <c r="C1012" s="1430"/>
      <c r="D1012" s="1400"/>
      <c r="E1012" s="1401"/>
      <c r="F1012" s="1401"/>
      <c r="G1012" s="1402"/>
      <c r="H1012" s="1403"/>
      <c r="I1012" s="1404"/>
      <c r="J1012" s="1405"/>
      <c r="K1012" s="1405"/>
      <c r="L1012" s="1405"/>
      <c r="M1012" s="1405"/>
      <c r="N1012" s="1406"/>
      <c r="O1012" s="1406"/>
      <c r="P1012" s="1406"/>
      <c r="Q1012" s="1406"/>
      <c r="R1012" s="1406"/>
      <c r="S1012" s="1406"/>
      <c r="T1012" s="1406"/>
      <c r="U1012" s="1406"/>
      <c r="V1012" s="1406"/>
      <c r="W1012" s="1406"/>
      <c r="X1012" s="1406"/>
      <c r="Y1012" s="1406"/>
      <c r="Z1012" s="1406"/>
      <c r="AA1012" s="1406"/>
      <c r="AB1012" s="1406"/>
      <c r="AC1012" s="1406"/>
      <c r="AD1012" s="1406"/>
      <c r="AE1012" s="1406"/>
      <c r="AF1012" s="1406"/>
      <c r="AG1012" s="1406"/>
      <c r="AH1012" s="1406"/>
      <c r="AI1012" s="1406"/>
      <c r="AJ1012" s="1406"/>
      <c r="AK1012" s="1406"/>
      <c r="AL1012" s="1406"/>
      <c r="AM1012" s="1406"/>
      <c r="AN1012" s="1406"/>
      <c r="AO1012" s="1405"/>
      <c r="AP1012" s="1405"/>
      <c r="AQ1012" s="1405"/>
      <c r="AR1012" s="1405"/>
      <c r="AS1012" s="1405"/>
      <c r="AT1012" s="1405"/>
      <c r="AU1012" s="1405"/>
      <c r="AV1012" s="1405"/>
    </row>
    <row r="1013" spans="1:48" s="1431" customFormat="1">
      <c r="A1013" s="1399"/>
      <c r="B1013" s="1429"/>
      <c r="C1013" s="1430"/>
      <c r="D1013" s="1400"/>
      <c r="E1013" s="1401"/>
      <c r="F1013" s="1401"/>
      <c r="G1013" s="1402"/>
      <c r="H1013" s="1403"/>
      <c r="I1013" s="1404"/>
      <c r="J1013" s="1405"/>
      <c r="K1013" s="1405"/>
      <c r="L1013" s="1405"/>
      <c r="M1013" s="1405"/>
      <c r="N1013" s="1406"/>
      <c r="O1013" s="1406"/>
      <c r="P1013" s="1406"/>
      <c r="Q1013" s="1406"/>
      <c r="R1013" s="1406"/>
      <c r="S1013" s="1406"/>
      <c r="T1013" s="1406"/>
      <c r="U1013" s="1406"/>
      <c r="V1013" s="1406"/>
      <c r="W1013" s="1406"/>
      <c r="X1013" s="1406"/>
      <c r="Y1013" s="1406"/>
      <c r="Z1013" s="1406"/>
      <c r="AA1013" s="1406"/>
      <c r="AB1013" s="1406"/>
      <c r="AC1013" s="1406"/>
      <c r="AD1013" s="1406"/>
      <c r="AE1013" s="1406"/>
      <c r="AF1013" s="1406"/>
      <c r="AG1013" s="1406"/>
      <c r="AH1013" s="1406"/>
      <c r="AI1013" s="1406"/>
      <c r="AJ1013" s="1406"/>
      <c r="AK1013" s="1406"/>
      <c r="AL1013" s="1406"/>
      <c r="AM1013" s="1406"/>
      <c r="AN1013" s="1406"/>
      <c r="AO1013" s="1405"/>
      <c r="AP1013" s="1405"/>
      <c r="AQ1013" s="1405"/>
      <c r="AR1013" s="1405"/>
      <c r="AS1013" s="1405"/>
      <c r="AT1013" s="1405"/>
      <c r="AU1013" s="1405"/>
      <c r="AV1013" s="1405"/>
    </row>
    <row r="1014" spans="1:48" s="1431" customFormat="1">
      <c r="A1014" s="1399"/>
      <c r="B1014" s="1429"/>
      <c r="C1014" s="1430"/>
      <c r="D1014" s="1400"/>
      <c r="E1014" s="1401"/>
      <c r="F1014" s="1401"/>
      <c r="G1014" s="1402"/>
      <c r="H1014" s="1403"/>
      <c r="I1014" s="1404"/>
      <c r="J1014" s="1405"/>
      <c r="K1014" s="1405"/>
      <c r="L1014" s="1405"/>
      <c r="M1014" s="1405"/>
      <c r="N1014" s="1406"/>
      <c r="O1014" s="1406"/>
      <c r="P1014" s="1406"/>
      <c r="Q1014" s="1406"/>
      <c r="R1014" s="1406"/>
      <c r="S1014" s="1406"/>
      <c r="T1014" s="1406"/>
      <c r="U1014" s="1406"/>
      <c r="V1014" s="1406"/>
      <c r="W1014" s="1406"/>
      <c r="X1014" s="1406"/>
      <c r="Y1014" s="1406"/>
      <c r="Z1014" s="1406"/>
      <c r="AA1014" s="1406"/>
      <c r="AB1014" s="1406"/>
      <c r="AC1014" s="1406"/>
      <c r="AD1014" s="1406"/>
      <c r="AE1014" s="1406"/>
      <c r="AF1014" s="1406"/>
      <c r="AG1014" s="1406"/>
      <c r="AH1014" s="1406"/>
      <c r="AI1014" s="1406"/>
      <c r="AJ1014" s="1406"/>
      <c r="AK1014" s="1406"/>
      <c r="AL1014" s="1406"/>
      <c r="AM1014" s="1406"/>
      <c r="AN1014" s="1406"/>
      <c r="AO1014" s="1405"/>
      <c r="AP1014" s="1405"/>
      <c r="AQ1014" s="1405"/>
      <c r="AR1014" s="1405"/>
      <c r="AS1014" s="1405"/>
      <c r="AT1014" s="1405"/>
      <c r="AU1014" s="1405"/>
      <c r="AV1014" s="1405"/>
    </row>
    <row r="1015" spans="1:48" s="1431" customFormat="1">
      <c r="A1015" s="1399"/>
      <c r="B1015" s="1429"/>
      <c r="C1015" s="1430"/>
      <c r="D1015" s="1400"/>
      <c r="E1015" s="1401"/>
      <c r="F1015" s="1401"/>
      <c r="G1015" s="1402"/>
      <c r="H1015" s="1403"/>
      <c r="I1015" s="1404"/>
      <c r="J1015" s="1405"/>
      <c r="K1015" s="1405"/>
      <c r="L1015" s="1405"/>
      <c r="M1015" s="1405"/>
      <c r="N1015" s="1406"/>
      <c r="O1015" s="1406"/>
      <c r="P1015" s="1406"/>
      <c r="Q1015" s="1406"/>
      <c r="R1015" s="1406"/>
      <c r="S1015" s="1406"/>
      <c r="T1015" s="1406"/>
      <c r="U1015" s="1406"/>
      <c r="V1015" s="1406"/>
      <c r="W1015" s="1406"/>
      <c r="X1015" s="1406"/>
      <c r="Y1015" s="1406"/>
      <c r="Z1015" s="1406"/>
      <c r="AA1015" s="1406"/>
      <c r="AB1015" s="1406"/>
      <c r="AC1015" s="1406"/>
      <c r="AD1015" s="1406"/>
      <c r="AE1015" s="1406"/>
      <c r="AF1015" s="1406"/>
      <c r="AG1015" s="1406"/>
      <c r="AH1015" s="1406"/>
      <c r="AI1015" s="1406"/>
      <c r="AJ1015" s="1406"/>
      <c r="AK1015" s="1406"/>
      <c r="AL1015" s="1406"/>
      <c r="AM1015" s="1406"/>
      <c r="AN1015" s="1406"/>
      <c r="AO1015" s="1405"/>
      <c r="AP1015" s="1405"/>
      <c r="AQ1015" s="1405"/>
      <c r="AR1015" s="1405"/>
      <c r="AS1015" s="1405"/>
      <c r="AT1015" s="1405"/>
      <c r="AU1015" s="1405"/>
      <c r="AV1015" s="1405"/>
    </row>
    <row r="1016" spans="1:48" s="1431" customFormat="1">
      <c r="A1016" s="1399"/>
      <c r="B1016" s="1429"/>
      <c r="C1016" s="1430"/>
      <c r="D1016" s="1400"/>
      <c r="E1016" s="1401"/>
      <c r="F1016" s="1401"/>
      <c r="G1016" s="1402"/>
      <c r="H1016" s="1403"/>
      <c r="I1016" s="1404"/>
      <c r="J1016" s="1405"/>
      <c r="K1016" s="1405"/>
      <c r="L1016" s="1405"/>
      <c r="M1016" s="1405"/>
      <c r="N1016" s="1406"/>
      <c r="O1016" s="1406"/>
      <c r="P1016" s="1406"/>
      <c r="Q1016" s="1406"/>
      <c r="R1016" s="1406"/>
      <c r="S1016" s="1406"/>
      <c r="T1016" s="1406"/>
      <c r="U1016" s="1406"/>
      <c r="V1016" s="1406"/>
      <c r="W1016" s="1406"/>
      <c r="X1016" s="1406"/>
      <c r="Y1016" s="1406"/>
      <c r="Z1016" s="1406"/>
      <c r="AA1016" s="1406"/>
      <c r="AB1016" s="1406"/>
      <c r="AC1016" s="1406"/>
      <c r="AD1016" s="1406"/>
      <c r="AE1016" s="1406"/>
      <c r="AF1016" s="1406"/>
      <c r="AG1016" s="1406"/>
      <c r="AH1016" s="1406"/>
      <c r="AI1016" s="1406"/>
      <c r="AJ1016" s="1406"/>
      <c r="AK1016" s="1406"/>
      <c r="AL1016" s="1406"/>
      <c r="AM1016" s="1406"/>
      <c r="AN1016" s="1406"/>
      <c r="AO1016" s="1405"/>
      <c r="AP1016" s="1405"/>
      <c r="AQ1016" s="1405"/>
      <c r="AR1016" s="1405"/>
      <c r="AS1016" s="1405"/>
      <c r="AT1016" s="1405"/>
      <c r="AU1016" s="1405"/>
      <c r="AV1016" s="1405"/>
    </row>
    <row r="1017" spans="1:48" s="1431" customFormat="1">
      <c r="A1017" s="1399"/>
      <c r="B1017" s="1429"/>
      <c r="C1017" s="1430"/>
      <c r="D1017" s="1400"/>
      <c r="E1017" s="1401"/>
      <c r="F1017" s="1401"/>
      <c r="G1017" s="1402"/>
      <c r="H1017" s="1403"/>
      <c r="I1017" s="1404"/>
      <c r="J1017" s="1405"/>
      <c r="K1017" s="1405"/>
      <c r="L1017" s="1405"/>
      <c r="M1017" s="1405"/>
      <c r="N1017" s="1406"/>
      <c r="O1017" s="1406"/>
      <c r="P1017" s="1406"/>
      <c r="Q1017" s="1406"/>
      <c r="R1017" s="1406"/>
      <c r="S1017" s="1406"/>
      <c r="T1017" s="1406"/>
      <c r="U1017" s="1406"/>
      <c r="V1017" s="1406"/>
      <c r="W1017" s="1406"/>
      <c r="X1017" s="1406"/>
      <c r="Y1017" s="1406"/>
      <c r="Z1017" s="1406"/>
      <c r="AA1017" s="1406"/>
      <c r="AB1017" s="1406"/>
      <c r="AC1017" s="1406"/>
      <c r="AD1017" s="1406"/>
      <c r="AE1017" s="1406"/>
      <c r="AF1017" s="1406"/>
      <c r="AG1017" s="1406"/>
      <c r="AH1017" s="1406"/>
      <c r="AI1017" s="1406"/>
      <c r="AJ1017" s="1406"/>
      <c r="AK1017" s="1406"/>
      <c r="AL1017" s="1406"/>
      <c r="AM1017" s="1406"/>
      <c r="AN1017" s="1406"/>
      <c r="AO1017" s="1405"/>
      <c r="AP1017" s="1405"/>
      <c r="AQ1017" s="1405"/>
      <c r="AR1017" s="1405"/>
      <c r="AS1017" s="1405"/>
      <c r="AT1017" s="1405"/>
      <c r="AU1017" s="1405"/>
      <c r="AV1017" s="1405"/>
    </row>
    <row r="1018" spans="1:48" s="1431" customFormat="1">
      <c r="A1018" s="1399"/>
      <c r="B1018" s="1429"/>
      <c r="C1018" s="1430"/>
      <c r="D1018" s="1400"/>
      <c r="E1018" s="1401"/>
      <c r="F1018" s="1401"/>
      <c r="G1018" s="1402"/>
      <c r="H1018" s="1403"/>
      <c r="I1018" s="1404"/>
      <c r="J1018" s="1405"/>
      <c r="K1018" s="1405"/>
      <c r="L1018" s="1405"/>
      <c r="M1018" s="1405"/>
      <c r="N1018" s="1406"/>
      <c r="O1018" s="1406"/>
      <c r="P1018" s="1406"/>
      <c r="Q1018" s="1406"/>
      <c r="R1018" s="1406"/>
      <c r="S1018" s="1406"/>
      <c r="T1018" s="1406"/>
      <c r="U1018" s="1406"/>
      <c r="V1018" s="1406"/>
      <c r="W1018" s="1406"/>
      <c r="X1018" s="1406"/>
      <c r="Y1018" s="1406"/>
      <c r="Z1018" s="1406"/>
      <c r="AA1018" s="1406"/>
      <c r="AB1018" s="1406"/>
      <c r="AC1018" s="1406"/>
      <c r="AD1018" s="1406"/>
      <c r="AE1018" s="1406"/>
      <c r="AF1018" s="1406"/>
      <c r="AG1018" s="1406"/>
      <c r="AH1018" s="1406"/>
      <c r="AI1018" s="1406"/>
      <c r="AJ1018" s="1406"/>
      <c r="AK1018" s="1406"/>
      <c r="AL1018" s="1406"/>
      <c r="AM1018" s="1406"/>
      <c r="AN1018" s="1406"/>
      <c r="AO1018" s="1405"/>
      <c r="AP1018" s="1405"/>
      <c r="AQ1018" s="1405"/>
      <c r="AR1018" s="1405"/>
      <c r="AS1018" s="1405"/>
      <c r="AT1018" s="1405"/>
      <c r="AU1018" s="1405"/>
      <c r="AV1018" s="1405"/>
    </row>
    <row r="1019" spans="1:48" s="1431" customFormat="1">
      <c r="A1019" s="1399"/>
      <c r="B1019" s="1429"/>
      <c r="C1019" s="1430"/>
      <c r="D1019" s="1400"/>
      <c r="E1019" s="1401"/>
      <c r="F1019" s="1401"/>
      <c r="G1019" s="1402"/>
      <c r="H1019" s="1403"/>
      <c r="I1019" s="1404"/>
      <c r="J1019" s="1405"/>
      <c r="K1019" s="1405"/>
      <c r="L1019" s="1405"/>
      <c r="M1019" s="1405"/>
      <c r="N1019" s="1406"/>
      <c r="O1019" s="1406"/>
      <c r="P1019" s="1406"/>
      <c r="Q1019" s="1406"/>
      <c r="R1019" s="1406"/>
      <c r="S1019" s="1406"/>
      <c r="T1019" s="1406"/>
      <c r="U1019" s="1406"/>
      <c r="V1019" s="1406"/>
      <c r="W1019" s="1406"/>
      <c r="X1019" s="1406"/>
      <c r="Y1019" s="1406"/>
      <c r="Z1019" s="1406"/>
      <c r="AA1019" s="1406"/>
      <c r="AB1019" s="1406"/>
      <c r="AC1019" s="1406"/>
      <c r="AD1019" s="1406"/>
      <c r="AE1019" s="1406"/>
      <c r="AF1019" s="1406"/>
      <c r="AG1019" s="1406"/>
      <c r="AH1019" s="1406"/>
      <c r="AI1019" s="1406"/>
      <c r="AJ1019" s="1406"/>
      <c r="AK1019" s="1406"/>
      <c r="AL1019" s="1406"/>
      <c r="AM1019" s="1406"/>
      <c r="AN1019" s="1406"/>
      <c r="AO1019" s="1405"/>
      <c r="AP1019" s="1405"/>
      <c r="AQ1019" s="1405"/>
      <c r="AR1019" s="1405"/>
      <c r="AS1019" s="1405"/>
      <c r="AT1019" s="1405"/>
      <c r="AU1019" s="1405"/>
      <c r="AV1019" s="1405"/>
    </row>
    <row r="1020" spans="1:48" s="1431" customFormat="1">
      <c r="A1020" s="1399"/>
      <c r="B1020" s="1429"/>
      <c r="C1020" s="1430"/>
      <c r="D1020" s="1400"/>
      <c r="E1020" s="1401"/>
      <c r="F1020" s="1401"/>
      <c r="G1020" s="1402"/>
      <c r="H1020" s="1403"/>
      <c r="I1020" s="1404"/>
      <c r="J1020" s="1405"/>
      <c r="K1020" s="1405"/>
      <c r="L1020" s="1405"/>
      <c r="M1020" s="1405"/>
      <c r="N1020" s="1406"/>
      <c r="O1020" s="1406"/>
      <c r="P1020" s="1406"/>
      <c r="Q1020" s="1406"/>
      <c r="R1020" s="1406"/>
      <c r="S1020" s="1406"/>
      <c r="T1020" s="1406"/>
      <c r="U1020" s="1406"/>
      <c r="V1020" s="1406"/>
      <c r="W1020" s="1406"/>
      <c r="X1020" s="1406"/>
      <c r="Y1020" s="1406"/>
      <c r="Z1020" s="1406"/>
      <c r="AA1020" s="1406"/>
      <c r="AB1020" s="1406"/>
      <c r="AC1020" s="1406"/>
      <c r="AD1020" s="1406"/>
      <c r="AE1020" s="1406"/>
      <c r="AF1020" s="1406"/>
      <c r="AG1020" s="1406"/>
      <c r="AH1020" s="1406"/>
      <c r="AI1020" s="1406"/>
      <c r="AJ1020" s="1406"/>
      <c r="AK1020" s="1406"/>
      <c r="AL1020" s="1406"/>
      <c r="AM1020" s="1406"/>
      <c r="AN1020" s="1406"/>
      <c r="AO1020" s="1405"/>
      <c r="AP1020" s="1405"/>
      <c r="AQ1020" s="1405"/>
      <c r="AR1020" s="1405"/>
      <c r="AS1020" s="1405"/>
      <c r="AT1020" s="1405"/>
      <c r="AU1020" s="1405"/>
      <c r="AV1020" s="1405"/>
    </row>
    <row r="1021" spans="1:48" s="1431" customFormat="1">
      <c r="A1021" s="1399"/>
      <c r="B1021" s="1429"/>
      <c r="C1021" s="1430"/>
      <c r="D1021" s="1400"/>
      <c r="E1021" s="1401"/>
      <c r="F1021" s="1401"/>
      <c r="G1021" s="1402"/>
      <c r="H1021" s="1403"/>
      <c r="I1021" s="1404"/>
      <c r="J1021" s="1405"/>
      <c r="K1021" s="1405"/>
      <c r="L1021" s="1405"/>
      <c r="M1021" s="1405"/>
      <c r="N1021" s="1406"/>
      <c r="O1021" s="1406"/>
      <c r="P1021" s="1406"/>
      <c r="Q1021" s="1406"/>
      <c r="R1021" s="1406"/>
      <c r="S1021" s="1406"/>
      <c r="T1021" s="1406"/>
      <c r="U1021" s="1406"/>
      <c r="V1021" s="1406"/>
      <c r="W1021" s="1406"/>
      <c r="X1021" s="1406"/>
      <c r="Y1021" s="1406"/>
      <c r="Z1021" s="1406"/>
      <c r="AA1021" s="1406"/>
      <c r="AB1021" s="1406"/>
      <c r="AC1021" s="1406"/>
      <c r="AD1021" s="1406"/>
      <c r="AE1021" s="1406"/>
      <c r="AF1021" s="1406"/>
      <c r="AG1021" s="1406"/>
      <c r="AH1021" s="1406"/>
      <c r="AI1021" s="1406"/>
      <c r="AJ1021" s="1406"/>
      <c r="AK1021" s="1406"/>
      <c r="AL1021" s="1406"/>
      <c r="AM1021" s="1406"/>
      <c r="AN1021" s="1406"/>
      <c r="AO1021" s="1405"/>
      <c r="AP1021" s="1405"/>
      <c r="AQ1021" s="1405"/>
      <c r="AR1021" s="1405"/>
      <c r="AS1021" s="1405"/>
      <c r="AT1021" s="1405"/>
      <c r="AU1021" s="1405"/>
      <c r="AV1021" s="1405"/>
    </row>
    <row r="1022" spans="1:48" s="1431" customFormat="1">
      <c r="A1022" s="1399"/>
      <c r="B1022" s="1429"/>
      <c r="C1022" s="1430"/>
      <c r="D1022" s="1400"/>
      <c r="E1022" s="1401"/>
      <c r="F1022" s="1401"/>
      <c r="G1022" s="1402"/>
      <c r="H1022" s="1403"/>
      <c r="I1022" s="1404"/>
      <c r="J1022" s="1405"/>
      <c r="K1022" s="1405"/>
      <c r="L1022" s="1405"/>
      <c r="M1022" s="1405"/>
      <c r="N1022" s="1406"/>
      <c r="O1022" s="1406"/>
      <c r="P1022" s="1406"/>
      <c r="Q1022" s="1406"/>
      <c r="R1022" s="1406"/>
      <c r="S1022" s="1406"/>
      <c r="T1022" s="1406"/>
      <c r="U1022" s="1406"/>
      <c r="V1022" s="1406"/>
      <c r="W1022" s="1406"/>
      <c r="X1022" s="1406"/>
      <c r="Y1022" s="1406"/>
      <c r="Z1022" s="1406"/>
      <c r="AA1022" s="1406"/>
      <c r="AB1022" s="1406"/>
      <c r="AC1022" s="1406"/>
      <c r="AD1022" s="1406"/>
      <c r="AE1022" s="1406"/>
      <c r="AF1022" s="1406"/>
      <c r="AG1022" s="1406"/>
      <c r="AH1022" s="1406"/>
      <c r="AI1022" s="1406"/>
      <c r="AJ1022" s="1406"/>
      <c r="AK1022" s="1406"/>
      <c r="AL1022" s="1406"/>
      <c r="AM1022" s="1406"/>
      <c r="AN1022" s="1406"/>
      <c r="AO1022" s="1405"/>
      <c r="AP1022" s="1405"/>
      <c r="AQ1022" s="1405"/>
      <c r="AR1022" s="1405"/>
      <c r="AS1022" s="1405"/>
      <c r="AT1022" s="1405"/>
      <c r="AU1022" s="1405"/>
      <c r="AV1022" s="1405"/>
    </row>
    <row r="1023" spans="1:48" s="1431" customFormat="1">
      <c r="A1023" s="1399"/>
      <c r="B1023" s="1429"/>
      <c r="C1023" s="1430"/>
      <c r="D1023" s="1400"/>
      <c r="E1023" s="1401"/>
      <c r="F1023" s="1401"/>
      <c r="G1023" s="1402"/>
      <c r="H1023" s="1403"/>
      <c r="I1023" s="1404"/>
      <c r="J1023" s="1405"/>
      <c r="K1023" s="1405"/>
      <c r="L1023" s="1405"/>
      <c r="M1023" s="1405"/>
      <c r="N1023" s="1406"/>
      <c r="O1023" s="1406"/>
      <c r="P1023" s="1406"/>
      <c r="Q1023" s="1406"/>
      <c r="R1023" s="1406"/>
      <c r="S1023" s="1406"/>
      <c r="T1023" s="1406"/>
      <c r="U1023" s="1406"/>
      <c r="V1023" s="1406"/>
      <c r="W1023" s="1406"/>
      <c r="X1023" s="1406"/>
      <c r="Y1023" s="1406"/>
      <c r="Z1023" s="1406"/>
      <c r="AA1023" s="1406"/>
      <c r="AB1023" s="1406"/>
      <c r="AC1023" s="1406"/>
      <c r="AD1023" s="1406"/>
      <c r="AE1023" s="1406"/>
      <c r="AF1023" s="1406"/>
      <c r="AG1023" s="1406"/>
      <c r="AH1023" s="1406"/>
      <c r="AI1023" s="1406"/>
      <c r="AJ1023" s="1406"/>
      <c r="AK1023" s="1406"/>
      <c r="AL1023" s="1406"/>
      <c r="AM1023" s="1406"/>
      <c r="AN1023" s="1406"/>
      <c r="AO1023" s="1405"/>
      <c r="AP1023" s="1405"/>
      <c r="AQ1023" s="1405"/>
      <c r="AR1023" s="1405"/>
      <c r="AS1023" s="1405"/>
      <c r="AT1023" s="1405"/>
      <c r="AU1023" s="1405"/>
      <c r="AV1023" s="1405"/>
    </row>
    <row r="1024" spans="1:48" s="1431" customFormat="1">
      <c r="A1024" s="1399"/>
      <c r="B1024" s="1429"/>
      <c r="C1024" s="1430"/>
      <c r="D1024" s="1400"/>
      <c r="E1024" s="1401"/>
      <c r="F1024" s="1401"/>
      <c r="G1024" s="1402"/>
      <c r="H1024" s="1403"/>
      <c r="I1024" s="1404"/>
      <c r="J1024" s="1405"/>
      <c r="K1024" s="1405"/>
      <c r="L1024" s="1405"/>
      <c r="M1024" s="1405"/>
      <c r="N1024" s="1406"/>
      <c r="O1024" s="1406"/>
      <c r="P1024" s="1406"/>
      <c r="Q1024" s="1406"/>
      <c r="R1024" s="1406"/>
      <c r="S1024" s="1406"/>
      <c r="T1024" s="1406"/>
      <c r="U1024" s="1406"/>
      <c r="V1024" s="1406"/>
      <c r="W1024" s="1406"/>
      <c r="X1024" s="1406"/>
      <c r="Y1024" s="1406"/>
      <c r="Z1024" s="1406"/>
      <c r="AA1024" s="1406"/>
      <c r="AB1024" s="1406"/>
      <c r="AC1024" s="1406"/>
      <c r="AD1024" s="1406"/>
      <c r="AE1024" s="1406"/>
      <c r="AF1024" s="1406"/>
      <c r="AG1024" s="1406"/>
      <c r="AH1024" s="1406"/>
      <c r="AI1024" s="1406"/>
      <c r="AJ1024" s="1406"/>
      <c r="AK1024" s="1406"/>
      <c r="AL1024" s="1406"/>
      <c r="AM1024" s="1406"/>
      <c r="AN1024" s="1406"/>
      <c r="AO1024" s="1405"/>
      <c r="AP1024" s="1405"/>
      <c r="AQ1024" s="1405"/>
      <c r="AR1024" s="1405"/>
      <c r="AS1024" s="1405"/>
      <c r="AT1024" s="1405"/>
      <c r="AU1024" s="1405"/>
      <c r="AV1024" s="1405"/>
    </row>
    <row r="1025" spans="1:48" s="1431" customFormat="1">
      <c r="A1025" s="1399"/>
      <c r="B1025" s="1429"/>
      <c r="C1025" s="1430"/>
      <c r="D1025" s="1400"/>
      <c r="E1025" s="1401"/>
      <c r="F1025" s="1401"/>
      <c r="G1025" s="1402"/>
      <c r="H1025" s="1403"/>
      <c r="I1025" s="1404"/>
      <c r="J1025" s="1405"/>
      <c r="K1025" s="1405"/>
      <c r="L1025" s="1405"/>
      <c r="M1025" s="1405"/>
      <c r="N1025" s="1406"/>
      <c r="O1025" s="1406"/>
      <c r="P1025" s="1406"/>
      <c r="Q1025" s="1406"/>
      <c r="R1025" s="1406"/>
      <c r="S1025" s="1406"/>
      <c r="T1025" s="1406"/>
      <c r="U1025" s="1406"/>
      <c r="V1025" s="1406"/>
      <c r="W1025" s="1406"/>
      <c r="X1025" s="1406"/>
      <c r="Y1025" s="1406"/>
      <c r="Z1025" s="1406"/>
      <c r="AA1025" s="1406"/>
      <c r="AB1025" s="1406"/>
      <c r="AC1025" s="1406"/>
      <c r="AD1025" s="1406"/>
      <c r="AE1025" s="1406"/>
      <c r="AF1025" s="1406"/>
      <c r="AG1025" s="1406"/>
      <c r="AH1025" s="1406"/>
      <c r="AI1025" s="1406"/>
      <c r="AJ1025" s="1406"/>
      <c r="AK1025" s="1406"/>
      <c r="AL1025" s="1406"/>
      <c r="AM1025" s="1406"/>
      <c r="AN1025" s="1406"/>
      <c r="AO1025" s="1405"/>
      <c r="AP1025" s="1405"/>
      <c r="AQ1025" s="1405"/>
      <c r="AR1025" s="1405"/>
      <c r="AS1025" s="1405"/>
      <c r="AT1025" s="1405"/>
      <c r="AU1025" s="1405"/>
      <c r="AV1025" s="1405"/>
    </row>
    <row r="1026" spans="1:48" s="1431" customFormat="1">
      <c r="A1026" s="1399"/>
      <c r="B1026" s="1429"/>
      <c r="C1026" s="1430"/>
      <c r="D1026" s="1400"/>
      <c r="E1026" s="1401"/>
      <c r="F1026" s="1401"/>
      <c r="G1026" s="1402"/>
      <c r="H1026" s="1403"/>
      <c r="I1026" s="1404"/>
      <c r="J1026" s="1405"/>
      <c r="K1026" s="1405"/>
      <c r="L1026" s="1405"/>
      <c r="M1026" s="1405"/>
      <c r="N1026" s="1406"/>
      <c r="O1026" s="1406"/>
      <c r="P1026" s="1406"/>
      <c r="Q1026" s="1406"/>
      <c r="R1026" s="1406"/>
      <c r="S1026" s="1406"/>
      <c r="T1026" s="1406"/>
      <c r="U1026" s="1406"/>
      <c r="V1026" s="1406"/>
      <c r="W1026" s="1406"/>
      <c r="X1026" s="1406"/>
      <c r="Y1026" s="1406"/>
      <c r="Z1026" s="1406"/>
      <c r="AA1026" s="1406"/>
      <c r="AB1026" s="1406"/>
      <c r="AC1026" s="1406"/>
      <c r="AD1026" s="1406"/>
      <c r="AE1026" s="1406"/>
      <c r="AF1026" s="1406"/>
      <c r="AG1026" s="1406"/>
      <c r="AH1026" s="1406"/>
      <c r="AI1026" s="1406"/>
      <c r="AJ1026" s="1406"/>
      <c r="AK1026" s="1406"/>
      <c r="AL1026" s="1406"/>
      <c r="AM1026" s="1406"/>
      <c r="AN1026" s="1406"/>
      <c r="AO1026" s="1405"/>
      <c r="AP1026" s="1405"/>
      <c r="AQ1026" s="1405"/>
      <c r="AR1026" s="1405"/>
      <c r="AS1026" s="1405"/>
      <c r="AT1026" s="1405"/>
      <c r="AU1026" s="1405"/>
      <c r="AV1026" s="1405"/>
    </row>
    <row r="1027" spans="1:48" s="1431" customFormat="1">
      <c r="A1027" s="1399"/>
      <c r="B1027" s="1429"/>
      <c r="C1027" s="1430"/>
      <c r="D1027" s="1400"/>
      <c r="E1027" s="1401"/>
      <c r="F1027" s="1401"/>
      <c r="G1027" s="1402"/>
      <c r="H1027" s="1403"/>
      <c r="I1027" s="1404"/>
      <c r="J1027" s="1405"/>
      <c r="K1027" s="1405"/>
      <c r="L1027" s="1405"/>
      <c r="M1027" s="1405"/>
      <c r="N1027" s="1406"/>
      <c r="O1027" s="1406"/>
      <c r="P1027" s="1406"/>
      <c r="Q1027" s="1406"/>
      <c r="R1027" s="1406"/>
      <c r="S1027" s="1406"/>
      <c r="T1027" s="1406"/>
      <c r="U1027" s="1406"/>
      <c r="V1027" s="1406"/>
      <c r="W1027" s="1406"/>
      <c r="X1027" s="1406"/>
      <c r="Y1027" s="1406"/>
      <c r="Z1027" s="1406"/>
      <c r="AA1027" s="1406"/>
      <c r="AB1027" s="1406"/>
      <c r="AC1027" s="1406"/>
      <c r="AD1027" s="1406"/>
      <c r="AE1027" s="1406"/>
      <c r="AF1027" s="1406"/>
      <c r="AG1027" s="1406"/>
      <c r="AH1027" s="1406"/>
      <c r="AI1027" s="1406"/>
      <c r="AJ1027" s="1406"/>
      <c r="AK1027" s="1406"/>
      <c r="AL1027" s="1406"/>
      <c r="AM1027" s="1406"/>
      <c r="AN1027" s="1406"/>
      <c r="AO1027" s="1405"/>
      <c r="AP1027" s="1405"/>
      <c r="AQ1027" s="1405"/>
      <c r="AR1027" s="1405"/>
      <c r="AS1027" s="1405"/>
      <c r="AT1027" s="1405"/>
      <c r="AU1027" s="1405"/>
      <c r="AV1027" s="1405"/>
    </row>
    <row r="1028" spans="1:48" s="1431" customFormat="1">
      <c r="A1028" s="1399"/>
      <c r="B1028" s="1429"/>
      <c r="C1028" s="1430"/>
      <c r="D1028" s="1400"/>
      <c r="E1028" s="1401"/>
      <c r="F1028" s="1401"/>
      <c r="G1028" s="1402"/>
      <c r="H1028" s="1403"/>
      <c r="I1028" s="1404"/>
      <c r="J1028" s="1405"/>
      <c r="K1028" s="1405"/>
      <c r="L1028" s="1405"/>
      <c r="M1028" s="1405"/>
      <c r="N1028" s="1406"/>
      <c r="O1028" s="1406"/>
      <c r="P1028" s="1406"/>
      <c r="Q1028" s="1406"/>
      <c r="R1028" s="1406"/>
      <c r="S1028" s="1406"/>
      <c r="T1028" s="1406"/>
      <c r="U1028" s="1406"/>
      <c r="V1028" s="1406"/>
      <c r="W1028" s="1406"/>
      <c r="X1028" s="1406"/>
      <c r="Y1028" s="1406"/>
      <c r="Z1028" s="1406"/>
      <c r="AA1028" s="1406"/>
      <c r="AB1028" s="1406"/>
      <c r="AC1028" s="1406"/>
      <c r="AD1028" s="1406"/>
      <c r="AE1028" s="1406"/>
      <c r="AF1028" s="1406"/>
      <c r="AG1028" s="1406"/>
      <c r="AH1028" s="1406"/>
      <c r="AI1028" s="1406"/>
      <c r="AJ1028" s="1406"/>
      <c r="AK1028" s="1406"/>
      <c r="AL1028" s="1406"/>
      <c r="AM1028" s="1406"/>
      <c r="AN1028" s="1406"/>
      <c r="AO1028" s="1405"/>
      <c r="AP1028" s="1405"/>
      <c r="AQ1028" s="1405"/>
      <c r="AR1028" s="1405"/>
      <c r="AS1028" s="1405"/>
      <c r="AT1028" s="1405"/>
      <c r="AU1028" s="1405"/>
      <c r="AV1028" s="1405"/>
    </row>
    <row r="1029" spans="1:48" s="1431" customFormat="1">
      <c r="A1029" s="1399"/>
      <c r="B1029" s="1429"/>
      <c r="C1029" s="1430"/>
      <c r="D1029" s="1400"/>
      <c r="E1029" s="1401"/>
      <c r="F1029" s="1401"/>
      <c r="G1029" s="1402"/>
      <c r="H1029" s="1403"/>
      <c r="I1029" s="1404"/>
      <c r="J1029" s="1405"/>
      <c r="K1029" s="1405"/>
      <c r="L1029" s="1405"/>
      <c r="M1029" s="1405"/>
      <c r="N1029" s="1406"/>
      <c r="O1029" s="1406"/>
      <c r="P1029" s="1406"/>
      <c r="Q1029" s="1406"/>
      <c r="R1029" s="1406"/>
      <c r="S1029" s="1406"/>
      <c r="T1029" s="1406"/>
      <c r="U1029" s="1406"/>
      <c r="V1029" s="1406"/>
      <c r="W1029" s="1406"/>
      <c r="X1029" s="1406"/>
      <c r="Y1029" s="1406"/>
      <c r="Z1029" s="1406"/>
      <c r="AA1029" s="1406"/>
      <c r="AB1029" s="1406"/>
      <c r="AC1029" s="1406"/>
      <c r="AD1029" s="1406"/>
      <c r="AE1029" s="1406"/>
      <c r="AF1029" s="1406"/>
      <c r="AG1029" s="1406"/>
      <c r="AH1029" s="1406"/>
      <c r="AI1029" s="1406"/>
      <c r="AJ1029" s="1406"/>
      <c r="AK1029" s="1406"/>
      <c r="AL1029" s="1406"/>
      <c r="AM1029" s="1406"/>
      <c r="AN1029" s="1406"/>
      <c r="AO1029" s="1405"/>
      <c r="AP1029" s="1405"/>
      <c r="AQ1029" s="1405"/>
      <c r="AR1029" s="1405"/>
      <c r="AS1029" s="1405"/>
      <c r="AT1029" s="1405"/>
      <c r="AU1029" s="1405"/>
      <c r="AV1029" s="1405"/>
    </row>
    <row r="1030" spans="1:48" s="1431" customFormat="1">
      <c r="A1030" s="1399"/>
      <c r="B1030" s="1429"/>
      <c r="C1030" s="1430"/>
      <c r="D1030" s="1400"/>
      <c r="E1030" s="1401"/>
      <c r="F1030" s="1401"/>
      <c r="G1030" s="1402"/>
      <c r="H1030" s="1403"/>
      <c r="I1030" s="1404"/>
      <c r="J1030" s="1405"/>
      <c r="K1030" s="1405"/>
      <c r="L1030" s="1405"/>
      <c r="M1030" s="1405"/>
      <c r="N1030" s="1406"/>
      <c r="O1030" s="1406"/>
      <c r="P1030" s="1406"/>
      <c r="Q1030" s="1406"/>
      <c r="R1030" s="1406"/>
      <c r="S1030" s="1406"/>
      <c r="T1030" s="1406"/>
      <c r="U1030" s="1406"/>
      <c r="V1030" s="1406"/>
      <c r="W1030" s="1406"/>
      <c r="X1030" s="1406"/>
      <c r="Y1030" s="1406"/>
      <c r="Z1030" s="1406"/>
      <c r="AA1030" s="1406"/>
      <c r="AB1030" s="1406"/>
      <c r="AC1030" s="1406"/>
      <c r="AD1030" s="1406"/>
      <c r="AE1030" s="1406"/>
      <c r="AF1030" s="1406"/>
      <c r="AG1030" s="1406"/>
      <c r="AH1030" s="1406"/>
      <c r="AI1030" s="1406"/>
      <c r="AJ1030" s="1406"/>
      <c r="AK1030" s="1406"/>
      <c r="AL1030" s="1406"/>
      <c r="AM1030" s="1406"/>
      <c r="AN1030" s="1406"/>
      <c r="AO1030" s="1405"/>
      <c r="AP1030" s="1405"/>
      <c r="AQ1030" s="1405"/>
      <c r="AR1030" s="1405"/>
      <c r="AS1030" s="1405"/>
      <c r="AT1030" s="1405"/>
      <c r="AU1030" s="1405"/>
      <c r="AV1030" s="1405"/>
    </row>
    <row r="1031" spans="1:48" s="1431" customFormat="1">
      <c r="A1031" s="1399"/>
      <c r="B1031" s="1429"/>
      <c r="C1031" s="1430"/>
      <c r="D1031" s="1400"/>
      <c r="E1031" s="1401"/>
      <c r="F1031" s="1401"/>
      <c r="G1031" s="1402"/>
      <c r="H1031" s="1403"/>
      <c r="I1031" s="1404"/>
      <c r="J1031" s="1405"/>
      <c r="K1031" s="1405"/>
      <c r="L1031" s="1405"/>
      <c r="M1031" s="1405"/>
      <c r="N1031" s="1406"/>
      <c r="O1031" s="1406"/>
      <c r="P1031" s="1406"/>
      <c r="Q1031" s="1406"/>
      <c r="R1031" s="1406"/>
      <c r="S1031" s="1406"/>
      <c r="T1031" s="1406"/>
      <c r="U1031" s="1406"/>
      <c r="V1031" s="1406"/>
      <c r="W1031" s="1406"/>
      <c r="X1031" s="1406"/>
      <c r="Y1031" s="1406"/>
      <c r="Z1031" s="1406"/>
      <c r="AA1031" s="1406"/>
      <c r="AB1031" s="1406"/>
      <c r="AC1031" s="1406"/>
      <c r="AD1031" s="1406"/>
      <c r="AE1031" s="1406"/>
      <c r="AF1031" s="1406"/>
      <c r="AG1031" s="1406"/>
      <c r="AH1031" s="1406"/>
      <c r="AI1031" s="1406"/>
      <c r="AJ1031" s="1406"/>
      <c r="AK1031" s="1406"/>
      <c r="AL1031" s="1406"/>
      <c r="AM1031" s="1406"/>
      <c r="AN1031" s="1406"/>
      <c r="AO1031" s="1405"/>
      <c r="AP1031" s="1405"/>
      <c r="AQ1031" s="1405"/>
      <c r="AR1031" s="1405"/>
      <c r="AS1031" s="1405"/>
      <c r="AT1031" s="1405"/>
      <c r="AU1031" s="1405"/>
      <c r="AV1031" s="1405"/>
    </row>
    <row r="1032" spans="1:48" s="1431" customFormat="1">
      <c r="A1032" s="1399"/>
      <c r="B1032" s="1429"/>
      <c r="C1032" s="1430"/>
      <c r="D1032" s="1400"/>
      <c r="E1032" s="1401"/>
      <c r="F1032" s="1401"/>
      <c r="G1032" s="1402"/>
      <c r="H1032" s="1403"/>
      <c r="I1032" s="1404"/>
      <c r="J1032" s="1405"/>
      <c r="K1032" s="1405"/>
      <c r="L1032" s="1405"/>
      <c r="M1032" s="1405"/>
      <c r="N1032" s="1406"/>
      <c r="O1032" s="1406"/>
      <c r="P1032" s="1406"/>
      <c r="Q1032" s="1406"/>
      <c r="R1032" s="1406"/>
      <c r="S1032" s="1406"/>
      <c r="T1032" s="1406"/>
      <c r="U1032" s="1406"/>
      <c r="V1032" s="1406"/>
      <c r="W1032" s="1406"/>
      <c r="X1032" s="1406"/>
      <c r="Y1032" s="1406"/>
      <c r="Z1032" s="1406"/>
      <c r="AA1032" s="1406"/>
      <c r="AB1032" s="1406"/>
      <c r="AC1032" s="1406"/>
      <c r="AD1032" s="1406"/>
      <c r="AE1032" s="1406"/>
      <c r="AF1032" s="1406"/>
      <c r="AG1032" s="1406"/>
      <c r="AH1032" s="1406"/>
      <c r="AI1032" s="1406"/>
      <c r="AJ1032" s="1406"/>
      <c r="AK1032" s="1406"/>
      <c r="AL1032" s="1406"/>
      <c r="AM1032" s="1406"/>
      <c r="AN1032" s="1406"/>
      <c r="AO1032" s="1405"/>
      <c r="AP1032" s="1405"/>
      <c r="AQ1032" s="1405"/>
      <c r="AR1032" s="1405"/>
      <c r="AS1032" s="1405"/>
      <c r="AT1032" s="1405"/>
      <c r="AU1032" s="1405"/>
      <c r="AV1032" s="1405"/>
    </row>
    <row r="1033" spans="1:48" s="1431" customFormat="1">
      <c r="A1033" s="1399"/>
      <c r="B1033" s="1429"/>
      <c r="C1033" s="1430"/>
      <c r="D1033" s="1400"/>
      <c r="E1033" s="1401"/>
      <c r="F1033" s="1401"/>
      <c r="G1033" s="1402"/>
      <c r="H1033" s="1403"/>
      <c r="I1033" s="1404"/>
      <c r="J1033" s="1405"/>
      <c r="K1033" s="1405"/>
      <c r="L1033" s="1405"/>
      <c r="M1033" s="1405"/>
      <c r="N1033" s="1406"/>
      <c r="O1033" s="1406"/>
      <c r="P1033" s="1406"/>
      <c r="Q1033" s="1406"/>
      <c r="R1033" s="1406"/>
      <c r="S1033" s="1406"/>
      <c r="T1033" s="1406"/>
      <c r="U1033" s="1406"/>
      <c r="V1033" s="1406"/>
      <c r="W1033" s="1406"/>
      <c r="X1033" s="1406"/>
      <c r="Y1033" s="1406"/>
      <c r="Z1033" s="1406"/>
      <c r="AA1033" s="1406"/>
      <c r="AB1033" s="1406"/>
      <c r="AC1033" s="1406"/>
      <c r="AD1033" s="1406"/>
      <c r="AE1033" s="1406"/>
      <c r="AF1033" s="1406"/>
      <c r="AG1033" s="1406"/>
      <c r="AH1033" s="1406"/>
      <c r="AI1033" s="1406"/>
      <c r="AJ1033" s="1406"/>
      <c r="AK1033" s="1406"/>
      <c r="AL1033" s="1406"/>
      <c r="AM1033" s="1406"/>
      <c r="AN1033" s="1406"/>
      <c r="AO1033" s="1405"/>
      <c r="AP1033" s="1405"/>
      <c r="AQ1033" s="1405"/>
      <c r="AR1033" s="1405"/>
      <c r="AS1033" s="1405"/>
      <c r="AT1033" s="1405"/>
      <c r="AU1033" s="1405"/>
      <c r="AV1033" s="1405"/>
    </row>
    <row r="1034" spans="1:48" s="1431" customFormat="1">
      <c r="A1034" s="1399"/>
      <c r="B1034" s="1429"/>
      <c r="C1034" s="1430"/>
      <c r="D1034" s="1400"/>
      <c r="E1034" s="1401"/>
      <c r="F1034" s="1401"/>
      <c r="G1034" s="1402"/>
      <c r="H1034" s="1403"/>
      <c r="I1034" s="1404"/>
      <c r="J1034" s="1405"/>
      <c r="K1034" s="1405"/>
      <c r="L1034" s="1405"/>
      <c r="M1034" s="1405"/>
      <c r="N1034" s="1406"/>
      <c r="O1034" s="1406"/>
      <c r="P1034" s="1406"/>
      <c r="Q1034" s="1406"/>
      <c r="R1034" s="1406"/>
      <c r="S1034" s="1406"/>
      <c r="T1034" s="1406"/>
      <c r="U1034" s="1406"/>
      <c r="V1034" s="1406"/>
      <c r="W1034" s="1406"/>
      <c r="X1034" s="1406"/>
      <c r="Y1034" s="1406"/>
      <c r="Z1034" s="1406"/>
      <c r="AA1034" s="1406"/>
      <c r="AB1034" s="1406"/>
      <c r="AC1034" s="1406"/>
      <c r="AD1034" s="1406"/>
      <c r="AE1034" s="1406"/>
      <c r="AF1034" s="1406"/>
      <c r="AG1034" s="1406"/>
      <c r="AH1034" s="1406"/>
      <c r="AI1034" s="1406"/>
      <c r="AJ1034" s="1406"/>
      <c r="AK1034" s="1406"/>
      <c r="AL1034" s="1406"/>
      <c r="AM1034" s="1406"/>
      <c r="AN1034" s="1406"/>
      <c r="AO1034" s="1405"/>
      <c r="AP1034" s="1405"/>
      <c r="AQ1034" s="1405"/>
      <c r="AR1034" s="1405"/>
      <c r="AS1034" s="1405"/>
      <c r="AT1034" s="1405"/>
      <c r="AU1034" s="1405"/>
      <c r="AV1034" s="1405"/>
    </row>
    <row r="1035" spans="1:48" s="1431" customFormat="1">
      <c r="A1035" s="1399"/>
      <c r="B1035" s="1429"/>
      <c r="C1035" s="1430"/>
      <c r="D1035" s="1400"/>
      <c r="E1035" s="1401"/>
      <c r="F1035" s="1401"/>
      <c r="G1035" s="1402"/>
      <c r="H1035" s="1403"/>
      <c r="I1035" s="1404"/>
      <c r="J1035" s="1405"/>
      <c r="K1035" s="1405"/>
      <c r="L1035" s="1405"/>
      <c r="M1035" s="1405"/>
      <c r="N1035" s="1406"/>
      <c r="O1035" s="1406"/>
      <c r="P1035" s="1406"/>
      <c r="Q1035" s="1406"/>
      <c r="R1035" s="1406"/>
      <c r="S1035" s="1406"/>
      <c r="T1035" s="1406"/>
      <c r="U1035" s="1406"/>
      <c r="V1035" s="1406"/>
      <c r="W1035" s="1406"/>
      <c r="X1035" s="1406"/>
      <c r="Y1035" s="1406"/>
      <c r="Z1035" s="1406"/>
      <c r="AA1035" s="1406"/>
      <c r="AB1035" s="1406"/>
      <c r="AC1035" s="1406"/>
      <c r="AD1035" s="1406"/>
      <c r="AE1035" s="1406"/>
      <c r="AF1035" s="1406"/>
      <c r="AG1035" s="1406"/>
      <c r="AH1035" s="1406"/>
      <c r="AI1035" s="1406"/>
      <c r="AJ1035" s="1406"/>
      <c r="AK1035" s="1406"/>
      <c r="AL1035" s="1406"/>
      <c r="AM1035" s="1406"/>
      <c r="AN1035" s="1406"/>
      <c r="AO1035" s="1405"/>
      <c r="AP1035" s="1405"/>
      <c r="AQ1035" s="1405"/>
      <c r="AR1035" s="1405"/>
      <c r="AS1035" s="1405"/>
      <c r="AT1035" s="1405"/>
      <c r="AU1035" s="1405"/>
      <c r="AV1035" s="1405"/>
    </row>
    <row r="1036" spans="1:48" s="1431" customFormat="1">
      <c r="A1036" s="1399"/>
      <c r="B1036" s="1429"/>
      <c r="C1036" s="1430"/>
      <c r="D1036" s="1400"/>
      <c r="E1036" s="1401"/>
      <c r="F1036" s="1401"/>
      <c r="G1036" s="1402"/>
      <c r="H1036" s="1403"/>
      <c r="I1036" s="1404"/>
      <c r="J1036" s="1405"/>
      <c r="K1036" s="1405"/>
      <c r="L1036" s="1405"/>
      <c r="M1036" s="1405"/>
      <c r="N1036" s="1406"/>
      <c r="O1036" s="1406"/>
      <c r="P1036" s="1406"/>
      <c r="Q1036" s="1406"/>
      <c r="R1036" s="1406"/>
      <c r="S1036" s="1406"/>
      <c r="T1036" s="1406"/>
      <c r="U1036" s="1406"/>
      <c r="V1036" s="1406"/>
      <c r="W1036" s="1406"/>
      <c r="X1036" s="1406"/>
      <c r="Y1036" s="1406"/>
      <c r="Z1036" s="1406"/>
      <c r="AA1036" s="1406"/>
      <c r="AB1036" s="1406"/>
      <c r="AC1036" s="1406"/>
      <c r="AD1036" s="1406"/>
      <c r="AE1036" s="1406"/>
      <c r="AF1036" s="1406"/>
      <c r="AG1036" s="1406"/>
      <c r="AH1036" s="1406"/>
      <c r="AI1036" s="1406"/>
      <c r="AJ1036" s="1406"/>
      <c r="AK1036" s="1406"/>
      <c r="AL1036" s="1406"/>
      <c r="AM1036" s="1406"/>
      <c r="AN1036" s="1406"/>
      <c r="AO1036" s="1405"/>
      <c r="AP1036" s="1405"/>
      <c r="AQ1036" s="1405"/>
      <c r="AR1036" s="1405"/>
      <c r="AS1036" s="1405"/>
      <c r="AT1036" s="1405"/>
      <c r="AU1036" s="1405"/>
      <c r="AV1036" s="1405"/>
    </row>
    <row r="1037" spans="1:48" s="1431" customFormat="1">
      <c r="A1037" s="1399"/>
      <c r="B1037" s="1429"/>
      <c r="C1037" s="1430"/>
      <c r="D1037" s="1400"/>
      <c r="E1037" s="1401"/>
      <c r="F1037" s="1401"/>
      <c r="G1037" s="1402"/>
      <c r="H1037" s="1403"/>
      <c r="I1037" s="1404"/>
      <c r="J1037" s="1405"/>
      <c r="K1037" s="1405"/>
      <c r="L1037" s="1405"/>
      <c r="M1037" s="1405"/>
      <c r="N1037" s="1406"/>
      <c r="O1037" s="1406"/>
      <c r="P1037" s="1406"/>
      <c r="Q1037" s="1406"/>
      <c r="R1037" s="1406"/>
      <c r="S1037" s="1406"/>
      <c r="T1037" s="1406"/>
      <c r="U1037" s="1406"/>
      <c r="V1037" s="1406"/>
      <c r="W1037" s="1406"/>
      <c r="X1037" s="1406"/>
      <c r="Y1037" s="1406"/>
      <c r="Z1037" s="1406"/>
      <c r="AA1037" s="1406"/>
      <c r="AB1037" s="1406"/>
      <c r="AC1037" s="1406"/>
      <c r="AD1037" s="1406"/>
      <c r="AE1037" s="1406"/>
      <c r="AF1037" s="1406"/>
      <c r="AG1037" s="1406"/>
      <c r="AH1037" s="1406"/>
      <c r="AI1037" s="1406"/>
      <c r="AJ1037" s="1406"/>
      <c r="AK1037" s="1406"/>
      <c r="AL1037" s="1406"/>
      <c r="AM1037" s="1406"/>
      <c r="AN1037" s="1406"/>
      <c r="AO1037" s="1405"/>
      <c r="AP1037" s="1405"/>
      <c r="AQ1037" s="1405"/>
      <c r="AR1037" s="1405"/>
      <c r="AS1037" s="1405"/>
      <c r="AT1037" s="1405"/>
      <c r="AU1037" s="1405"/>
      <c r="AV1037" s="1405"/>
    </row>
    <row r="1038" spans="1:48" s="1431" customFormat="1">
      <c r="A1038" s="1399"/>
      <c r="B1038" s="1429"/>
      <c r="C1038" s="1430"/>
      <c r="D1038" s="1400"/>
      <c r="E1038" s="1401"/>
      <c r="F1038" s="1401"/>
      <c r="G1038" s="1402"/>
      <c r="H1038" s="1403"/>
      <c r="I1038" s="1404"/>
      <c r="J1038" s="1405"/>
      <c r="K1038" s="1405"/>
      <c r="L1038" s="1405"/>
      <c r="M1038" s="1405"/>
      <c r="N1038" s="1406"/>
      <c r="O1038" s="1406"/>
      <c r="P1038" s="1406"/>
      <c r="Q1038" s="1406"/>
      <c r="R1038" s="1406"/>
      <c r="S1038" s="1406"/>
      <c r="T1038" s="1406"/>
      <c r="U1038" s="1406"/>
      <c r="V1038" s="1406"/>
      <c r="W1038" s="1406"/>
      <c r="X1038" s="1406"/>
      <c r="Y1038" s="1406"/>
      <c r="Z1038" s="1406"/>
      <c r="AA1038" s="1406"/>
      <c r="AB1038" s="1406"/>
      <c r="AC1038" s="1406"/>
      <c r="AD1038" s="1406"/>
      <c r="AE1038" s="1406"/>
      <c r="AF1038" s="1406"/>
      <c r="AG1038" s="1406"/>
      <c r="AH1038" s="1406"/>
      <c r="AI1038" s="1406"/>
      <c r="AJ1038" s="1406"/>
      <c r="AK1038" s="1406"/>
      <c r="AL1038" s="1406"/>
      <c r="AM1038" s="1406"/>
      <c r="AN1038" s="1406"/>
      <c r="AO1038" s="1405"/>
      <c r="AP1038" s="1405"/>
      <c r="AQ1038" s="1405"/>
      <c r="AR1038" s="1405"/>
      <c r="AS1038" s="1405"/>
      <c r="AT1038" s="1405"/>
      <c r="AU1038" s="1405"/>
      <c r="AV1038" s="1405"/>
    </row>
    <row r="1039" spans="1:48" s="1431" customFormat="1">
      <c r="A1039" s="1399"/>
      <c r="B1039" s="1429"/>
      <c r="C1039" s="1430"/>
      <c r="D1039" s="1400"/>
      <c r="E1039" s="1401"/>
      <c r="F1039" s="1401"/>
      <c r="G1039" s="1402"/>
      <c r="H1039" s="1403"/>
      <c r="I1039" s="1404"/>
      <c r="J1039" s="1405"/>
      <c r="K1039" s="1405"/>
      <c r="L1039" s="1405"/>
      <c r="M1039" s="1405"/>
      <c r="N1039" s="1406"/>
      <c r="O1039" s="1406"/>
      <c r="P1039" s="1406"/>
      <c r="Q1039" s="1406"/>
      <c r="R1039" s="1406"/>
      <c r="S1039" s="1406"/>
      <c r="T1039" s="1406"/>
      <c r="U1039" s="1406"/>
      <c r="V1039" s="1406"/>
      <c r="W1039" s="1406"/>
      <c r="X1039" s="1406"/>
      <c r="Y1039" s="1406"/>
      <c r="Z1039" s="1406"/>
      <c r="AA1039" s="1406"/>
      <c r="AB1039" s="1406"/>
      <c r="AC1039" s="1406"/>
      <c r="AD1039" s="1406"/>
      <c r="AE1039" s="1406"/>
      <c r="AF1039" s="1406"/>
      <c r="AG1039" s="1406"/>
      <c r="AH1039" s="1406"/>
      <c r="AI1039" s="1406"/>
      <c r="AJ1039" s="1406"/>
      <c r="AK1039" s="1406"/>
      <c r="AL1039" s="1406"/>
      <c r="AM1039" s="1406"/>
      <c r="AN1039" s="1406"/>
      <c r="AO1039" s="1405"/>
      <c r="AP1039" s="1405"/>
      <c r="AQ1039" s="1405"/>
      <c r="AR1039" s="1405"/>
      <c r="AS1039" s="1405"/>
      <c r="AT1039" s="1405"/>
      <c r="AU1039" s="1405"/>
      <c r="AV1039" s="1405"/>
    </row>
    <row r="1040" spans="1:48" s="1431" customFormat="1">
      <c r="A1040" s="1399"/>
      <c r="B1040" s="1429"/>
      <c r="C1040" s="1430"/>
      <c r="D1040" s="1400"/>
      <c r="E1040" s="1401"/>
      <c r="F1040" s="1401"/>
      <c r="G1040" s="1402"/>
      <c r="H1040" s="1403"/>
      <c r="I1040" s="1404"/>
      <c r="J1040" s="1405"/>
      <c r="K1040" s="1405"/>
      <c r="L1040" s="1405"/>
      <c r="M1040" s="1405"/>
      <c r="N1040" s="1406"/>
      <c r="O1040" s="1406"/>
      <c r="P1040" s="1406"/>
      <c r="Q1040" s="1406"/>
      <c r="R1040" s="1406"/>
      <c r="S1040" s="1406"/>
      <c r="T1040" s="1406"/>
      <c r="U1040" s="1406"/>
      <c r="V1040" s="1406"/>
      <c r="W1040" s="1406"/>
      <c r="X1040" s="1406"/>
      <c r="Y1040" s="1406"/>
      <c r="Z1040" s="1406"/>
      <c r="AA1040" s="1406"/>
      <c r="AB1040" s="1406"/>
      <c r="AC1040" s="1406"/>
      <c r="AD1040" s="1406"/>
      <c r="AE1040" s="1406"/>
      <c r="AF1040" s="1406"/>
      <c r="AG1040" s="1406"/>
      <c r="AH1040" s="1406"/>
      <c r="AI1040" s="1406"/>
      <c r="AJ1040" s="1406"/>
      <c r="AK1040" s="1406"/>
      <c r="AL1040" s="1406"/>
      <c r="AM1040" s="1406"/>
      <c r="AN1040" s="1406"/>
      <c r="AO1040" s="1405"/>
      <c r="AP1040" s="1405"/>
      <c r="AQ1040" s="1405"/>
      <c r="AR1040" s="1405"/>
      <c r="AS1040" s="1405"/>
      <c r="AT1040" s="1405"/>
      <c r="AU1040" s="1405"/>
      <c r="AV1040" s="1405"/>
    </row>
    <row r="1041" spans="1:48" s="1431" customFormat="1">
      <c r="A1041" s="1399"/>
      <c r="B1041" s="1429"/>
      <c r="C1041" s="1430"/>
      <c r="D1041" s="1400"/>
      <c r="E1041" s="1401"/>
      <c r="F1041" s="1401"/>
      <c r="G1041" s="1402"/>
      <c r="H1041" s="1403"/>
      <c r="I1041" s="1404"/>
      <c r="J1041" s="1405"/>
      <c r="K1041" s="1405"/>
      <c r="L1041" s="1405"/>
      <c r="M1041" s="1405"/>
      <c r="N1041" s="1406"/>
      <c r="O1041" s="1406"/>
      <c r="P1041" s="1406"/>
      <c r="Q1041" s="1406"/>
      <c r="R1041" s="1406"/>
      <c r="S1041" s="1406"/>
      <c r="T1041" s="1406"/>
      <c r="U1041" s="1406"/>
      <c r="V1041" s="1406"/>
      <c r="W1041" s="1406"/>
      <c r="X1041" s="1406"/>
      <c r="Y1041" s="1406"/>
      <c r="Z1041" s="1406"/>
      <c r="AA1041" s="1406"/>
      <c r="AB1041" s="1406"/>
      <c r="AC1041" s="1406"/>
      <c r="AD1041" s="1406"/>
      <c r="AE1041" s="1406"/>
      <c r="AF1041" s="1406"/>
      <c r="AG1041" s="1406"/>
      <c r="AH1041" s="1406"/>
      <c r="AI1041" s="1406"/>
      <c r="AJ1041" s="1406"/>
      <c r="AK1041" s="1406"/>
      <c r="AL1041" s="1406"/>
      <c r="AM1041" s="1406"/>
      <c r="AN1041" s="1406"/>
      <c r="AO1041" s="1405"/>
      <c r="AP1041" s="1405"/>
      <c r="AQ1041" s="1405"/>
      <c r="AR1041" s="1405"/>
      <c r="AS1041" s="1405"/>
      <c r="AT1041" s="1405"/>
      <c r="AU1041" s="1405"/>
      <c r="AV1041" s="1405"/>
    </row>
    <row r="1042" spans="1:48" s="1431" customFormat="1">
      <c r="A1042" s="1399"/>
      <c r="B1042" s="1429"/>
      <c r="C1042" s="1430"/>
      <c r="D1042" s="1400"/>
      <c r="E1042" s="1401"/>
      <c r="F1042" s="1401"/>
      <c r="G1042" s="1402"/>
      <c r="H1042" s="1403"/>
      <c r="I1042" s="1404"/>
      <c r="J1042" s="1405"/>
      <c r="K1042" s="1405"/>
      <c r="L1042" s="1405"/>
      <c r="M1042" s="1405"/>
      <c r="N1042" s="1406"/>
      <c r="O1042" s="1406"/>
      <c r="P1042" s="1406"/>
      <c r="Q1042" s="1406"/>
      <c r="R1042" s="1406"/>
      <c r="S1042" s="1406"/>
      <c r="T1042" s="1406"/>
      <c r="U1042" s="1406"/>
      <c r="V1042" s="1406"/>
      <c r="W1042" s="1406"/>
      <c r="X1042" s="1406"/>
      <c r="Y1042" s="1406"/>
      <c r="Z1042" s="1406"/>
      <c r="AA1042" s="1406"/>
      <c r="AB1042" s="1406"/>
      <c r="AC1042" s="1406"/>
      <c r="AD1042" s="1406"/>
      <c r="AE1042" s="1406"/>
      <c r="AF1042" s="1406"/>
      <c r="AG1042" s="1406"/>
      <c r="AH1042" s="1406"/>
      <c r="AI1042" s="1406"/>
      <c r="AJ1042" s="1406"/>
      <c r="AK1042" s="1406"/>
      <c r="AL1042" s="1406"/>
      <c r="AM1042" s="1406"/>
      <c r="AN1042" s="1406"/>
      <c r="AO1042" s="1405"/>
      <c r="AP1042" s="1405"/>
      <c r="AQ1042" s="1405"/>
      <c r="AR1042" s="1405"/>
      <c r="AS1042" s="1405"/>
      <c r="AT1042" s="1405"/>
      <c r="AU1042" s="1405"/>
      <c r="AV1042" s="1405"/>
    </row>
    <row r="1043" spans="1:48" s="1431" customFormat="1">
      <c r="A1043" s="1399"/>
      <c r="B1043" s="1429"/>
      <c r="C1043" s="1430"/>
      <c r="D1043" s="1400"/>
      <c r="E1043" s="1401"/>
      <c r="F1043" s="1401"/>
      <c r="G1043" s="1402"/>
      <c r="H1043" s="1403"/>
      <c r="I1043" s="1404"/>
      <c r="J1043" s="1405"/>
      <c r="K1043" s="1405"/>
      <c r="L1043" s="1405"/>
      <c r="M1043" s="1405"/>
      <c r="N1043" s="1406"/>
      <c r="O1043" s="1406"/>
      <c r="P1043" s="1406"/>
      <c r="Q1043" s="1406"/>
      <c r="R1043" s="1406"/>
      <c r="S1043" s="1406"/>
      <c r="T1043" s="1406"/>
      <c r="U1043" s="1406"/>
      <c r="V1043" s="1406"/>
      <c r="W1043" s="1406"/>
      <c r="X1043" s="1406"/>
      <c r="Y1043" s="1406"/>
      <c r="Z1043" s="1406"/>
      <c r="AA1043" s="1406"/>
      <c r="AB1043" s="1406"/>
      <c r="AC1043" s="1406"/>
      <c r="AD1043" s="1406"/>
      <c r="AE1043" s="1406"/>
      <c r="AF1043" s="1406"/>
      <c r="AG1043" s="1406"/>
      <c r="AH1043" s="1406"/>
      <c r="AI1043" s="1406"/>
      <c r="AJ1043" s="1406"/>
      <c r="AK1043" s="1406"/>
      <c r="AL1043" s="1406"/>
      <c r="AM1043" s="1406"/>
      <c r="AN1043" s="1406"/>
      <c r="AO1043" s="1405"/>
      <c r="AP1043" s="1405"/>
      <c r="AQ1043" s="1405"/>
      <c r="AR1043" s="1405"/>
      <c r="AS1043" s="1405"/>
      <c r="AT1043" s="1405"/>
      <c r="AU1043" s="1405"/>
      <c r="AV1043" s="1405"/>
    </row>
    <row r="1044" spans="1:48" s="1431" customFormat="1">
      <c r="A1044" s="1399"/>
      <c r="B1044" s="1429"/>
      <c r="C1044" s="1430"/>
      <c r="D1044" s="1400"/>
      <c r="E1044" s="1401"/>
      <c r="F1044" s="1401"/>
      <c r="G1044" s="1402"/>
      <c r="H1044" s="1403"/>
      <c r="I1044" s="1404"/>
      <c r="J1044" s="1405"/>
      <c r="K1044" s="1405"/>
      <c r="L1044" s="1405"/>
      <c r="M1044" s="1405"/>
      <c r="N1044" s="1406"/>
      <c r="O1044" s="1406"/>
      <c r="P1044" s="1406"/>
      <c r="Q1044" s="1406"/>
      <c r="R1044" s="1406"/>
      <c r="S1044" s="1406"/>
      <c r="T1044" s="1406"/>
      <c r="U1044" s="1406"/>
      <c r="V1044" s="1406"/>
      <c r="W1044" s="1406"/>
      <c r="X1044" s="1406"/>
      <c r="Y1044" s="1406"/>
      <c r="Z1044" s="1406"/>
      <c r="AA1044" s="1406"/>
      <c r="AB1044" s="1406"/>
      <c r="AC1044" s="1406"/>
      <c r="AD1044" s="1406"/>
      <c r="AE1044" s="1406"/>
      <c r="AF1044" s="1406"/>
      <c r="AG1044" s="1406"/>
      <c r="AH1044" s="1406"/>
      <c r="AI1044" s="1406"/>
      <c r="AJ1044" s="1406"/>
      <c r="AK1044" s="1406"/>
      <c r="AL1044" s="1406"/>
      <c r="AM1044" s="1406"/>
      <c r="AN1044" s="1406"/>
      <c r="AO1044" s="1405"/>
      <c r="AP1044" s="1405"/>
      <c r="AQ1044" s="1405"/>
      <c r="AR1044" s="1405"/>
      <c r="AS1044" s="1405"/>
      <c r="AT1044" s="1405"/>
      <c r="AU1044" s="1405"/>
      <c r="AV1044" s="1405"/>
    </row>
    <row r="1045" spans="1:48" s="1431" customFormat="1">
      <c r="A1045" s="1399"/>
      <c r="B1045" s="1429"/>
      <c r="C1045" s="1430"/>
      <c r="D1045" s="1400"/>
      <c r="E1045" s="1401"/>
      <c r="F1045" s="1401"/>
      <c r="G1045" s="1402"/>
      <c r="H1045" s="1403"/>
      <c r="I1045" s="1404"/>
      <c r="J1045" s="1405"/>
      <c r="K1045" s="1405"/>
      <c r="L1045" s="1405"/>
      <c r="M1045" s="1405"/>
      <c r="N1045" s="1406"/>
      <c r="O1045" s="1406"/>
      <c r="P1045" s="1406"/>
      <c r="Q1045" s="1406"/>
      <c r="R1045" s="1406"/>
      <c r="S1045" s="1406"/>
      <c r="T1045" s="1406"/>
      <c r="U1045" s="1406"/>
      <c r="V1045" s="1406"/>
      <c r="W1045" s="1406"/>
      <c r="X1045" s="1406"/>
      <c r="Y1045" s="1406"/>
      <c r="Z1045" s="1406"/>
      <c r="AA1045" s="1406"/>
      <c r="AB1045" s="1406"/>
      <c r="AC1045" s="1406"/>
      <c r="AD1045" s="1406"/>
      <c r="AE1045" s="1406"/>
      <c r="AF1045" s="1406"/>
      <c r="AG1045" s="1406"/>
      <c r="AH1045" s="1406"/>
      <c r="AI1045" s="1406"/>
      <c r="AJ1045" s="1406"/>
      <c r="AK1045" s="1406"/>
      <c r="AL1045" s="1406"/>
      <c r="AM1045" s="1406"/>
      <c r="AN1045" s="1406"/>
      <c r="AO1045" s="1405"/>
      <c r="AP1045" s="1405"/>
      <c r="AQ1045" s="1405"/>
      <c r="AR1045" s="1405"/>
      <c r="AS1045" s="1405"/>
      <c r="AT1045" s="1405"/>
      <c r="AU1045" s="1405"/>
      <c r="AV1045" s="1405"/>
    </row>
    <row r="1046" spans="1:48" s="1431" customFormat="1">
      <c r="A1046" s="1399"/>
      <c r="B1046" s="1429"/>
      <c r="C1046" s="1430"/>
      <c r="D1046" s="1400"/>
      <c r="E1046" s="1401"/>
      <c r="F1046" s="1401"/>
      <c r="G1046" s="1402"/>
      <c r="H1046" s="1403"/>
      <c r="I1046" s="1404"/>
      <c r="J1046" s="1405"/>
      <c r="K1046" s="1405"/>
      <c r="L1046" s="1405"/>
      <c r="M1046" s="1405"/>
      <c r="N1046" s="1406"/>
      <c r="O1046" s="1406"/>
      <c r="P1046" s="1406"/>
      <c r="Q1046" s="1406"/>
      <c r="R1046" s="1406"/>
      <c r="S1046" s="1406"/>
      <c r="T1046" s="1406"/>
      <c r="U1046" s="1406"/>
      <c r="V1046" s="1406"/>
      <c r="W1046" s="1406"/>
      <c r="X1046" s="1406"/>
      <c r="Y1046" s="1406"/>
      <c r="Z1046" s="1406"/>
      <c r="AA1046" s="1406"/>
      <c r="AB1046" s="1406"/>
      <c r="AC1046" s="1406"/>
      <c r="AD1046" s="1406"/>
      <c r="AE1046" s="1406"/>
      <c r="AF1046" s="1406"/>
      <c r="AG1046" s="1406"/>
      <c r="AH1046" s="1406"/>
      <c r="AI1046" s="1406"/>
      <c r="AJ1046" s="1406"/>
      <c r="AK1046" s="1406"/>
      <c r="AL1046" s="1406"/>
      <c r="AM1046" s="1406"/>
      <c r="AN1046" s="1406"/>
      <c r="AO1046" s="1405"/>
      <c r="AP1046" s="1405"/>
      <c r="AQ1046" s="1405"/>
      <c r="AR1046" s="1405"/>
      <c r="AS1046" s="1405"/>
      <c r="AT1046" s="1405"/>
      <c r="AU1046" s="1405"/>
      <c r="AV1046" s="1405"/>
    </row>
    <row r="1047" spans="1:48" s="1431" customFormat="1">
      <c r="A1047" s="1399"/>
      <c r="B1047" s="1429"/>
      <c r="C1047" s="1430"/>
      <c r="D1047" s="1400"/>
      <c r="E1047" s="1401"/>
      <c r="F1047" s="1401"/>
      <c r="G1047" s="1402"/>
      <c r="H1047" s="1403"/>
      <c r="I1047" s="1404"/>
      <c r="J1047" s="1405"/>
      <c r="K1047" s="1405"/>
      <c r="L1047" s="1405"/>
      <c r="M1047" s="1405"/>
      <c r="N1047" s="1406"/>
      <c r="O1047" s="1406"/>
      <c r="P1047" s="1406"/>
      <c r="Q1047" s="1406"/>
      <c r="R1047" s="1406"/>
      <c r="S1047" s="1406"/>
      <c r="T1047" s="1406"/>
      <c r="U1047" s="1406"/>
      <c r="V1047" s="1406"/>
      <c r="W1047" s="1406"/>
      <c r="X1047" s="1406"/>
      <c r="Y1047" s="1406"/>
      <c r="Z1047" s="1406"/>
      <c r="AA1047" s="1406"/>
      <c r="AB1047" s="1406"/>
      <c r="AC1047" s="1406"/>
      <c r="AD1047" s="1406"/>
      <c r="AE1047" s="1406"/>
      <c r="AF1047" s="1406"/>
      <c r="AG1047" s="1406"/>
      <c r="AH1047" s="1406"/>
      <c r="AI1047" s="1406"/>
      <c r="AJ1047" s="1406"/>
      <c r="AK1047" s="1406"/>
      <c r="AL1047" s="1406"/>
      <c r="AM1047" s="1406"/>
      <c r="AN1047" s="1406"/>
      <c r="AO1047" s="1405"/>
      <c r="AP1047" s="1405"/>
      <c r="AQ1047" s="1405"/>
      <c r="AR1047" s="1405"/>
      <c r="AS1047" s="1405"/>
      <c r="AT1047" s="1405"/>
      <c r="AU1047" s="1405"/>
      <c r="AV1047" s="1405"/>
    </row>
    <row r="1048" spans="1:48" s="1431" customFormat="1">
      <c r="A1048" s="1399"/>
      <c r="B1048" s="1429"/>
      <c r="C1048" s="1430"/>
      <c r="D1048" s="1400"/>
      <c r="E1048" s="1401"/>
      <c r="F1048" s="1401"/>
      <c r="G1048" s="1402"/>
      <c r="H1048" s="1403"/>
      <c r="I1048" s="1404"/>
      <c r="J1048" s="1405"/>
      <c r="K1048" s="1405"/>
      <c r="L1048" s="1405"/>
      <c r="M1048" s="1405"/>
      <c r="N1048" s="1406"/>
      <c r="O1048" s="1406"/>
      <c r="P1048" s="1406"/>
      <c r="Q1048" s="1406"/>
      <c r="R1048" s="1406"/>
      <c r="S1048" s="1406"/>
      <c r="T1048" s="1406"/>
      <c r="U1048" s="1406"/>
      <c r="V1048" s="1406"/>
      <c r="W1048" s="1406"/>
      <c r="X1048" s="1406"/>
      <c r="Y1048" s="1406"/>
      <c r="Z1048" s="1406"/>
      <c r="AA1048" s="1406"/>
      <c r="AB1048" s="1406"/>
      <c r="AC1048" s="1406"/>
      <c r="AD1048" s="1406"/>
      <c r="AE1048" s="1406"/>
      <c r="AF1048" s="1406"/>
      <c r="AG1048" s="1406"/>
      <c r="AH1048" s="1406"/>
      <c r="AI1048" s="1406"/>
      <c r="AJ1048" s="1406"/>
      <c r="AK1048" s="1406"/>
      <c r="AL1048" s="1406"/>
      <c r="AM1048" s="1406"/>
      <c r="AN1048" s="1406"/>
      <c r="AO1048" s="1405"/>
      <c r="AP1048" s="1405"/>
      <c r="AQ1048" s="1405"/>
      <c r="AR1048" s="1405"/>
      <c r="AS1048" s="1405"/>
      <c r="AT1048" s="1405"/>
      <c r="AU1048" s="1405"/>
      <c r="AV1048" s="1405"/>
    </row>
    <row r="1049" spans="1:48" s="1431" customFormat="1">
      <c r="A1049" s="1399"/>
      <c r="B1049" s="1429"/>
      <c r="C1049" s="1430"/>
      <c r="D1049" s="1400"/>
      <c r="E1049" s="1401"/>
      <c r="F1049" s="1401"/>
      <c r="G1049" s="1402"/>
      <c r="H1049" s="1403"/>
      <c r="I1049" s="1404"/>
      <c r="J1049" s="1405"/>
      <c r="K1049" s="1405"/>
      <c r="L1049" s="1405"/>
      <c r="M1049" s="1405"/>
      <c r="N1049" s="1406"/>
      <c r="O1049" s="1406"/>
      <c r="P1049" s="1406"/>
      <c r="Q1049" s="1406"/>
      <c r="R1049" s="1406"/>
      <c r="S1049" s="1406"/>
      <c r="T1049" s="1406"/>
      <c r="U1049" s="1406"/>
      <c r="V1049" s="1406"/>
      <c r="W1049" s="1406"/>
      <c r="X1049" s="1406"/>
      <c r="Y1049" s="1406"/>
      <c r="Z1049" s="1406"/>
      <c r="AA1049" s="1406"/>
      <c r="AB1049" s="1406"/>
      <c r="AC1049" s="1406"/>
      <c r="AD1049" s="1406"/>
      <c r="AE1049" s="1406"/>
      <c r="AF1049" s="1406"/>
      <c r="AG1049" s="1406"/>
      <c r="AH1049" s="1406"/>
      <c r="AI1049" s="1406"/>
      <c r="AJ1049" s="1406"/>
      <c r="AK1049" s="1406"/>
      <c r="AL1049" s="1406"/>
      <c r="AM1049" s="1406"/>
      <c r="AN1049" s="1406"/>
      <c r="AO1049" s="1405"/>
      <c r="AP1049" s="1405"/>
      <c r="AQ1049" s="1405"/>
      <c r="AR1049" s="1405"/>
      <c r="AS1049" s="1405"/>
      <c r="AT1049" s="1405"/>
      <c r="AU1049" s="1405"/>
      <c r="AV1049" s="1405"/>
    </row>
    <row r="1050" spans="1:48" s="1431" customFormat="1">
      <c r="A1050" s="1399"/>
      <c r="B1050" s="1429"/>
      <c r="C1050" s="1430"/>
      <c r="D1050" s="1400"/>
      <c r="E1050" s="1401"/>
      <c r="F1050" s="1401"/>
      <c r="G1050" s="1402"/>
      <c r="H1050" s="1403"/>
      <c r="I1050" s="1404"/>
      <c r="J1050" s="1405"/>
      <c r="K1050" s="1405"/>
      <c r="L1050" s="1405"/>
      <c r="M1050" s="1405"/>
      <c r="N1050" s="1406"/>
      <c r="O1050" s="1406"/>
      <c r="P1050" s="1406"/>
      <c r="Q1050" s="1406"/>
      <c r="R1050" s="1406"/>
      <c r="S1050" s="1406"/>
      <c r="T1050" s="1406"/>
      <c r="U1050" s="1406"/>
      <c r="V1050" s="1406"/>
      <c r="W1050" s="1406"/>
      <c r="X1050" s="1406"/>
      <c r="Y1050" s="1406"/>
      <c r="Z1050" s="1406"/>
      <c r="AA1050" s="1406"/>
      <c r="AB1050" s="1406"/>
      <c r="AC1050" s="1406"/>
      <c r="AD1050" s="1406"/>
      <c r="AE1050" s="1406"/>
      <c r="AF1050" s="1406"/>
      <c r="AG1050" s="1406"/>
      <c r="AH1050" s="1406"/>
      <c r="AI1050" s="1406"/>
      <c r="AJ1050" s="1406"/>
      <c r="AK1050" s="1406"/>
      <c r="AL1050" s="1406"/>
      <c r="AM1050" s="1406"/>
      <c r="AN1050" s="1406"/>
      <c r="AO1050" s="1405"/>
      <c r="AP1050" s="1405"/>
      <c r="AQ1050" s="1405"/>
      <c r="AR1050" s="1405"/>
      <c r="AS1050" s="1405"/>
      <c r="AT1050" s="1405"/>
      <c r="AU1050" s="1405"/>
      <c r="AV1050" s="1405"/>
    </row>
    <row r="1051" spans="1:48" s="1431" customFormat="1">
      <c r="A1051" s="1399"/>
      <c r="B1051" s="1429"/>
      <c r="C1051" s="1430"/>
      <c r="D1051" s="1400"/>
      <c r="E1051" s="1401"/>
      <c r="F1051" s="1401"/>
      <c r="G1051" s="1402"/>
      <c r="H1051" s="1403"/>
      <c r="I1051" s="1404"/>
      <c r="J1051" s="1405"/>
      <c r="K1051" s="1405"/>
      <c r="L1051" s="1405"/>
      <c r="M1051" s="1405"/>
      <c r="N1051" s="1406"/>
      <c r="O1051" s="1406"/>
      <c r="P1051" s="1406"/>
      <c r="Q1051" s="1406"/>
      <c r="R1051" s="1406"/>
      <c r="S1051" s="1406"/>
      <c r="T1051" s="1406"/>
      <c r="U1051" s="1406"/>
      <c r="V1051" s="1406"/>
      <c r="W1051" s="1406"/>
      <c r="X1051" s="1406"/>
      <c r="Y1051" s="1406"/>
      <c r="Z1051" s="1406"/>
      <c r="AA1051" s="1406"/>
      <c r="AB1051" s="1406"/>
      <c r="AC1051" s="1406"/>
      <c r="AD1051" s="1406"/>
      <c r="AE1051" s="1406"/>
      <c r="AF1051" s="1406"/>
      <c r="AG1051" s="1406"/>
      <c r="AH1051" s="1406"/>
      <c r="AI1051" s="1406"/>
      <c r="AJ1051" s="1406"/>
      <c r="AK1051" s="1406"/>
      <c r="AL1051" s="1406"/>
      <c r="AM1051" s="1406"/>
      <c r="AN1051" s="1406"/>
      <c r="AO1051" s="1405"/>
      <c r="AP1051" s="1405"/>
      <c r="AQ1051" s="1405"/>
      <c r="AR1051" s="1405"/>
      <c r="AS1051" s="1405"/>
      <c r="AT1051" s="1405"/>
      <c r="AU1051" s="1405"/>
      <c r="AV1051" s="1405"/>
    </row>
    <row r="1052" spans="1:48" s="1431" customFormat="1">
      <c r="A1052" s="1399"/>
      <c r="B1052" s="1429"/>
      <c r="C1052" s="1430"/>
      <c r="D1052" s="1400"/>
      <c r="E1052" s="1401"/>
      <c r="F1052" s="1401"/>
      <c r="G1052" s="1402"/>
      <c r="H1052" s="1403"/>
      <c r="I1052" s="1404"/>
      <c r="J1052" s="1405"/>
      <c r="K1052" s="1405"/>
      <c r="L1052" s="1405"/>
      <c r="M1052" s="1405"/>
      <c r="N1052" s="1406"/>
      <c r="O1052" s="1406"/>
      <c r="P1052" s="1406"/>
      <c r="Q1052" s="1406"/>
      <c r="R1052" s="1406"/>
      <c r="S1052" s="1406"/>
      <c r="T1052" s="1406"/>
      <c r="U1052" s="1406"/>
      <c r="V1052" s="1406"/>
      <c r="W1052" s="1406"/>
      <c r="X1052" s="1406"/>
      <c r="Y1052" s="1406"/>
      <c r="Z1052" s="1406"/>
      <c r="AA1052" s="1406"/>
      <c r="AB1052" s="1406"/>
      <c r="AC1052" s="1406"/>
      <c r="AD1052" s="1406"/>
      <c r="AE1052" s="1406"/>
      <c r="AF1052" s="1406"/>
      <c r="AG1052" s="1406"/>
      <c r="AH1052" s="1406"/>
      <c r="AI1052" s="1406"/>
      <c r="AJ1052" s="1406"/>
      <c r="AK1052" s="1406"/>
      <c r="AL1052" s="1406"/>
      <c r="AM1052" s="1406"/>
      <c r="AN1052" s="1406"/>
      <c r="AO1052" s="1405"/>
      <c r="AP1052" s="1405"/>
      <c r="AQ1052" s="1405"/>
      <c r="AR1052" s="1405"/>
      <c r="AS1052" s="1405"/>
      <c r="AT1052" s="1405"/>
      <c r="AU1052" s="1405"/>
      <c r="AV1052" s="1405"/>
    </row>
    <row r="1053" spans="1:48" s="1431" customFormat="1">
      <c r="A1053" s="1399"/>
      <c r="B1053" s="1429"/>
      <c r="C1053" s="1430"/>
      <c r="D1053" s="1400"/>
      <c r="E1053" s="1401"/>
      <c r="F1053" s="1401"/>
      <c r="G1053" s="1402"/>
      <c r="H1053" s="1403"/>
      <c r="I1053" s="1404"/>
      <c r="J1053" s="1405"/>
      <c r="K1053" s="1405"/>
      <c r="L1053" s="1405"/>
      <c r="M1053" s="1405"/>
      <c r="N1053" s="1406"/>
      <c r="O1053" s="1406"/>
      <c r="P1053" s="1406"/>
      <c r="Q1053" s="1406"/>
      <c r="R1053" s="1406"/>
      <c r="S1053" s="1406"/>
      <c r="T1053" s="1406"/>
      <c r="U1053" s="1406"/>
      <c r="V1053" s="1406"/>
      <c r="W1053" s="1406"/>
      <c r="X1053" s="1406"/>
      <c r="Y1053" s="1406"/>
      <c r="Z1053" s="1406"/>
      <c r="AA1053" s="1406"/>
      <c r="AB1053" s="1406"/>
      <c r="AC1053" s="1406"/>
      <c r="AD1053" s="1406"/>
      <c r="AE1053" s="1406"/>
      <c r="AF1053" s="1406"/>
      <c r="AG1053" s="1406"/>
      <c r="AH1053" s="1406"/>
      <c r="AI1053" s="1406"/>
      <c r="AJ1053" s="1406"/>
      <c r="AK1053" s="1406"/>
      <c r="AL1053" s="1406"/>
      <c r="AM1053" s="1406"/>
      <c r="AN1053" s="1406"/>
      <c r="AO1053" s="1405"/>
      <c r="AP1053" s="1405"/>
      <c r="AQ1053" s="1405"/>
      <c r="AR1053" s="1405"/>
      <c r="AS1053" s="1405"/>
      <c r="AT1053" s="1405"/>
      <c r="AU1053" s="1405"/>
      <c r="AV1053" s="1405"/>
    </row>
    <row r="1054" spans="1:48" s="1431" customFormat="1">
      <c r="A1054" s="1399"/>
      <c r="B1054" s="1429"/>
      <c r="C1054" s="1430"/>
      <c r="D1054" s="1400"/>
      <c r="E1054" s="1401"/>
      <c r="F1054" s="1401"/>
      <c r="G1054" s="1402"/>
      <c r="H1054" s="1403"/>
      <c r="I1054" s="1404"/>
      <c r="J1054" s="1405"/>
      <c r="K1054" s="1405"/>
      <c r="L1054" s="1405"/>
      <c r="M1054" s="1405"/>
      <c r="N1054" s="1406"/>
      <c r="O1054" s="1406"/>
      <c r="P1054" s="1406"/>
      <c r="Q1054" s="1406"/>
      <c r="R1054" s="1406"/>
      <c r="S1054" s="1406"/>
      <c r="T1054" s="1406"/>
      <c r="U1054" s="1406"/>
      <c r="V1054" s="1406"/>
      <c r="W1054" s="1406"/>
      <c r="X1054" s="1406"/>
      <c r="Y1054" s="1406"/>
      <c r="Z1054" s="1406"/>
      <c r="AA1054" s="1406"/>
      <c r="AB1054" s="1406"/>
      <c r="AC1054" s="1406"/>
      <c r="AD1054" s="1406"/>
      <c r="AE1054" s="1406"/>
      <c r="AF1054" s="1406"/>
      <c r="AG1054" s="1406"/>
      <c r="AH1054" s="1406"/>
      <c r="AI1054" s="1406"/>
      <c r="AJ1054" s="1406"/>
      <c r="AK1054" s="1406"/>
      <c r="AL1054" s="1406"/>
      <c r="AM1054" s="1406"/>
      <c r="AN1054" s="1406"/>
      <c r="AO1054" s="1405"/>
      <c r="AP1054" s="1405"/>
      <c r="AQ1054" s="1405"/>
      <c r="AR1054" s="1405"/>
      <c r="AS1054" s="1405"/>
      <c r="AT1054" s="1405"/>
      <c r="AU1054" s="1405"/>
      <c r="AV1054" s="1405"/>
    </row>
    <row r="1055" spans="1:48" s="1431" customFormat="1">
      <c r="A1055" s="1399"/>
      <c r="B1055" s="1429"/>
      <c r="C1055" s="1430"/>
      <c r="D1055" s="1400"/>
      <c r="E1055" s="1401"/>
      <c r="F1055" s="1401"/>
      <c r="G1055" s="1402"/>
      <c r="H1055" s="1403"/>
      <c r="I1055" s="1404"/>
      <c r="J1055" s="1405"/>
      <c r="K1055" s="1405"/>
      <c r="L1055" s="1405"/>
      <c r="M1055" s="1405"/>
      <c r="N1055" s="1406"/>
      <c r="O1055" s="1406"/>
      <c r="P1055" s="1406"/>
      <c r="Q1055" s="1406"/>
      <c r="R1055" s="1406"/>
      <c r="S1055" s="1406"/>
      <c r="T1055" s="1406"/>
      <c r="U1055" s="1406"/>
      <c r="V1055" s="1406"/>
      <c r="W1055" s="1406"/>
      <c r="X1055" s="1406"/>
      <c r="Y1055" s="1406"/>
      <c r="Z1055" s="1406"/>
      <c r="AA1055" s="1406"/>
      <c r="AB1055" s="1406"/>
      <c r="AC1055" s="1406"/>
      <c r="AD1055" s="1406"/>
      <c r="AE1055" s="1406"/>
      <c r="AF1055" s="1406"/>
      <c r="AG1055" s="1406"/>
      <c r="AH1055" s="1406"/>
      <c r="AI1055" s="1406"/>
      <c r="AJ1055" s="1406"/>
      <c r="AK1055" s="1406"/>
      <c r="AL1055" s="1406"/>
      <c r="AM1055" s="1406"/>
      <c r="AN1055" s="1406"/>
      <c r="AO1055" s="1405"/>
      <c r="AP1055" s="1405"/>
      <c r="AQ1055" s="1405"/>
      <c r="AR1055" s="1405"/>
      <c r="AS1055" s="1405"/>
      <c r="AT1055" s="1405"/>
      <c r="AU1055" s="1405"/>
      <c r="AV1055" s="1405"/>
    </row>
    <row r="1056" spans="1:48" s="1431" customFormat="1">
      <c r="A1056" s="1399"/>
      <c r="B1056" s="1429"/>
      <c r="C1056" s="1430"/>
      <c r="D1056" s="1400"/>
      <c r="E1056" s="1401"/>
      <c r="F1056" s="1401"/>
      <c r="G1056" s="1402"/>
      <c r="H1056" s="1403"/>
      <c r="I1056" s="1404"/>
      <c r="J1056" s="1405"/>
      <c r="K1056" s="1405"/>
      <c r="L1056" s="1405"/>
      <c r="M1056" s="1405"/>
      <c r="N1056" s="1406"/>
      <c r="O1056" s="1406"/>
      <c r="P1056" s="1406"/>
      <c r="Q1056" s="1406"/>
      <c r="R1056" s="1406"/>
      <c r="S1056" s="1406"/>
      <c r="T1056" s="1406"/>
      <c r="U1056" s="1406"/>
      <c r="V1056" s="1406"/>
      <c r="W1056" s="1406"/>
      <c r="X1056" s="1406"/>
      <c r="Y1056" s="1406"/>
      <c r="Z1056" s="1406"/>
      <c r="AA1056" s="1406"/>
      <c r="AB1056" s="1406"/>
      <c r="AC1056" s="1406"/>
      <c r="AD1056" s="1406"/>
      <c r="AE1056" s="1406"/>
      <c r="AF1056" s="1406"/>
      <c r="AG1056" s="1406"/>
      <c r="AH1056" s="1406"/>
      <c r="AI1056" s="1406"/>
      <c r="AJ1056" s="1406"/>
      <c r="AK1056" s="1406"/>
      <c r="AL1056" s="1406"/>
      <c r="AM1056" s="1406"/>
      <c r="AN1056" s="1406"/>
      <c r="AO1056" s="1405"/>
      <c r="AP1056" s="1405"/>
      <c r="AQ1056" s="1405"/>
      <c r="AR1056" s="1405"/>
      <c r="AS1056" s="1405"/>
      <c r="AT1056" s="1405"/>
      <c r="AU1056" s="1405"/>
      <c r="AV1056" s="1405"/>
    </row>
    <row r="1057" spans="1:48" s="1431" customFormat="1">
      <c r="A1057" s="1399"/>
      <c r="B1057" s="1429"/>
      <c r="C1057" s="1430"/>
      <c r="D1057" s="1400"/>
      <c r="E1057" s="1401"/>
      <c r="F1057" s="1401"/>
      <c r="G1057" s="1402"/>
      <c r="H1057" s="1403"/>
      <c r="I1057" s="1404"/>
      <c r="J1057" s="1405"/>
      <c r="K1057" s="1405"/>
      <c r="L1057" s="1405"/>
      <c r="M1057" s="1405"/>
      <c r="N1057" s="1406"/>
      <c r="O1057" s="1406"/>
      <c r="P1057" s="1406"/>
      <c r="Q1057" s="1406"/>
      <c r="R1057" s="1406"/>
      <c r="S1057" s="1406"/>
      <c r="T1057" s="1406"/>
      <c r="U1057" s="1406"/>
      <c r="V1057" s="1406"/>
      <c r="W1057" s="1406"/>
      <c r="X1057" s="1406"/>
      <c r="Y1057" s="1406"/>
      <c r="Z1057" s="1406"/>
      <c r="AA1057" s="1406"/>
      <c r="AB1057" s="1406"/>
      <c r="AC1057" s="1406"/>
      <c r="AD1057" s="1406"/>
      <c r="AE1057" s="1406"/>
      <c r="AF1057" s="1406"/>
      <c r="AG1057" s="1406"/>
      <c r="AH1057" s="1406"/>
      <c r="AI1057" s="1406"/>
      <c r="AJ1057" s="1406"/>
      <c r="AK1057" s="1406"/>
      <c r="AL1057" s="1406"/>
      <c r="AM1057" s="1406"/>
      <c r="AN1057" s="1406"/>
      <c r="AO1057" s="1405"/>
      <c r="AP1057" s="1405"/>
      <c r="AQ1057" s="1405"/>
      <c r="AR1057" s="1405"/>
      <c r="AS1057" s="1405"/>
      <c r="AT1057" s="1405"/>
      <c r="AU1057" s="1405"/>
      <c r="AV1057" s="1405"/>
    </row>
    <row r="1058" spans="1:48" s="1431" customFormat="1">
      <c r="A1058" s="1399"/>
      <c r="B1058" s="1429"/>
      <c r="C1058" s="1430"/>
      <c r="D1058" s="1400"/>
      <c r="E1058" s="1401"/>
      <c r="F1058" s="1401"/>
      <c r="G1058" s="1402"/>
      <c r="H1058" s="1403"/>
      <c r="I1058" s="1404"/>
      <c r="J1058" s="1405"/>
      <c r="K1058" s="1405"/>
      <c r="L1058" s="1405"/>
      <c r="M1058" s="1405"/>
      <c r="N1058" s="1406"/>
      <c r="O1058" s="1406"/>
      <c r="P1058" s="1406"/>
      <c r="Q1058" s="1406"/>
      <c r="R1058" s="1406"/>
      <c r="S1058" s="1406"/>
      <c r="T1058" s="1406"/>
      <c r="U1058" s="1406"/>
      <c r="V1058" s="1406"/>
      <c r="W1058" s="1406"/>
      <c r="X1058" s="1406"/>
      <c r="Y1058" s="1406"/>
      <c r="Z1058" s="1406"/>
      <c r="AA1058" s="1406"/>
      <c r="AB1058" s="1406"/>
      <c r="AC1058" s="1406"/>
      <c r="AD1058" s="1406"/>
      <c r="AE1058" s="1406"/>
      <c r="AF1058" s="1406"/>
      <c r="AG1058" s="1406"/>
      <c r="AH1058" s="1406"/>
      <c r="AI1058" s="1406"/>
      <c r="AJ1058" s="1406"/>
      <c r="AK1058" s="1406"/>
      <c r="AL1058" s="1406"/>
      <c r="AM1058" s="1406"/>
      <c r="AN1058" s="1406"/>
      <c r="AO1058" s="1405"/>
      <c r="AP1058" s="1405"/>
      <c r="AQ1058" s="1405"/>
      <c r="AR1058" s="1405"/>
      <c r="AS1058" s="1405"/>
      <c r="AT1058" s="1405"/>
      <c r="AU1058" s="1405"/>
      <c r="AV1058" s="1405"/>
    </row>
    <row r="1059" spans="1:48" s="1431" customFormat="1">
      <c r="A1059" s="1399"/>
      <c r="B1059" s="1429"/>
      <c r="C1059" s="1430"/>
      <c r="D1059" s="1400"/>
      <c r="E1059" s="1401"/>
      <c r="F1059" s="1401"/>
      <c r="G1059" s="1402"/>
      <c r="H1059" s="1403"/>
      <c r="I1059" s="1404"/>
      <c r="J1059" s="1405"/>
      <c r="K1059" s="1405"/>
      <c r="L1059" s="1405"/>
      <c r="M1059" s="1405"/>
      <c r="N1059" s="1406"/>
      <c r="O1059" s="1406"/>
      <c r="P1059" s="1406"/>
      <c r="Q1059" s="1406"/>
      <c r="R1059" s="1406"/>
      <c r="S1059" s="1406"/>
      <c r="T1059" s="1406"/>
      <c r="U1059" s="1406"/>
      <c r="V1059" s="1406"/>
      <c r="W1059" s="1406"/>
      <c r="X1059" s="1406"/>
      <c r="Y1059" s="1406"/>
      <c r="Z1059" s="1406"/>
      <c r="AA1059" s="1406"/>
      <c r="AB1059" s="1406"/>
      <c r="AC1059" s="1406"/>
      <c r="AD1059" s="1406"/>
      <c r="AE1059" s="1406"/>
      <c r="AF1059" s="1406"/>
      <c r="AG1059" s="1406"/>
      <c r="AH1059" s="1406"/>
      <c r="AI1059" s="1406"/>
      <c r="AJ1059" s="1406"/>
      <c r="AK1059" s="1406"/>
      <c r="AL1059" s="1406"/>
      <c r="AM1059" s="1406"/>
      <c r="AN1059" s="1406"/>
      <c r="AO1059" s="1405"/>
      <c r="AP1059" s="1405"/>
      <c r="AQ1059" s="1405"/>
      <c r="AR1059" s="1405"/>
      <c r="AS1059" s="1405"/>
      <c r="AT1059" s="1405"/>
      <c r="AU1059" s="1405"/>
      <c r="AV1059" s="1405"/>
    </row>
    <row r="1060" spans="1:48" s="1431" customFormat="1">
      <c r="A1060" s="1399"/>
      <c r="B1060" s="1429"/>
      <c r="C1060" s="1430"/>
      <c r="D1060" s="1400"/>
      <c r="E1060" s="1401"/>
      <c r="F1060" s="1401"/>
      <c r="G1060" s="1402"/>
      <c r="H1060" s="1403"/>
      <c r="I1060" s="1404"/>
      <c r="J1060" s="1405"/>
      <c r="K1060" s="1405"/>
      <c r="L1060" s="1405"/>
      <c r="M1060" s="1405"/>
      <c r="N1060" s="1406"/>
      <c r="O1060" s="1406"/>
      <c r="P1060" s="1406"/>
      <c r="Q1060" s="1406"/>
      <c r="R1060" s="1406"/>
      <c r="S1060" s="1406"/>
      <c r="T1060" s="1406"/>
      <c r="U1060" s="1406"/>
      <c r="V1060" s="1406"/>
      <c r="W1060" s="1406"/>
      <c r="X1060" s="1406"/>
      <c r="Y1060" s="1406"/>
      <c r="Z1060" s="1406"/>
      <c r="AA1060" s="1406"/>
      <c r="AB1060" s="1406"/>
      <c r="AC1060" s="1406"/>
      <c r="AD1060" s="1406"/>
      <c r="AE1060" s="1406"/>
      <c r="AF1060" s="1406"/>
      <c r="AG1060" s="1406"/>
      <c r="AH1060" s="1406"/>
      <c r="AI1060" s="1406"/>
      <c r="AJ1060" s="1406"/>
      <c r="AK1060" s="1406"/>
      <c r="AL1060" s="1406"/>
      <c r="AM1060" s="1406"/>
      <c r="AN1060" s="1406"/>
      <c r="AO1060" s="1405"/>
      <c r="AP1060" s="1405"/>
      <c r="AQ1060" s="1405"/>
      <c r="AR1060" s="1405"/>
      <c r="AS1060" s="1405"/>
      <c r="AT1060" s="1405"/>
      <c r="AU1060" s="1405"/>
      <c r="AV1060" s="1405"/>
    </row>
    <row r="1061" spans="1:48" s="1431" customFormat="1">
      <c r="A1061" s="1399"/>
      <c r="B1061" s="1429"/>
      <c r="C1061" s="1430"/>
      <c r="D1061" s="1400"/>
      <c r="E1061" s="1401"/>
      <c r="F1061" s="1401"/>
      <c r="G1061" s="1402"/>
      <c r="H1061" s="1403"/>
      <c r="I1061" s="1404"/>
      <c r="J1061" s="1405"/>
      <c r="K1061" s="1405"/>
      <c r="L1061" s="1405"/>
      <c r="M1061" s="1405"/>
      <c r="N1061" s="1406"/>
      <c r="O1061" s="1406"/>
      <c r="P1061" s="1406"/>
      <c r="Q1061" s="1406"/>
      <c r="R1061" s="1406"/>
      <c r="S1061" s="1406"/>
      <c r="T1061" s="1406"/>
      <c r="U1061" s="1406"/>
      <c r="V1061" s="1406"/>
      <c r="W1061" s="1406"/>
      <c r="X1061" s="1406"/>
      <c r="Y1061" s="1406"/>
      <c r="Z1061" s="1406"/>
      <c r="AA1061" s="1406"/>
      <c r="AB1061" s="1406"/>
      <c r="AC1061" s="1406"/>
      <c r="AD1061" s="1406"/>
      <c r="AE1061" s="1406"/>
      <c r="AF1061" s="1406"/>
      <c r="AG1061" s="1406"/>
      <c r="AH1061" s="1406"/>
      <c r="AI1061" s="1406"/>
      <c r="AJ1061" s="1406"/>
      <c r="AK1061" s="1406"/>
      <c r="AL1061" s="1406"/>
      <c r="AM1061" s="1406"/>
      <c r="AN1061" s="1406"/>
      <c r="AO1061" s="1405"/>
      <c r="AP1061" s="1405"/>
      <c r="AQ1061" s="1405"/>
      <c r="AR1061" s="1405"/>
      <c r="AS1061" s="1405"/>
      <c r="AT1061" s="1405"/>
      <c r="AU1061" s="1405"/>
      <c r="AV1061" s="1405"/>
    </row>
    <row r="1062" spans="1:48" s="1431" customFormat="1">
      <c r="A1062" s="1399"/>
      <c r="B1062" s="1429"/>
      <c r="C1062" s="1430"/>
      <c r="D1062" s="1400"/>
      <c r="E1062" s="1401"/>
      <c r="F1062" s="1401"/>
      <c r="G1062" s="1402"/>
      <c r="H1062" s="1403"/>
      <c r="I1062" s="1404"/>
      <c r="J1062" s="1405"/>
      <c r="K1062" s="1405"/>
      <c r="L1062" s="1405"/>
      <c r="M1062" s="1405"/>
      <c r="N1062" s="1406"/>
      <c r="O1062" s="1406"/>
      <c r="P1062" s="1406"/>
      <c r="Q1062" s="1406"/>
      <c r="R1062" s="1406"/>
      <c r="S1062" s="1406"/>
      <c r="T1062" s="1406"/>
      <c r="U1062" s="1406"/>
      <c r="V1062" s="1406"/>
      <c r="W1062" s="1406"/>
      <c r="X1062" s="1406"/>
      <c r="Y1062" s="1406"/>
      <c r="Z1062" s="1406"/>
      <c r="AA1062" s="1406"/>
      <c r="AB1062" s="1406"/>
      <c r="AC1062" s="1406"/>
      <c r="AD1062" s="1406"/>
      <c r="AE1062" s="1406"/>
      <c r="AF1062" s="1406"/>
      <c r="AG1062" s="1406"/>
      <c r="AH1062" s="1406"/>
      <c r="AI1062" s="1406"/>
      <c r="AJ1062" s="1406"/>
      <c r="AK1062" s="1406"/>
      <c r="AL1062" s="1406"/>
      <c r="AM1062" s="1406"/>
      <c r="AN1062" s="1406"/>
      <c r="AO1062" s="1405"/>
      <c r="AP1062" s="1405"/>
      <c r="AQ1062" s="1405"/>
      <c r="AR1062" s="1405"/>
      <c r="AS1062" s="1405"/>
      <c r="AT1062" s="1405"/>
      <c r="AU1062" s="1405"/>
      <c r="AV1062" s="1405"/>
    </row>
    <row r="1063" spans="1:48" s="1431" customFormat="1">
      <c r="A1063" s="1399"/>
      <c r="B1063" s="1429"/>
      <c r="C1063" s="1430"/>
      <c r="D1063" s="1400"/>
      <c r="E1063" s="1401"/>
      <c r="F1063" s="1401"/>
      <c r="G1063" s="1402"/>
      <c r="H1063" s="1403"/>
      <c r="I1063" s="1404"/>
      <c r="J1063" s="1405"/>
      <c r="K1063" s="1405"/>
      <c r="L1063" s="1405"/>
      <c r="M1063" s="1405"/>
      <c r="N1063" s="1406"/>
      <c r="O1063" s="1406"/>
      <c r="P1063" s="1406"/>
      <c r="Q1063" s="1406"/>
      <c r="R1063" s="1406"/>
      <c r="S1063" s="1406"/>
      <c r="T1063" s="1406"/>
      <c r="U1063" s="1406"/>
      <c r="V1063" s="1406"/>
      <c r="W1063" s="1406"/>
      <c r="X1063" s="1406"/>
      <c r="Y1063" s="1406"/>
      <c r="Z1063" s="1406"/>
      <c r="AA1063" s="1406"/>
      <c r="AB1063" s="1406"/>
      <c r="AC1063" s="1406"/>
      <c r="AD1063" s="1406"/>
      <c r="AE1063" s="1406"/>
      <c r="AF1063" s="1406"/>
      <c r="AG1063" s="1406"/>
      <c r="AH1063" s="1406"/>
      <c r="AI1063" s="1406"/>
      <c r="AJ1063" s="1406"/>
      <c r="AK1063" s="1406"/>
      <c r="AL1063" s="1406"/>
      <c r="AM1063" s="1406"/>
      <c r="AN1063" s="1406"/>
      <c r="AO1063" s="1405"/>
      <c r="AP1063" s="1405"/>
      <c r="AQ1063" s="1405"/>
      <c r="AR1063" s="1405"/>
      <c r="AS1063" s="1405"/>
      <c r="AT1063" s="1405"/>
      <c r="AU1063" s="1405"/>
      <c r="AV1063" s="1405"/>
    </row>
    <row r="1064" spans="1:48" s="1431" customFormat="1">
      <c r="A1064" s="1399"/>
      <c r="B1064" s="1429"/>
      <c r="C1064" s="1430"/>
      <c r="D1064" s="1400"/>
      <c r="E1064" s="1401"/>
      <c r="F1064" s="1401"/>
      <c r="G1064" s="1402"/>
      <c r="H1064" s="1403"/>
      <c r="I1064" s="1404"/>
      <c r="J1064" s="1405"/>
      <c r="K1064" s="1405"/>
      <c r="L1064" s="1405"/>
      <c r="M1064" s="1405"/>
      <c r="N1064" s="1406"/>
      <c r="O1064" s="1406"/>
      <c r="P1064" s="1406"/>
      <c r="Q1064" s="1406"/>
      <c r="R1064" s="1406"/>
      <c r="S1064" s="1406"/>
      <c r="T1064" s="1406"/>
      <c r="U1064" s="1406"/>
      <c r="V1064" s="1406"/>
      <c r="W1064" s="1406"/>
      <c r="X1064" s="1406"/>
      <c r="Y1064" s="1406"/>
      <c r="Z1064" s="1406"/>
      <c r="AA1064" s="1406"/>
      <c r="AB1064" s="1406"/>
      <c r="AC1064" s="1406"/>
      <c r="AD1064" s="1406"/>
      <c r="AE1064" s="1406"/>
      <c r="AF1064" s="1406"/>
      <c r="AG1064" s="1406"/>
      <c r="AH1064" s="1406"/>
      <c r="AI1064" s="1406"/>
      <c r="AJ1064" s="1406"/>
      <c r="AK1064" s="1406"/>
      <c r="AL1064" s="1406"/>
      <c r="AM1064" s="1406"/>
      <c r="AN1064" s="1406"/>
      <c r="AO1064" s="1405"/>
      <c r="AP1064" s="1405"/>
      <c r="AQ1064" s="1405"/>
      <c r="AR1064" s="1405"/>
      <c r="AS1064" s="1405"/>
      <c r="AT1064" s="1405"/>
      <c r="AU1064" s="1405"/>
      <c r="AV1064" s="1405"/>
    </row>
    <row r="1065" spans="1:48" s="1431" customFormat="1">
      <c r="A1065" s="1399"/>
      <c r="B1065" s="1429"/>
      <c r="C1065" s="1430"/>
      <c r="D1065" s="1400"/>
      <c r="E1065" s="1401"/>
      <c r="F1065" s="1401"/>
      <c r="G1065" s="1402"/>
      <c r="H1065" s="1403"/>
      <c r="I1065" s="1404"/>
      <c r="J1065" s="1405"/>
      <c r="K1065" s="1405"/>
      <c r="L1065" s="1405"/>
      <c r="M1065" s="1405"/>
      <c r="N1065" s="1406"/>
      <c r="O1065" s="1406"/>
      <c r="P1065" s="1406"/>
      <c r="Q1065" s="1406"/>
      <c r="R1065" s="1406"/>
      <c r="S1065" s="1406"/>
      <c r="T1065" s="1406"/>
      <c r="U1065" s="1406"/>
      <c r="V1065" s="1406"/>
      <c r="W1065" s="1406"/>
      <c r="X1065" s="1406"/>
      <c r="Y1065" s="1406"/>
      <c r="Z1065" s="1406"/>
      <c r="AA1065" s="1406"/>
      <c r="AB1065" s="1406"/>
      <c r="AC1065" s="1406"/>
      <c r="AD1065" s="1406"/>
      <c r="AE1065" s="1406"/>
      <c r="AF1065" s="1406"/>
      <c r="AG1065" s="1406"/>
      <c r="AH1065" s="1406"/>
      <c r="AI1065" s="1406"/>
      <c r="AJ1065" s="1406"/>
      <c r="AK1065" s="1406"/>
      <c r="AL1065" s="1406"/>
      <c r="AM1065" s="1406"/>
      <c r="AN1065" s="1406"/>
      <c r="AO1065" s="1405"/>
      <c r="AP1065" s="1405"/>
      <c r="AQ1065" s="1405"/>
      <c r="AR1065" s="1405"/>
      <c r="AS1065" s="1405"/>
      <c r="AT1065" s="1405"/>
      <c r="AU1065" s="1405"/>
      <c r="AV1065" s="1405"/>
    </row>
    <row r="1066" spans="1:48" s="1431" customFormat="1">
      <c r="A1066" s="1399"/>
      <c r="B1066" s="1429"/>
      <c r="C1066" s="1430"/>
      <c r="D1066" s="1400"/>
      <c r="E1066" s="1401"/>
      <c r="F1066" s="1401"/>
      <c r="G1066" s="1402"/>
      <c r="H1066" s="1403"/>
      <c r="I1066" s="1404"/>
      <c r="J1066" s="1405"/>
      <c r="K1066" s="1405"/>
      <c r="L1066" s="1405"/>
      <c r="M1066" s="1405"/>
      <c r="N1066" s="1406"/>
      <c r="O1066" s="1406"/>
      <c r="P1066" s="1406"/>
      <c r="Q1066" s="1406"/>
      <c r="R1066" s="1406"/>
      <c r="S1066" s="1406"/>
      <c r="T1066" s="1406"/>
      <c r="U1066" s="1406"/>
      <c r="V1066" s="1406"/>
      <c r="W1066" s="1406"/>
      <c r="X1066" s="1406"/>
      <c r="Y1066" s="1406"/>
      <c r="Z1066" s="1406"/>
      <c r="AA1066" s="1406"/>
      <c r="AB1066" s="1406"/>
      <c r="AC1066" s="1406"/>
      <c r="AD1066" s="1406"/>
      <c r="AE1066" s="1406"/>
      <c r="AF1066" s="1406"/>
      <c r="AG1066" s="1406"/>
      <c r="AH1066" s="1406"/>
      <c r="AI1066" s="1406"/>
      <c r="AJ1066" s="1406"/>
      <c r="AK1066" s="1406"/>
      <c r="AL1066" s="1406"/>
      <c r="AM1066" s="1406"/>
      <c r="AN1066" s="1406"/>
      <c r="AO1066" s="1405"/>
      <c r="AP1066" s="1405"/>
      <c r="AQ1066" s="1405"/>
      <c r="AR1066" s="1405"/>
      <c r="AS1066" s="1405"/>
      <c r="AT1066" s="1405"/>
      <c r="AU1066" s="1405"/>
      <c r="AV1066" s="1405"/>
    </row>
    <row r="1067" spans="1:48" s="1431" customFormat="1">
      <c r="A1067" s="1399"/>
      <c r="B1067" s="1429"/>
      <c r="C1067" s="1430"/>
      <c r="D1067" s="1400"/>
      <c r="E1067" s="1401"/>
      <c r="F1067" s="1401"/>
      <c r="G1067" s="1402"/>
      <c r="H1067" s="1403"/>
      <c r="I1067" s="1404"/>
      <c r="J1067" s="1405"/>
      <c r="K1067" s="1405"/>
      <c r="L1067" s="1405"/>
      <c r="M1067" s="1405"/>
      <c r="N1067" s="1406"/>
      <c r="O1067" s="1406"/>
      <c r="P1067" s="1406"/>
      <c r="Q1067" s="1406"/>
      <c r="R1067" s="1406"/>
      <c r="S1067" s="1406"/>
      <c r="T1067" s="1406"/>
      <c r="U1067" s="1406"/>
      <c r="V1067" s="1406"/>
      <c r="W1067" s="1406"/>
      <c r="X1067" s="1406"/>
      <c r="Y1067" s="1406"/>
      <c r="Z1067" s="1406"/>
      <c r="AA1067" s="1406"/>
      <c r="AB1067" s="1406"/>
      <c r="AC1067" s="1406"/>
      <c r="AD1067" s="1406"/>
      <c r="AE1067" s="1406"/>
      <c r="AF1067" s="1406"/>
      <c r="AG1067" s="1406"/>
      <c r="AH1067" s="1406"/>
      <c r="AI1067" s="1406"/>
      <c r="AJ1067" s="1406"/>
      <c r="AK1067" s="1406"/>
      <c r="AL1067" s="1406"/>
      <c r="AM1067" s="1406"/>
      <c r="AN1067" s="1406"/>
      <c r="AO1067" s="1405"/>
      <c r="AP1067" s="1405"/>
      <c r="AQ1067" s="1405"/>
      <c r="AR1067" s="1405"/>
      <c r="AS1067" s="1405"/>
      <c r="AT1067" s="1405"/>
      <c r="AU1067" s="1405"/>
      <c r="AV1067" s="1405"/>
    </row>
    <row r="1068" spans="1:48" s="1431" customFormat="1">
      <c r="A1068" s="1399"/>
      <c r="B1068" s="1429"/>
      <c r="C1068" s="1430"/>
      <c r="D1068" s="1400"/>
      <c r="E1068" s="1401"/>
      <c r="F1068" s="1401"/>
      <c r="G1068" s="1402"/>
      <c r="H1068" s="1403"/>
      <c r="I1068" s="1404"/>
      <c r="J1068" s="1405"/>
      <c r="K1068" s="1405"/>
      <c r="L1068" s="1405"/>
      <c r="M1068" s="1405"/>
      <c r="N1068" s="1406"/>
      <c r="O1068" s="1406"/>
      <c r="P1068" s="1406"/>
      <c r="Q1068" s="1406"/>
      <c r="R1068" s="1406"/>
      <c r="S1068" s="1406"/>
      <c r="T1068" s="1406"/>
      <c r="U1068" s="1406"/>
      <c r="V1068" s="1406"/>
      <c r="W1068" s="1406"/>
      <c r="X1068" s="1406"/>
      <c r="Y1068" s="1406"/>
      <c r="Z1068" s="1406"/>
      <c r="AA1068" s="1406"/>
      <c r="AB1068" s="1406"/>
      <c r="AC1068" s="1406"/>
      <c r="AD1068" s="1406"/>
      <c r="AE1068" s="1406"/>
      <c r="AF1068" s="1406"/>
      <c r="AG1068" s="1406"/>
      <c r="AH1068" s="1406"/>
      <c r="AI1068" s="1406"/>
      <c r="AJ1068" s="1406"/>
      <c r="AK1068" s="1406"/>
      <c r="AL1068" s="1406"/>
      <c r="AM1068" s="1406"/>
      <c r="AN1068" s="1406"/>
      <c r="AO1068" s="1405"/>
      <c r="AP1068" s="1405"/>
      <c r="AQ1068" s="1405"/>
      <c r="AR1068" s="1405"/>
      <c r="AS1068" s="1405"/>
      <c r="AT1068" s="1405"/>
      <c r="AU1068" s="1405"/>
      <c r="AV1068" s="1405"/>
    </row>
    <row r="1069" spans="1:48" s="1431" customFormat="1">
      <c r="A1069" s="1399"/>
      <c r="B1069" s="1429"/>
      <c r="C1069" s="1430"/>
      <c r="D1069" s="1400"/>
      <c r="E1069" s="1401"/>
      <c r="F1069" s="1401"/>
      <c r="G1069" s="1402"/>
      <c r="H1069" s="1403"/>
      <c r="I1069" s="1404"/>
      <c r="J1069" s="1405"/>
      <c r="K1069" s="1405"/>
      <c r="L1069" s="1405"/>
      <c r="M1069" s="1405"/>
      <c r="N1069" s="1406"/>
      <c r="O1069" s="1406"/>
      <c r="P1069" s="1406"/>
      <c r="Q1069" s="1406"/>
      <c r="R1069" s="1406"/>
      <c r="S1069" s="1406"/>
      <c r="T1069" s="1406"/>
      <c r="U1069" s="1406"/>
      <c r="V1069" s="1406"/>
      <c r="W1069" s="1406"/>
      <c r="X1069" s="1406"/>
      <c r="Y1069" s="1406"/>
      <c r="Z1069" s="1406"/>
      <c r="AA1069" s="1406"/>
      <c r="AB1069" s="1406"/>
      <c r="AC1069" s="1406"/>
      <c r="AD1069" s="1406"/>
      <c r="AE1069" s="1406"/>
      <c r="AF1069" s="1406"/>
      <c r="AG1069" s="1406"/>
      <c r="AH1069" s="1406"/>
      <c r="AI1069" s="1406"/>
      <c r="AJ1069" s="1406"/>
      <c r="AK1069" s="1406"/>
      <c r="AL1069" s="1406"/>
      <c r="AM1069" s="1406"/>
      <c r="AN1069" s="1406"/>
      <c r="AO1069" s="1405"/>
      <c r="AP1069" s="1405"/>
      <c r="AQ1069" s="1405"/>
      <c r="AR1069" s="1405"/>
      <c r="AS1069" s="1405"/>
      <c r="AT1069" s="1405"/>
      <c r="AU1069" s="1405"/>
      <c r="AV1069" s="1405"/>
    </row>
    <row r="1070" spans="1:48" s="1431" customFormat="1">
      <c r="A1070" s="1399"/>
      <c r="B1070" s="1429"/>
      <c r="C1070" s="1430"/>
      <c r="D1070" s="1400"/>
      <c r="E1070" s="1401"/>
      <c r="F1070" s="1401"/>
      <c r="G1070" s="1402"/>
      <c r="H1070" s="1403"/>
      <c r="I1070" s="1404"/>
      <c r="J1070" s="1405"/>
      <c r="K1070" s="1405"/>
      <c r="L1070" s="1405"/>
      <c r="M1070" s="1405"/>
      <c r="N1070" s="1406"/>
      <c r="O1070" s="1406"/>
      <c r="P1070" s="1406"/>
      <c r="Q1070" s="1406"/>
      <c r="R1070" s="1406"/>
      <c r="S1070" s="1406"/>
      <c r="T1070" s="1406"/>
      <c r="U1070" s="1406"/>
      <c r="V1070" s="1406"/>
      <c r="W1070" s="1406"/>
      <c r="X1070" s="1406"/>
      <c r="Y1070" s="1406"/>
      <c r="Z1070" s="1406"/>
      <c r="AA1070" s="1406"/>
      <c r="AB1070" s="1406"/>
      <c r="AC1070" s="1406"/>
      <c r="AD1070" s="1406"/>
      <c r="AE1070" s="1406"/>
      <c r="AF1070" s="1406"/>
      <c r="AG1070" s="1406"/>
      <c r="AH1070" s="1406"/>
      <c r="AI1070" s="1406"/>
      <c r="AJ1070" s="1406"/>
      <c r="AK1070" s="1406"/>
      <c r="AL1070" s="1406"/>
      <c r="AM1070" s="1406"/>
      <c r="AN1070" s="1406"/>
      <c r="AO1070" s="1405"/>
      <c r="AP1070" s="1405"/>
      <c r="AQ1070" s="1405"/>
      <c r="AR1070" s="1405"/>
      <c r="AS1070" s="1405"/>
      <c r="AT1070" s="1405"/>
      <c r="AU1070" s="1405"/>
      <c r="AV1070" s="1405"/>
    </row>
    <row r="1071" spans="1:48" s="1431" customFormat="1">
      <c r="A1071" s="1399"/>
      <c r="B1071" s="1429"/>
      <c r="C1071" s="1430"/>
      <c r="D1071" s="1400"/>
      <c r="E1071" s="1401"/>
      <c r="F1071" s="1401"/>
      <c r="G1071" s="1402"/>
      <c r="H1071" s="1403"/>
      <c r="I1071" s="1404"/>
      <c r="J1071" s="1405"/>
      <c r="K1071" s="1405"/>
      <c r="L1071" s="1405"/>
      <c r="M1071" s="1405"/>
      <c r="N1071" s="1406"/>
      <c r="O1071" s="1406"/>
      <c r="P1071" s="1406"/>
      <c r="Q1071" s="1406"/>
      <c r="R1071" s="1406"/>
      <c r="S1071" s="1406"/>
      <c r="T1071" s="1406"/>
      <c r="U1071" s="1406"/>
      <c r="V1071" s="1406"/>
      <c r="W1071" s="1406"/>
      <c r="X1071" s="1406"/>
      <c r="Y1071" s="1406"/>
      <c r="Z1071" s="1406"/>
      <c r="AA1071" s="1406"/>
      <c r="AB1071" s="1406"/>
      <c r="AC1071" s="1406"/>
      <c r="AD1071" s="1406"/>
      <c r="AE1071" s="1406"/>
      <c r="AF1071" s="1406"/>
      <c r="AG1071" s="1406"/>
      <c r="AH1071" s="1406"/>
      <c r="AI1071" s="1406"/>
      <c r="AJ1071" s="1406"/>
      <c r="AK1071" s="1406"/>
      <c r="AL1071" s="1406"/>
      <c r="AM1071" s="1406"/>
      <c r="AN1071" s="1406"/>
      <c r="AO1071" s="1405"/>
      <c r="AP1071" s="1405"/>
      <c r="AQ1071" s="1405"/>
      <c r="AR1071" s="1405"/>
      <c r="AS1071" s="1405"/>
      <c r="AT1071" s="1405"/>
      <c r="AU1071" s="1405"/>
      <c r="AV1071" s="1405"/>
    </row>
    <row r="1072" spans="1:48" s="1431" customFormat="1">
      <c r="A1072" s="1399"/>
      <c r="B1072" s="1429"/>
      <c r="C1072" s="1430"/>
      <c r="D1072" s="1400"/>
      <c r="E1072" s="1401"/>
      <c r="F1072" s="1401"/>
      <c r="G1072" s="1402"/>
      <c r="H1072" s="1403"/>
      <c r="I1072" s="1404"/>
      <c r="J1072" s="1405"/>
      <c r="K1072" s="1405"/>
      <c r="L1072" s="1405"/>
      <c r="M1072" s="1405"/>
      <c r="N1072" s="1406"/>
      <c r="O1072" s="1406"/>
      <c r="P1072" s="1406"/>
      <c r="Q1072" s="1406"/>
      <c r="R1072" s="1406"/>
      <c r="S1072" s="1406"/>
      <c r="T1072" s="1406"/>
      <c r="U1072" s="1406"/>
      <c r="V1072" s="1406"/>
      <c r="W1072" s="1406"/>
      <c r="X1072" s="1406"/>
      <c r="Y1072" s="1406"/>
      <c r="Z1072" s="1406"/>
      <c r="AA1072" s="1406"/>
      <c r="AB1072" s="1406"/>
      <c r="AC1072" s="1406"/>
      <c r="AD1072" s="1406"/>
      <c r="AE1072" s="1406"/>
      <c r="AF1072" s="1406"/>
      <c r="AG1072" s="1406"/>
      <c r="AH1072" s="1406"/>
      <c r="AI1072" s="1406"/>
      <c r="AJ1072" s="1406"/>
      <c r="AK1072" s="1406"/>
      <c r="AL1072" s="1406"/>
      <c r="AM1072" s="1406"/>
      <c r="AN1072" s="1406"/>
      <c r="AO1072" s="1405"/>
      <c r="AP1072" s="1405"/>
      <c r="AQ1072" s="1405"/>
      <c r="AR1072" s="1405"/>
      <c r="AS1072" s="1405"/>
      <c r="AT1072" s="1405"/>
      <c r="AU1072" s="1405"/>
      <c r="AV1072" s="1405"/>
    </row>
    <row r="1073" spans="1:48" s="1431" customFormat="1">
      <c r="A1073" s="1399"/>
      <c r="B1073" s="1429"/>
      <c r="C1073" s="1430"/>
      <c r="D1073" s="1400"/>
      <c r="E1073" s="1401"/>
      <c r="F1073" s="1401"/>
      <c r="G1073" s="1402"/>
      <c r="H1073" s="1403"/>
      <c r="I1073" s="1404"/>
      <c r="J1073" s="1405"/>
      <c r="K1073" s="1405"/>
      <c r="L1073" s="1405"/>
      <c r="M1073" s="1405"/>
      <c r="N1073" s="1406"/>
      <c r="O1073" s="1406"/>
      <c r="P1073" s="1406"/>
      <c r="Q1073" s="1406"/>
      <c r="R1073" s="1406"/>
      <c r="S1073" s="1406"/>
      <c r="T1073" s="1406"/>
      <c r="U1073" s="1406"/>
      <c r="V1073" s="1406"/>
      <c r="W1073" s="1406"/>
      <c r="X1073" s="1406"/>
      <c r="Y1073" s="1406"/>
      <c r="Z1073" s="1406"/>
      <c r="AA1073" s="1406"/>
      <c r="AB1073" s="1406"/>
      <c r="AC1073" s="1406"/>
      <c r="AD1073" s="1406"/>
      <c r="AE1073" s="1406"/>
      <c r="AF1073" s="1406"/>
      <c r="AG1073" s="1406"/>
      <c r="AH1073" s="1406"/>
      <c r="AI1073" s="1406"/>
      <c r="AJ1073" s="1406"/>
      <c r="AK1073" s="1406"/>
      <c r="AL1073" s="1406"/>
      <c r="AM1073" s="1406"/>
      <c r="AN1073" s="1406"/>
      <c r="AO1073" s="1405"/>
      <c r="AP1073" s="1405"/>
      <c r="AQ1073" s="1405"/>
      <c r="AR1073" s="1405"/>
      <c r="AS1073" s="1405"/>
      <c r="AT1073" s="1405"/>
      <c r="AU1073" s="1405"/>
      <c r="AV1073" s="1405"/>
    </row>
    <row r="1074" spans="1:48" s="1431" customFormat="1">
      <c r="A1074" s="1399"/>
      <c r="B1074" s="1429"/>
      <c r="C1074" s="1430"/>
      <c r="D1074" s="1400"/>
      <c r="E1074" s="1401"/>
      <c r="F1074" s="1401"/>
      <c r="G1074" s="1402"/>
      <c r="H1074" s="1403"/>
      <c r="I1074" s="1404"/>
      <c r="J1074" s="1405"/>
      <c r="K1074" s="1405"/>
      <c r="L1074" s="1405"/>
      <c r="M1074" s="1405"/>
      <c r="N1074" s="1406"/>
      <c r="O1074" s="1406"/>
      <c r="P1074" s="1406"/>
      <c r="Q1074" s="1406"/>
      <c r="R1074" s="1406"/>
      <c r="S1074" s="1406"/>
      <c r="T1074" s="1406"/>
      <c r="U1074" s="1406"/>
      <c r="V1074" s="1406"/>
      <c r="W1074" s="1406"/>
      <c r="X1074" s="1406"/>
      <c r="Y1074" s="1406"/>
      <c r="Z1074" s="1406"/>
      <c r="AA1074" s="1406"/>
      <c r="AB1074" s="1406"/>
      <c r="AC1074" s="1406"/>
      <c r="AD1074" s="1406"/>
      <c r="AE1074" s="1406"/>
      <c r="AF1074" s="1406"/>
      <c r="AG1074" s="1406"/>
      <c r="AH1074" s="1406"/>
      <c r="AI1074" s="1406"/>
      <c r="AJ1074" s="1406"/>
      <c r="AK1074" s="1406"/>
      <c r="AL1074" s="1406"/>
      <c r="AM1074" s="1406"/>
      <c r="AN1074" s="1406"/>
      <c r="AO1074" s="1405"/>
      <c r="AP1074" s="1405"/>
      <c r="AQ1074" s="1405"/>
      <c r="AR1074" s="1405"/>
      <c r="AS1074" s="1405"/>
      <c r="AT1074" s="1405"/>
      <c r="AU1074" s="1405"/>
      <c r="AV1074" s="1405"/>
    </row>
    <row r="1075" spans="1:48" s="1431" customFormat="1">
      <c r="A1075" s="1399"/>
      <c r="B1075" s="1429"/>
      <c r="C1075" s="1430"/>
      <c r="D1075" s="1400"/>
      <c r="E1075" s="1401"/>
      <c r="F1075" s="1401"/>
      <c r="G1075" s="1402"/>
      <c r="H1075" s="1403"/>
      <c r="I1075" s="1404"/>
      <c r="J1075" s="1405"/>
      <c r="K1075" s="1405"/>
      <c r="L1075" s="1405"/>
      <c r="M1075" s="1405"/>
      <c r="N1075" s="1406"/>
      <c r="O1075" s="1406"/>
      <c r="P1075" s="1406"/>
      <c r="Q1075" s="1406"/>
      <c r="R1075" s="1406"/>
      <c r="S1075" s="1406"/>
      <c r="T1075" s="1406"/>
      <c r="U1075" s="1406"/>
      <c r="V1075" s="1406"/>
      <c r="W1075" s="1406"/>
      <c r="X1075" s="1406"/>
      <c r="Y1075" s="1406"/>
      <c r="Z1075" s="1406"/>
      <c r="AA1075" s="1406"/>
      <c r="AB1075" s="1406"/>
      <c r="AC1075" s="1406"/>
      <c r="AD1075" s="1406"/>
      <c r="AE1075" s="1406"/>
      <c r="AF1075" s="1406"/>
      <c r="AG1075" s="1406"/>
      <c r="AH1075" s="1406"/>
      <c r="AI1075" s="1406"/>
      <c r="AJ1075" s="1406"/>
      <c r="AK1075" s="1406"/>
      <c r="AL1075" s="1406"/>
      <c r="AM1075" s="1406"/>
      <c r="AN1075" s="1406"/>
      <c r="AO1075" s="1405"/>
      <c r="AP1075" s="1405"/>
      <c r="AQ1075" s="1405"/>
      <c r="AR1075" s="1405"/>
      <c r="AS1075" s="1405"/>
      <c r="AT1075" s="1405"/>
      <c r="AU1075" s="1405"/>
      <c r="AV1075" s="1405"/>
    </row>
    <row r="1076" spans="1:48" s="1431" customFormat="1">
      <c r="A1076" s="1399"/>
      <c r="B1076" s="1429"/>
      <c r="C1076" s="1430"/>
      <c r="D1076" s="1400"/>
      <c r="E1076" s="1401"/>
      <c r="F1076" s="1401"/>
      <c r="G1076" s="1402"/>
      <c r="H1076" s="1403"/>
      <c r="I1076" s="1404"/>
      <c r="J1076" s="1405"/>
      <c r="K1076" s="1405"/>
      <c r="L1076" s="1405"/>
      <c r="M1076" s="1405"/>
      <c r="N1076" s="1406"/>
      <c r="O1076" s="1406"/>
      <c r="P1076" s="1406"/>
      <c r="Q1076" s="1406"/>
      <c r="R1076" s="1406"/>
      <c r="S1076" s="1406"/>
      <c r="T1076" s="1406"/>
      <c r="U1076" s="1406"/>
      <c r="V1076" s="1406"/>
      <c r="W1076" s="1406"/>
      <c r="X1076" s="1406"/>
      <c r="Y1076" s="1406"/>
      <c r="Z1076" s="1406"/>
      <c r="AA1076" s="1406"/>
      <c r="AB1076" s="1406"/>
      <c r="AC1076" s="1406"/>
      <c r="AD1076" s="1406"/>
      <c r="AE1076" s="1406"/>
      <c r="AF1076" s="1406"/>
      <c r="AG1076" s="1406"/>
      <c r="AH1076" s="1406"/>
      <c r="AI1076" s="1406"/>
      <c r="AJ1076" s="1406"/>
      <c r="AK1076" s="1406"/>
      <c r="AL1076" s="1406"/>
      <c r="AM1076" s="1406"/>
      <c r="AN1076" s="1406"/>
      <c r="AO1076" s="1405"/>
      <c r="AP1076" s="1405"/>
      <c r="AQ1076" s="1405"/>
      <c r="AR1076" s="1405"/>
      <c r="AS1076" s="1405"/>
      <c r="AT1076" s="1405"/>
      <c r="AU1076" s="1405"/>
      <c r="AV1076" s="1405"/>
    </row>
    <row r="1077" spans="1:48" s="1431" customFormat="1">
      <c r="A1077" s="1399"/>
      <c r="B1077" s="1429"/>
      <c r="C1077" s="1430"/>
      <c r="D1077" s="1400"/>
      <c r="E1077" s="1401"/>
      <c r="F1077" s="1401"/>
      <c r="G1077" s="1402"/>
      <c r="H1077" s="1403"/>
      <c r="I1077" s="1404"/>
      <c r="J1077" s="1405"/>
      <c r="K1077" s="1405"/>
      <c r="L1077" s="1405"/>
      <c r="M1077" s="1405"/>
      <c r="N1077" s="1406"/>
      <c r="O1077" s="1406"/>
      <c r="P1077" s="1406"/>
      <c r="Q1077" s="1406"/>
      <c r="R1077" s="1406"/>
      <c r="S1077" s="1406"/>
      <c r="T1077" s="1406"/>
      <c r="U1077" s="1406"/>
      <c r="V1077" s="1406"/>
      <c r="W1077" s="1406"/>
      <c r="X1077" s="1406"/>
      <c r="Y1077" s="1406"/>
      <c r="Z1077" s="1406"/>
      <c r="AA1077" s="1406"/>
      <c r="AB1077" s="1406"/>
      <c r="AC1077" s="1406"/>
      <c r="AD1077" s="1406"/>
      <c r="AE1077" s="1406"/>
      <c r="AF1077" s="1406"/>
      <c r="AG1077" s="1406"/>
      <c r="AH1077" s="1406"/>
      <c r="AI1077" s="1406"/>
      <c r="AJ1077" s="1406"/>
      <c r="AK1077" s="1406"/>
      <c r="AL1077" s="1406"/>
      <c r="AM1077" s="1406"/>
      <c r="AN1077" s="1406"/>
      <c r="AO1077" s="1405"/>
      <c r="AP1077" s="1405"/>
      <c r="AQ1077" s="1405"/>
      <c r="AR1077" s="1405"/>
      <c r="AS1077" s="1405"/>
      <c r="AT1077" s="1405"/>
      <c r="AU1077" s="1405"/>
      <c r="AV1077" s="1405"/>
    </row>
    <row r="1078" spans="1:48" s="1431" customFormat="1">
      <c r="A1078" s="1399"/>
      <c r="B1078" s="1429"/>
      <c r="C1078" s="1430"/>
      <c r="D1078" s="1400"/>
      <c r="E1078" s="1401"/>
      <c r="F1078" s="1401"/>
      <c r="G1078" s="1402"/>
      <c r="H1078" s="1403"/>
      <c r="I1078" s="1404"/>
      <c r="J1078" s="1405"/>
      <c r="K1078" s="1405"/>
      <c r="L1078" s="1405"/>
      <c r="M1078" s="1405"/>
      <c r="N1078" s="1406"/>
      <c r="O1078" s="1406"/>
      <c r="P1078" s="1406"/>
      <c r="Q1078" s="1406"/>
      <c r="R1078" s="1406"/>
      <c r="S1078" s="1406"/>
      <c r="T1078" s="1406"/>
      <c r="U1078" s="1406"/>
      <c r="V1078" s="1406"/>
      <c r="W1078" s="1406"/>
      <c r="X1078" s="1406"/>
      <c r="Y1078" s="1406"/>
      <c r="Z1078" s="1406"/>
      <c r="AA1078" s="1406"/>
      <c r="AB1078" s="1406"/>
      <c r="AC1078" s="1406"/>
      <c r="AD1078" s="1406"/>
      <c r="AE1078" s="1406"/>
      <c r="AF1078" s="1406"/>
      <c r="AG1078" s="1406"/>
      <c r="AH1078" s="1406"/>
      <c r="AI1078" s="1406"/>
      <c r="AJ1078" s="1406"/>
      <c r="AK1078" s="1406"/>
      <c r="AL1078" s="1406"/>
      <c r="AM1078" s="1406"/>
      <c r="AN1078" s="1406"/>
      <c r="AO1078" s="1405"/>
      <c r="AP1078" s="1405"/>
      <c r="AQ1078" s="1405"/>
      <c r="AR1078" s="1405"/>
      <c r="AS1078" s="1405"/>
      <c r="AT1078" s="1405"/>
      <c r="AU1078" s="1405"/>
      <c r="AV1078" s="1405"/>
    </row>
    <row r="1079" spans="1:48" s="1431" customFormat="1">
      <c r="A1079" s="1399"/>
      <c r="B1079" s="1429"/>
      <c r="C1079" s="1430"/>
      <c r="D1079" s="1400"/>
      <c r="E1079" s="1401"/>
      <c r="F1079" s="1401"/>
      <c r="G1079" s="1402"/>
      <c r="H1079" s="1403"/>
      <c r="I1079" s="1404"/>
      <c r="J1079" s="1405"/>
      <c r="K1079" s="1405"/>
      <c r="L1079" s="1405"/>
      <c r="M1079" s="1405"/>
      <c r="N1079" s="1406"/>
      <c r="O1079" s="1406"/>
      <c r="P1079" s="1406"/>
      <c r="Q1079" s="1406"/>
      <c r="R1079" s="1406"/>
      <c r="S1079" s="1406"/>
      <c r="T1079" s="1406"/>
      <c r="U1079" s="1406"/>
      <c r="V1079" s="1406"/>
      <c r="W1079" s="1406"/>
      <c r="X1079" s="1406"/>
      <c r="Y1079" s="1406"/>
      <c r="Z1079" s="1406"/>
      <c r="AA1079" s="1406"/>
      <c r="AB1079" s="1406"/>
      <c r="AC1079" s="1406"/>
      <c r="AD1079" s="1406"/>
      <c r="AE1079" s="1406"/>
      <c r="AF1079" s="1406"/>
      <c r="AG1079" s="1406"/>
      <c r="AH1079" s="1406"/>
      <c r="AI1079" s="1406"/>
      <c r="AJ1079" s="1406"/>
      <c r="AK1079" s="1406"/>
      <c r="AL1079" s="1406"/>
      <c r="AM1079" s="1406"/>
      <c r="AN1079" s="1406"/>
      <c r="AO1079" s="1405"/>
      <c r="AP1079" s="1405"/>
      <c r="AQ1079" s="1405"/>
      <c r="AR1079" s="1405"/>
      <c r="AS1079" s="1405"/>
      <c r="AT1079" s="1405"/>
      <c r="AU1079" s="1405"/>
      <c r="AV1079" s="1405"/>
    </row>
    <row r="1080" spans="1:48" s="1431" customFormat="1">
      <c r="A1080" s="1399"/>
      <c r="B1080" s="1429"/>
      <c r="C1080" s="1430"/>
      <c r="D1080" s="1400"/>
      <c r="E1080" s="1401"/>
      <c r="F1080" s="1401"/>
      <c r="G1080" s="1402"/>
      <c r="H1080" s="1403"/>
      <c r="I1080" s="1404"/>
      <c r="J1080" s="1405"/>
      <c r="K1080" s="1405"/>
      <c r="L1080" s="1405"/>
      <c r="M1080" s="1405"/>
      <c r="N1080" s="1406"/>
      <c r="O1080" s="1406"/>
      <c r="P1080" s="1406"/>
      <c r="Q1080" s="1406"/>
      <c r="R1080" s="1406"/>
      <c r="S1080" s="1406"/>
      <c r="T1080" s="1406"/>
      <c r="U1080" s="1406"/>
      <c r="V1080" s="1406"/>
      <c r="W1080" s="1406"/>
      <c r="X1080" s="1406"/>
      <c r="Y1080" s="1406"/>
      <c r="Z1080" s="1406"/>
      <c r="AA1080" s="1406"/>
      <c r="AB1080" s="1406"/>
      <c r="AC1080" s="1406"/>
      <c r="AD1080" s="1406"/>
      <c r="AE1080" s="1406"/>
      <c r="AF1080" s="1406"/>
      <c r="AG1080" s="1406"/>
      <c r="AH1080" s="1406"/>
      <c r="AI1080" s="1406"/>
      <c r="AJ1080" s="1406"/>
      <c r="AK1080" s="1406"/>
      <c r="AL1080" s="1406"/>
      <c r="AM1080" s="1406"/>
      <c r="AN1080" s="1406"/>
      <c r="AO1080" s="1405"/>
      <c r="AP1080" s="1405"/>
      <c r="AQ1080" s="1405"/>
      <c r="AR1080" s="1405"/>
      <c r="AS1080" s="1405"/>
      <c r="AT1080" s="1405"/>
      <c r="AU1080" s="1405"/>
      <c r="AV1080" s="1405"/>
    </row>
    <row r="1081" spans="1:48" s="1431" customFormat="1">
      <c r="A1081" s="1399"/>
      <c r="B1081" s="1429"/>
      <c r="C1081" s="1430"/>
      <c r="D1081" s="1400"/>
      <c r="E1081" s="1401"/>
      <c r="F1081" s="1401"/>
      <c r="G1081" s="1402"/>
      <c r="H1081" s="1403"/>
      <c r="I1081" s="1404"/>
      <c r="J1081" s="1405"/>
      <c r="K1081" s="1405"/>
      <c r="L1081" s="1405"/>
      <c r="M1081" s="1405"/>
      <c r="N1081" s="1406"/>
      <c r="O1081" s="1406"/>
      <c r="P1081" s="1406"/>
      <c r="Q1081" s="1406"/>
      <c r="R1081" s="1406"/>
      <c r="S1081" s="1406"/>
      <c r="T1081" s="1406"/>
      <c r="U1081" s="1406"/>
      <c r="V1081" s="1406"/>
      <c r="W1081" s="1406"/>
      <c r="X1081" s="1406"/>
      <c r="Y1081" s="1406"/>
      <c r="Z1081" s="1406"/>
      <c r="AA1081" s="1406"/>
      <c r="AB1081" s="1406"/>
      <c r="AC1081" s="1406"/>
      <c r="AD1081" s="1406"/>
      <c r="AE1081" s="1406"/>
      <c r="AF1081" s="1406"/>
      <c r="AG1081" s="1406"/>
      <c r="AH1081" s="1406"/>
      <c r="AI1081" s="1406"/>
      <c r="AJ1081" s="1406"/>
      <c r="AK1081" s="1406"/>
      <c r="AL1081" s="1406"/>
      <c r="AM1081" s="1406"/>
      <c r="AN1081" s="1406"/>
      <c r="AO1081" s="1405"/>
      <c r="AP1081" s="1405"/>
      <c r="AQ1081" s="1405"/>
      <c r="AR1081" s="1405"/>
      <c r="AS1081" s="1405"/>
      <c r="AT1081" s="1405"/>
      <c r="AU1081" s="1405"/>
      <c r="AV1081" s="1405"/>
    </row>
    <row r="1082" spans="1:48" s="1431" customFormat="1">
      <c r="A1082" s="1399"/>
      <c r="B1082" s="1429"/>
      <c r="C1082" s="1430"/>
      <c r="D1082" s="1400"/>
      <c r="E1082" s="1401"/>
      <c r="F1082" s="1401"/>
      <c r="G1082" s="1402"/>
      <c r="H1082" s="1403"/>
      <c r="I1082" s="1404"/>
      <c r="J1082" s="1405"/>
      <c r="K1082" s="1405"/>
      <c r="L1082" s="1405"/>
      <c r="M1082" s="1405"/>
      <c r="N1082" s="1406"/>
      <c r="O1082" s="1406"/>
      <c r="P1082" s="1406"/>
      <c r="Q1082" s="1406"/>
      <c r="R1082" s="1406"/>
      <c r="S1082" s="1406"/>
      <c r="T1082" s="1406"/>
      <c r="U1082" s="1406"/>
      <c r="V1082" s="1406"/>
      <c r="W1082" s="1406"/>
      <c r="X1082" s="1406"/>
      <c r="Y1082" s="1406"/>
      <c r="Z1082" s="1406"/>
      <c r="AA1082" s="1406"/>
      <c r="AB1082" s="1406"/>
      <c r="AC1082" s="1406"/>
      <c r="AD1082" s="1406"/>
      <c r="AE1082" s="1406"/>
      <c r="AF1082" s="1406"/>
      <c r="AG1082" s="1406"/>
      <c r="AH1082" s="1406"/>
      <c r="AI1082" s="1406"/>
      <c r="AJ1082" s="1406"/>
      <c r="AK1082" s="1406"/>
      <c r="AL1082" s="1406"/>
      <c r="AM1082" s="1406"/>
      <c r="AN1082" s="1406"/>
      <c r="AO1082" s="1405"/>
      <c r="AP1082" s="1405"/>
      <c r="AQ1082" s="1405"/>
      <c r="AR1082" s="1405"/>
      <c r="AS1082" s="1405"/>
      <c r="AT1082" s="1405"/>
      <c r="AU1082" s="1405"/>
      <c r="AV1082" s="1405"/>
    </row>
    <row r="1083" spans="1:48" s="1431" customFormat="1">
      <c r="A1083" s="1399"/>
      <c r="B1083" s="1429"/>
      <c r="C1083" s="1430"/>
      <c r="D1083" s="1400"/>
      <c r="E1083" s="1401"/>
      <c r="F1083" s="1401"/>
      <c r="G1083" s="1402"/>
      <c r="H1083" s="1403"/>
      <c r="I1083" s="1404"/>
      <c r="J1083" s="1405"/>
      <c r="K1083" s="1405"/>
      <c r="L1083" s="1405"/>
      <c r="M1083" s="1405"/>
      <c r="N1083" s="1406"/>
      <c r="O1083" s="1406"/>
      <c r="P1083" s="1406"/>
      <c r="Q1083" s="1406"/>
      <c r="R1083" s="1406"/>
      <c r="S1083" s="1406"/>
      <c r="T1083" s="1406"/>
      <c r="U1083" s="1406"/>
      <c r="V1083" s="1406"/>
      <c r="W1083" s="1406"/>
      <c r="X1083" s="1406"/>
      <c r="Y1083" s="1406"/>
      <c r="Z1083" s="1406"/>
      <c r="AA1083" s="1406"/>
      <c r="AB1083" s="1406"/>
      <c r="AC1083" s="1406"/>
      <c r="AD1083" s="1406"/>
      <c r="AE1083" s="1406"/>
      <c r="AF1083" s="1406"/>
      <c r="AG1083" s="1406"/>
      <c r="AH1083" s="1406"/>
      <c r="AI1083" s="1406"/>
      <c r="AJ1083" s="1406"/>
      <c r="AK1083" s="1406"/>
      <c r="AL1083" s="1406"/>
      <c r="AM1083" s="1406"/>
      <c r="AN1083" s="1406"/>
      <c r="AO1083" s="1405"/>
      <c r="AP1083" s="1405"/>
      <c r="AQ1083" s="1405"/>
      <c r="AR1083" s="1405"/>
      <c r="AS1083" s="1405"/>
      <c r="AT1083" s="1405"/>
      <c r="AU1083" s="1405"/>
      <c r="AV1083" s="1405"/>
    </row>
    <row r="1084" spans="1:48" s="1431" customFormat="1">
      <c r="A1084" s="1399"/>
      <c r="B1084" s="1429"/>
      <c r="C1084" s="1430"/>
      <c r="D1084" s="1400"/>
      <c r="E1084" s="1401"/>
      <c r="F1084" s="1401"/>
      <c r="G1084" s="1402"/>
      <c r="H1084" s="1403"/>
      <c r="I1084" s="1404"/>
      <c r="J1084" s="1405"/>
      <c r="K1084" s="1405"/>
      <c r="L1084" s="1405"/>
      <c r="M1084" s="1405"/>
      <c r="N1084" s="1406"/>
      <c r="O1084" s="1406"/>
      <c r="P1084" s="1406"/>
      <c r="Q1084" s="1406"/>
      <c r="R1084" s="1406"/>
      <c r="S1084" s="1406"/>
      <c r="T1084" s="1406"/>
      <c r="U1084" s="1406"/>
      <c r="V1084" s="1406"/>
      <c r="W1084" s="1406"/>
      <c r="X1084" s="1406"/>
      <c r="Y1084" s="1406"/>
      <c r="Z1084" s="1406"/>
      <c r="AA1084" s="1406"/>
      <c r="AB1084" s="1406"/>
      <c r="AC1084" s="1406"/>
      <c r="AD1084" s="1406"/>
      <c r="AE1084" s="1406"/>
      <c r="AF1084" s="1406"/>
      <c r="AG1084" s="1406"/>
      <c r="AH1084" s="1406"/>
      <c r="AI1084" s="1406"/>
      <c r="AJ1084" s="1406"/>
      <c r="AK1084" s="1406"/>
      <c r="AL1084" s="1406"/>
      <c r="AM1084" s="1406"/>
      <c r="AN1084" s="1406"/>
      <c r="AO1084" s="1405"/>
      <c r="AP1084" s="1405"/>
      <c r="AQ1084" s="1405"/>
      <c r="AR1084" s="1405"/>
      <c r="AS1084" s="1405"/>
      <c r="AT1084" s="1405"/>
      <c r="AU1084" s="1405"/>
      <c r="AV1084" s="1405"/>
    </row>
    <row r="1085" spans="1:48" s="1431" customFormat="1">
      <c r="A1085" s="1399"/>
      <c r="B1085" s="1429"/>
      <c r="C1085" s="1430"/>
      <c r="D1085" s="1400"/>
      <c r="E1085" s="1401"/>
      <c r="F1085" s="1401"/>
      <c r="G1085" s="1402"/>
      <c r="H1085" s="1403"/>
      <c r="I1085" s="1404"/>
      <c r="J1085" s="1405"/>
      <c r="K1085" s="1405"/>
      <c r="L1085" s="1405"/>
      <c r="M1085" s="1405"/>
      <c r="N1085" s="1406"/>
      <c r="O1085" s="1406"/>
      <c r="P1085" s="1406"/>
      <c r="Q1085" s="1406"/>
      <c r="R1085" s="1406"/>
      <c r="S1085" s="1406"/>
      <c r="T1085" s="1406"/>
      <c r="U1085" s="1406"/>
      <c r="V1085" s="1406"/>
      <c r="W1085" s="1406"/>
      <c r="X1085" s="1406"/>
      <c r="Y1085" s="1406"/>
      <c r="Z1085" s="1406"/>
      <c r="AA1085" s="1406"/>
      <c r="AB1085" s="1406"/>
      <c r="AC1085" s="1406"/>
      <c r="AD1085" s="1406"/>
      <c r="AE1085" s="1406"/>
      <c r="AF1085" s="1406"/>
      <c r="AG1085" s="1406"/>
      <c r="AH1085" s="1406"/>
      <c r="AI1085" s="1406"/>
      <c r="AJ1085" s="1406"/>
      <c r="AK1085" s="1406"/>
      <c r="AL1085" s="1406"/>
      <c r="AM1085" s="1406"/>
      <c r="AN1085" s="1406"/>
      <c r="AO1085" s="1405"/>
      <c r="AP1085" s="1405"/>
      <c r="AQ1085" s="1405"/>
      <c r="AR1085" s="1405"/>
      <c r="AS1085" s="1405"/>
      <c r="AT1085" s="1405"/>
      <c r="AU1085" s="1405"/>
      <c r="AV1085" s="1405"/>
    </row>
    <row r="1086" spans="1:48" s="1431" customFormat="1">
      <c r="A1086" s="1399"/>
      <c r="B1086" s="1429"/>
      <c r="C1086" s="1430"/>
      <c r="D1086" s="1400"/>
      <c r="E1086" s="1401"/>
      <c r="F1086" s="1401"/>
      <c r="G1086" s="1402"/>
      <c r="H1086" s="1403"/>
      <c r="I1086" s="1404"/>
      <c r="J1086" s="1405"/>
      <c r="K1086" s="1405"/>
      <c r="L1086" s="1405"/>
      <c r="M1086" s="1405"/>
      <c r="N1086" s="1406"/>
      <c r="O1086" s="1406"/>
      <c r="P1086" s="1406"/>
      <c r="Q1086" s="1406"/>
      <c r="R1086" s="1406"/>
      <c r="S1086" s="1406"/>
      <c r="T1086" s="1406"/>
      <c r="U1086" s="1406"/>
      <c r="V1086" s="1406"/>
      <c r="W1086" s="1406"/>
      <c r="X1086" s="1406"/>
      <c r="Y1086" s="1406"/>
      <c r="Z1086" s="1406"/>
      <c r="AA1086" s="1406"/>
      <c r="AB1086" s="1406"/>
      <c r="AC1086" s="1406"/>
      <c r="AD1086" s="1406"/>
      <c r="AE1086" s="1406"/>
      <c r="AF1086" s="1406"/>
      <c r="AG1086" s="1406"/>
      <c r="AH1086" s="1406"/>
      <c r="AI1086" s="1406"/>
      <c r="AJ1086" s="1406"/>
      <c r="AK1086" s="1406"/>
      <c r="AL1086" s="1406"/>
      <c r="AM1086" s="1406"/>
      <c r="AN1086" s="1406"/>
      <c r="AO1086" s="1405"/>
      <c r="AP1086" s="1405"/>
      <c r="AQ1086" s="1405"/>
      <c r="AR1086" s="1405"/>
      <c r="AS1086" s="1405"/>
      <c r="AT1086" s="1405"/>
      <c r="AU1086" s="1405"/>
      <c r="AV1086" s="1405"/>
    </row>
    <row r="1087" spans="1:48" s="1431" customFormat="1">
      <c r="A1087" s="1399"/>
      <c r="B1087" s="1429"/>
      <c r="C1087" s="1430"/>
      <c r="D1087" s="1400"/>
      <c r="E1087" s="1401"/>
      <c r="F1087" s="1401"/>
      <c r="G1087" s="1402"/>
      <c r="H1087" s="1403"/>
      <c r="I1087" s="1404"/>
      <c r="J1087" s="1405"/>
      <c r="K1087" s="1405"/>
      <c r="L1087" s="1405"/>
      <c r="M1087" s="1405"/>
      <c r="N1087" s="1406"/>
      <c r="O1087" s="1406"/>
      <c r="P1087" s="1406"/>
      <c r="Q1087" s="1406"/>
      <c r="R1087" s="1406"/>
      <c r="S1087" s="1406"/>
      <c r="T1087" s="1406"/>
      <c r="U1087" s="1406"/>
      <c r="V1087" s="1406"/>
      <c r="W1087" s="1406"/>
      <c r="X1087" s="1406"/>
      <c r="Y1087" s="1406"/>
      <c r="Z1087" s="1406"/>
      <c r="AA1087" s="1406"/>
      <c r="AB1087" s="1406"/>
      <c r="AC1087" s="1406"/>
      <c r="AD1087" s="1406"/>
      <c r="AE1087" s="1406"/>
      <c r="AF1087" s="1406"/>
      <c r="AG1087" s="1406"/>
      <c r="AH1087" s="1406"/>
      <c r="AI1087" s="1406"/>
      <c r="AJ1087" s="1406"/>
      <c r="AK1087" s="1406"/>
      <c r="AL1087" s="1406"/>
      <c r="AM1087" s="1406"/>
      <c r="AN1087" s="1406"/>
      <c r="AO1087" s="1405"/>
      <c r="AP1087" s="1405"/>
      <c r="AQ1087" s="1405"/>
      <c r="AR1087" s="1405"/>
      <c r="AS1087" s="1405"/>
      <c r="AT1087" s="1405"/>
      <c r="AU1087" s="1405"/>
      <c r="AV1087" s="1405"/>
    </row>
    <row r="1088" spans="1:48" s="1431" customFormat="1">
      <c r="A1088" s="1399"/>
      <c r="B1088" s="1429"/>
      <c r="C1088" s="1430"/>
      <c r="D1088" s="1400"/>
      <c r="E1088" s="1401"/>
      <c r="F1088" s="1401"/>
      <c r="G1088" s="1402"/>
      <c r="H1088" s="1403"/>
      <c r="I1088" s="1404"/>
      <c r="J1088" s="1405"/>
      <c r="K1088" s="1405"/>
      <c r="L1088" s="1405"/>
      <c r="M1088" s="1405"/>
      <c r="N1088" s="1406"/>
      <c r="O1088" s="1406"/>
      <c r="P1088" s="1406"/>
      <c r="Q1088" s="1406"/>
      <c r="R1088" s="1406"/>
      <c r="S1088" s="1406"/>
      <c r="T1088" s="1406"/>
      <c r="U1088" s="1406"/>
      <c r="V1088" s="1406"/>
      <c r="W1088" s="1406"/>
      <c r="X1088" s="1406"/>
      <c r="Y1088" s="1406"/>
      <c r="Z1088" s="1406"/>
      <c r="AA1088" s="1406"/>
      <c r="AB1088" s="1406"/>
      <c r="AC1088" s="1406"/>
      <c r="AD1088" s="1406"/>
      <c r="AE1088" s="1406"/>
      <c r="AF1088" s="1406"/>
      <c r="AG1088" s="1406"/>
      <c r="AH1088" s="1406"/>
      <c r="AI1088" s="1406"/>
      <c r="AJ1088" s="1406"/>
      <c r="AK1088" s="1406"/>
      <c r="AL1088" s="1406"/>
      <c r="AM1088" s="1406"/>
      <c r="AN1088" s="1406"/>
      <c r="AO1088" s="1405"/>
      <c r="AP1088" s="1405"/>
      <c r="AQ1088" s="1405"/>
      <c r="AR1088" s="1405"/>
      <c r="AS1088" s="1405"/>
      <c r="AT1088" s="1405"/>
      <c r="AU1088" s="1405"/>
      <c r="AV1088" s="1405"/>
    </row>
    <row r="1089" spans="1:48" s="1431" customFormat="1">
      <c r="A1089" s="1399"/>
      <c r="B1089" s="1429"/>
      <c r="C1089" s="1430"/>
      <c r="D1089" s="1400"/>
      <c r="E1089" s="1401"/>
      <c r="F1089" s="1401"/>
      <c r="G1089" s="1402"/>
      <c r="H1089" s="1403"/>
      <c r="I1089" s="1404"/>
      <c r="J1089" s="1405"/>
      <c r="K1089" s="1405"/>
      <c r="L1089" s="1405"/>
      <c r="M1089" s="1405"/>
      <c r="N1089" s="1406"/>
      <c r="O1089" s="1406"/>
      <c r="P1089" s="1406"/>
      <c r="Q1089" s="1406"/>
      <c r="R1089" s="1406"/>
      <c r="S1089" s="1406"/>
      <c r="T1089" s="1406"/>
      <c r="U1089" s="1406"/>
      <c r="V1089" s="1406"/>
      <c r="W1089" s="1406"/>
      <c r="X1089" s="1406"/>
      <c r="Y1089" s="1406"/>
      <c r="Z1089" s="1406"/>
      <c r="AA1089" s="1406"/>
      <c r="AB1089" s="1406"/>
      <c r="AC1089" s="1406"/>
      <c r="AD1089" s="1406"/>
      <c r="AE1089" s="1406"/>
      <c r="AF1089" s="1406"/>
      <c r="AG1089" s="1406"/>
      <c r="AH1089" s="1406"/>
      <c r="AI1089" s="1406"/>
      <c r="AJ1089" s="1406"/>
      <c r="AK1089" s="1406"/>
      <c r="AL1089" s="1406"/>
      <c r="AM1089" s="1406"/>
      <c r="AN1089" s="1406"/>
      <c r="AO1089" s="1405"/>
      <c r="AP1089" s="1405"/>
      <c r="AQ1089" s="1405"/>
      <c r="AR1089" s="1405"/>
      <c r="AS1089" s="1405"/>
      <c r="AT1089" s="1405"/>
      <c r="AU1089" s="1405"/>
      <c r="AV1089" s="1405"/>
    </row>
    <row r="1090" spans="1:48" s="1431" customFormat="1">
      <c r="A1090" s="1399"/>
      <c r="B1090" s="1429"/>
      <c r="C1090" s="1430"/>
      <c r="D1090" s="1400"/>
      <c r="E1090" s="1401"/>
      <c r="F1090" s="1401"/>
      <c r="G1090" s="1402"/>
      <c r="H1090" s="1403"/>
      <c r="I1090" s="1404"/>
      <c r="J1090" s="1405"/>
      <c r="K1090" s="1405"/>
      <c r="L1090" s="1405"/>
      <c r="M1090" s="1405"/>
      <c r="N1090" s="1406"/>
      <c r="O1090" s="1406"/>
      <c r="P1090" s="1406"/>
      <c r="Q1090" s="1406"/>
      <c r="R1090" s="1406"/>
      <c r="S1090" s="1406"/>
      <c r="T1090" s="1406"/>
      <c r="U1090" s="1406"/>
      <c r="V1090" s="1406"/>
      <c r="W1090" s="1406"/>
      <c r="X1090" s="1406"/>
      <c r="Y1090" s="1406"/>
      <c r="Z1090" s="1406"/>
      <c r="AA1090" s="1406"/>
      <c r="AB1090" s="1406"/>
      <c r="AC1090" s="1406"/>
      <c r="AD1090" s="1406"/>
      <c r="AE1090" s="1406"/>
      <c r="AF1090" s="1406"/>
      <c r="AG1090" s="1406"/>
      <c r="AH1090" s="1406"/>
      <c r="AI1090" s="1406"/>
      <c r="AJ1090" s="1406"/>
      <c r="AK1090" s="1406"/>
      <c r="AL1090" s="1406"/>
      <c r="AM1090" s="1406"/>
      <c r="AN1090" s="1406"/>
      <c r="AO1090" s="1405"/>
      <c r="AP1090" s="1405"/>
      <c r="AQ1090" s="1405"/>
      <c r="AR1090" s="1405"/>
      <c r="AS1090" s="1405"/>
      <c r="AT1090" s="1405"/>
      <c r="AU1090" s="1405"/>
      <c r="AV1090" s="1405"/>
    </row>
    <row r="1091" spans="1:48" s="1431" customFormat="1">
      <c r="A1091" s="1399"/>
      <c r="B1091" s="1429"/>
      <c r="C1091" s="1430"/>
      <c r="D1091" s="1400"/>
      <c r="E1091" s="1401"/>
      <c r="F1091" s="1401"/>
      <c r="G1091" s="1402"/>
      <c r="H1091" s="1403"/>
      <c r="I1091" s="1404"/>
      <c r="J1091" s="1405"/>
      <c r="K1091" s="1405"/>
      <c r="L1091" s="1405"/>
      <c r="M1091" s="1405"/>
      <c r="N1091" s="1406"/>
      <c r="O1091" s="1406"/>
      <c r="P1091" s="1406"/>
      <c r="Q1091" s="1406"/>
      <c r="R1091" s="1406"/>
      <c r="S1091" s="1406"/>
      <c r="T1091" s="1406"/>
      <c r="U1091" s="1406"/>
      <c r="V1091" s="1406"/>
      <c r="W1091" s="1406"/>
      <c r="X1091" s="1406"/>
      <c r="Y1091" s="1406"/>
      <c r="Z1091" s="1406"/>
      <c r="AA1091" s="1406"/>
      <c r="AB1091" s="1406"/>
      <c r="AC1091" s="1406"/>
      <c r="AD1091" s="1406"/>
      <c r="AE1091" s="1406"/>
      <c r="AF1091" s="1406"/>
      <c r="AG1091" s="1406"/>
      <c r="AH1091" s="1406"/>
      <c r="AI1091" s="1406"/>
      <c r="AJ1091" s="1406"/>
      <c r="AK1091" s="1406"/>
      <c r="AL1091" s="1406"/>
      <c r="AM1091" s="1406"/>
      <c r="AN1091" s="1406"/>
      <c r="AO1091" s="1405"/>
      <c r="AP1091" s="1405"/>
      <c r="AQ1091" s="1405"/>
      <c r="AR1091" s="1405"/>
      <c r="AS1091" s="1405"/>
      <c r="AT1091" s="1405"/>
      <c r="AU1091" s="1405"/>
      <c r="AV1091" s="1405"/>
    </row>
    <row r="1092" spans="1:48" s="1431" customFormat="1">
      <c r="A1092" s="1399"/>
      <c r="B1092" s="1429"/>
      <c r="C1092" s="1430"/>
      <c r="D1092" s="1400"/>
      <c r="E1092" s="1401"/>
      <c r="F1092" s="1401"/>
      <c r="G1092" s="1402"/>
      <c r="H1092" s="1403"/>
      <c r="I1092" s="1404"/>
      <c r="J1092" s="1405"/>
      <c r="K1092" s="1405"/>
      <c r="L1092" s="1405"/>
      <c r="M1092" s="1405"/>
      <c r="N1092" s="1406"/>
      <c r="O1092" s="1406"/>
      <c r="P1092" s="1406"/>
      <c r="Q1092" s="1406"/>
      <c r="R1092" s="1406"/>
      <c r="S1092" s="1406"/>
      <c r="T1092" s="1406"/>
      <c r="U1092" s="1406"/>
      <c r="V1092" s="1406"/>
      <c r="W1092" s="1406"/>
      <c r="X1092" s="1406"/>
      <c r="Y1092" s="1406"/>
      <c r="Z1092" s="1406"/>
      <c r="AA1092" s="1406"/>
      <c r="AB1092" s="1406"/>
      <c r="AC1092" s="1406"/>
      <c r="AD1092" s="1406"/>
      <c r="AE1092" s="1406"/>
      <c r="AF1092" s="1406"/>
      <c r="AG1092" s="1406"/>
      <c r="AH1092" s="1406"/>
      <c r="AI1092" s="1406"/>
      <c r="AJ1092" s="1406"/>
      <c r="AK1092" s="1406"/>
      <c r="AL1092" s="1406"/>
      <c r="AM1092" s="1406"/>
      <c r="AN1092" s="1406"/>
      <c r="AO1092" s="1405"/>
      <c r="AP1092" s="1405"/>
      <c r="AQ1092" s="1405"/>
      <c r="AR1092" s="1405"/>
      <c r="AS1092" s="1405"/>
      <c r="AT1092" s="1405"/>
      <c r="AU1092" s="1405"/>
      <c r="AV1092" s="1405"/>
    </row>
    <row r="1093" spans="1:48" s="1431" customFormat="1">
      <c r="A1093" s="1399"/>
      <c r="B1093" s="1429"/>
      <c r="C1093" s="1430"/>
      <c r="D1093" s="1400"/>
      <c r="E1093" s="1401"/>
      <c r="F1093" s="1401"/>
      <c r="G1093" s="1402"/>
      <c r="H1093" s="1403"/>
      <c r="I1093" s="1404"/>
      <c r="J1093" s="1405"/>
      <c r="K1093" s="1405"/>
      <c r="L1093" s="1405"/>
      <c r="M1093" s="1405"/>
      <c r="N1093" s="1406"/>
      <c r="O1093" s="1406"/>
      <c r="P1093" s="1406"/>
      <c r="Q1093" s="1406"/>
      <c r="R1093" s="1406"/>
      <c r="S1093" s="1406"/>
      <c r="T1093" s="1406"/>
      <c r="U1093" s="1406"/>
      <c r="V1093" s="1406"/>
      <c r="W1093" s="1406"/>
      <c r="X1093" s="1406"/>
      <c r="Y1093" s="1406"/>
      <c r="Z1093" s="1406"/>
      <c r="AA1093" s="1406"/>
      <c r="AB1093" s="1406"/>
      <c r="AC1093" s="1406"/>
      <c r="AD1093" s="1406"/>
      <c r="AE1093" s="1406"/>
      <c r="AF1093" s="1406"/>
      <c r="AG1093" s="1406"/>
      <c r="AH1093" s="1406"/>
      <c r="AI1093" s="1406"/>
      <c r="AJ1093" s="1406"/>
      <c r="AK1093" s="1406"/>
      <c r="AL1093" s="1406"/>
      <c r="AM1093" s="1406"/>
      <c r="AN1093" s="1406"/>
      <c r="AO1093" s="1405"/>
      <c r="AP1093" s="1405"/>
      <c r="AQ1093" s="1405"/>
      <c r="AR1093" s="1405"/>
      <c r="AS1093" s="1405"/>
      <c r="AT1093" s="1405"/>
      <c r="AU1093" s="1405"/>
      <c r="AV1093" s="1405"/>
    </row>
    <row r="1094" spans="1:48" s="1431" customFormat="1">
      <c r="A1094" s="1399"/>
      <c r="B1094" s="1429"/>
      <c r="C1094" s="1430"/>
      <c r="D1094" s="1400"/>
      <c r="E1094" s="1401"/>
      <c r="F1094" s="1401"/>
      <c r="G1094" s="1402"/>
      <c r="H1094" s="1403"/>
      <c r="I1094" s="1404"/>
      <c r="J1094" s="1405"/>
      <c r="K1094" s="1405"/>
      <c r="L1094" s="1405"/>
      <c r="M1094" s="1405"/>
      <c r="N1094" s="1406"/>
      <c r="O1094" s="1406"/>
      <c r="P1094" s="1406"/>
      <c r="Q1094" s="1406"/>
      <c r="R1094" s="1406"/>
      <c r="S1094" s="1406"/>
      <c r="T1094" s="1406"/>
      <c r="U1094" s="1406"/>
      <c r="V1094" s="1406"/>
      <c r="W1094" s="1406"/>
      <c r="X1094" s="1406"/>
      <c r="Y1094" s="1406"/>
      <c r="Z1094" s="1406"/>
      <c r="AA1094" s="1406"/>
      <c r="AB1094" s="1406"/>
      <c r="AC1094" s="1406"/>
      <c r="AD1094" s="1406"/>
      <c r="AE1094" s="1406"/>
      <c r="AF1094" s="1406"/>
      <c r="AG1094" s="1406"/>
      <c r="AH1094" s="1406"/>
      <c r="AI1094" s="1406"/>
      <c r="AJ1094" s="1406"/>
      <c r="AK1094" s="1406"/>
      <c r="AL1094" s="1406"/>
      <c r="AM1094" s="1406"/>
      <c r="AN1094" s="1406"/>
      <c r="AO1094" s="1405"/>
      <c r="AP1094" s="1405"/>
      <c r="AQ1094" s="1405"/>
      <c r="AR1094" s="1405"/>
      <c r="AS1094" s="1405"/>
      <c r="AT1094" s="1405"/>
      <c r="AU1094" s="1405"/>
      <c r="AV1094" s="1405"/>
    </row>
    <row r="1095" spans="1:48" s="1431" customFormat="1">
      <c r="A1095" s="1399"/>
      <c r="B1095" s="1429"/>
      <c r="C1095" s="1430"/>
      <c r="D1095" s="1400"/>
      <c r="E1095" s="1401"/>
      <c r="F1095" s="1401"/>
      <c r="G1095" s="1402"/>
      <c r="H1095" s="1403"/>
      <c r="I1095" s="1404"/>
      <c r="J1095" s="1405"/>
      <c r="K1095" s="1405"/>
      <c r="L1095" s="1405"/>
      <c r="M1095" s="1405"/>
      <c r="N1095" s="1406"/>
      <c r="O1095" s="1406"/>
      <c r="P1095" s="1406"/>
      <c r="Q1095" s="1406"/>
      <c r="R1095" s="1406"/>
      <c r="S1095" s="1406"/>
      <c r="T1095" s="1406"/>
      <c r="U1095" s="1406"/>
      <c r="V1095" s="1406"/>
      <c r="W1095" s="1406"/>
      <c r="X1095" s="1406"/>
      <c r="Y1095" s="1406"/>
      <c r="Z1095" s="1406"/>
      <c r="AA1095" s="1406"/>
      <c r="AB1095" s="1406"/>
      <c r="AC1095" s="1406"/>
      <c r="AD1095" s="1406"/>
      <c r="AE1095" s="1406"/>
      <c r="AF1095" s="1406"/>
      <c r="AG1095" s="1406"/>
      <c r="AH1095" s="1406"/>
      <c r="AI1095" s="1406"/>
      <c r="AJ1095" s="1406"/>
      <c r="AK1095" s="1406"/>
      <c r="AL1095" s="1406"/>
      <c r="AM1095" s="1406"/>
      <c r="AN1095" s="1406"/>
      <c r="AO1095" s="1405"/>
      <c r="AP1095" s="1405"/>
      <c r="AQ1095" s="1405"/>
      <c r="AR1095" s="1405"/>
      <c r="AS1095" s="1405"/>
      <c r="AT1095" s="1405"/>
      <c r="AU1095" s="1405"/>
      <c r="AV1095" s="1405"/>
    </row>
    <row r="1096" spans="1:48" s="1431" customFormat="1">
      <c r="A1096" s="1399"/>
      <c r="B1096" s="1429"/>
      <c r="C1096" s="1430"/>
      <c r="D1096" s="1400"/>
      <c r="E1096" s="1401"/>
      <c r="F1096" s="1401"/>
      <c r="G1096" s="1402"/>
      <c r="H1096" s="1403"/>
      <c r="I1096" s="1404"/>
      <c r="J1096" s="1405"/>
      <c r="K1096" s="1405"/>
      <c r="L1096" s="1405"/>
      <c r="M1096" s="1405"/>
      <c r="N1096" s="1406"/>
      <c r="O1096" s="1406"/>
      <c r="P1096" s="1406"/>
      <c r="Q1096" s="1406"/>
      <c r="R1096" s="1406"/>
      <c r="S1096" s="1406"/>
      <c r="T1096" s="1406"/>
      <c r="U1096" s="1406"/>
      <c r="V1096" s="1406"/>
      <c r="W1096" s="1406"/>
      <c r="X1096" s="1406"/>
      <c r="Y1096" s="1406"/>
      <c r="Z1096" s="1406"/>
      <c r="AA1096" s="1406"/>
      <c r="AB1096" s="1406"/>
      <c r="AC1096" s="1406"/>
      <c r="AD1096" s="1406"/>
      <c r="AE1096" s="1406"/>
      <c r="AF1096" s="1406"/>
      <c r="AG1096" s="1406"/>
      <c r="AH1096" s="1406"/>
      <c r="AI1096" s="1406"/>
      <c r="AJ1096" s="1406"/>
      <c r="AK1096" s="1406"/>
      <c r="AL1096" s="1406"/>
      <c r="AM1096" s="1406"/>
      <c r="AN1096" s="1406"/>
      <c r="AO1096" s="1405"/>
      <c r="AP1096" s="1405"/>
      <c r="AQ1096" s="1405"/>
      <c r="AR1096" s="1405"/>
      <c r="AS1096" s="1405"/>
      <c r="AT1096" s="1405"/>
      <c r="AU1096" s="1405"/>
      <c r="AV1096" s="1405"/>
    </row>
    <row r="1097" spans="1:48" s="1431" customFormat="1">
      <c r="A1097" s="1399"/>
      <c r="B1097" s="1429"/>
      <c r="C1097" s="1430"/>
      <c r="D1097" s="1400"/>
      <c r="E1097" s="1401"/>
      <c r="F1097" s="1401"/>
      <c r="G1097" s="1402"/>
      <c r="H1097" s="1403"/>
      <c r="I1097" s="1404"/>
      <c r="J1097" s="1405"/>
      <c r="K1097" s="1405"/>
      <c r="L1097" s="1405"/>
      <c r="M1097" s="1405"/>
      <c r="N1097" s="1406"/>
      <c r="O1097" s="1406"/>
      <c r="P1097" s="1406"/>
      <c r="Q1097" s="1406"/>
      <c r="R1097" s="1406"/>
      <c r="S1097" s="1406"/>
      <c r="T1097" s="1406"/>
      <c r="U1097" s="1406"/>
      <c r="V1097" s="1406"/>
      <c r="W1097" s="1406"/>
      <c r="X1097" s="1406"/>
      <c r="Y1097" s="1406"/>
      <c r="Z1097" s="1406"/>
      <c r="AA1097" s="1406"/>
      <c r="AB1097" s="1406"/>
      <c r="AC1097" s="1406"/>
      <c r="AD1097" s="1406"/>
      <c r="AE1097" s="1406"/>
      <c r="AF1097" s="1406"/>
      <c r="AG1097" s="1406"/>
      <c r="AH1097" s="1406"/>
      <c r="AI1097" s="1406"/>
      <c r="AJ1097" s="1406"/>
      <c r="AK1097" s="1406"/>
      <c r="AL1097" s="1406"/>
      <c r="AM1097" s="1406"/>
      <c r="AN1097" s="1406"/>
      <c r="AO1097" s="1405"/>
      <c r="AP1097" s="1405"/>
      <c r="AQ1097" s="1405"/>
      <c r="AR1097" s="1405"/>
      <c r="AS1097" s="1405"/>
      <c r="AT1097" s="1405"/>
      <c r="AU1097" s="1405"/>
      <c r="AV1097" s="1405"/>
    </row>
    <row r="1098" spans="1:48" s="1431" customFormat="1">
      <c r="A1098" s="1399"/>
      <c r="B1098" s="1429"/>
      <c r="C1098" s="1430"/>
      <c r="D1098" s="1400"/>
      <c r="E1098" s="1401"/>
      <c r="F1098" s="1401"/>
      <c r="G1098" s="1402"/>
      <c r="H1098" s="1403"/>
      <c r="I1098" s="1404"/>
      <c r="J1098" s="1405"/>
      <c r="K1098" s="1405"/>
      <c r="L1098" s="1405"/>
      <c r="M1098" s="1405"/>
      <c r="N1098" s="1406"/>
      <c r="O1098" s="1406"/>
      <c r="P1098" s="1406"/>
      <c r="Q1098" s="1406"/>
      <c r="R1098" s="1406"/>
      <c r="S1098" s="1406"/>
      <c r="T1098" s="1406"/>
      <c r="U1098" s="1406"/>
      <c r="V1098" s="1406"/>
      <c r="W1098" s="1406"/>
      <c r="X1098" s="1406"/>
      <c r="Y1098" s="1406"/>
      <c r="Z1098" s="1406"/>
      <c r="AA1098" s="1406"/>
      <c r="AB1098" s="1406"/>
      <c r="AC1098" s="1406"/>
      <c r="AD1098" s="1406"/>
      <c r="AE1098" s="1406"/>
      <c r="AF1098" s="1406"/>
      <c r="AG1098" s="1406"/>
      <c r="AH1098" s="1406"/>
      <c r="AI1098" s="1406"/>
      <c r="AJ1098" s="1406"/>
      <c r="AK1098" s="1406"/>
      <c r="AL1098" s="1406"/>
      <c r="AM1098" s="1406"/>
      <c r="AN1098" s="1406"/>
      <c r="AO1098" s="1405"/>
      <c r="AP1098" s="1405"/>
      <c r="AQ1098" s="1405"/>
      <c r="AR1098" s="1405"/>
      <c r="AS1098" s="1405"/>
      <c r="AT1098" s="1405"/>
      <c r="AU1098" s="1405"/>
      <c r="AV1098" s="1405"/>
    </row>
    <row r="1099" spans="1:48" s="1431" customFormat="1">
      <c r="A1099" s="1399"/>
      <c r="B1099" s="1429"/>
      <c r="C1099" s="1430"/>
      <c r="D1099" s="1400"/>
      <c r="E1099" s="1401"/>
      <c r="F1099" s="1401"/>
      <c r="G1099" s="1402"/>
      <c r="H1099" s="1403"/>
      <c r="I1099" s="1404"/>
      <c r="J1099" s="1405"/>
      <c r="K1099" s="1405"/>
      <c r="L1099" s="1405"/>
      <c r="M1099" s="1405"/>
      <c r="N1099" s="1406"/>
      <c r="O1099" s="1406"/>
      <c r="P1099" s="1406"/>
      <c r="Q1099" s="1406"/>
      <c r="R1099" s="1406"/>
      <c r="S1099" s="1406"/>
      <c r="T1099" s="1406"/>
      <c r="U1099" s="1406"/>
      <c r="V1099" s="1406"/>
      <c r="W1099" s="1406"/>
      <c r="X1099" s="1406"/>
      <c r="Y1099" s="1406"/>
      <c r="Z1099" s="1406"/>
      <c r="AA1099" s="1406"/>
      <c r="AB1099" s="1406"/>
      <c r="AC1099" s="1406"/>
      <c r="AD1099" s="1406"/>
      <c r="AE1099" s="1406"/>
      <c r="AF1099" s="1406"/>
      <c r="AG1099" s="1406"/>
      <c r="AH1099" s="1406"/>
      <c r="AI1099" s="1406"/>
      <c r="AJ1099" s="1406"/>
      <c r="AK1099" s="1406"/>
      <c r="AL1099" s="1406"/>
      <c r="AM1099" s="1406"/>
      <c r="AN1099" s="1406"/>
      <c r="AO1099" s="1405"/>
      <c r="AP1099" s="1405"/>
      <c r="AQ1099" s="1405"/>
      <c r="AR1099" s="1405"/>
      <c r="AS1099" s="1405"/>
      <c r="AT1099" s="1405"/>
      <c r="AU1099" s="1405"/>
      <c r="AV1099" s="1405"/>
    </row>
    <row r="1100" spans="1:48" s="1431" customFormat="1">
      <c r="A1100" s="1399"/>
      <c r="B1100" s="1429"/>
      <c r="C1100" s="1430"/>
      <c r="D1100" s="1400"/>
      <c r="E1100" s="1401"/>
      <c r="F1100" s="1401"/>
      <c r="G1100" s="1402"/>
      <c r="H1100" s="1403"/>
      <c r="I1100" s="1404"/>
      <c r="J1100" s="1405"/>
      <c r="K1100" s="1405"/>
      <c r="L1100" s="1405"/>
      <c r="M1100" s="1405"/>
      <c r="N1100" s="1406"/>
      <c r="O1100" s="1406"/>
      <c r="P1100" s="1406"/>
      <c r="Q1100" s="1406"/>
      <c r="R1100" s="1406"/>
      <c r="S1100" s="1406"/>
      <c r="T1100" s="1406"/>
      <c r="U1100" s="1406"/>
      <c r="V1100" s="1406"/>
      <c r="W1100" s="1406"/>
      <c r="X1100" s="1406"/>
      <c r="Y1100" s="1406"/>
      <c r="Z1100" s="1406"/>
      <c r="AA1100" s="1406"/>
      <c r="AB1100" s="1406"/>
      <c r="AC1100" s="1406"/>
      <c r="AD1100" s="1406"/>
      <c r="AE1100" s="1406"/>
      <c r="AF1100" s="1406"/>
      <c r="AG1100" s="1406"/>
      <c r="AH1100" s="1406"/>
      <c r="AI1100" s="1406"/>
      <c r="AJ1100" s="1406"/>
      <c r="AK1100" s="1406"/>
      <c r="AL1100" s="1406"/>
      <c r="AM1100" s="1406"/>
      <c r="AN1100" s="1406"/>
      <c r="AO1100" s="1405"/>
      <c r="AP1100" s="1405"/>
      <c r="AQ1100" s="1405"/>
      <c r="AR1100" s="1405"/>
      <c r="AS1100" s="1405"/>
      <c r="AT1100" s="1405"/>
      <c r="AU1100" s="1405"/>
      <c r="AV1100" s="1405"/>
    </row>
    <row r="1101" spans="1:48" s="1431" customFormat="1">
      <c r="A1101" s="1399"/>
      <c r="B1101" s="1429"/>
      <c r="C1101" s="1430"/>
      <c r="D1101" s="1400"/>
      <c r="E1101" s="1401"/>
      <c r="F1101" s="1401"/>
      <c r="G1101" s="1402"/>
      <c r="H1101" s="1403"/>
      <c r="I1101" s="1404"/>
      <c r="J1101" s="1405"/>
      <c r="K1101" s="1405"/>
      <c r="L1101" s="1405"/>
      <c r="M1101" s="1405"/>
      <c r="N1101" s="1406"/>
      <c r="O1101" s="1406"/>
      <c r="P1101" s="1406"/>
      <c r="Q1101" s="1406"/>
      <c r="R1101" s="1406"/>
      <c r="S1101" s="1406"/>
      <c r="T1101" s="1406"/>
      <c r="U1101" s="1406"/>
      <c r="V1101" s="1406"/>
      <c r="W1101" s="1406"/>
      <c r="X1101" s="1406"/>
      <c r="Y1101" s="1406"/>
      <c r="Z1101" s="1406"/>
      <c r="AA1101" s="1406"/>
      <c r="AB1101" s="1406"/>
      <c r="AC1101" s="1406"/>
      <c r="AD1101" s="1406"/>
      <c r="AE1101" s="1406"/>
      <c r="AF1101" s="1406"/>
      <c r="AG1101" s="1406"/>
      <c r="AH1101" s="1406"/>
      <c r="AI1101" s="1406"/>
      <c r="AJ1101" s="1406"/>
      <c r="AK1101" s="1406"/>
      <c r="AL1101" s="1406"/>
      <c r="AM1101" s="1406"/>
      <c r="AN1101" s="1406"/>
      <c r="AO1101" s="1405"/>
      <c r="AP1101" s="1405"/>
      <c r="AQ1101" s="1405"/>
      <c r="AR1101" s="1405"/>
      <c r="AS1101" s="1405"/>
      <c r="AT1101" s="1405"/>
      <c r="AU1101" s="1405"/>
      <c r="AV1101" s="1405"/>
    </row>
    <row r="1102" spans="1:48" s="1431" customFormat="1">
      <c r="A1102" s="1399"/>
      <c r="B1102" s="1429"/>
      <c r="C1102" s="1430"/>
      <c r="D1102" s="1400"/>
      <c r="E1102" s="1401"/>
      <c r="F1102" s="1401"/>
      <c r="G1102" s="1402"/>
      <c r="H1102" s="1403"/>
      <c r="I1102" s="1404"/>
      <c r="J1102" s="1405"/>
      <c r="K1102" s="1405"/>
      <c r="L1102" s="1405"/>
      <c r="M1102" s="1405"/>
      <c r="N1102" s="1406"/>
      <c r="O1102" s="1406"/>
      <c r="P1102" s="1406"/>
      <c r="Q1102" s="1406"/>
      <c r="R1102" s="1406"/>
      <c r="S1102" s="1406"/>
      <c r="T1102" s="1406"/>
      <c r="U1102" s="1406"/>
      <c r="V1102" s="1406"/>
      <c r="W1102" s="1406"/>
      <c r="X1102" s="1406"/>
      <c r="Y1102" s="1406"/>
      <c r="Z1102" s="1406"/>
      <c r="AA1102" s="1406"/>
      <c r="AB1102" s="1406"/>
      <c r="AC1102" s="1406"/>
      <c r="AD1102" s="1406"/>
      <c r="AE1102" s="1406"/>
      <c r="AF1102" s="1406"/>
      <c r="AG1102" s="1406"/>
      <c r="AH1102" s="1406"/>
      <c r="AI1102" s="1406"/>
      <c r="AJ1102" s="1406"/>
      <c r="AK1102" s="1406"/>
      <c r="AL1102" s="1406"/>
      <c r="AM1102" s="1406"/>
      <c r="AN1102" s="1406"/>
      <c r="AO1102" s="1405"/>
      <c r="AP1102" s="1405"/>
      <c r="AQ1102" s="1405"/>
      <c r="AR1102" s="1405"/>
      <c r="AS1102" s="1405"/>
      <c r="AT1102" s="1405"/>
      <c r="AU1102" s="1405"/>
      <c r="AV1102" s="1405"/>
    </row>
    <row r="1103" spans="1:48" s="1431" customFormat="1">
      <c r="A1103" s="1399"/>
      <c r="B1103" s="1429"/>
      <c r="C1103" s="1430"/>
      <c r="D1103" s="1400"/>
      <c r="E1103" s="1401"/>
      <c r="F1103" s="1401"/>
      <c r="G1103" s="1402"/>
      <c r="H1103" s="1403"/>
      <c r="I1103" s="1404"/>
      <c r="J1103" s="1405"/>
      <c r="K1103" s="1405"/>
      <c r="L1103" s="1405"/>
      <c r="M1103" s="1405"/>
      <c r="N1103" s="1406"/>
      <c r="O1103" s="1406"/>
      <c r="P1103" s="1406"/>
      <c r="Q1103" s="1406"/>
      <c r="R1103" s="1406"/>
      <c r="S1103" s="1406"/>
      <c r="T1103" s="1406"/>
      <c r="U1103" s="1406"/>
      <c r="V1103" s="1406"/>
      <c r="W1103" s="1406"/>
      <c r="X1103" s="1406"/>
      <c r="Y1103" s="1406"/>
      <c r="Z1103" s="1406"/>
      <c r="AA1103" s="1406"/>
      <c r="AB1103" s="1406"/>
      <c r="AC1103" s="1406"/>
      <c r="AD1103" s="1406"/>
      <c r="AE1103" s="1406"/>
      <c r="AF1103" s="1406"/>
      <c r="AG1103" s="1406"/>
      <c r="AH1103" s="1406"/>
      <c r="AI1103" s="1406"/>
      <c r="AJ1103" s="1406"/>
      <c r="AK1103" s="1406"/>
      <c r="AL1103" s="1406"/>
      <c r="AM1103" s="1406"/>
      <c r="AN1103" s="1406"/>
      <c r="AO1103" s="1405"/>
      <c r="AP1103" s="1405"/>
      <c r="AQ1103" s="1405"/>
      <c r="AR1103" s="1405"/>
      <c r="AS1103" s="1405"/>
      <c r="AT1103" s="1405"/>
      <c r="AU1103" s="1405"/>
      <c r="AV1103" s="1405"/>
    </row>
    <row r="1104" spans="1:48" s="1431" customFormat="1">
      <c r="A1104" s="1399"/>
      <c r="B1104" s="1429"/>
      <c r="C1104" s="1430"/>
      <c r="D1104" s="1400"/>
      <c r="E1104" s="1401"/>
      <c r="F1104" s="1401"/>
      <c r="G1104" s="1402"/>
      <c r="H1104" s="1403"/>
      <c r="I1104" s="1404"/>
      <c r="J1104" s="1405"/>
      <c r="K1104" s="1405"/>
      <c r="L1104" s="1405"/>
      <c r="M1104" s="1405"/>
      <c r="N1104" s="1406"/>
      <c r="O1104" s="1406"/>
      <c r="P1104" s="1406"/>
      <c r="Q1104" s="1406"/>
      <c r="R1104" s="1406"/>
      <c r="S1104" s="1406"/>
      <c r="T1104" s="1406"/>
      <c r="U1104" s="1406"/>
      <c r="V1104" s="1406"/>
      <c r="W1104" s="1406"/>
      <c r="X1104" s="1406"/>
      <c r="Y1104" s="1406"/>
      <c r="Z1104" s="1406"/>
      <c r="AA1104" s="1406"/>
      <c r="AB1104" s="1406"/>
      <c r="AC1104" s="1406"/>
      <c r="AD1104" s="1406"/>
      <c r="AE1104" s="1406"/>
      <c r="AF1104" s="1406"/>
      <c r="AG1104" s="1406"/>
      <c r="AH1104" s="1406"/>
      <c r="AI1104" s="1406"/>
      <c r="AJ1104" s="1406"/>
      <c r="AK1104" s="1406"/>
      <c r="AL1104" s="1406"/>
      <c r="AM1104" s="1406"/>
      <c r="AN1104" s="1406"/>
      <c r="AO1104" s="1405"/>
      <c r="AP1104" s="1405"/>
      <c r="AQ1104" s="1405"/>
      <c r="AR1104" s="1405"/>
      <c r="AS1104" s="1405"/>
      <c r="AT1104" s="1405"/>
      <c r="AU1104" s="1405"/>
      <c r="AV1104" s="1405"/>
    </row>
    <row r="1105" spans="1:48" s="1431" customFormat="1">
      <c r="A1105" s="1399"/>
      <c r="B1105" s="1429"/>
      <c r="C1105" s="1430"/>
      <c r="D1105" s="1400"/>
      <c r="E1105" s="1401"/>
      <c r="F1105" s="1401"/>
      <c r="G1105" s="1402"/>
      <c r="H1105" s="1403"/>
      <c r="I1105" s="1404"/>
      <c r="J1105" s="1405"/>
      <c r="K1105" s="1405"/>
      <c r="L1105" s="1405"/>
      <c r="M1105" s="1405"/>
      <c r="N1105" s="1406"/>
      <c r="O1105" s="1406"/>
      <c r="P1105" s="1406"/>
      <c r="Q1105" s="1406"/>
      <c r="R1105" s="1406"/>
      <c r="S1105" s="1406"/>
      <c r="T1105" s="1406"/>
      <c r="U1105" s="1406"/>
      <c r="V1105" s="1406"/>
      <c r="W1105" s="1406"/>
      <c r="X1105" s="1406"/>
      <c r="Y1105" s="1406"/>
      <c r="Z1105" s="1406"/>
      <c r="AA1105" s="1406"/>
      <c r="AB1105" s="1406"/>
      <c r="AC1105" s="1406"/>
      <c r="AD1105" s="1406"/>
      <c r="AE1105" s="1406"/>
      <c r="AF1105" s="1406"/>
      <c r="AG1105" s="1406"/>
      <c r="AH1105" s="1406"/>
      <c r="AI1105" s="1406"/>
      <c r="AJ1105" s="1406"/>
      <c r="AK1105" s="1406"/>
      <c r="AL1105" s="1406"/>
      <c r="AM1105" s="1406"/>
      <c r="AN1105" s="1406"/>
      <c r="AO1105" s="1405"/>
      <c r="AP1105" s="1405"/>
      <c r="AQ1105" s="1405"/>
      <c r="AR1105" s="1405"/>
      <c r="AS1105" s="1405"/>
      <c r="AT1105" s="1405"/>
      <c r="AU1105" s="1405"/>
      <c r="AV1105" s="1405"/>
    </row>
    <row r="1106" spans="1:48" s="1431" customFormat="1">
      <c r="A1106" s="1399"/>
      <c r="B1106" s="1429"/>
      <c r="C1106" s="1430"/>
      <c r="D1106" s="1400"/>
      <c r="E1106" s="1401"/>
      <c r="F1106" s="1401"/>
      <c r="G1106" s="1402"/>
      <c r="H1106" s="1403"/>
      <c r="I1106" s="1404"/>
      <c r="J1106" s="1405"/>
      <c r="K1106" s="1405"/>
      <c r="L1106" s="1405"/>
      <c r="M1106" s="1405"/>
      <c r="N1106" s="1406"/>
      <c r="O1106" s="1406"/>
      <c r="P1106" s="1406"/>
      <c r="Q1106" s="1406"/>
      <c r="R1106" s="1406"/>
      <c r="S1106" s="1406"/>
      <c r="T1106" s="1406"/>
      <c r="U1106" s="1406"/>
      <c r="V1106" s="1406"/>
      <c r="W1106" s="1406"/>
      <c r="X1106" s="1406"/>
      <c r="Y1106" s="1406"/>
      <c r="Z1106" s="1406"/>
      <c r="AA1106" s="1406"/>
      <c r="AB1106" s="1406"/>
      <c r="AC1106" s="1406"/>
      <c r="AD1106" s="1406"/>
      <c r="AE1106" s="1406"/>
      <c r="AF1106" s="1406"/>
      <c r="AG1106" s="1406"/>
      <c r="AH1106" s="1406"/>
      <c r="AI1106" s="1406"/>
      <c r="AJ1106" s="1406"/>
      <c r="AK1106" s="1406"/>
      <c r="AL1106" s="1406"/>
      <c r="AM1106" s="1406"/>
      <c r="AN1106" s="1406"/>
      <c r="AO1106" s="1405"/>
      <c r="AP1106" s="1405"/>
      <c r="AQ1106" s="1405"/>
      <c r="AR1106" s="1405"/>
      <c r="AS1106" s="1405"/>
      <c r="AT1106" s="1405"/>
      <c r="AU1106" s="1405"/>
      <c r="AV1106" s="1405"/>
    </row>
    <row r="1107" spans="1:48" s="1431" customFormat="1">
      <c r="A1107" s="1399"/>
      <c r="B1107" s="1429"/>
      <c r="C1107" s="1430"/>
      <c r="D1107" s="1400"/>
      <c r="E1107" s="1401"/>
      <c r="F1107" s="1401"/>
      <c r="G1107" s="1402"/>
      <c r="H1107" s="1403"/>
      <c r="I1107" s="1404"/>
      <c r="J1107" s="1405"/>
      <c r="K1107" s="1405"/>
      <c r="L1107" s="1405"/>
      <c r="M1107" s="1405"/>
      <c r="N1107" s="1406"/>
      <c r="O1107" s="1406"/>
      <c r="P1107" s="1406"/>
      <c r="Q1107" s="1406"/>
      <c r="R1107" s="1406"/>
      <c r="S1107" s="1406"/>
      <c r="T1107" s="1406"/>
      <c r="U1107" s="1406"/>
      <c r="V1107" s="1406"/>
      <c r="W1107" s="1406"/>
      <c r="X1107" s="1406"/>
      <c r="Y1107" s="1406"/>
      <c r="Z1107" s="1406"/>
      <c r="AA1107" s="1406"/>
      <c r="AB1107" s="1406"/>
      <c r="AC1107" s="1406"/>
      <c r="AD1107" s="1406"/>
      <c r="AE1107" s="1406"/>
      <c r="AF1107" s="1406"/>
      <c r="AG1107" s="1406"/>
      <c r="AH1107" s="1406"/>
      <c r="AI1107" s="1406"/>
      <c r="AJ1107" s="1406"/>
      <c r="AK1107" s="1406"/>
      <c r="AL1107" s="1406"/>
      <c r="AM1107" s="1406"/>
      <c r="AN1107" s="1406"/>
      <c r="AO1107" s="1405"/>
      <c r="AP1107" s="1405"/>
      <c r="AQ1107" s="1405"/>
      <c r="AR1107" s="1405"/>
      <c r="AS1107" s="1405"/>
      <c r="AT1107" s="1405"/>
      <c r="AU1107" s="1405"/>
      <c r="AV1107" s="1405"/>
    </row>
    <row r="1108" spans="1:48" s="1431" customFormat="1">
      <c r="A1108" s="1399"/>
      <c r="B1108" s="1429"/>
      <c r="C1108" s="1430"/>
      <c r="D1108" s="1400"/>
      <c r="E1108" s="1401"/>
      <c r="F1108" s="1401"/>
      <c r="G1108" s="1402"/>
      <c r="H1108" s="1403"/>
      <c r="I1108" s="1404"/>
      <c r="J1108" s="1405"/>
      <c r="K1108" s="1405"/>
      <c r="L1108" s="1405"/>
      <c r="M1108" s="1405"/>
      <c r="N1108" s="1406"/>
      <c r="O1108" s="1406"/>
      <c r="P1108" s="1406"/>
      <c r="Q1108" s="1406"/>
      <c r="R1108" s="1406"/>
      <c r="S1108" s="1406"/>
      <c r="T1108" s="1406"/>
      <c r="U1108" s="1406"/>
      <c r="V1108" s="1406"/>
      <c r="W1108" s="1406"/>
      <c r="X1108" s="1406"/>
      <c r="Y1108" s="1406"/>
      <c r="Z1108" s="1406"/>
      <c r="AA1108" s="1406"/>
      <c r="AB1108" s="1406"/>
      <c r="AC1108" s="1406"/>
      <c r="AD1108" s="1406"/>
      <c r="AE1108" s="1406"/>
      <c r="AF1108" s="1406"/>
      <c r="AG1108" s="1406"/>
      <c r="AH1108" s="1406"/>
      <c r="AI1108" s="1406"/>
      <c r="AJ1108" s="1406"/>
      <c r="AK1108" s="1406"/>
      <c r="AL1108" s="1406"/>
      <c r="AM1108" s="1406"/>
      <c r="AN1108" s="1406"/>
      <c r="AO1108" s="1405"/>
      <c r="AP1108" s="1405"/>
      <c r="AQ1108" s="1405"/>
      <c r="AR1108" s="1405"/>
      <c r="AS1108" s="1405"/>
      <c r="AT1108" s="1405"/>
      <c r="AU1108" s="1405"/>
      <c r="AV1108" s="1405"/>
    </row>
    <row r="1109" spans="1:48" s="1431" customFormat="1">
      <c r="A1109" s="1399"/>
      <c r="B1109" s="1429"/>
      <c r="C1109" s="1430"/>
      <c r="D1109" s="1400"/>
      <c r="E1109" s="1401"/>
      <c r="F1109" s="1401"/>
      <c r="G1109" s="1402"/>
      <c r="H1109" s="1403"/>
      <c r="I1109" s="1404"/>
      <c r="J1109" s="1405"/>
      <c r="K1109" s="1405"/>
      <c r="L1109" s="1405"/>
      <c r="M1109" s="1405"/>
      <c r="N1109" s="1406"/>
      <c r="O1109" s="1406"/>
      <c r="P1109" s="1406"/>
      <c r="Q1109" s="1406"/>
      <c r="R1109" s="1406"/>
      <c r="S1109" s="1406"/>
      <c r="T1109" s="1406"/>
      <c r="U1109" s="1406"/>
      <c r="V1109" s="1406"/>
      <c r="W1109" s="1406"/>
      <c r="X1109" s="1406"/>
      <c r="Y1109" s="1406"/>
      <c r="Z1109" s="1406"/>
      <c r="AA1109" s="1406"/>
      <c r="AB1109" s="1406"/>
      <c r="AC1109" s="1406"/>
      <c r="AD1109" s="1406"/>
      <c r="AE1109" s="1406"/>
      <c r="AF1109" s="1406"/>
      <c r="AG1109" s="1406"/>
      <c r="AH1109" s="1406"/>
      <c r="AI1109" s="1406"/>
      <c r="AJ1109" s="1406"/>
      <c r="AK1109" s="1406"/>
      <c r="AL1109" s="1406"/>
      <c r="AM1109" s="1406"/>
      <c r="AN1109" s="1406"/>
      <c r="AO1109" s="1405"/>
      <c r="AP1109" s="1405"/>
      <c r="AQ1109" s="1405"/>
      <c r="AR1109" s="1405"/>
      <c r="AS1109" s="1405"/>
      <c r="AT1109" s="1405"/>
      <c r="AU1109" s="1405"/>
      <c r="AV1109" s="1405"/>
    </row>
    <row r="1110" spans="1:48" s="1431" customFormat="1">
      <c r="A1110" s="1399"/>
      <c r="B1110" s="1429"/>
      <c r="C1110" s="1430"/>
      <c r="D1110" s="1400"/>
      <c r="E1110" s="1401"/>
      <c r="F1110" s="1401"/>
      <c r="G1110" s="1402"/>
      <c r="H1110" s="1403"/>
      <c r="I1110" s="1404"/>
      <c r="J1110" s="1405"/>
      <c r="K1110" s="1405"/>
      <c r="L1110" s="1405"/>
      <c r="M1110" s="1405"/>
      <c r="N1110" s="1406"/>
      <c r="O1110" s="1406"/>
      <c r="P1110" s="1406"/>
      <c r="Q1110" s="1406"/>
      <c r="R1110" s="1406"/>
      <c r="S1110" s="1406"/>
      <c r="T1110" s="1406"/>
      <c r="U1110" s="1406"/>
      <c r="V1110" s="1406"/>
      <c r="W1110" s="1406"/>
      <c r="X1110" s="1406"/>
      <c r="Y1110" s="1406"/>
      <c r="Z1110" s="1406"/>
      <c r="AA1110" s="1406"/>
      <c r="AB1110" s="1406"/>
      <c r="AC1110" s="1406"/>
      <c r="AD1110" s="1406"/>
      <c r="AE1110" s="1406"/>
      <c r="AF1110" s="1406"/>
      <c r="AG1110" s="1406"/>
      <c r="AH1110" s="1406"/>
      <c r="AI1110" s="1406"/>
      <c r="AJ1110" s="1406"/>
      <c r="AK1110" s="1406"/>
      <c r="AL1110" s="1406"/>
      <c r="AM1110" s="1406"/>
      <c r="AN1110" s="1406"/>
      <c r="AO1110" s="1405"/>
      <c r="AP1110" s="1405"/>
      <c r="AQ1110" s="1405"/>
      <c r="AR1110" s="1405"/>
      <c r="AS1110" s="1405"/>
      <c r="AT1110" s="1405"/>
      <c r="AU1110" s="1405"/>
      <c r="AV1110" s="1405"/>
    </row>
    <row r="1111" spans="1:48" s="1431" customFormat="1">
      <c r="A1111" s="1399"/>
      <c r="B1111" s="1429"/>
      <c r="C1111" s="1430"/>
      <c r="D1111" s="1400"/>
      <c r="E1111" s="1401"/>
      <c r="F1111" s="1401"/>
      <c r="G1111" s="1402"/>
      <c r="H1111" s="1403"/>
      <c r="I1111" s="1404"/>
      <c r="J1111" s="1405"/>
      <c r="K1111" s="1405"/>
      <c r="L1111" s="1405"/>
      <c r="M1111" s="1405"/>
      <c r="N1111" s="1406"/>
      <c r="O1111" s="1406"/>
      <c r="P1111" s="1406"/>
      <c r="Q1111" s="1406"/>
      <c r="R1111" s="1406"/>
      <c r="S1111" s="1406"/>
      <c r="T1111" s="1406"/>
      <c r="U1111" s="1406"/>
      <c r="V1111" s="1406"/>
      <c r="W1111" s="1406"/>
      <c r="X1111" s="1406"/>
      <c r="Y1111" s="1406"/>
      <c r="Z1111" s="1406"/>
      <c r="AA1111" s="1406"/>
      <c r="AB1111" s="1406"/>
      <c r="AC1111" s="1406"/>
      <c r="AD1111" s="1406"/>
      <c r="AE1111" s="1406"/>
      <c r="AF1111" s="1406"/>
      <c r="AG1111" s="1406"/>
      <c r="AH1111" s="1406"/>
      <c r="AI1111" s="1406"/>
      <c r="AJ1111" s="1406"/>
      <c r="AK1111" s="1406"/>
      <c r="AL1111" s="1406"/>
      <c r="AM1111" s="1406"/>
      <c r="AN1111" s="1406"/>
      <c r="AO1111" s="1405"/>
      <c r="AP1111" s="1405"/>
      <c r="AQ1111" s="1405"/>
      <c r="AR1111" s="1405"/>
      <c r="AS1111" s="1405"/>
      <c r="AT1111" s="1405"/>
      <c r="AU1111" s="1405"/>
      <c r="AV1111" s="1405"/>
    </row>
    <row r="1112" spans="1:48" s="1431" customFormat="1">
      <c r="A1112" s="1399"/>
      <c r="B1112" s="1429"/>
      <c r="C1112" s="1430"/>
      <c r="D1112" s="1400"/>
      <c r="E1112" s="1401"/>
      <c r="F1112" s="1401"/>
      <c r="G1112" s="1402"/>
      <c r="H1112" s="1403"/>
      <c r="I1112" s="1404"/>
      <c r="J1112" s="1405"/>
      <c r="K1112" s="1405"/>
      <c r="L1112" s="1405"/>
      <c r="M1112" s="1405"/>
      <c r="N1112" s="1406"/>
      <c r="O1112" s="1406"/>
      <c r="P1112" s="1406"/>
      <c r="Q1112" s="1406"/>
      <c r="R1112" s="1406"/>
      <c r="S1112" s="1406"/>
      <c r="T1112" s="1406"/>
      <c r="U1112" s="1406"/>
      <c r="V1112" s="1406"/>
      <c r="W1112" s="1406"/>
      <c r="X1112" s="1406"/>
      <c r="Y1112" s="1406"/>
      <c r="Z1112" s="1406"/>
      <c r="AA1112" s="1406"/>
      <c r="AB1112" s="1406"/>
      <c r="AC1112" s="1406"/>
      <c r="AD1112" s="1406"/>
      <c r="AE1112" s="1406"/>
      <c r="AF1112" s="1406"/>
      <c r="AG1112" s="1406"/>
      <c r="AH1112" s="1406"/>
      <c r="AI1112" s="1406"/>
      <c r="AJ1112" s="1406"/>
      <c r="AK1112" s="1406"/>
      <c r="AL1112" s="1406"/>
      <c r="AM1112" s="1406"/>
      <c r="AN1112" s="1406"/>
      <c r="AO1112" s="1405"/>
      <c r="AP1112" s="1405"/>
      <c r="AQ1112" s="1405"/>
      <c r="AR1112" s="1405"/>
      <c r="AS1112" s="1405"/>
      <c r="AT1112" s="1405"/>
      <c r="AU1112" s="1405"/>
      <c r="AV1112" s="1405"/>
    </row>
    <row r="1113" spans="1:48" s="1431" customFormat="1">
      <c r="A1113" s="1399"/>
      <c r="B1113" s="1429"/>
      <c r="C1113" s="1430"/>
      <c r="D1113" s="1400"/>
      <c r="E1113" s="1401"/>
      <c r="F1113" s="1401"/>
      <c r="G1113" s="1402"/>
      <c r="H1113" s="1403"/>
      <c r="I1113" s="1404"/>
      <c r="J1113" s="1405"/>
      <c r="K1113" s="1405"/>
      <c r="L1113" s="1405"/>
      <c r="M1113" s="1405"/>
      <c r="N1113" s="1406"/>
      <c r="O1113" s="1406"/>
      <c r="P1113" s="1406"/>
      <c r="Q1113" s="1406"/>
      <c r="R1113" s="1406"/>
      <c r="S1113" s="1406"/>
      <c r="T1113" s="1406"/>
      <c r="U1113" s="1406"/>
      <c r="V1113" s="1406"/>
      <c r="W1113" s="1406"/>
      <c r="X1113" s="1406"/>
      <c r="Y1113" s="1406"/>
      <c r="Z1113" s="1406"/>
      <c r="AA1113" s="1406"/>
      <c r="AB1113" s="1406"/>
      <c r="AC1113" s="1406"/>
      <c r="AD1113" s="1406"/>
      <c r="AE1113" s="1406"/>
      <c r="AF1113" s="1406"/>
      <c r="AG1113" s="1406"/>
      <c r="AH1113" s="1406"/>
      <c r="AI1113" s="1406"/>
      <c r="AJ1113" s="1406"/>
      <c r="AK1113" s="1406"/>
      <c r="AL1113" s="1406"/>
      <c r="AM1113" s="1406"/>
      <c r="AN1113" s="1406"/>
      <c r="AO1113" s="1405"/>
      <c r="AP1113" s="1405"/>
      <c r="AQ1113" s="1405"/>
      <c r="AR1113" s="1405"/>
      <c r="AS1113" s="1405"/>
      <c r="AT1113" s="1405"/>
      <c r="AU1113" s="1405"/>
      <c r="AV1113" s="1405"/>
    </row>
    <row r="1114" spans="1:48" s="1431" customFormat="1">
      <c r="A1114" s="1399"/>
      <c r="B1114" s="1429"/>
      <c r="C1114" s="1430"/>
      <c r="D1114" s="1400"/>
      <c r="E1114" s="1401"/>
      <c r="F1114" s="1401"/>
      <c r="G1114" s="1402"/>
      <c r="H1114" s="1403"/>
      <c r="I1114" s="1404"/>
      <c r="J1114" s="1405"/>
      <c r="K1114" s="1405"/>
      <c r="L1114" s="1405"/>
      <c r="M1114" s="1405"/>
      <c r="N1114" s="1406"/>
      <c r="O1114" s="1406"/>
      <c r="P1114" s="1406"/>
      <c r="Q1114" s="1406"/>
      <c r="R1114" s="1406"/>
      <c r="S1114" s="1406"/>
      <c r="T1114" s="1406"/>
      <c r="U1114" s="1406"/>
      <c r="V1114" s="1406"/>
      <c r="W1114" s="1406"/>
      <c r="X1114" s="1406"/>
      <c r="Y1114" s="1406"/>
      <c r="Z1114" s="1406"/>
      <c r="AA1114" s="1406"/>
      <c r="AB1114" s="1406"/>
      <c r="AC1114" s="1406"/>
      <c r="AD1114" s="1406"/>
      <c r="AE1114" s="1406"/>
      <c r="AF1114" s="1406"/>
      <c r="AG1114" s="1406"/>
      <c r="AH1114" s="1406"/>
      <c r="AI1114" s="1406"/>
      <c r="AJ1114" s="1406"/>
      <c r="AK1114" s="1406"/>
      <c r="AL1114" s="1406"/>
      <c r="AM1114" s="1406"/>
      <c r="AN1114" s="1406"/>
      <c r="AO1114" s="1405"/>
      <c r="AP1114" s="1405"/>
      <c r="AQ1114" s="1405"/>
      <c r="AR1114" s="1405"/>
      <c r="AS1114" s="1405"/>
      <c r="AT1114" s="1405"/>
      <c r="AU1114" s="1405"/>
      <c r="AV1114" s="1405"/>
    </row>
    <row r="1115" spans="1:48" s="1431" customFormat="1">
      <c r="A1115" s="1399"/>
      <c r="B1115" s="1429"/>
      <c r="C1115" s="1430"/>
      <c r="D1115" s="1400"/>
      <c r="E1115" s="1401"/>
      <c r="F1115" s="1401"/>
      <c r="G1115" s="1402"/>
      <c r="H1115" s="1403"/>
      <c r="I1115" s="1404"/>
      <c r="J1115" s="1405"/>
      <c r="K1115" s="1405"/>
      <c r="L1115" s="1405"/>
      <c r="M1115" s="1405"/>
      <c r="N1115" s="1406"/>
      <c r="O1115" s="1406"/>
      <c r="P1115" s="1406"/>
      <c r="Q1115" s="1406"/>
      <c r="R1115" s="1406"/>
      <c r="S1115" s="1406"/>
      <c r="T1115" s="1406"/>
      <c r="U1115" s="1406"/>
      <c r="V1115" s="1406"/>
      <c r="W1115" s="1406"/>
      <c r="X1115" s="1406"/>
      <c r="Y1115" s="1406"/>
      <c r="Z1115" s="1406"/>
      <c r="AA1115" s="1406"/>
      <c r="AB1115" s="1406"/>
      <c r="AC1115" s="1406"/>
      <c r="AD1115" s="1406"/>
      <c r="AE1115" s="1406"/>
      <c r="AF1115" s="1406"/>
      <c r="AG1115" s="1406"/>
      <c r="AH1115" s="1406"/>
      <c r="AI1115" s="1406"/>
      <c r="AJ1115" s="1406"/>
      <c r="AK1115" s="1406"/>
      <c r="AL1115" s="1406"/>
      <c r="AM1115" s="1406"/>
      <c r="AN1115" s="1406"/>
      <c r="AO1115" s="1405"/>
      <c r="AP1115" s="1405"/>
      <c r="AQ1115" s="1405"/>
      <c r="AR1115" s="1405"/>
      <c r="AS1115" s="1405"/>
      <c r="AT1115" s="1405"/>
      <c r="AU1115" s="1405"/>
      <c r="AV1115" s="1405"/>
    </row>
    <row r="1116" spans="1:48" s="1431" customFormat="1">
      <c r="A1116" s="1399"/>
      <c r="B1116" s="1429"/>
      <c r="C1116" s="1430"/>
      <c r="D1116" s="1400"/>
      <c r="E1116" s="1401"/>
      <c r="F1116" s="1401"/>
      <c r="G1116" s="1402"/>
      <c r="H1116" s="1403"/>
      <c r="I1116" s="1404"/>
      <c r="J1116" s="1405"/>
      <c r="K1116" s="1405"/>
      <c r="L1116" s="1405"/>
      <c r="M1116" s="1405"/>
      <c r="N1116" s="1406"/>
      <c r="O1116" s="1406"/>
      <c r="P1116" s="1406"/>
      <c r="Q1116" s="1406"/>
      <c r="R1116" s="1406"/>
      <c r="S1116" s="1406"/>
      <c r="T1116" s="1406"/>
      <c r="U1116" s="1406"/>
      <c r="V1116" s="1406"/>
      <c r="W1116" s="1406"/>
      <c r="X1116" s="1406"/>
      <c r="Y1116" s="1406"/>
      <c r="Z1116" s="1406"/>
      <c r="AA1116" s="1406"/>
      <c r="AB1116" s="1406"/>
      <c r="AC1116" s="1406"/>
      <c r="AD1116" s="1406"/>
      <c r="AE1116" s="1406"/>
      <c r="AF1116" s="1406"/>
      <c r="AG1116" s="1406"/>
      <c r="AH1116" s="1406"/>
      <c r="AI1116" s="1406"/>
      <c r="AJ1116" s="1406"/>
      <c r="AK1116" s="1406"/>
      <c r="AL1116" s="1406"/>
      <c r="AM1116" s="1406"/>
      <c r="AN1116" s="1406"/>
      <c r="AO1116" s="1405"/>
      <c r="AP1116" s="1405"/>
      <c r="AQ1116" s="1405"/>
      <c r="AR1116" s="1405"/>
      <c r="AS1116" s="1405"/>
      <c r="AT1116" s="1405"/>
      <c r="AU1116" s="1405"/>
      <c r="AV1116" s="1405"/>
    </row>
    <row r="1117" spans="1:48" s="1431" customFormat="1">
      <c r="A1117" s="1399"/>
      <c r="B1117" s="1429"/>
      <c r="C1117" s="1430"/>
      <c r="D1117" s="1400"/>
      <c r="E1117" s="1401"/>
      <c r="F1117" s="1401"/>
      <c r="G1117" s="1402"/>
      <c r="H1117" s="1403"/>
      <c r="I1117" s="1404"/>
      <c r="J1117" s="1405"/>
      <c r="K1117" s="1405"/>
      <c r="L1117" s="1405"/>
      <c r="M1117" s="1405"/>
      <c r="N1117" s="1406"/>
      <c r="O1117" s="1406"/>
      <c r="P1117" s="1406"/>
      <c r="Q1117" s="1406"/>
      <c r="R1117" s="1406"/>
      <c r="S1117" s="1406"/>
      <c r="T1117" s="1406"/>
      <c r="U1117" s="1406"/>
      <c r="V1117" s="1406"/>
      <c r="W1117" s="1406"/>
      <c r="X1117" s="1406"/>
      <c r="Y1117" s="1406"/>
      <c r="Z1117" s="1406"/>
      <c r="AA1117" s="1406"/>
      <c r="AB1117" s="1406"/>
      <c r="AC1117" s="1406"/>
      <c r="AD1117" s="1406"/>
      <c r="AE1117" s="1406"/>
      <c r="AF1117" s="1406"/>
      <c r="AG1117" s="1406"/>
      <c r="AH1117" s="1406"/>
      <c r="AI1117" s="1406"/>
      <c r="AJ1117" s="1406"/>
      <c r="AK1117" s="1406"/>
      <c r="AL1117" s="1406"/>
      <c r="AM1117" s="1406"/>
      <c r="AN1117" s="1406"/>
      <c r="AO1117" s="1405"/>
      <c r="AP1117" s="1405"/>
      <c r="AQ1117" s="1405"/>
      <c r="AR1117" s="1405"/>
      <c r="AS1117" s="1405"/>
      <c r="AT1117" s="1405"/>
      <c r="AU1117" s="1405"/>
      <c r="AV1117" s="1405"/>
    </row>
    <row r="1118" spans="1:48" s="1431" customFormat="1">
      <c r="A1118" s="1399"/>
      <c r="B1118" s="1429"/>
      <c r="C1118" s="1430"/>
      <c r="D1118" s="1400"/>
      <c r="E1118" s="1401"/>
      <c r="F1118" s="1401"/>
      <c r="G1118" s="1402"/>
      <c r="H1118" s="1403"/>
      <c r="I1118" s="1404"/>
      <c r="J1118" s="1405"/>
      <c r="K1118" s="1405"/>
      <c r="L1118" s="1405"/>
      <c r="M1118" s="1405"/>
      <c r="N1118" s="1406"/>
      <c r="O1118" s="1406"/>
      <c r="P1118" s="1406"/>
      <c r="Q1118" s="1406"/>
      <c r="R1118" s="1406"/>
      <c r="S1118" s="1406"/>
      <c r="T1118" s="1406"/>
      <c r="U1118" s="1406"/>
      <c r="V1118" s="1406"/>
      <c r="W1118" s="1406"/>
      <c r="X1118" s="1406"/>
      <c r="Y1118" s="1406"/>
      <c r="Z1118" s="1406"/>
      <c r="AA1118" s="1406"/>
      <c r="AB1118" s="1406"/>
      <c r="AC1118" s="1406"/>
      <c r="AD1118" s="1406"/>
      <c r="AE1118" s="1406"/>
      <c r="AF1118" s="1406"/>
      <c r="AG1118" s="1406"/>
      <c r="AH1118" s="1406"/>
      <c r="AI1118" s="1406"/>
      <c r="AJ1118" s="1406"/>
      <c r="AK1118" s="1406"/>
      <c r="AL1118" s="1406"/>
      <c r="AM1118" s="1406"/>
      <c r="AN1118" s="1406"/>
      <c r="AO1118" s="1405"/>
      <c r="AP1118" s="1405"/>
      <c r="AQ1118" s="1405"/>
      <c r="AR1118" s="1405"/>
      <c r="AS1118" s="1405"/>
      <c r="AT1118" s="1405"/>
      <c r="AU1118" s="1405"/>
      <c r="AV1118" s="1405"/>
    </row>
    <row r="1119" spans="1:48" s="1431" customFormat="1">
      <c r="A1119" s="1399"/>
      <c r="B1119" s="1429"/>
      <c r="C1119" s="1430"/>
      <c r="D1119" s="1400"/>
      <c r="E1119" s="1401"/>
      <c r="F1119" s="1401"/>
      <c r="G1119" s="1402"/>
      <c r="H1119" s="1403"/>
      <c r="I1119" s="1404"/>
      <c r="J1119" s="1405"/>
      <c r="K1119" s="1405"/>
      <c r="L1119" s="1405"/>
      <c r="M1119" s="1405"/>
      <c r="N1119" s="1406"/>
      <c r="O1119" s="1406"/>
      <c r="P1119" s="1406"/>
      <c r="Q1119" s="1406"/>
      <c r="R1119" s="1406"/>
      <c r="S1119" s="1406"/>
      <c r="T1119" s="1406"/>
      <c r="U1119" s="1406"/>
      <c r="V1119" s="1406"/>
      <c r="W1119" s="1406"/>
      <c r="X1119" s="1406"/>
      <c r="Y1119" s="1406"/>
      <c r="Z1119" s="1406"/>
      <c r="AA1119" s="1406"/>
      <c r="AB1119" s="1406"/>
      <c r="AC1119" s="1406"/>
      <c r="AD1119" s="1406"/>
      <c r="AE1119" s="1406"/>
      <c r="AF1119" s="1406"/>
      <c r="AG1119" s="1406"/>
      <c r="AH1119" s="1406"/>
      <c r="AI1119" s="1406"/>
      <c r="AJ1119" s="1406"/>
      <c r="AK1119" s="1406"/>
      <c r="AL1119" s="1406"/>
      <c r="AM1119" s="1406"/>
      <c r="AN1119" s="1406"/>
      <c r="AO1119" s="1405"/>
      <c r="AP1119" s="1405"/>
      <c r="AQ1119" s="1405"/>
      <c r="AR1119" s="1405"/>
      <c r="AS1119" s="1405"/>
      <c r="AT1119" s="1405"/>
      <c r="AU1119" s="1405"/>
      <c r="AV1119" s="1405"/>
    </row>
    <row r="1120" spans="1:48" s="1431" customFormat="1">
      <c r="A1120" s="1399"/>
      <c r="B1120" s="1429"/>
      <c r="C1120" s="1430"/>
      <c r="D1120" s="1400"/>
      <c r="E1120" s="1401"/>
      <c r="F1120" s="1401"/>
      <c r="G1120" s="1402"/>
      <c r="H1120" s="1403"/>
      <c r="I1120" s="1404"/>
      <c r="J1120" s="1405"/>
      <c r="K1120" s="1405"/>
      <c r="L1120" s="1405"/>
      <c r="M1120" s="1405"/>
      <c r="N1120" s="1406"/>
      <c r="O1120" s="1406"/>
      <c r="P1120" s="1406"/>
      <c r="Q1120" s="1406"/>
      <c r="R1120" s="1406"/>
      <c r="S1120" s="1406"/>
      <c r="T1120" s="1406"/>
      <c r="U1120" s="1406"/>
      <c r="V1120" s="1406"/>
      <c r="W1120" s="1406"/>
      <c r="X1120" s="1406"/>
      <c r="Y1120" s="1406"/>
      <c r="Z1120" s="1406"/>
      <c r="AA1120" s="1406"/>
      <c r="AB1120" s="1406"/>
      <c r="AC1120" s="1406"/>
      <c r="AD1120" s="1406"/>
      <c r="AE1120" s="1406"/>
      <c r="AF1120" s="1406"/>
      <c r="AG1120" s="1406"/>
      <c r="AH1120" s="1406"/>
      <c r="AI1120" s="1406"/>
      <c r="AJ1120" s="1406"/>
      <c r="AK1120" s="1406"/>
      <c r="AL1120" s="1406"/>
      <c r="AM1120" s="1406"/>
      <c r="AN1120" s="1406"/>
      <c r="AO1120" s="1405"/>
      <c r="AP1120" s="1405"/>
      <c r="AQ1120" s="1405"/>
      <c r="AR1120" s="1405"/>
      <c r="AS1120" s="1405"/>
      <c r="AT1120" s="1405"/>
      <c r="AU1120" s="1405"/>
      <c r="AV1120" s="1405"/>
    </row>
    <row r="1121" spans="1:48" s="1431" customFormat="1">
      <c r="A1121" s="1399"/>
      <c r="B1121" s="1429"/>
      <c r="C1121" s="1430"/>
      <c r="D1121" s="1400"/>
      <c r="E1121" s="1401"/>
      <c r="F1121" s="1401"/>
      <c r="G1121" s="1402"/>
      <c r="H1121" s="1403"/>
      <c r="I1121" s="1404"/>
      <c r="J1121" s="1405"/>
      <c r="K1121" s="1405"/>
      <c r="L1121" s="1405"/>
      <c r="M1121" s="1405"/>
      <c r="N1121" s="1406"/>
      <c r="O1121" s="1406"/>
      <c r="P1121" s="1406"/>
      <c r="Q1121" s="1406"/>
      <c r="R1121" s="1406"/>
      <c r="S1121" s="1406"/>
      <c r="T1121" s="1406"/>
      <c r="U1121" s="1406"/>
      <c r="V1121" s="1406"/>
      <c r="W1121" s="1406"/>
      <c r="X1121" s="1406"/>
      <c r="Y1121" s="1406"/>
      <c r="Z1121" s="1406"/>
      <c r="AA1121" s="1406"/>
      <c r="AB1121" s="1406"/>
      <c r="AC1121" s="1406"/>
      <c r="AD1121" s="1406"/>
      <c r="AE1121" s="1406"/>
      <c r="AF1121" s="1406"/>
      <c r="AG1121" s="1406"/>
      <c r="AH1121" s="1406"/>
      <c r="AI1121" s="1406"/>
      <c r="AJ1121" s="1406"/>
      <c r="AK1121" s="1406"/>
      <c r="AL1121" s="1406"/>
      <c r="AM1121" s="1406"/>
      <c r="AN1121" s="1406"/>
      <c r="AO1121" s="1405"/>
      <c r="AP1121" s="1405"/>
      <c r="AQ1121" s="1405"/>
      <c r="AR1121" s="1405"/>
      <c r="AS1121" s="1405"/>
      <c r="AT1121" s="1405"/>
      <c r="AU1121" s="1405"/>
      <c r="AV1121" s="1405"/>
    </row>
    <row r="1122" spans="1:48" s="1431" customFormat="1">
      <c r="A1122" s="1399"/>
      <c r="B1122" s="1429"/>
      <c r="C1122" s="1430"/>
      <c r="D1122" s="1400"/>
      <c r="E1122" s="1401"/>
      <c r="F1122" s="1401"/>
      <c r="G1122" s="1402"/>
      <c r="H1122" s="1403"/>
      <c r="I1122" s="1404"/>
      <c r="J1122" s="1405"/>
      <c r="K1122" s="1405"/>
      <c r="L1122" s="1405"/>
      <c r="M1122" s="1405"/>
      <c r="N1122" s="1406"/>
      <c r="O1122" s="1406"/>
      <c r="P1122" s="1406"/>
      <c r="Q1122" s="1406"/>
      <c r="R1122" s="1406"/>
      <c r="S1122" s="1406"/>
      <c r="T1122" s="1406"/>
      <c r="U1122" s="1406"/>
      <c r="V1122" s="1406"/>
      <c r="W1122" s="1406"/>
      <c r="X1122" s="1406"/>
      <c r="Y1122" s="1406"/>
      <c r="Z1122" s="1406"/>
      <c r="AA1122" s="1406"/>
      <c r="AB1122" s="1406"/>
      <c r="AC1122" s="1406"/>
      <c r="AD1122" s="1406"/>
      <c r="AE1122" s="1406"/>
      <c r="AF1122" s="1406"/>
      <c r="AG1122" s="1406"/>
      <c r="AH1122" s="1406"/>
      <c r="AI1122" s="1406"/>
      <c r="AJ1122" s="1406"/>
      <c r="AK1122" s="1406"/>
      <c r="AL1122" s="1406"/>
      <c r="AM1122" s="1406"/>
      <c r="AN1122" s="1406"/>
      <c r="AO1122" s="1405"/>
      <c r="AP1122" s="1405"/>
      <c r="AQ1122" s="1405"/>
      <c r="AR1122" s="1405"/>
      <c r="AS1122" s="1405"/>
      <c r="AT1122" s="1405"/>
      <c r="AU1122" s="1405"/>
      <c r="AV1122" s="1405"/>
    </row>
    <row r="1123" spans="1:48" s="1431" customFormat="1">
      <c r="A1123" s="1399"/>
      <c r="B1123" s="1429"/>
      <c r="C1123" s="1430"/>
      <c r="D1123" s="1400"/>
      <c r="E1123" s="1401"/>
      <c r="F1123" s="1401"/>
      <c r="G1123" s="1402"/>
      <c r="H1123" s="1403"/>
      <c r="I1123" s="1404"/>
      <c r="J1123" s="1405"/>
      <c r="K1123" s="1405"/>
      <c r="L1123" s="1405"/>
      <c r="M1123" s="1405"/>
      <c r="N1123" s="1406"/>
      <c r="O1123" s="1406"/>
      <c r="P1123" s="1406"/>
      <c r="Q1123" s="1406"/>
      <c r="R1123" s="1406"/>
      <c r="S1123" s="1406"/>
      <c r="T1123" s="1406"/>
      <c r="U1123" s="1406"/>
      <c r="V1123" s="1406"/>
      <c r="W1123" s="1406"/>
      <c r="X1123" s="1406"/>
      <c r="Y1123" s="1406"/>
      <c r="Z1123" s="1406"/>
      <c r="AA1123" s="1406"/>
      <c r="AB1123" s="1406"/>
      <c r="AC1123" s="1406"/>
      <c r="AD1123" s="1406"/>
      <c r="AE1123" s="1406"/>
      <c r="AF1123" s="1406"/>
      <c r="AG1123" s="1406"/>
      <c r="AH1123" s="1406"/>
      <c r="AI1123" s="1406"/>
      <c r="AJ1123" s="1406"/>
      <c r="AK1123" s="1406"/>
      <c r="AL1123" s="1406"/>
      <c r="AM1123" s="1406"/>
      <c r="AN1123" s="1406"/>
      <c r="AO1123" s="1405"/>
      <c r="AP1123" s="1405"/>
      <c r="AQ1123" s="1405"/>
      <c r="AR1123" s="1405"/>
      <c r="AS1123" s="1405"/>
      <c r="AT1123" s="1405"/>
      <c r="AU1123" s="1405"/>
      <c r="AV1123" s="1405"/>
    </row>
    <row r="1124" spans="1:48" s="1431" customFormat="1">
      <c r="A1124" s="1399"/>
      <c r="B1124" s="1429"/>
      <c r="C1124" s="1430"/>
      <c r="D1124" s="1400"/>
      <c r="E1124" s="1401"/>
      <c r="F1124" s="1401"/>
      <c r="G1124" s="1402"/>
      <c r="H1124" s="1403"/>
      <c r="I1124" s="1404"/>
      <c r="J1124" s="1405"/>
      <c r="K1124" s="1405"/>
      <c r="L1124" s="1405"/>
      <c r="M1124" s="1405"/>
      <c r="N1124" s="1406"/>
      <c r="O1124" s="1406"/>
      <c r="P1124" s="1406"/>
      <c r="Q1124" s="1406"/>
      <c r="R1124" s="1406"/>
      <c r="S1124" s="1406"/>
      <c r="T1124" s="1406"/>
      <c r="U1124" s="1406"/>
      <c r="V1124" s="1406"/>
      <c r="W1124" s="1406"/>
      <c r="X1124" s="1406"/>
      <c r="Y1124" s="1406"/>
      <c r="Z1124" s="1406"/>
      <c r="AA1124" s="1406"/>
      <c r="AB1124" s="1406"/>
      <c r="AC1124" s="1406"/>
      <c r="AD1124" s="1406"/>
      <c r="AE1124" s="1406"/>
      <c r="AF1124" s="1406"/>
      <c r="AG1124" s="1406"/>
      <c r="AH1124" s="1406"/>
      <c r="AI1124" s="1406"/>
      <c r="AJ1124" s="1406"/>
      <c r="AK1124" s="1406"/>
      <c r="AL1124" s="1406"/>
      <c r="AM1124" s="1406"/>
      <c r="AN1124" s="1406"/>
      <c r="AO1124" s="1405"/>
      <c r="AP1124" s="1405"/>
      <c r="AQ1124" s="1405"/>
      <c r="AR1124" s="1405"/>
      <c r="AS1124" s="1405"/>
      <c r="AT1124" s="1405"/>
      <c r="AU1124" s="1405"/>
      <c r="AV1124" s="1405"/>
    </row>
    <row r="1125" spans="1:48" s="1431" customFormat="1">
      <c r="A1125" s="1399"/>
      <c r="B1125" s="1429"/>
      <c r="C1125" s="1430"/>
      <c r="D1125" s="1400"/>
      <c r="E1125" s="1401"/>
      <c r="F1125" s="1401"/>
      <c r="G1125" s="1402"/>
      <c r="H1125" s="1403"/>
      <c r="I1125" s="1404"/>
      <c r="J1125" s="1405"/>
      <c r="K1125" s="1405"/>
      <c r="L1125" s="1405"/>
      <c r="M1125" s="1405"/>
      <c r="N1125" s="1406"/>
      <c r="O1125" s="1406"/>
      <c r="P1125" s="1406"/>
      <c r="Q1125" s="1406"/>
      <c r="R1125" s="1406"/>
      <c r="S1125" s="1406"/>
      <c r="T1125" s="1406"/>
      <c r="U1125" s="1406"/>
      <c r="V1125" s="1406"/>
      <c r="W1125" s="1406"/>
      <c r="X1125" s="1406"/>
      <c r="Y1125" s="1406"/>
      <c r="Z1125" s="1406"/>
      <c r="AA1125" s="1406"/>
      <c r="AB1125" s="1406"/>
      <c r="AC1125" s="1406"/>
      <c r="AD1125" s="1406"/>
      <c r="AE1125" s="1406"/>
      <c r="AF1125" s="1406"/>
      <c r="AG1125" s="1406"/>
      <c r="AH1125" s="1406"/>
      <c r="AI1125" s="1406"/>
      <c r="AJ1125" s="1406"/>
      <c r="AK1125" s="1406"/>
      <c r="AL1125" s="1406"/>
      <c r="AM1125" s="1406"/>
      <c r="AN1125" s="1406"/>
      <c r="AO1125" s="1405"/>
      <c r="AP1125" s="1405"/>
      <c r="AQ1125" s="1405"/>
      <c r="AR1125" s="1405"/>
      <c r="AS1125" s="1405"/>
      <c r="AT1125" s="1405"/>
      <c r="AU1125" s="1405"/>
      <c r="AV1125" s="1405"/>
    </row>
    <row r="1126" spans="1:48" s="1431" customFormat="1">
      <c r="A1126" s="1399"/>
      <c r="B1126" s="1429"/>
      <c r="C1126" s="1430"/>
      <c r="D1126" s="1400"/>
      <c r="E1126" s="1401"/>
      <c r="F1126" s="1401"/>
      <c r="G1126" s="1402"/>
      <c r="H1126" s="1403"/>
      <c r="I1126" s="1404"/>
      <c r="J1126" s="1405"/>
      <c r="K1126" s="1405"/>
      <c r="L1126" s="1405"/>
      <c r="M1126" s="1405"/>
      <c r="N1126" s="1406"/>
      <c r="O1126" s="1406"/>
      <c r="P1126" s="1406"/>
      <c r="Q1126" s="1406"/>
      <c r="R1126" s="1406"/>
      <c r="S1126" s="1406"/>
      <c r="T1126" s="1406"/>
      <c r="U1126" s="1406"/>
      <c r="V1126" s="1406"/>
      <c r="W1126" s="1406"/>
      <c r="X1126" s="1406"/>
      <c r="Y1126" s="1406"/>
      <c r="Z1126" s="1406"/>
      <c r="AA1126" s="1406"/>
      <c r="AB1126" s="1406"/>
      <c r="AC1126" s="1406"/>
      <c r="AD1126" s="1406"/>
      <c r="AE1126" s="1406"/>
      <c r="AF1126" s="1406"/>
      <c r="AG1126" s="1406"/>
      <c r="AH1126" s="1406"/>
      <c r="AI1126" s="1406"/>
      <c r="AJ1126" s="1406"/>
      <c r="AK1126" s="1406"/>
      <c r="AL1126" s="1406"/>
      <c r="AM1126" s="1406"/>
      <c r="AN1126" s="1406"/>
      <c r="AO1126" s="1405"/>
      <c r="AP1126" s="1405"/>
      <c r="AQ1126" s="1405"/>
      <c r="AR1126" s="1405"/>
      <c r="AS1126" s="1405"/>
      <c r="AT1126" s="1405"/>
      <c r="AU1126" s="1405"/>
      <c r="AV1126" s="1405"/>
    </row>
    <row r="1127" spans="1:48" s="1431" customFormat="1">
      <c r="A1127" s="1399"/>
      <c r="B1127" s="1429"/>
      <c r="C1127" s="1430"/>
      <c r="D1127" s="1400"/>
      <c r="E1127" s="1401"/>
      <c r="F1127" s="1401"/>
      <c r="G1127" s="1402"/>
      <c r="H1127" s="1403"/>
      <c r="I1127" s="1404"/>
      <c r="J1127" s="1405"/>
      <c r="K1127" s="1405"/>
      <c r="L1127" s="1405"/>
      <c r="M1127" s="1405"/>
      <c r="N1127" s="1406"/>
      <c r="O1127" s="1406"/>
      <c r="P1127" s="1406"/>
      <c r="Q1127" s="1406"/>
      <c r="R1127" s="1406"/>
      <c r="S1127" s="1406"/>
      <c r="T1127" s="1406"/>
      <c r="U1127" s="1406"/>
      <c r="V1127" s="1406"/>
      <c r="W1127" s="1406"/>
      <c r="X1127" s="1406"/>
      <c r="Y1127" s="1406"/>
      <c r="Z1127" s="1406"/>
      <c r="AA1127" s="1406"/>
      <c r="AB1127" s="1406"/>
      <c r="AC1127" s="1406"/>
      <c r="AD1127" s="1406"/>
      <c r="AE1127" s="1406"/>
      <c r="AF1127" s="1406"/>
      <c r="AG1127" s="1406"/>
      <c r="AH1127" s="1406"/>
      <c r="AI1127" s="1406"/>
      <c r="AJ1127" s="1406"/>
      <c r="AK1127" s="1406"/>
      <c r="AL1127" s="1406"/>
      <c r="AM1127" s="1406"/>
      <c r="AN1127" s="1406"/>
      <c r="AO1127" s="1405"/>
      <c r="AP1127" s="1405"/>
      <c r="AQ1127" s="1405"/>
      <c r="AR1127" s="1405"/>
      <c r="AS1127" s="1405"/>
      <c r="AT1127" s="1405"/>
      <c r="AU1127" s="1405"/>
      <c r="AV1127" s="1405"/>
    </row>
    <row r="1128" spans="1:48" s="1431" customFormat="1">
      <c r="A1128" s="1399"/>
      <c r="B1128" s="1429"/>
      <c r="C1128" s="1430"/>
      <c r="D1128" s="1400"/>
      <c r="E1128" s="1401"/>
      <c r="F1128" s="1401"/>
      <c r="G1128" s="1402"/>
      <c r="H1128" s="1403"/>
      <c r="I1128" s="1404"/>
      <c r="J1128" s="1405"/>
      <c r="K1128" s="1405"/>
      <c r="L1128" s="1405"/>
      <c r="M1128" s="1405"/>
      <c r="N1128" s="1406"/>
      <c r="O1128" s="1406"/>
      <c r="P1128" s="1406"/>
      <c r="Q1128" s="1406"/>
      <c r="R1128" s="1406"/>
      <c r="S1128" s="1406"/>
      <c r="T1128" s="1406"/>
      <c r="U1128" s="1406"/>
      <c r="V1128" s="1406"/>
      <c r="W1128" s="1406"/>
      <c r="X1128" s="1406"/>
      <c r="Y1128" s="1406"/>
      <c r="Z1128" s="1406"/>
      <c r="AA1128" s="1406"/>
      <c r="AB1128" s="1406"/>
      <c r="AC1128" s="1406"/>
      <c r="AD1128" s="1406"/>
      <c r="AE1128" s="1406"/>
      <c r="AF1128" s="1406"/>
      <c r="AG1128" s="1406"/>
      <c r="AH1128" s="1406"/>
      <c r="AI1128" s="1406"/>
      <c r="AJ1128" s="1406"/>
      <c r="AK1128" s="1406"/>
      <c r="AL1128" s="1406"/>
      <c r="AM1128" s="1406"/>
      <c r="AN1128" s="1406"/>
      <c r="AO1128" s="1405"/>
      <c r="AP1128" s="1405"/>
      <c r="AQ1128" s="1405"/>
      <c r="AR1128" s="1405"/>
      <c r="AS1128" s="1405"/>
      <c r="AT1128" s="1405"/>
      <c r="AU1128" s="1405"/>
      <c r="AV1128" s="1405"/>
    </row>
    <row r="1129" spans="1:48" s="1431" customFormat="1">
      <c r="A1129" s="1399"/>
      <c r="B1129" s="1429"/>
      <c r="C1129" s="1430"/>
      <c r="D1129" s="1400"/>
      <c r="E1129" s="1401"/>
      <c r="F1129" s="1401"/>
      <c r="G1129" s="1402"/>
      <c r="H1129" s="1403"/>
      <c r="I1129" s="1404"/>
      <c r="J1129" s="1405"/>
      <c r="K1129" s="1405"/>
      <c r="L1129" s="1405"/>
      <c r="M1129" s="1405"/>
      <c r="N1129" s="1406"/>
      <c r="O1129" s="1406"/>
      <c r="P1129" s="1406"/>
      <c r="Q1129" s="1406"/>
      <c r="R1129" s="1406"/>
      <c r="S1129" s="1406"/>
      <c r="T1129" s="1406"/>
      <c r="U1129" s="1406"/>
      <c r="V1129" s="1406"/>
      <c r="W1129" s="1406"/>
      <c r="X1129" s="1406"/>
      <c r="Y1129" s="1406"/>
      <c r="Z1129" s="1406"/>
      <c r="AA1129" s="1406"/>
      <c r="AB1129" s="1406"/>
      <c r="AC1129" s="1406"/>
      <c r="AD1129" s="1406"/>
      <c r="AE1129" s="1406"/>
      <c r="AF1129" s="1406"/>
      <c r="AG1129" s="1406"/>
      <c r="AH1129" s="1406"/>
      <c r="AI1129" s="1406"/>
      <c r="AJ1129" s="1406"/>
      <c r="AK1129" s="1406"/>
      <c r="AL1129" s="1406"/>
      <c r="AM1129" s="1406"/>
      <c r="AN1129" s="1406"/>
      <c r="AO1129" s="1405"/>
      <c r="AP1129" s="1405"/>
      <c r="AQ1129" s="1405"/>
      <c r="AR1129" s="1405"/>
      <c r="AS1129" s="1405"/>
      <c r="AT1129" s="1405"/>
      <c r="AU1129" s="1405"/>
      <c r="AV1129" s="1405"/>
    </row>
    <row r="1130" spans="1:48" s="1431" customFormat="1">
      <c r="A1130" s="1399"/>
      <c r="B1130" s="1429"/>
      <c r="C1130" s="1430"/>
      <c r="D1130" s="1400"/>
      <c r="E1130" s="1401"/>
      <c r="F1130" s="1401"/>
      <c r="G1130" s="1402"/>
      <c r="H1130" s="1403"/>
      <c r="I1130" s="1404"/>
      <c r="J1130" s="1405"/>
      <c r="K1130" s="1405"/>
      <c r="L1130" s="1405"/>
      <c r="M1130" s="1405"/>
      <c r="N1130" s="1406"/>
      <c r="O1130" s="1406"/>
      <c r="P1130" s="1406"/>
      <c r="Q1130" s="1406"/>
      <c r="R1130" s="1406"/>
      <c r="S1130" s="1406"/>
      <c r="T1130" s="1406"/>
      <c r="U1130" s="1406"/>
      <c r="V1130" s="1406"/>
      <c r="W1130" s="1406"/>
      <c r="X1130" s="1406"/>
      <c r="Y1130" s="1406"/>
      <c r="Z1130" s="1406"/>
      <c r="AA1130" s="1406"/>
      <c r="AB1130" s="1406"/>
      <c r="AC1130" s="1406"/>
      <c r="AD1130" s="1406"/>
      <c r="AE1130" s="1406"/>
      <c r="AF1130" s="1406"/>
      <c r="AG1130" s="1406"/>
      <c r="AH1130" s="1406"/>
      <c r="AI1130" s="1406"/>
      <c r="AJ1130" s="1406"/>
      <c r="AK1130" s="1406"/>
      <c r="AL1130" s="1406"/>
      <c r="AM1130" s="1406"/>
      <c r="AN1130" s="1406"/>
      <c r="AO1130" s="1405"/>
      <c r="AP1130" s="1405"/>
      <c r="AQ1130" s="1405"/>
      <c r="AR1130" s="1405"/>
      <c r="AS1130" s="1405"/>
      <c r="AT1130" s="1405"/>
      <c r="AU1130" s="1405"/>
      <c r="AV1130" s="1405"/>
    </row>
    <row r="1131" spans="1:48" s="1431" customFormat="1">
      <c r="A1131" s="1399"/>
      <c r="B1131" s="1429"/>
      <c r="C1131" s="1430"/>
      <c r="D1131" s="1400"/>
      <c r="E1131" s="1401"/>
      <c r="F1131" s="1401"/>
      <c r="G1131" s="1402"/>
      <c r="H1131" s="1403"/>
      <c r="I1131" s="1404"/>
      <c r="J1131" s="1405"/>
      <c r="K1131" s="1405"/>
      <c r="L1131" s="1405"/>
      <c r="M1131" s="1405"/>
      <c r="N1131" s="1406"/>
      <c r="O1131" s="1406"/>
      <c r="P1131" s="1406"/>
      <c r="Q1131" s="1406"/>
      <c r="R1131" s="1406"/>
      <c r="S1131" s="1406"/>
      <c r="T1131" s="1406"/>
      <c r="U1131" s="1406"/>
      <c r="V1131" s="1406"/>
      <c r="W1131" s="1406"/>
      <c r="X1131" s="1406"/>
      <c r="Y1131" s="1406"/>
      <c r="Z1131" s="1406"/>
      <c r="AA1131" s="1406"/>
      <c r="AB1131" s="1406"/>
      <c r="AC1131" s="1406"/>
      <c r="AD1131" s="1406"/>
      <c r="AE1131" s="1406"/>
      <c r="AF1131" s="1406"/>
      <c r="AG1131" s="1406"/>
      <c r="AH1131" s="1406"/>
      <c r="AI1131" s="1406"/>
      <c r="AJ1131" s="1406"/>
      <c r="AK1131" s="1406"/>
      <c r="AL1131" s="1406"/>
      <c r="AM1131" s="1406"/>
      <c r="AN1131" s="1406"/>
      <c r="AO1131" s="1405"/>
      <c r="AP1131" s="1405"/>
      <c r="AQ1131" s="1405"/>
      <c r="AR1131" s="1405"/>
      <c r="AS1131" s="1405"/>
      <c r="AT1131" s="1405"/>
      <c r="AU1131" s="1405"/>
      <c r="AV1131" s="1405"/>
    </row>
    <row r="1132" spans="1:48" s="1431" customFormat="1">
      <c r="A1132" s="1399"/>
      <c r="B1132" s="1429"/>
      <c r="C1132" s="1430"/>
      <c r="D1132" s="1400"/>
      <c r="E1132" s="1401"/>
      <c r="F1132" s="1401"/>
      <c r="G1132" s="1402"/>
      <c r="H1132" s="1403"/>
      <c r="I1132" s="1404"/>
      <c r="J1132" s="1405"/>
      <c r="K1132" s="1405"/>
      <c r="L1132" s="1405"/>
      <c r="M1132" s="1405"/>
      <c r="N1132" s="1406"/>
      <c r="O1132" s="1406"/>
      <c r="P1132" s="1406"/>
      <c r="Q1132" s="1406"/>
      <c r="R1132" s="1406"/>
      <c r="S1132" s="1406"/>
      <c r="T1132" s="1406"/>
      <c r="U1132" s="1406"/>
      <c r="V1132" s="1406"/>
      <c r="W1132" s="1406"/>
      <c r="X1132" s="1406"/>
      <c r="Y1132" s="1406"/>
      <c r="Z1132" s="1406"/>
      <c r="AA1132" s="1406"/>
      <c r="AB1132" s="1406"/>
      <c r="AC1132" s="1406"/>
      <c r="AD1132" s="1406"/>
      <c r="AE1132" s="1406"/>
      <c r="AF1132" s="1406"/>
      <c r="AG1132" s="1406"/>
      <c r="AH1132" s="1406"/>
      <c r="AI1132" s="1406"/>
      <c r="AJ1132" s="1406"/>
      <c r="AK1132" s="1406"/>
      <c r="AL1132" s="1406"/>
      <c r="AM1132" s="1406"/>
      <c r="AN1132" s="1406"/>
      <c r="AO1132" s="1405"/>
      <c r="AP1132" s="1405"/>
      <c r="AQ1132" s="1405"/>
      <c r="AR1132" s="1405"/>
      <c r="AS1132" s="1405"/>
      <c r="AT1132" s="1405"/>
      <c r="AU1132" s="1405"/>
      <c r="AV1132" s="1405"/>
    </row>
    <row r="1133" spans="1:48" s="1431" customFormat="1">
      <c r="A1133" s="1399"/>
      <c r="B1133" s="1429"/>
      <c r="C1133" s="1430"/>
      <c r="D1133" s="1400"/>
      <c r="E1133" s="1401"/>
      <c r="F1133" s="1401"/>
      <c r="G1133" s="1402"/>
      <c r="H1133" s="1403"/>
      <c r="I1133" s="1404"/>
      <c r="J1133" s="1405"/>
      <c r="K1133" s="1405"/>
      <c r="L1133" s="1405"/>
      <c r="M1133" s="1405"/>
      <c r="N1133" s="1406"/>
      <c r="O1133" s="1406"/>
      <c r="P1133" s="1406"/>
      <c r="Q1133" s="1406"/>
      <c r="R1133" s="1406"/>
      <c r="S1133" s="1406"/>
      <c r="T1133" s="1406"/>
      <c r="U1133" s="1406"/>
      <c r="V1133" s="1406"/>
      <c r="W1133" s="1406"/>
      <c r="X1133" s="1406"/>
      <c r="Y1133" s="1406"/>
      <c r="Z1133" s="1406"/>
      <c r="AA1133" s="1406"/>
      <c r="AB1133" s="1406"/>
      <c r="AC1133" s="1406"/>
      <c r="AD1133" s="1406"/>
      <c r="AE1133" s="1406"/>
      <c r="AF1133" s="1406"/>
      <c r="AG1133" s="1406"/>
      <c r="AH1133" s="1406"/>
      <c r="AI1133" s="1406"/>
      <c r="AJ1133" s="1406"/>
      <c r="AK1133" s="1406"/>
      <c r="AL1133" s="1406"/>
      <c r="AM1133" s="1406"/>
      <c r="AN1133" s="1406"/>
      <c r="AO1133" s="1405"/>
      <c r="AP1133" s="1405"/>
      <c r="AQ1133" s="1405"/>
      <c r="AR1133" s="1405"/>
      <c r="AS1133" s="1405"/>
      <c r="AT1133" s="1405"/>
      <c r="AU1133" s="1405"/>
      <c r="AV1133" s="1405"/>
    </row>
    <row r="1134" spans="1:48" s="1431" customFormat="1">
      <c r="A1134" s="1399"/>
      <c r="B1134" s="1429"/>
      <c r="C1134" s="1430"/>
      <c r="D1134" s="1400"/>
      <c r="E1134" s="1401"/>
      <c r="F1134" s="1401"/>
      <c r="G1134" s="1402"/>
      <c r="H1134" s="1403"/>
      <c r="I1134" s="1404"/>
      <c r="J1134" s="1405"/>
      <c r="K1134" s="1405"/>
      <c r="L1134" s="1405"/>
      <c r="M1134" s="1405"/>
      <c r="N1134" s="1406"/>
      <c r="O1134" s="1406"/>
      <c r="P1134" s="1406"/>
      <c r="Q1134" s="1406"/>
      <c r="R1134" s="1406"/>
      <c r="S1134" s="1406"/>
      <c r="T1134" s="1406"/>
      <c r="U1134" s="1406"/>
      <c r="V1134" s="1406"/>
      <c r="W1134" s="1406"/>
      <c r="X1134" s="1406"/>
      <c r="Y1134" s="1406"/>
      <c r="Z1134" s="1406"/>
      <c r="AA1134" s="1406"/>
      <c r="AB1134" s="1406"/>
      <c r="AC1134" s="1406"/>
      <c r="AD1134" s="1406"/>
      <c r="AE1134" s="1406"/>
      <c r="AF1134" s="1406"/>
      <c r="AG1134" s="1406"/>
      <c r="AH1134" s="1406"/>
      <c r="AI1134" s="1406"/>
      <c r="AJ1134" s="1406"/>
      <c r="AK1134" s="1406"/>
      <c r="AL1134" s="1406"/>
      <c r="AM1134" s="1406"/>
      <c r="AN1134" s="1406"/>
      <c r="AO1134" s="1405"/>
      <c r="AP1134" s="1405"/>
      <c r="AQ1134" s="1405"/>
      <c r="AR1134" s="1405"/>
      <c r="AS1134" s="1405"/>
      <c r="AT1134" s="1405"/>
      <c r="AU1134" s="1405"/>
      <c r="AV1134" s="1405"/>
    </row>
    <row r="1135" spans="1:48" s="1431" customFormat="1">
      <c r="A1135" s="1399"/>
      <c r="B1135" s="1429"/>
      <c r="C1135" s="1430"/>
      <c r="D1135" s="1400"/>
      <c r="E1135" s="1401"/>
      <c r="F1135" s="1401"/>
      <c r="G1135" s="1402"/>
      <c r="H1135" s="1403"/>
      <c r="I1135" s="1404"/>
      <c r="J1135" s="1405"/>
      <c r="K1135" s="1405"/>
      <c r="L1135" s="1405"/>
      <c r="M1135" s="1405"/>
      <c r="N1135" s="1406"/>
      <c r="O1135" s="1406"/>
      <c r="P1135" s="1406"/>
      <c r="Q1135" s="1406"/>
      <c r="R1135" s="1406"/>
      <c r="S1135" s="1406"/>
      <c r="T1135" s="1406"/>
      <c r="U1135" s="1406"/>
      <c r="V1135" s="1406"/>
      <c r="W1135" s="1406"/>
      <c r="X1135" s="1406"/>
      <c r="Y1135" s="1406"/>
      <c r="Z1135" s="1406"/>
      <c r="AA1135" s="1406"/>
      <c r="AB1135" s="1406"/>
      <c r="AC1135" s="1406"/>
      <c r="AD1135" s="1406"/>
      <c r="AE1135" s="1406"/>
      <c r="AF1135" s="1406"/>
      <c r="AG1135" s="1406"/>
      <c r="AH1135" s="1406"/>
      <c r="AI1135" s="1406"/>
      <c r="AJ1135" s="1406"/>
      <c r="AK1135" s="1406"/>
      <c r="AL1135" s="1406"/>
      <c r="AM1135" s="1406"/>
      <c r="AN1135" s="1406"/>
      <c r="AO1135" s="1405"/>
      <c r="AP1135" s="1405"/>
      <c r="AQ1135" s="1405"/>
      <c r="AR1135" s="1405"/>
      <c r="AS1135" s="1405"/>
      <c r="AT1135" s="1405"/>
      <c r="AU1135" s="1405"/>
      <c r="AV1135" s="1405"/>
    </row>
    <row r="1136" spans="1:48" s="1431" customFormat="1">
      <c r="A1136" s="1399"/>
      <c r="B1136" s="1429"/>
      <c r="C1136" s="1430"/>
      <c r="D1136" s="1400"/>
      <c r="E1136" s="1401"/>
      <c r="F1136" s="1401"/>
      <c r="G1136" s="1402"/>
      <c r="H1136" s="1403"/>
      <c r="I1136" s="1404"/>
      <c r="J1136" s="1405"/>
      <c r="K1136" s="1405"/>
      <c r="L1136" s="1405"/>
      <c r="M1136" s="1405"/>
      <c r="N1136" s="1406"/>
      <c r="O1136" s="1406"/>
      <c r="P1136" s="1406"/>
      <c r="Q1136" s="1406"/>
      <c r="R1136" s="1406"/>
      <c r="S1136" s="1406"/>
      <c r="T1136" s="1406"/>
      <c r="U1136" s="1406"/>
      <c r="V1136" s="1406"/>
      <c r="W1136" s="1406"/>
      <c r="X1136" s="1406"/>
      <c r="Y1136" s="1406"/>
      <c r="Z1136" s="1406"/>
      <c r="AA1136" s="1406"/>
      <c r="AB1136" s="1406"/>
      <c r="AC1136" s="1406"/>
      <c r="AD1136" s="1406"/>
      <c r="AE1136" s="1406"/>
      <c r="AF1136" s="1406"/>
      <c r="AG1136" s="1406"/>
      <c r="AH1136" s="1406"/>
      <c r="AI1136" s="1406"/>
      <c r="AJ1136" s="1406"/>
      <c r="AK1136" s="1406"/>
      <c r="AL1136" s="1406"/>
      <c r="AM1136" s="1406"/>
      <c r="AN1136" s="1406"/>
      <c r="AO1136" s="1405"/>
      <c r="AP1136" s="1405"/>
      <c r="AQ1136" s="1405"/>
      <c r="AR1136" s="1405"/>
      <c r="AS1136" s="1405"/>
      <c r="AT1136" s="1405"/>
      <c r="AU1136" s="1405"/>
      <c r="AV1136" s="1405"/>
    </row>
    <row r="1137" spans="1:48" s="1431" customFormat="1">
      <c r="A1137" s="1399"/>
      <c r="B1137" s="1429"/>
      <c r="C1137" s="1430"/>
      <c r="D1137" s="1400"/>
      <c r="E1137" s="1401"/>
      <c r="F1137" s="1401"/>
      <c r="G1137" s="1402"/>
      <c r="H1137" s="1403"/>
      <c r="I1137" s="1404"/>
      <c r="J1137" s="1405"/>
      <c r="K1137" s="1405"/>
      <c r="L1137" s="1405"/>
      <c r="M1137" s="1405"/>
      <c r="N1137" s="1406"/>
      <c r="O1137" s="1406"/>
      <c r="P1137" s="1406"/>
      <c r="Q1137" s="1406"/>
      <c r="R1137" s="1406"/>
      <c r="S1137" s="1406"/>
      <c r="T1137" s="1406"/>
      <c r="U1137" s="1406"/>
      <c r="V1137" s="1406"/>
      <c r="W1137" s="1406"/>
      <c r="X1137" s="1406"/>
      <c r="Y1137" s="1406"/>
      <c r="Z1137" s="1406"/>
      <c r="AA1137" s="1406"/>
      <c r="AB1137" s="1406"/>
      <c r="AC1137" s="1406"/>
      <c r="AD1137" s="1406"/>
      <c r="AE1137" s="1406"/>
      <c r="AF1137" s="1406"/>
      <c r="AG1137" s="1406"/>
      <c r="AH1137" s="1406"/>
      <c r="AI1137" s="1406"/>
      <c r="AJ1137" s="1406"/>
      <c r="AK1137" s="1406"/>
      <c r="AL1137" s="1406"/>
      <c r="AM1137" s="1406"/>
      <c r="AN1137" s="1406"/>
      <c r="AO1137" s="1405"/>
      <c r="AP1137" s="1405"/>
      <c r="AQ1137" s="1405"/>
      <c r="AR1137" s="1405"/>
      <c r="AS1137" s="1405"/>
      <c r="AT1137" s="1405"/>
      <c r="AU1137" s="1405"/>
      <c r="AV1137" s="1405"/>
    </row>
    <row r="1138" spans="1:48" s="1431" customFormat="1">
      <c r="A1138" s="1399"/>
      <c r="B1138" s="1429"/>
      <c r="C1138" s="1430"/>
      <c r="D1138" s="1400"/>
      <c r="E1138" s="1401"/>
      <c r="F1138" s="1401"/>
      <c r="G1138" s="1402"/>
      <c r="H1138" s="1403"/>
      <c r="I1138" s="1404"/>
      <c r="J1138" s="1405"/>
      <c r="K1138" s="1405"/>
      <c r="L1138" s="1405"/>
      <c r="M1138" s="1405"/>
      <c r="N1138" s="1406"/>
      <c r="O1138" s="1406"/>
      <c r="P1138" s="1406"/>
      <c r="Q1138" s="1406"/>
      <c r="R1138" s="1406"/>
      <c r="S1138" s="1406"/>
      <c r="T1138" s="1406"/>
      <c r="U1138" s="1406"/>
      <c r="V1138" s="1406"/>
      <c r="W1138" s="1406"/>
      <c r="X1138" s="1406"/>
      <c r="Y1138" s="1406"/>
      <c r="Z1138" s="1406"/>
      <c r="AA1138" s="1406"/>
      <c r="AB1138" s="1406"/>
      <c r="AC1138" s="1406"/>
      <c r="AD1138" s="1406"/>
      <c r="AE1138" s="1406"/>
      <c r="AF1138" s="1406"/>
      <c r="AG1138" s="1406"/>
      <c r="AH1138" s="1406"/>
      <c r="AI1138" s="1406"/>
      <c r="AJ1138" s="1406"/>
      <c r="AK1138" s="1406"/>
      <c r="AL1138" s="1406"/>
      <c r="AM1138" s="1406"/>
      <c r="AN1138" s="1406"/>
      <c r="AO1138" s="1405"/>
      <c r="AP1138" s="1405"/>
      <c r="AQ1138" s="1405"/>
      <c r="AR1138" s="1405"/>
      <c r="AS1138" s="1405"/>
      <c r="AT1138" s="1405"/>
      <c r="AU1138" s="1405"/>
      <c r="AV1138" s="1405"/>
    </row>
    <row r="1139" spans="1:48" s="1431" customFormat="1">
      <c r="A1139" s="1399"/>
      <c r="B1139" s="1429"/>
      <c r="C1139" s="1430"/>
      <c r="D1139" s="1400"/>
      <c r="E1139" s="1401"/>
      <c r="F1139" s="1401"/>
      <c r="G1139" s="1402"/>
      <c r="H1139" s="1403"/>
      <c r="I1139" s="1404"/>
      <c r="J1139" s="1405"/>
      <c r="K1139" s="1405"/>
      <c r="L1139" s="1405"/>
      <c r="M1139" s="1405"/>
      <c r="N1139" s="1406"/>
      <c r="O1139" s="1406"/>
      <c r="P1139" s="1406"/>
      <c r="Q1139" s="1406"/>
      <c r="R1139" s="1406"/>
      <c r="S1139" s="1406"/>
      <c r="T1139" s="1406"/>
      <c r="U1139" s="1406"/>
      <c r="V1139" s="1406"/>
      <c r="W1139" s="1406"/>
      <c r="X1139" s="1406"/>
      <c r="Y1139" s="1406"/>
      <c r="Z1139" s="1406"/>
      <c r="AA1139" s="1406"/>
      <c r="AB1139" s="1406"/>
      <c r="AC1139" s="1406"/>
      <c r="AD1139" s="1406"/>
      <c r="AE1139" s="1406"/>
      <c r="AF1139" s="1406"/>
      <c r="AG1139" s="1406"/>
      <c r="AH1139" s="1406"/>
      <c r="AI1139" s="1406"/>
      <c r="AJ1139" s="1406"/>
      <c r="AK1139" s="1406"/>
      <c r="AL1139" s="1406"/>
      <c r="AM1139" s="1406"/>
      <c r="AN1139" s="1406"/>
      <c r="AO1139" s="1405"/>
      <c r="AP1139" s="1405"/>
      <c r="AQ1139" s="1405"/>
      <c r="AR1139" s="1405"/>
      <c r="AS1139" s="1405"/>
      <c r="AT1139" s="1405"/>
      <c r="AU1139" s="1405"/>
      <c r="AV1139" s="1405"/>
    </row>
    <row r="1140" spans="1:48" s="1431" customFormat="1">
      <c r="A1140" s="1399"/>
      <c r="B1140" s="1429"/>
      <c r="C1140" s="1430"/>
      <c r="D1140" s="1400"/>
      <c r="E1140" s="1401"/>
      <c r="F1140" s="1401"/>
      <c r="G1140" s="1402"/>
      <c r="H1140" s="1403"/>
      <c r="I1140" s="1404"/>
      <c r="J1140" s="1405"/>
      <c r="K1140" s="1405"/>
      <c r="L1140" s="1405"/>
      <c r="M1140" s="1405"/>
      <c r="N1140" s="1406"/>
      <c r="O1140" s="1406"/>
      <c r="P1140" s="1406"/>
      <c r="Q1140" s="1406"/>
      <c r="R1140" s="1406"/>
      <c r="S1140" s="1406"/>
      <c r="T1140" s="1406"/>
      <c r="U1140" s="1406"/>
      <c r="V1140" s="1406"/>
      <c r="W1140" s="1406"/>
      <c r="X1140" s="1406"/>
      <c r="Y1140" s="1406"/>
      <c r="Z1140" s="1406"/>
      <c r="AA1140" s="1406"/>
      <c r="AB1140" s="1406"/>
      <c r="AC1140" s="1406"/>
      <c r="AD1140" s="1406"/>
      <c r="AE1140" s="1406"/>
      <c r="AF1140" s="1406"/>
      <c r="AG1140" s="1406"/>
      <c r="AH1140" s="1406"/>
      <c r="AI1140" s="1406"/>
      <c r="AJ1140" s="1406"/>
      <c r="AK1140" s="1406"/>
      <c r="AL1140" s="1406"/>
      <c r="AM1140" s="1406"/>
      <c r="AN1140" s="1406"/>
      <c r="AO1140" s="1405"/>
      <c r="AP1140" s="1405"/>
      <c r="AQ1140" s="1405"/>
      <c r="AR1140" s="1405"/>
      <c r="AS1140" s="1405"/>
      <c r="AT1140" s="1405"/>
      <c r="AU1140" s="1405"/>
      <c r="AV1140" s="1405"/>
    </row>
    <row r="1141" spans="1:48" s="1431" customFormat="1">
      <c r="A1141" s="1399"/>
      <c r="B1141" s="1429"/>
      <c r="C1141" s="1430"/>
      <c r="D1141" s="1400"/>
      <c r="E1141" s="1401"/>
      <c r="F1141" s="1401"/>
      <c r="G1141" s="1402"/>
      <c r="H1141" s="1403"/>
      <c r="I1141" s="1404"/>
      <c r="J1141" s="1405"/>
      <c r="K1141" s="1405"/>
      <c r="L1141" s="1405"/>
      <c r="M1141" s="1405"/>
      <c r="N1141" s="1406"/>
      <c r="O1141" s="1406"/>
      <c r="P1141" s="1406"/>
      <c r="Q1141" s="1406"/>
      <c r="R1141" s="1406"/>
      <c r="S1141" s="1406"/>
      <c r="T1141" s="1406"/>
      <c r="U1141" s="1406"/>
      <c r="V1141" s="1406"/>
      <c r="W1141" s="1406"/>
      <c r="X1141" s="1406"/>
      <c r="Y1141" s="1406"/>
      <c r="Z1141" s="1406"/>
      <c r="AA1141" s="1406"/>
      <c r="AB1141" s="1406"/>
      <c r="AC1141" s="1406"/>
      <c r="AD1141" s="1406"/>
      <c r="AE1141" s="1406"/>
      <c r="AF1141" s="1406"/>
      <c r="AG1141" s="1406"/>
      <c r="AH1141" s="1406"/>
      <c r="AI1141" s="1406"/>
      <c r="AJ1141" s="1406"/>
      <c r="AK1141" s="1406"/>
      <c r="AL1141" s="1406"/>
      <c r="AM1141" s="1406"/>
      <c r="AN1141" s="1406"/>
      <c r="AO1141" s="1405"/>
      <c r="AP1141" s="1405"/>
      <c r="AQ1141" s="1405"/>
      <c r="AR1141" s="1405"/>
      <c r="AS1141" s="1405"/>
      <c r="AT1141" s="1405"/>
      <c r="AU1141" s="1405"/>
      <c r="AV1141" s="1405"/>
    </row>
    <row r="1142" spans="1:48" s="1431" customFormat="1">
      <c r="A1142" s="1399"/>
      <c r="B1142" s="1429"/>
      <c r="C1142" s="1430"/>
      <c r="D1142" s="1400"/>
      <c r="E1142" s="1401"/>
      <c r="F1142" s="1401"/>
      <c r="G1142" s="1402"/>
      <c r="H1142" s="1403"/>
      <c r="I1142" s="1404"/>
      <c r="J1142" s="1405"/>
      <c r="K1142" s="1405"/>
      <c r="L1142" s="1405"/>
      <c r="M1142" s="1405"/>
      <c r="N1142" s="1406"/>
      <c r="O1142" s="1406"/>
      <c r="P1142" s="1406"/>
      <c r="Q1142" s="1406"/>
      <c r="R1142" s="1406"/>
      <c r="S1142" s="1406"/>
      <c r="T1142" s="1406"/>
      <c r="U1142" s="1406"/>
      <c r="V1142" s="1406"/>
      <c r="W1142" s="1406"/>
      <c r="X1142" s="1406"/>
      <c r="Y1142" s="1406"/>
      <c r="Z1142" s="1406"/>
      <c r="AA1142" s="1406"/>
      <c r="AB1142" s="1406"/>
      <c r="AC1142" s="1406"/>
      <c r="AD1142" s="1406"/>
      <c r="AE1142" s="1406"/>
      <c r="AF1142" s="1406"/>
      <c r="AG1142" s="1406"/>
      <c r="AH1142" s="1406"/>
      <c r="AI1142" s="1406"/>
      <c r="AJ1142" s="1406"/>
      <c r="AK1142" s="1406"/>
      <c r="AL1142" s="1406"/>
      <c r="AM1142" s="1406"/>
      <c r="AN1142" s="1406"/>
      <c r="AO1142" s="1405"/>
      <c r="AP1142" s="1405"/>
      <c r="AQ1142" s="1405"/>
      <c r="AR1142" s="1405"/>
      <c r="AS1142" s="1405"/>
      <c r="AT1142" s="1405"/>
      <c r="AU1142" s="1405"/>
      <c r="AV1142" s="1405"/>
    </row>
    <row r="1143" spans="1:48" s="1431" customFormat="1">
      <c r="A1143" s="1399"/>
      <c r="B1143" s="1429"/>
      <c r="C1143" s="1430"/>
      <c r="D1143" s="1400"/>
      <c r="E1143" s="1401"/>
      <c r="F1143" s="1401"/>
      <c r="G1143" s="1402"/>
      <c r="H1143" s="1403"/>
      <c r="I1143" s="1404"/>
      <c r="J1143" s="1405"/>
      <c r="K1143" s="1405"/>
      <c r="L1143" s="1405"/>
      <c r="M1143" s="1405"/>
      <c r="N1143" s="1406"/>
      <c r="O1143" s="1406"/>
      <c r="P1143" s="1406"/>
      <c r="Q1143" s="1406"/>
      <c r="R1143" s="1406"/>
      <c r="S1143" s="1406"/>
      <c r="T1143" s="1406"/>
      <c r="U1143" s="1406"/>
      <c r="V1143" s="1406"/>
      <c r="W1143" s="1406"/>
      <c r="X1143" s="1406"/>
      <c r="Y1143" s="1406"/>
      <c r="Z1143" s="1406"/>
      <c r="AA1143" s="1406"/>
      <c r="AB1143" s="1406"/>
      <c r="AC1143" s="1406"/>
      <c r="AD1143" s="1406"/>
      <c r="AE1143" s="1406"/>
      <c r="AF1143" s="1406"/>
      <c r="AG1143" s="1406"/>
      <c r="AH1143" s="1406"/>
      <c r="AI1143" s="1406"/>
      <c r="AJ1143" s="1406"/>
      <c r="AK1143" s="1406"/>
      <c r="AL1143" s="1406"/>
      <c r="AM1143" s="1406"/>
      <c r="AN1143" s="1406"/>
      <c r="AO1143" s="1405"/>
      <c r="AP1143" s="1405"/>
      <c r="AQ1143" s="1405"/>
      <c r="AR1143" s="1405"/>
      <c r="AS1143" s="1405"/>
      <c r="AT1143" s="1405"/>
      <c r="AU1143" s="1405"/>
      <c r="AV1143" s="1405"/>
    </row>
    <row r="1144" spans="1:48" s="1431" customFormat="1">
      <c r="A1144" s="1399"/>
      <c r="B1144" s="1429"/>
      <c r="C1144" s="1430"/>
      <c r="D1144" s="1400"/>
      <c r="E1144" s="1401"/>
      <c r="F1144" s="1401"/>
      <c r="G1144" s="1402"/>
      <c r="H1144" s="1403"/>
      <c r="I1144" s="1404"/>
      <c r="J1144" s="1405"/>
      <c r="K1144" s="1405"/>
      <c r="L1144" s="1405"/>
      <c r="M1144" s="1405"/>
      <c r="N1144" s="1406"/>
      <c r="O1144" s="1406"/>
      <c r="P1144" s="1406"/>
      <c r="Q1144" s="1406"/>
      <c r="R1144" s="1406"/>
      <c r="S1144" s="1406"/>
      <c r="T1144" s="1406"/>
      <c r="U1144" s="1406"/>
      <c r="V1144" s="1406"/>
      <c r="W1144" s="1406"/>
      <c r="X1144" s="1406"/>
      <c r="Y1144" s="1406"/>
      <c r="Z1144" s="1406"/>
      <c r="AA1144" s="1406"/>
      <c r="AB1144" s="1406"/>
      <c r="AC1144" s="1406"/>
      <c r="AD1144" s="1406"/>
      <c r="AE1144" s="1406"/>
      <c r="AF1144" s="1406"/>
      <c r="AG1144" s="1406"/>
      <c r="AH1144" s="1406"/>
      <c r="AI1144" s="1406"/>
      <c r="AJ1144" s="1406"/>
      <c r="AK1144" s="1406"/>
      <c r="AL1144" s="1406"/>
      <c r="AM1144" s="1406"/>
      <c r="AN1144" s="1406"/>
      <c r="AO1144" s="1405"/>
      <c r="AP1144" s="1405"/>
      <c r="AQ1144" s="1405"/>
      <c r="AR1144" s="1405"/>
      <c r="AS1144" s="1405"/>
      <c r="AT1144" s="1405"/>
      <c r="AU1144" s="1405"/>
      <c r="AV1144" s="1405"/>
    </row>
    <row r="1145" spans="1:48" s="1431" customFormat="1">
      <c r="A1145" s="1399"/>
      <c r="B1145" s="1429"/>
      <c r="C1145" s="1430"/>
      <c r="D1145" s="1400"/>
      <c r="E1145" s="1401"/>
      <c r="F1145" s="1401"/>
      <c r="G1145" s="1402"/>
      <c r="H1145" s="1403"/>
      <c r="I1145" s="1404"/>
      <c r="J1145" s="1405"/>
      <c r="K1145" s="1405"/>
      <c r="L1145" s="1405"/>
      <c r="M1145" s="1405"/>
      <c r="N1145" s="1406"/>
      <c r="O1145" s="1406"/>
      <c r="P1145" s="1406"/>
      <c r="Q1145" s="1406"/>
      <c r="R1145" s="1406"/>
      <c r="S1145" s="1406"/>
      <c r="T1145" s="1406"/>
      <c r="U1145" s="1406"/>
      <c r="V1145" s="1406"/>
      <c r="W1145" s="1406"/>
      <c r="X1145" s="1406"/>
      <c r="Y1145" s="1406"/>
      <c r="Z1145" s="1406"/>
      <c r="AA1145" s="1406"/>
      <c r="AB1145" s="1406"/>
      <c r="AC1145" s="1406"/>
      <c r="AD1145" s="1406"/>
      <c r="AE1145" s="1406"/>
      <c r="AF1145" s="1406"/>
      <c r="AG1145" s="1406"/>
      <c r="AH1145" s="1406"/>
      <c r="AI1145" s="1406"/>
      <c r="AJ1145" s="1406"/>
      <c r="AK1145" s="1406"/>
      <c r="AL1145" s="1406"/>
      <c r="AM1145" s="1406"/>
      <c r="AN1145" s="1406"/>
      <c r="AO1145" s="1405"/>
      <c r="AP1145" s="1405"/>
      <c r="AQ1145" s="1405"/>
      <c r="AR1145" s="1405"/>
      <c r="AS1145" s="1405"/>
      <c r="AT1145" s="1405"/>
      <c r="AU1145" s="1405"/>
      <c r="AV1145" s="1405"/>
    </row>
    <row r="1146" spans="1:48" s="1431" customFormat="1">
      <c r="A1146" s="1399"/>
      <c r="B1146" s="1429"/>
      <c r="C1146" s="1430"/>
      <c r="D1146" s="1400"/>
      <c r="E1146" s="1401"/>
      <c r="F1146" s="1401"/>
      <c r="G1146" s="1402"/>
      <c r="H1146" s="1403"/>
      <c r="I1146" s="1404"/>
      <c r="J1146" s="1405"/>
      <c r="K1146" s="1405"/>
      <c r="L1146" s="1405"/>
      <c r="M1146" s="1405"/>
      <c r="N1146" s="1406"/>
      <c r="O1146" s="1406"/>
      <c r="P1146" s="1406"/>
      <c r="Q1146" s="1406"/>
      <c r="R1146" s="1406"/>
      <c r="S1146" s="1406"/>
      <c r="T1146" s="1406"/>
      <c r="U1146" s="1406"/>
      <c r="V1146" s="1406"/>
      <c r="W1146" s="1406"/>
      <c r="X1146" s="1406"/>
      <c r="Y1146" s="1406"/>
      <c r="Z1146" s="1406"/>
      <c r="AA1146" s="1406"/>
      <c r="AB1146" s="1406"/>
      <c r="AC1146" s="1406"/>
      <c r="AD1146" s="1406"/>
      <c r="AE1146" s="1406"/>
      <c r="AF1146" s="1406"/>
      <c r="AG1146" s="1406"/>
      <c r="AH1146" s="1406"/>
      <c r="AI1146" s="1406"/>
      <c r="AJ1146" s="1406"/>
      <c r="AK1146" s="1406"/>
      <c r="AL1146" s="1406"/>
      <c r="AM1146" s="1406"/>
      <c r="AN1146" s="1406"/>
      <c r="AO1146" s="1405"/>
      <c r="AP1146" s="1405"/>
      <c r="AQ1146" s="1405"/>
      <c r="AR1146" s="1405"/>
      <c r="AS1146" s="1405"/>
      <c r="AT1146" s="1405"/>
      <c r="AU1146" s="1405"/>
      <c r="AV1146" s="1405"/>
    </row>
    <row r="1147" spans="1:48" s="1431" customFormat="1">
      <c r="A1147" s="1399"/>
      <c r="B1147" s="1429"/>
      <c r="C1147" s="1430"/>
      <c r="D1147" s="1400"/>
      <c r="E1147" s="1401"/>
      <c r="F1147" s="1401"/>
      <c r="G1147" s="1402"/>
      <c r="H1147" s="1403"/>
      <c r="I1147" s="1404"/>
      <c r="J1147" s="1405"/>
      <c r="K1147" s="1405"/>
      <c r="L1147" s="1405"/>
      <c r="M1147" s="1405"/>
      <c r="N1147" s="1406"/>
      <c r="O1147" s="1406"/>
      <c r="P1147" s="1406"/>
      <c r="Q1147" s="1406"/>
      <c r="R1147" s="1406"/>
      <c r="S1147" s="1406"/>
      <c r="T1147" s="1406"/>
      <c r="U1147" s="1406"/>
      <c r="V1147" s="1406"/>
      <c r="W1147" s="1406"/>
      <c r="X1147" s="1406"/>
      <c r="Y1147" s="1406"/>
      <c r="Z1147" s="1406"/>
      <c r="AA1147" s="1406"/>
      <c r="AB1147" s="1406"/>
      <c r="AC1147" s="1406"/>
      <c r="AD1147" s="1406"/>
      <c r="AE1147" s="1406"/>
      <c r="AF1147" s="1406"/>
      <c r="AG1147" s="1406"/>
      <c r="AH1147" s="1406"/>
      <c r="AI1147" s="1406"/>
      <c r="AJ1147" s="1406"/>
      <c r="AK1147" s="1406"/>
      <c r="AL1147" s="1406"/>
      <c r="AM1147" s="1406"/>
      <c r="AN1147" s="1406"/>
      <c r="AO1147" s="1405"/>
      <c r="AP1147" s="1405"/>
      <c r="AQ1147" s="1405"/>
      <c r="AR1147" s="1405"/>
      <c r="AS1147" s="1405"/>
      <c r="AT1147" s="1405"/>
      <c r="AU1147" s="1405"/>
      <c r="AV1147" s="1405"/>
    </row>
    <row r="1148" spans="1:48" s="1431" customFormat="1">
      <c r="A1148" s="1399"/>
      <c r="B1148" s="1429"/>
      <c r="C1148" s="1430"/>
      <c r="D1148" s="1400"/>
      <c r="E1148" s="1401"/>
      <c r="F1148" s="1401"/>
      <c r="G1148" s="1402"/>
      <c r="H1148" s="1403"/>
      <c r="I1148" s="1404"/>
      <c r="J1148" s="1405"/>
      <c r="K1148" s="1405"/>
      <c r="L1148" s="1405"/>
      <c r="M1148" s="1405"/>
      <c r="N1148" s="1406"/>
      <c r="O1148" s="1406"/>
      <c r="P1148" s="1406"/>
      <c r="Q1148" s="1406"/>
      <c r="R1148" s="1406"/>
      <c r="S1148" s="1406"/>
      <c r="T1148" s="1406"/>
      <c r="U1148" s="1406"/>
      <c r="V1148" s="1406"/>
      <c r="W1148" s="1406"/>
      <c r="X1148" s="1406"/>
      <c r="Y1148" s="1406"/>
      <c r="Z1148" s="1406"/>
      <c r="AA1148" s="1406"/>
      <c r="AB1148" s="1406"/>
      <c r="AC1148" s="1406"/>
      <c r="AD1148" s="1406"/>
      <c r="AE1148" s="1406"/>
      <c r="AF1148" s="1406"/>
      <c r="AG1148" s="1406"/>
      <c r="AH1148" s="1406"/>
      <c r="AI1148" s="1406"/>
      <c r="AJ1148" s="1406"/>
      <c r="AK1148" s="1406"/>
      <c r="AL1148" s="1406"/>
      <c r="AM1148" s="1406"/>
      <c r="AN1148" s="1406"/>
      <c r="AO1148" s="1405"/>
      <c r="AP1148" s="1405"/>
      <c r="AQ1148" s="1405"/>
      <c r="AR1148" s="1405"/>
      <c r="AS1148" s="1405"/>
      <c r="AT1148" s="1405"/>
      <c r="AU1148" s="1405"/>
      <c r="AV1148" s="1405"/>
    </row>
    <row r="1149" spans="1:48" s="1431" customFormat="1">
      <c r="A1149" s="1399"/>
      <c r="B1149" s="1429"/>
      <c r="C1149" s="1430"/>
      <c r="D1149" s="1400"/>
      <c r="E1149" s="1401"/>
      <c r="F1149" s="1401"/>
      <c r="G1149" s="1402"/>
      <c r="H1149" s="1403"/>
      <c r="I1149" s="1404"/>
      <c r="J1149" s="1405"/>
      <c r="K1149" s="1405"/>
      <c r="L1149" s="1405"/>
      <c r="M1149" s="1405"/>
      <c r="N1149" s="1406"/>
      <c r="O1149" s="1406"/>
      <c r="P1149" s="1406"/>
      <c r="Q1149" s="1406"/>
      <c r="R1149" s="1406"/>
      <c r="S1149" s="1406"/>
      <c r="T1149" s="1406"/>
      <c r="U1149" s="1406"/>
      <c r="V1149" s="1406"/>
      <c r="W1149" s="1406"/>
      <c r="X1149" s="1406"/>
      <c r="Y1149" s="1406"/>
      <c r="Z1149" s="1406"/>
      <c r="AA1149" s="1406"/>
      <c r="AB1149" s="1406"/>
      <c r="AC1149" s="1406"/>
      <c r="AD1149" s="1406"/>
      <c r="AE1149" s="1406"/>
      <c r="AF1149" s="1406"/>
      <c r="AG1149" s="1406"/>
      <c r="AH1149" s="1406"/>
      <c r="AI1149" s="1406"/>
      <c r="AJ1149" s="1406"/>
      <c r="AK1149" s="1406"/>
      <c r="AL1149" s="1406"/>
      <c r="AM1149" s="1406"/>
      <c r="AN1149" s="1406"/>
      <c r="AO1149" s="1405"/>
      <c r="AP1149" s="1405"/>
      <c r="AQ1149" s="1405"/>
      <c r="AR1149" s="1405"/>
      <c r="AS1149" s="1405"/>
      <c r="AT1149" s="1405"/>
      <c r="AU1149" s="1405"/>
      <c r="AV1149" s="1405"/>
    </row>
    <row r="1150" spans="1:48" s="1431" customFormat="1">
      <c r="A1150" s="1399"/>
      <c r="B1150" s="1429"/>
      <c r="C1150" s="1430"/>
      <c r="D1150" s="1400"/>
      <c r="E1150" s="1401"/>
      <c r="F1150" s="1401"/>
      <c r="G1150" s="1402"/>
      <c r="H1150" s="1403"/>
      <c r="I1150" s="1404"/>
      <c r="J1150" s="1405"/>
      <c r="K1150" s="1405"/>
      <c r="L1150" s="1405"/>
      <c r="M1150" s="1405"/>
      <c r="N1150" s="1406"/>
      <c r="O1150" s="1406"/>
      <c r="P1150" s="1406"/>
      <c r="Q1150" s="1406"/>
      <c r="R1150" s="1406"/>
      <c r="S1150" s="1406"/>
      <c r="T1150" s="1406"/>
      <c r="U1150" s="1406"/>
      <c r="V1150" s="1406"/>
      <c r="W1150" s="1406"/>
      <c r="X1150" s="1406"/>
      <c r="Y1150" s="1406"/>
      <c r="Z1150" s="1406"/>
      <c r="AA1150" s="1406"/>
      <c r="AB1150" s="1406"/>
      <c r="AC1150" s="1406"/>
      <c r="AD1150" s="1406"/>
      <c r="AE1150" s="1406"/>
      <c r="AF1150" s="1406"/>
      <c r="AG1150" s="1406"/>
      <c r="AH1150" s="1406"/>
      <c r="AI1150" s="1406"/>
      <c r="AJ1150" s="1406"/>
      <c r="AK1150" s="1406"/>
      <c r="AL1150" s="1406"/>
      <c r="AM1150" s="1406"/>
      <c r="AN1150" s="1406"/>
      <c r="AO1150" s="1405"/>
      <c r="AP1150" s="1405"/>
      <c r="AQ1150" s="1405"/>
      <c r="AR1150" s="1405"/>
      <c r="AS1150" s="1405"/>
      <c r="AT1150" s="1405"/>
      <c r="AU1150" s="1405"/>
      <c r="AV1150" s="1405"/>
    </row>
    <row r="1151" spans="1:48" s="1431" customFormat="1">
      <c r="A1151" s="1399"/>
      <c r="B1151" s="1429"/>
      <c r="C1151" s="1430"/>
      <c r="D1151" s="1400"/>
      <c r="E1151" s="1401"/>
      <c r="F1151" s="1401"/>
      <c r="G1151" s="1402"/>
      <c r="H1151" s="1403"/>
      <c r="I1151" s="1404"/>
      <c r="J1151" s="1405"/>
      <c r="K1151" s="1405"/>
      <c r="L1151" s="1405"/>
      <c r="M1151" s="1405"/>
      <c r="N1151" s="1406"/>
      <c r="O1151" s="1406"/>
      <c r="P1151" s="1406"/>
      <c r="Q1151" s="1406"/>
      <c r="R1151" s="1406"/>
      <c r="S1151" s="1406"/>
      <c r="T1151" s="1406"/>
      <c r="U1151" s="1406"/>
      <c r="V1151" s="1406"/>
      <c r="W1151" s="1406"/>
      <c r="X1151" s="1406"/>
      <c r="Y1151" s="1406"/>
      <c r="Z1151" s="1406"/>
      <c r="AA1151" s="1406"/>
      <c r="AB1151" s="1406"/>
      <c r="AC1151" s="1406"/>
      <c r="AD1151" s="1406"/>
      <c r="AE1151" s="1406"/>
      <c r="AF1151" s="1406"/>
      <c r="AG1151" s="1406"/>
      <c r="AH1151" s="1406"/>
      <c r="AI1151" s="1406"/>
      <c r="AJ1151" s="1406"/>
      <c r="AK1151" s="1406"/>
      <c r="AL1151" s="1406"/>
      <c r="AM1151" s="1406"/>
      <c r="AN1151" s="1406"/>
      <c r="AO1151" s="1405"/>
      <c r="AP1151" s="1405"/>
      <c r="AQ1151" s="1405"/>
      <c r="AR1151" s="1405"/>
      <c r="AS1151" s="1405"/>
      <c r="AT1151" s="1405"/>
      <c r="AU1151" s="1405"/>
      <c r="AV1151" s="1405"/>
    </row>
    <row r="1152" spans="1:48" s="1431" customFormat="1">
      <c r="A1152" s="1399"/>
      <c r="B1152" s="1429"/>
      <c r="C1152" s="1430"/>
      <c r="D1152" s="1400"/>
      <c r="E1152" s="1401"/>
      <c r="F1152" s="1401"/>
      <c r="G1152" s="1402"/>
      <c r="H1152" s="1403"/>
      <c r="I1152" s="1404"/>
      <c r="J1152" s="1405"/>
      <c r="K1152" s="1405"/>
      <c r="L1152" s="1405"/>
      <c r="M1152" s="1405"/>
      <c r="N1152" s="1406"/>
      <c r="O1152" s="1406"/>
      <c r="P1152" s="1406"/>
      <c r="Q1152" s="1406"/>
      <c r="R1152" s="1406"/>
      <c r="S1152" s="1406"/>
      <c r="T1152" s="1406"/>
      <c r="U1152" s="1406"/>
      <c r="V1152" s="1406"/>
      <c r="W1152" s="1406"/>
      <c r="X1152" s="1406"/>
      <c r="Y1152" s="1406"/>
      <c r="Z1152" s="1406"/>
      <c r="AA1152" s="1406"/>
      <c r="AB1152" s="1406"/>
      <c r="AC1152" s="1406"/>
      <c r="AD1152" s="1406"/>
      <c r="AE1152" s="1406"/>
      <c r="AF1152" s="1406"/>
      <c r="AG1152" s="1406"/>
      <c r="AH1152" s="1406"/>
      <c r="AI1152" s="1406"/>
      <c r="AJ1152" s="1406"/>
      <c r="AK1152" s="1406"/>
      <c r="AL1152" s="1406"/>
      <c r="AM1152" s="1406"/>
      <c r="AN1152" s="1406"/>
      <c r="AO1152" s="1405"/>
      <c r="AP1152" s="1405"/>
      <c r="AQ1152" s="1405"/>
      <c r="AR1152" s="1405"/>
      <c r="AS1152" s="1405"/>
      <c r="AT1152" s="1405"/>
      <c r="AU1152" s="1405"/>
      <c r="AV1152" s="1405"/>
    </row>
    <row r="1153" spans="1:48" s="1431" customFormat="1">
      <c r="A1153" s="1399"/>
      <c r="B1153" s="1429"/>
      <c r="C1153" s="1430"/>
      <c r="D1153" s="1400"/>
      <c r="E1153" s="1401"/>
      <c r="F1153" s="1401"/>
      <c r="G1153" s="1402"/>
      <c r="H1153" s="1403"/>
      <c r="I1153" s="1404"/>
      <c r="J1153" s="1405"/>
      <c r="K1153" s="1405"/>
      <c r="L1153" s="1405"/>
      <c r="M1153" s="1405"/>
      <c r="N1153" s="1406"/>
      <c r="O1153" s="1406"/>
      <c r="P1153" s="1406"/>
      <c r="Q1153" s="1406"/>
      <c r="R1153" s="1406"/>
      <c r="S1153" s="1406"/>
      <c r="T1153" s="1406"/>
      <c r="U1153" s="1406"/>
      <c r="V1153" s="1406"/>
      <c r="W1153" s="1406"/>
      <c r="X1153" s="1406"/>
      <c r="Y1153" s="1406"/>
      <c r="Z1153" s="1406"/>
      <c r="AA1153" s="1406"/>
      <c r="AB1153" s="1406"/>
      <c r="AC1153" s="1406"/>
      <c r="AD1153" s="1406"/>
      <c r="AE1153" s="1406"/>
      <c r="AF1153" s="1406"/>
      <c r="AG1153" s="1406"/>
      <c r="AH1153" s="1406"/>
      <c r="AI1153" s="1406"/>
      <c r="AJ1153" s="1406"/>
      <c r="AK1153" s="1406"/>
      <c r="AL1153" s="1406"/>
      <c r="AM1153" s="1406"/>
      <c r="AN1153" s="1406"/>
      <c r="AO1153" s="1405"/>
      <c r="AP1153" s="1405"/>
      <c r="AQ1153" s="1405"/>
      <c r="AR1153" s="1405"/>
      <c r="AS1153" s="1405"/>
      <c r="AT1153" s="1405"/>
      <c r="AU1153" s="1405"/>
      <c r="AV1153" s="1405"/>
    </row>
    <row r="1154" spans="1:48" s="1431" customFormat="1">
      <c r="A1154" s="1399"/>
      <c r="B1154" s="1429"/>
      <c r="C1154" s="1430"/>
      <c r="D1154" s="1400"/>
      <c r="E1154" s="1401"/>
      <c r="F1154" s="1401"/>
      <c r="G1154" s="1402"/>
      <c r="H1154" s="1403"/>
      <c r="I1154" s="1404"/>
      <c r="J1154" s="1405"/>
      <c r="K1154" s="1405"/>
      <c r="L1154" s="1405"/>
      <c r="M1154" s="1405"/>
      <c r="N1154" s="1406"/>
      <c r="O1154" s="1406"/>
      <c r="P1154" s="1406"/>
      <c r="Q1154" s="1406"/>
      <c r="R1154" s="1406"/>
      <c r="S1154" s="1406"/>
      <c r="T1154" s="1406"/>
      <c r="U1154" s="1406"/>
      <c r="V1154" s="1406"/>
      <c r="W1154" s="1406"/>
      <c r="X1154" s="1406"/>
      <c r="Y1154" s="1406"/>
      <c r="Z1154" s="1406"/>
      <c r="AA1154" s="1406"/>
      <c r="AB1154" s="1406"/>
      <c r="AC1154" s="1406"/>
      <c r="AD1154" s="1406"/>
      <c r="AE1154" s="1406"/>
      <c r="AF1154" s="1406"/>
      <c r="AG1154" s="1406"/>
      <c r="AH1154" s="1406"/>
      <c r="AI1154" s="1406"/>
      <c r="AJ1154" s="1406"/>
      <c r="AK1154" s="1406"/>
      <c r="AL1154" s="1406"/>
      <c r="AM1154" s="1406"/>
      <c r="AN1154" s="1406"/>
      <c r="AO1154" s="1405"/>
      <c r="AP1154" s="1405"/>
      <c r="AQ1154" s="1405"/>
      <c r="AR1154" s="1405"/>
      <c r="AS1154" s="1405"/>
      <c r="AT1154" s="1405"/>
      <c r="AU1154" s="1405"/>
      <c r="AV1154" s="1405"/>
    </row>
    <row r="1155" spans="1:48" s="1431" customFormat="1">
      <c r="A1155" s="1399"/>
      <c r="B1155" s="1429"/>
      <c r="C1155" s="1430"/>
      <c r="D1155" s="1400"/>
      <c r="E1155" s="1401"/>
      <c r="F1155" s="1401"/>
      <c r="G1155" s="1402"/>
      <c r="H1155" s="1403"/>
      <c r="I1155" s="1404"/>
      <c r="J1155" s="1405"/>
      <c r="K1155" s="1405"/>
      <c r="L1155" s="1405"/>
      <c r="M1155" s="1405"/>
      <c r="N1155" s="1406"/>
      <c r="O1155" s="1406"/>
      <c r="P1155" s="1406"/>
      <c r="Q1155" s="1406"/>
      <c r="R1155" s="1406"/>
      <c r="S1155" s="1406"/>
      <c r="T1155" s="1406"/>
      <c r="U1155" s="1406"/>
      <c r="V1155" s="1406"/>
      <c r="W1155" s="1406"/>
      <c r="X1155" s="1406"/>
      <c r="Y1155" s="1406"/>
      <c r="Z1155" s="1406"/>
      <c r="AA1155" s="1406"/>
      <c r="AB1155" s="1406"/>
      <c r="AC1155" s="1406"/>
      <c r="AD1155" s="1406"/>
      <c r="AE1155" s="1406"/>
      <c r="AF1155" s="1406"/>
      <c r="AG1155" s="1406"/>
      <c r="AH1155" s="1406"/>
      <c r="AI1155" s="1406"/>
      <c r="AJ1155" s="1406"/>
      <c r="AK1155" s="1406"/>
      <c r="AL1155" s="1406"/>
      <c r="AM1155" s="1406"/>
      <c r="AN1155" s="1406"/>
      <c r="AO1155" s="1405"/>
      <c r="AP1155" s="1405"/>
      <c r="AQ1155" s="1405"/>
      <c r="AR1155" s="1405"/>
      <c r="AS1155" s="1405"/>
      <c r="AT1155" s="1405"/>
      <c r="AU1155" s="1405"/>
      <c r="AV1155" s="1405"/>
    </row>
    <row r="1156" spans="1:48" s="1431" customFormat="1">
      <c r="A1156" s="1399"/>
      <c r="B1156" s="1429"/>
      <c r="C1156" s="1430"/>
      <c r="D1156" s="1400"/>
      <c r="E1156" s="1401"/>
      <c r="F1156" s="1401"/>
      <c r="G1156" s="1402"/>
      <c r="H1156" s="1403"/>
      <c r="I1156" s="1404"/>
      <c r="J1156" s="1405"/>
      <c r="K1156" s="1405"/>
      <c r="L1156" s="1405"/>
      <c r="M1156" s="1405"/>
      <c r="N1156" s="1406"/>
      <c r="O1156" s="1406"/>
      <c r="P1156" s="1406"/>
      <c r="Q1156" s="1406"/>
      <c r="R1156" s="1406"/>
      <c r="S1156" s="1406"/>
      <c r="T1156" s="1406"/>
      <c r="U1156" s="1406"/>
      <c r="V1156" s="1406"/>
      <c r="W1156" s="1406"/>
      <c r="X1156" s="1406"/>
      <c r="Y1156" s="1406"/>
      <c r="Z1156" s="1406"/>
      <c r="AA1156" s="1406"/>
      <c r="AB1156" s="1406"/>
      <c r="AC1156" s="1406"/>
      <c r="AD1156" s="1406"/>
      <c r="AE1156" s="1406"/>
      <c r="AF1156" s="1406"/>
      <c r="AG1156" s="1406"/>
      <c r="AH1156" s="1406"/>
      <c r="AI1156" s="1406"/>
      <c r="AJ1156" s="1406"/>
      <c r="AK1156" s="1406"/>
      <c r="AL1156" s="1406"/>
      <c r="AM1156" s="1406"/>
      <c r="AN1156" s="1406"/>
      <c r="AO1156" s="1405"/>
      <c r="AP1156" s="1405"/>
      <c r="AQ1156" s="1405"/>
      <c r="AR1156" s="1405"/>
      <c r="AS1156" s="1405"/>
      <c r="AT1156" s="1405"/>
      <c r="AU1156" s="1405"/>
      <c r="AV1156" s="1405"/>
    </row>
    <row r="1157" spans="1:48" s="1431" customFormat="1">
      <c r="A1157" s="1399"/>
      <c r="B1157" s="1429"/>
      <c r="C1157" s="1430"/>
      <c r="D1157" s="1400"/>
      <c r="E1157" s="1401"/>
      <c r="F1157" s="1401"/>
      <c r="G1157" s="1402"/>
      <c r="H1157" s="1403"/>
      <c r="I1157" s="1404"/>
      <c r="J1157" s="1405"/>
      <c r="K1157" s="1405"/>
      <c r="L1157" s="1405"/>
      <c r="M1157" s="1405"/>
      <c r="N1157" s="1406"/>
      <c r="O1157" s="1406"/>
      <c r="P1157" s="1406"/>
      <c r="Q1157" s="1406"/>
      <c r="R1157" s="1406"/>
      <c r="S1157" s="1406"/>
      <c r="T1157" s="1406"/>
      <c r="U1157" s="1406"/>
      <c r="V1157" s="1406"/>
      <c r="W1157" s="1406"/>
      <c r="X1157" s="1406"/>
      <c r="Y1157" s="1406"/>
      <c r="Z1157" s="1406"/>
      <c r="AA1157" s="1406"/>
      <c r="AB1157" s="1406"/>
      <c r="AC1157" s="1406"/>
      <c r="AD1157" s="1406"/>
      <c r="AE1157" s="1406"/>
      <c r="AF1157" s="1406"/>
      <c r="AG1157" s="1406"/>
      <c r="AH1157" s="1406"/>
      <c r="AI1157" s="1406"/>
      <c r="AJ1157" s="1406"/>
      <c r="AK1157" s="1406"/>
      <c r="AL1157" s="1406"/>
      <c r="AM1157" s="1406"/>
      <c r="AN1157" s="1406"/>
      <c r="AO1157" s="1405"/>
      <c r="AP1157" s="1405"/>
      <c r="AQ1157" s="1405"/>
      <c r="AR1157" s="1405"/>
      <c r="AS1157" s="1405"/>
      <c r="AT1157" s="1405"/>
      <c r="AU1157" s="1405"/>
      <c r="AV1157" s="1405"/>
    </row>
    <row r="1158" spans="1:48" s="1431" customFormat="1">
      <c r="A1158" s="1399"/>
      <c r="B1158" s="1429"/>
      <c r="C1158" s="1430"/>
      <c r="D1158" s="1400"/>
      <c r="E1158" s="1401"/>
      <c r="F1158" s="1401"/>
      <c r="G1158" s="1402"/>
      <c r="H1158" s="1403"/>
      <c r="I1158" s="1404"/>
      <c r="J1158" s="1405"/>
      <c r="K1158" s="1405"/>
      <c r="L1158" s="1405"/>
      <c r="M1158" s="1405"/>
      <c r="N1158" s="1406"/>
      <c r="O1158" s="1406"/>
      <c r="P1158" s="1406"/>
      <c r="Q1158" s="1406"/>
      <c r="R1158" s="1406"/>
      <c r="S1158" s="1406"/>
      <c r="T1158" s="1406"/>
      <c r="U1158" s="1406"/>
      <c r="V1158" s="1406"/>
      <c r="W1158" s="1406"/>
      <c r="X1158" s="1406"/>
      <c r="Y1158" s="1406"/>
      <c r="Z1158" s="1406"/>
      <c r="AA1158" s="1406"/>
      <c r="AB1158" s="1406"/>
      <c r="AC1158" s="1406"/>
      <c r="AD1158" s="1406"/>
      <c r="AE1158" s="1406"/>
      <c r="AF1158" s="1406"/>
      <c r="AG1158" s="1406"/>
      <c r="AH1158" s="1406"/>
      <c r="AI1158" s="1406"/>
      <c r="AJ1158" s="1406"/>
      <c r="AK1158" s="1406"/>
      <c r="AL1158" s="1406"/>
      <c r="AM1158" s="1406"/>
      <c r="AN1158" s="1406"/>
      <c r="AO1158" s="1405"/>
      <c r="AP1158" s="1405"/>
      <c r="AQ1158" s="1405"/>
      <c r="AR1158" s="1405"/>
      <c r="AS1158" s="1405"/>
      <c r="AT1158" s="1405"/>
      <c r="AU1158" s="1405"/>
      <c r="AV1158" s="1405"/>
    </row>
    <row r="1159" spans="1:48" s="1431" customFormat="1">
      <c r="A1159" s="1399"/>
      <c r="B1159" s="1429"/>
      <c r="C1159" s="1430"/>
      <c r="D1159" s="1400"/>
      <c r="E1159" s="1401"/>
      <c r="F1159" s="1401"/>
      <c r="G1159" s="1402"/>
      <c r="H1159" s="1403"/>
      <c r="I1159" s="1404"/>
      <c r="J1159" s="1405"/>
      <c r="K1159" s="1405"/>
      <c r="L1159" s="1405"/>
      <c r="M1159" s="1405"/>
      <c r="N1159" s="1406"/>
      <c r="O1159" s="1406"/>
      <c r="P1159" s="1406"/>
      <c r="Q1159" s="1406"/>
      <c r="R1159" s="1406"/>
      <c r="S1159" s="1406"/>
      <c r="T1159" s="1406"/>
      <c r="U1159" s="1406"/>
      <c r="V1159" s="1406"/>
      <c r="W1159" s="1406"/>
      <c r="X1159" s="1406"/>
      <c r="Y1159" s="1406"/>
      <c r="Z1159" s="1406"/>
      <c r="AA1159" s="1406"/>
      <c r="AB1159" s="1406"/>
      <c r="AC1159" s="1406"/>
      <c r="AD1159" s="1406"/>
      <c r="AE1159" s="1406"/>
      <c r="AF1159" s="1406"/>
      <c r="AG1159" s="1406"/>
      <c r="AH1159" s="1406"/>
      <c r="AI1159" s="1406"/>
      <c r="AJ1159" s="1406"/>
      <c r="AK1159" s="1406"/>
      <c r="AL1159" s="1406"/>
      <c r="AM1159" s="1406"/>
      <c r="AN1159" s="1406"/>
      <c r="AO1159" s="1405"/>
      <c r="AP1159" s="1405"/>
      <c r="AQ1159" s="1405"/>
      <c r="AR1159" s="1405"/>
      <c r="AS1159" s="1405"/>
      <c r="AT1159" s="1405"/>
      <c r="AU1159" s="1405"/>
      <c r="AV1159" s="1405"/>
    </row>
    <row r="1160" spans="1:48" s="1431" customFormat="1">
      <c r="A1160" s="1399"/>
      <c r="B1160" s="1429"/>
      <c r="C1160" s="1430"/>
      <c r="D1160" s="1400"/>
      <c r="E1160" s="1401"/>
      <c r="F1160" s="1401"/>
      <c r="G1160" s="1402"/>
      <c r="H1160" s="1403"/>
      <c r="I1160" s="1404"/>
      <c r="J1160" s="1405"/>
      <c r="K1160" s="1405"/>
      <c r="L1160" s="1405"/>
      <c r="M1160" s="1405"/>
      <c r="N1160" s="1406"/>
      <c r="O1160" s="1406"/>
      <c r="P1160" s="1406"/>
      <c r="Q1160" s="1406"/>
      <c r="R1160" s="1406"/>
      <c r="S1160" s="1406"/>
      <c r="T1160" s="1406"/>
      <c r="U1160" s="1406"/>
      <c r="V1160" s="1406"/>
      <c r="W1160" s="1406"/>
      <c r="X1160" s="1406"/>
      <c r="Y1160" s="1406"/>
      <c r="Z1160" s="1406"/>
      <c r="AA1160" s="1406"/>
      <c r="AB1160" s="1406"/>
      <c r="AC1160" s="1406"/>
      <c r="AD1160" s="1406"/>
      <c r="AE1160" s="1406"/>
      <c r="AF1160" s="1406"/>
      <c r="AG1160" s="1406"/>
      <c r="AH1160" s="1406"/>
      <c r="AI1160" s="1406"/>
      <c r="AJ1160" s="1406"/>
      <c r="AK1160" s="1406"/>
      <c r="AL1160" s="1406"/>
      <c r="AM1160" s="1406"/>
      <c r="AN1160" s="1406"/>
      <c r="AO1160" s="1405"/>
      <c r="AP1160" s="1405"/>
      <c r="AQ1160" s="1405"/>
      <c r="AR1160" s="1405"/>
      <c r="AS1160" s="1405"/>
      <c r="AT1160" s="1405"/>
      <c r="AU1160" s="1405"/>
      <c r="AV1160" s="1405"/>
    </row>
    <row r="1161" spans="1:48" s="1431" customFormat="1">
      <c r="A1161" s="1399"/>
      <c r="B1161" s="1429"/>
      <c r="C1161" s="1430"/>
      <c r="D1161" s="1400"/>
      <c r="E1161" s="1401"/>
      <c r="F1161" s="1401"/>
      <c r="G1161" s="1402"/>
      <c r="H1161" s="1403"/>
      <c r="I1161" s="1404"/>
      <c r="J1161" s="1405"/>
      <c r="K1161" s="1405"/>
      <c r="L1161" s="1405"/>
      <c r="M1161" s="1405"/>
      <c r="N1161" s="1406"/>
      <c r="O1161" s="1406"/>
      <c r="P1161" s="1406"/>
      <c r="Q1161" s="1406"/>
      <c r="R1161" s="1406"/>
      <c r="S1161" s="1406"/>
      <c r="T1161" s="1406"/>
      <c r="U1161" s="1406"/>
      <c r="V1161" s="1406"/>
      <c r="W1161" s="1406"/>
      <c r="X1161" s="1406"/>
      <c r="Y1161" s="1406"/>
      <c r="Z1161" s="1406"/>
      <c r="AA1161" s="1406"/>
      <c r="AB1161" s="1406"/>
      <c r="AC1161" s="1406"/>
      <c r="AD1161" s="1406"/>
      <c r="AE1161" s="1406"/>
      <c r="AF1161" s="1406"/>
      <c r="AG1161" s="1406"/>
      <c r="AH1161" s="1406"/>
      <c r="AI1161" s="1406"/>
      <c r="AJ1161" s="1406"/>
      <c r="AK1161" s="1406"/>
      <c r="AL1161" s="1406"/>
      <c r="AM1161" s="1406"/>
      <c r="AN1161" s="1406"/>
      <c r="AO1161" s="1405"/>
      <c r="AP1161" s="1405"/>
      <c r="AQ1161" s="1405"/>
      <c r="AR1161" s="1405"/>
      <c r="AS1161" s="1405"/>
      <c r="AT1161" s="1405"/>
      <c r="AU1161" s="1405"/>
      <c r="AV1161" s="1405"/>
    </row>
    <row r="1162" spans="1:48" s="1431" customFormat="1">
      <c r="A1162" s="1399"/>
      <c r="B1162" s="1429"/>
      <c r="C1162" s="1430"/>
      <c r="D1162" s="1400"/>
      <c r="E1162" s="1401"/>
      <c r="F1162" s="1401"/>
      <c r="G1162" s="1402"/>
      <c r="H1162" s="1403"/>
      <c r="I1162" s="1404"/>
      <c r="J1162" s="1405"/>
      <c r="K1162" s="1405"/>
      <c r="L1162" s="1405"/>
      <c r="M1162" s="1405"/>
      <c r="N1162" s="1406"/>
      <c r="O1162" s="1406"/>
      <c r="P1162" s="1406"/>
      <c r="Q1162" s="1406"/>
      <c r="R1162" s="1406"/>
      <c r="S1162" s="1406"/>
      <c r="T1162" s="1406"/>
      <c r="U1162" s="1406"/>
      <c r="V1162" s="1406"/>
      <c r="W1162" s="1406"/>
      <c r="X1162" s="1406"/>
      <c r="Y1162" s="1406"/>
      <c r="Z1162" s="1406"/>
      <c r="AA1162" s="1406"/>
      <c r="AB1162" s="1406"/>
      <c r="AC1162" s="1406"/>
      <c r="AD1162" s="1406"/>
      <c r="AE1162" s="1406"/>
      <c r="AF1162" s="1406"/>
      <c r="AG1162" s="1406"/>
      <c r="AH1162" s="1406"/>
      <c r="AI1162" s="1406"/>
      <c r="AJ1162" s="1406"/>
      <c r="AK1162" s="1406"/>
      <c r="AL1162" s="1406"/>
      <c r="AM1162" s="1406"/>
      <c r="AN1162" s="1406"/>
      <c r="AO1162" s="1405"/>
      <c r="AP1162" s="1405"/>
      <c r="AQ1162" s="1405"/>
      <c r="AR1162" s="1405"/>
      <c r="AS1162" s="1405"/>
      <c r="AT1162" s="1405"/>
      <c r="AU1162" s="1405"/>
      <c r="AV1162" s="1405"/>
    </row>
    <row r="1163" spans="1:48" s="1431" customFormat="1">
      <c r="A1163" s="1399"/>
      <c r="B1163" s="1429"/>
      <c r="C1163" s="1430"/>
      <c r="D1163" s="1400"/>
      <c r="E1163" s="1401"/>
      <c r="F1163" s="1401"/>
      <c r="G1163" s="1402"/>
      <c r="H1163" s="1403"/>
      <c r="I1163" s="1404"/>
      <c r="J1163" s="1405"/>
      <c r="K1163" s="1405"/>
      <c r="L1163" s="1405"/>
      <c r="M1163" s="1405"/>
      <c r="N1163" s="1406"/>
      <c r="O1163" s="1406"/>
      <c r="P1163" s="1406"/>
      <c r="Q1163" s="1406"/>
      <c r="R1163" s="1406"/>
      <c r="S1163" s="1406"/>
      <c r="T1163" s="1406"/>
      <c r="U1163" s="1406"/>
      <c r="V1163" s="1406"/>
      <c r="W1163" s="1406"/>
      <c r="X1163" s="1406"/>
      <c r="Y1163" s="1406"/>
      <c r="Z1163" s="1406"/>
      <c r="AA1163" s="1406"/>
      <c r="AB1163" s="1406"/>
      <c r="AC1163" s="1406"/>
      <c r="AD1163" s="1406"/>
      <c r="AE1163" s="1406"/>
      <c r="AF1163" s="1406"/>
      <c r="AG1163" s="1406"/>
      <c r="AH1163" s="1406"/>
      <c r="AI1163" s="1406"/>
      <c r="AJ1163" s="1406"/>
      <c r="AK1163" s="1406"/>
      <c r="AL1163" s="1406"/>
      <c r="AM1163" s="1406"/>
      <c r="AN1163" s="1406"/>
      <c r="AO1163" s="1405"/>
      <c r="AP1163" s="1405"/>
      <c r="AQ1163" s="1405"/>
      <c r="AR1163" s="1405"/>
      <c r="AS1163" s="1405"/>
      <c r="AT1163" s="1405"/>
      <c r="AU1163" s="1405"/>
      <c r="AV1163" s="1405"/>
    </row>
    <row r="1164" spans="1:48" s="1431" customFormat="1">
      <c r="A1164" s="1399"/>
      <c r="B1164" s="1429"/>
      <c r="C1164" s="1430"/>
      <c r="D1164" s="1400"/>
      <c r="E1164" s="1401"/>
      <c r="F1164" s="1401"/>
      <c r="G1164" s="1402"/>
      <c r="H1164" s="1403"/>
      <c r="I1164" s="1404"/>
      <c r="J1164" s="1405"/>
      <c r="K1164" s="1405"/>
      <c r="L1164" s="1405"/>
      <c r="M1164" s="1405"/>
      <c r="N1164" s="1406"/>
      <c r="O1164" s="1406"/>
      <c r="P1164" s="1406"/>
      <c r="Q1164" s="1406"/>
      <c r="R1164" s="1406"/>
      <c r="S1164" s="1406"/>
      <c r="T1164" s="1406"/>
      <c r="U1164" s="1406"/>
      <c r="V1164" s="1406"/>
      <c r="W1164" s="1406"/>
      <c r="X1164" s="1406"/>
      <c r="Y1164" s="1406"/>
      <c r="Z1164" s="1406"/>
      <c r="AA1164" s="1406"/>
      <c r="AB1164" s="1406"/>
      <c r="AC1164" s="1406"/>
      <c r="AD1164" s="1406"/>
      <c r="AE1164" s="1406"/>
      <c r="AF1164" s="1406"/>
      <c r="AG1164" s="1406"/>
      <c r="AH1164" s="1406"/>
      <c r="AI1164" s="1406"/>
      <c r="AJ1164" s="1406"/>
      <c r="AK1164" s="1406"/>
      <c r="AL1164" s="1406"/>
      <c r="AM1164" s="1406"/>
      <c r="AN1164" s="1406"/>
      <c r="AO1164" s="1405"/>
      <c r="AP1164" s="1405"/>
      <c r="AQ1164" s="1405"/>
      <c r="AR1164" s="1405"/>
      <c r="AS1164" s="1405"/>
      <c r="AT1164" s="1405"/>
      <c r="AU1164" s="1405"/>
      <c r="AV1164" s="1405"/>
    </row>
    <row r="1165" spans="1:48" s="1431" customFormat="1">
      <c r="A1165" s="1399"/>
      <c r="B1165" s="1429"/>
      <c r="C1165" s="1430"/>
      <c r="D1165" s="1400"/>
      <c r="E1165" s="1401"/>
      <c r="F1165" s="1401"/>
      <c r="G1165" s="1402"/>
      <c r="H1165" s="1403"/>
      <c r="I1165" s="1404"/>
      <c r="J1165" s="1405"/>
      <c r="K1165" s="1405"/>
      <c r="L1165" s="1405"/>
      <c r="M1165" s="1405"/>
      <c r="N1165" s="1406"/>
      <c r="O1165" s="1406"/>
      <c r="P1165" s="1406"/>
      <c r="Q1165" s="1406"/>
      <c r="R1165" s="1406"/>
      <c r="S1165" s="1406"/>
      <c r="T1165" s="1406"/>
      <c r="U1165" s="1406"/>
      <c r="V1165" s="1406"/>
      <c r="W1165" s="1406"/>
      <c r="X1165" s="1406"/>
      <c r="Y1165" s="1406"/>
      <c r="Z1165" s="1406"/>
      <c r="AA1165" s="1406"/>
      <c r="AB1165" s="1406"/>
      <c r="AC1165" s="1406"/>
      <c r="AD1165" s="1406"/>
      <c r="AE1165" s="1406"/>
      <c r="AF1165" s="1406"/>
      <c r="AG1165" s="1406"/>
      <c r="AH1165" s="1406"/>
      <c r="AI1165" s="1406"/>
      <c r="AJ1165" s="1406"/>
      <c r="AK1165" s="1406"/>
      <c r="AL1165" s="1406"/>
      <c r="AM1165" s="1406"/>
      <c r="AN1165" s="1406"/>
      <c r="AO1165" s="1405"/>
      <c r="AP1165" s="1405"/>
      <c r="AQ1165" s="1405"/>
      <c r="AR1165" s="1405"/>
      <c r="AS1165" s="1405"/>
      <c r="AT1165" s="1405"/>
      <c r="AU1165" s="1405"/>
      <c r="AV1165" s="1405"/>
    </row>
    <row r="1166" spans="1:48" s="1431" customFormat="1">
      <c r="A1166" s="1399"/>
      <c r="B1166" s="1429"/>
      <c r="C1166" s="1430"/>
      <c r="D1166" s="1400"/>
      <c r="E1166" s="1401"/>
      <c r="F1166" s="1401"/>
      <c r="G1166" s="1402"/>
      <c r="H1166" s="1403"/>
      <c r="I1166" s="1404"/>
      <c r="J1166" s="1405"/>
      <c r="K1166" s="1405"/>
      <c r="L1166" s="1405"/>
      <c r="M1166" s="1405"/>
      <c r="N1166" s="1406"/>
      <c r="O1166" s="1406"/>
      <c r="P1166" s="1406"/>
      <c r="Q1166" s="1406"/>
      <c r="R1166" s="1406"/>
      <c r="S1166" s="1406"/>
      <c r="T1166" s="1406"/>
      <c r="U1166" s="1406"/>
      <c r="V1166" s="1406"/>
      <c r="W1166" s="1406"/>
      <c r="X1166" s="1406"/>
      <c r="Y1166" s="1406"/>
      <c r="Z1166" s="1406"/>
      <c r="AA1166" s="1406"/>
      <c r="AB1166" s="1406"/>
      <c r="AC1166" s="1406"/>
      <c r="AD1166" s="1406"/>
      <c r="AE1166" s="1406"/>
      <c r="AF1166" s="1406"/>
      <c r="AG1166" s="1406"/>
      <c r="AH1166" s="1406"/>
      <c r="AI1166" s="1406"/>
      <c r="AJ1166" s="1406"/>
      <c r="AK1166" s="1406"/>
      <c r="AL1166" s="1406"/>
      <c r="AM1166" s="1406"/>
      <c r="AN1166" s="1406"/>
      <c r="AO1166" s="1405"/>
      <c r="AP1166" s="1405"/>
      <c r="AQ1166" s="1405"/>
      <c r="AR1166" s="1405"/>
      <c r="AS1166" s="1405"/>
      <c r="AT1166" s="1405"/>
      <c r="AU1166" s="1405"/>
      <c r="AV1166" s="1405"/>
    </row>
    <row r="1167" spans="1:48" s="1431" customFormat="1">
      <c r="A1167" s="1399"/>
      <c r="B1167" s="1429"/>
      <c r="C1167" s="1430"/>
      <c r="D1167" s="1400"/>
      <c r="E1167" s="1401"/>
      <c r="F1167" s="1401"/>
      <c r="G1167" s="1402"/>
      <c r="H1167" s="1403"/>
      <c r="I1167" s="1404"/>
      <c r="J1167" s="1405"/>
      <c r="K1167" s="1405"/>
      <c r="L1167" s="1405"/>
      <c r="M1167" s="1405"/>
      <c r="N1167" s="1406"/>
      <c r="O1167" s="1406"/>
      <c r="P1167" s="1406"/>
      <c r="Q1167" s="1406"/>
      <c r="R1167" s="1406"/>
      <c r="S1167" s="1406"/>
      <c r="T1167" s="1406"/>
      <c r="U1167" s="1406"/>
      <c r="V1167" s="1406"/>
      <c r="W1167" s="1406"/>
      <c r="X1167" s="1406"/>
      <c r="Y1167" s="1406"/>
      <c r="Z1167" s="1406"/>
      <c r="AA1167" s="1406"/>
      <c r="AB1167" s="1406"/>
      <c r="AC1167" s="1406"/>
      <c r="AD1167" s="1406"/>
      <c r="AE1167" s="1406"/>
      <c r="AF1167" s="1406"/>
      <c r="AG1167" s="1406"/>
      <c r="AH1167" s="1406"/>
      <c r="AI1167" s="1406"/>
      <c r="AJ1167" s="1406"/>
      <c r="AK1167" s="1406"/>
      <c r="AL1167" s="1406"/>
      <c r="AM1167" s="1406"/>
      <c r="AN1167" s="1406"/>
      <c r="AO1167" s="1405"/>
      <c r="AP1167" s="1405"/>
      <c r="AQ1167" s="1405"/>
      <c r="AR1167" s="1405"/>
      <c r="AS1167" s="1405"/>
      <c r="AT1167" s="1405"/>
      <c r="AU1167" s="1405"/>
      <c r="AV1167" s="1405"/>
    </row>
    <row r="1168" spans="1:48" s="1431" customFormat="1">
      <c r="A1168" s="1399"/>
      <c r="B1168" s="1429"/>
      <c r="C1168" s="1430"/>
      <c r="D1168" s="1400"/>
      <c r="E1168" s="1401"/>
      <c r="F1168" s="1401"/>
      <c r="G1168" s="1402"/>
      <c r="H1168" s="1403"/>
      <c r="I1168" s="1404"/>
      <c r="J1168" s="1405"/>
      <c r="K1168" s="1405"/>
      <c r="L1168" s="1405"/>
      <c r="M1168" s="1405"/>
      <c r="N1168" s="1406"/>
      <c r="O1168" s="1406"/>
      <c r="P1168" s="1406"/>
      <c r="Q1168" s="1406"/>
      <c r="R1168" s="1406"/>
      <c r="S1168" s="1406"/>
      <c r="T1168" s="1406"/>
      <c r="U1168" s="1406"/>
      <c r="V1168" s="1406"/>
      <c r="W1168" s="1406"/>
      <c r="X1168" s="1406"/>
      <c r="Y1168" s="1406"/>
      <c r="Z1168" s="1406"/>
      <c r="AA1168" s="1406"/>
      <c r="AB1168" s="1406"/>
      <c r="AC1168" s="1406"/>
      <c r="AD1168" s="1406"/>
      <c r="AE1168" s="1406"/>
      <c r="AF1168" s="1406"/>
      <c r="AG1168" s="1406"/>
      <c r="AH1168" s="1406"/>
      <c r="AI1168" s="1406"/>
      <c r="AJ1168" s="1406"/>
      <c r="AK1168" s="1406"/>
      <c r="AL1168" s="1406"/>
      <c r="AM1168" s="1406"/>
      <c r="AN1168" s="1406"/>
      <c r="AO1168" s="1405"/>
      <c r="AP1168" s="1405"/>
      <c r="AQ1168" s="1405"/>
      <c r="AR1168" s="1405"/>
      <c r="AS1168" s="1405"/>
      <c r="AT1168" s="1405"/>
      <c r="AU1168" s="1405"/>
      <c r="AV1168" s="1405"/>
    </row>
    <row r="1169" spans="1:48" s="1431" customFormat="1">
      <c r="A1169" s="1399"/>
      <c r="B1169" s="1429"/>
      <c r="C1169" s="1430"/>
      <c r="D1169" s="1400"/>
      <c r="E1169" s="1401"/>
      <c r="F1169" s="1401"/>
      <c r="G1169" s="1402"/>
      <c r="H1169" s="1403"/>
      <c r="I1169" s="1404"/>
      <c r="J1169" s="1405"/>
      <c r="K1169" s="1405"/>
      <c r="L1169" s="1405"/>
      <c r="M1169" s="1405"/>
      <c r="N1169" s="1406"/>
      <c r="O1169" s="1406"/>
      <c r="P1169" s="1406"/>
      <c r="Q1169" s="1406"/>
      <c r="R1169" s="1406"/>
      <c r="S1169" s="1406"/>
      <c r="T1169" s="1406"/>
      <c r="U1169" s="1406"/>
      <c r="V1169" s="1406"/>
      <c r="W1169" s="1406"/>
      <c r="X1169" s="1406"/>
      <c r="Y1169" s="1406"/>
      <c r="Z1169" s="1406"/>
      <c r="AA1169" s="1406"/>
      <c r="AB1169" s="1406"/>
      <c r="AC1169" s="1406"/>
      <c r="AD1169" s="1406"/>
      <c r="AE1169" s="1406"/>
      <c r="AF1169" s="1406"/>
      <c r="AG1169" s="1406"/>
      <c r="AH1169" s="1406"/>
      <c r="AI1169" s="1406"/>
      <c r="AJ1169" s="1406"/>
      <c r="AK1169" s="1406"/>
      <c r="AL1169" s="1406"/>
      <c r="AM1169" s="1406"/>
      <c r="AN1169" s="1406"/>
      <c r="AO1169" s="1405"/>
      <c r="AP1169" s="1405"/>
      <c r="AQ1169" s="1405"/>
      <c r="AR1169" s="1405"/>
      <c r="AS1169" s="1405"/>
      <c r="AT1169" s="1405"/>
      <c r="AU1169" s="1405"/>
      <c r="AV1169" s="1405"/>
    </row>
    <row r="1170" spans="1:48" s="1431" customFormat="1">
      <c r="A1170" s="1399"/>
      <c r="B1170" s="1429"/>
      <c r="C1170" s="1430"/>
      <c r="D1170" s="1400"/>
      <c r="E1170" s="1401"/>
      <c r="F1170" s="1401"/>
      <c r="G1170" s="1402"/>
      <c r="H1170" s="1403"/>
      <c r="I1170" s="1404"/>
      <c r="J1170" s="1405"/>
      <c r="K1170" s="1405"/>
      <c r="L1170" s="1405"/>
      <c r="M1170" s="1405"/>
      <c r="N1170" s="1406"/>
      <c r="O1170" s="1406"/>
      <c r="P1170" s="1406"/>
      <c r="Q1170" s="1406"/>
      <c r="R1170" s="1406"/>
      <c r="S1170" s="1406"/>
      <c r="T1170" s="1406"/>
      <c r="U1170" s="1406"/>
      <c r="V1170" s="1406"/>
      <c r="W1170" s="1406"/>
      <c r="X1170" s="1406"/>
      <c r="Y1170" s="1406"/>
      <c r="Z1170" s="1406"/>
      <c r="AA1170" s="1406"/>
      <c r="AB1170" s="1406"/>
      <c r="AC1170" s="1406"/>
      <c r="AD1170" s="1406"/>
      <c r="AE1170" s="1406"/>
      <c r="AF1170" s="1406"/>
      <c r="AG1170" s="1406"/>
      <c r="AH1170" s="1406"/>
      <c r="AI1170" s="1406"/>
      <c r="AJ1170" s="1406"/>
      <c r="AK1170" s="1406"/>
      <c r="AL1170" s="1406"/>
      <c r="AM1170" s="1406"/>
      <c r="AN1170" s="1406"/>
      <c r="AO1170" s="1405"/>
      <c r="AP1170" s="1405"/>
      <c r="AQ1170" s="1405"/>
      <c r="AR1170" s="1405"/>
      <c r="AS1170" s="1405"/>
      <c r="AT1170" s="1405"/>
      <c r="AU1170" s="1405"/>
      <c r="AV1170" s="1405"/>
    </row>
    <row r="1171" spans="1:48" s="1431" customFormat="1">
      <c r="A1171" s="1399"/>
      <c r="B1171" s="1429"/>
      <c r="C1171" s="1430"/>
      <c r="D1171" s="1400"/>
      <c r="E1171" s="1401"/>
      <c r="F1171" s="1401"/>
      <c r="G1171" s="1402"/>
      <c r="H1171" s="1403"/>
      <c r="I1171" s="1404"/>
      <c r="J1171" s="1405"/>
      <c r="K1171" s="1405"/>
      <c r="L1171" s="1405"/>
      <c r="M1171" s="1405"/>
      <c r="N1171" s="1406"/>
      <c r="O1171" s="1406"/>
      <c r="P1171" s="1406"/>
      <c r="Q1171" s="1406"/>
      <c r="R1171" s="1406"/>
      <c r="S1171" s="1406"/>
      <c r="T1171" s="1406"/>
      <c r="U1171" s="1406"/>
      <c r="V1171" s="1406"/>
      <c r="W1171" s="1406"/>
      <c r="X1171" s="1406"/>
      <c r="Y1171" s="1406"/>
      <c r="Z1171" s="1406"/>
      <c r="AA1171" s="1406"/>
      <c r="AB1171" s="1406"/>
      <c r="AC1171" s="1406"/>
      <c r="AD1171" s="1406"/>
      <c r="AE1171" s="1406"/>
      <c r="AF1171" s="1406"/>
      <c r="AG1171" s="1406"/>
      <c r="AH1171" s="1406"/>
      <c r="AI1171" s="1406"/>
      <c r="AJ1171" s="1406"/>
      <c r="AK1171" s="1406"/>
      <c r="AL1171" s="1406"/>
      <c r="AM1171" s="1406"/>
      <c r="AN1171" s="1406"/>
      <c r="AO1171" s="1405"/>
      <c r="AP1171" s="1405"/>
      <c r="AQ1171" s="1405"/>
      <c r="AR1171" s="1405"/>
      <c r="AS1171" s="1405"/>
      <c r="AT1171" s="1405"/>
      <c r="AU1171" s="1405"/>
      <c r="AV1171" s="1405"/>
    </row>
    <row r="1172" spans="1:48" s="1431" customFormat="1">
      <c r="A1172" s="1399"/>
      <c r="B1172" s="1429"/>
      <c r="C1172" s="1430"/>
      <c r="D1172" s="1400"/>
      <c r="E1172" s="1401"/>
      <c r="F1172" s="1401"/>
      <c r="G1172" s="1402"/>
      <c r="H1172" s="1403"/>
      <c r="I1172" s="1404"/>
      <c r="J1172" s="1405"/>
      <c r="K1172" s="1405"/>
      <c r="L1172" s="1405"/>
      <c r="M1172" s="1405"/>
      <c r="N1172" s="1406"/>
      <c r="O1172" s="1406"/>
      <c r="P1172" s="1406"/>
      <c r="Q1172" s="1406"/>
      <c r="R1172" s="1406"/>
      <c r="S1172" s="1406"/>
      <c r="T1172" s="1406"/>
      <c r="U1172" s="1406"/>
      <c r="V1172" s="1406"/>
      <c r="W1172" s="1406"/>
      <c r="X1172" s="1406"/>
      <c r="Y1172" s="1406"/>
      <c r="Z1172" s="1406"/>
      <c r="AA1172" s="1406"/>
      <c r="AB1172" s="1406"/>
      <c r="AC1172" s="1406"/>
      <c r="AD1172" s="1406"/>
      <c r="AE1172" s="1406"/>
      <c r="AF1172" s="1406"/>
      <c r="AG1172" s="1406"/>
      <c r="AH1172" s="1406"/>
      <c r="AI1172" s="1406"/>
      <c r="AJ1172" s="1406"/>
      <c r="AK1172" s="1406"/>
      <c r="AL1172" s="1406"/>
      <c r="AM1172" s="1406"/>
      <c r="AN1172" s="1406"/>
      <c r="AO1172" s="1405"/>
      <c r="AP1172" s="1405"/>
      <c r="AQ1172" s="1405"/>
      <c r="AR1172" s="1405"/>
      <c r="AS1172" s="1405"/>
      <c r="AT1172" s="1405"/>
      <c r="AU1172" s="1405"/>
      <c r="AV1172" s="1405"/>
    </row>
    <row r="1173" spans="1:48" s="1431" customFormat="1">
      <c r="A1173" s="1399"/>
      <c r="B1173" s="1429"/>
      <c r="C1173" s="1430"/>
      <c r="D1173" s="1400"/>
      <c r="E1173" s="1401"/>
      <c r="F1173" s="1401"/>
      <c r="G1173" s="1402"/>
      <c r="H1173" s="1403"/>
      <c r="I1173" s="1404"/>
      <c r="J1173" s="1405"/>
      <c r="K1173" s="1405"/>
      <c r="L1173" s="1405"/>
      <c r="M1173" s="1405"/>
      <c r="N1173" s="1406"/>
      <c r="O1173" s="1406"/>
      <c r="P1173" s="1406"/>
      <c r="Q1173" s="1406"/>
      <c r="R1173" s="1406"/>
      <c r="S1173" s="1406"/>
      <c r="T1173" s="1406"/>
      <c r="U1173" s="1406"/>
      <c r="V1173" s="1406"/>
      <c r="W1173" s="1406"/>
      <c r="X1173" s="1406"/>
      <c r="Y1173" s="1406"/>
      <c r="Z1173" s="1406"/>
      <c r="AA1173" s="1406"/>
      <c r="AB1173" s="1406"/>
      <c r="AC1173" s="1406"/>
      <c r="AD1173" s="1406"/>
      <c r="AE1173" s="1406"/>
      <c r="AF1173" s="1406"/>
      <c r="AG1173" s="1406"/>
      <c r="AH1173" s="1406"/>
      <c r="AI1173" s="1406"/>
      <c r="AJ1173" s="1406"/>
      <c r="AK1173" s="1406"/>
      <c r="AL1173" s="1406"/>
      <c r="AM1173" s="1406"/>
      <c r="AN1173" s="1406"/>
      <c r="AO1173" s="1405"/>
      <c r="AP1173" s="1405"/>
      <c r="AQ1173" s="1405"/>
      <c r="AR1173" s="1405"/>
      <c r="AS1173" s="1405"/>
      <c r="AT1173" s="1405"/>
      <c r="AU1173" s="1405"/>
      <c r="AV1173" s="1405"/>
    </row>
    <row r="1174" spans="1:48" s="1431" customFormat="1">
      <c r="A1174" s="1399"/>
      <c r="B1174" s="1429"/>
      <c r="C1174" s="1430"/>
      <c r="D1174" s="1400"/>
      <c r="E1174" s="1401"/>
      <c r="F1174" s="1401"/>
      <c r="G1174" s="1402"/>
      <c r="H1174" s="1403"/>
      <c r="I1174" s="1404"/>
      <c r="J1174" s="1405"/>
      <c r="K1174" s="1405"/>
      <c r="L1174" s="1405"/>
      <c r="M1174" s="1405"/>
      <c r="N1174" s="1406"/>
      <c r="O1174" s="1406"/>
      <c r="P1174" s="1406"/>
      <c r="Q1174" s="1406"/>
      <c r="R1174" s="1406"/>
      <c r="S1174" s="1406"/>
      <c r="T1174" s="1406"/>
      <c r="U1174" s="1406"/>
      <c r="V1174" s="1406"/>
      <c r="W1174" s="1406"/>
      <c r="X1174" s="1406"/>
      <c r="Y1174" s="1406"/>
      <c r="Z1174" s="1406"/>
      <c r="AA1174" s="1406"/>
      <c r="AB1174" s="1406"/>
      <c r="AC1174" s="1406"/>
      <c r="AD1174" s="1406"/>
      <c r="AE1174" s="1406"/>
      <c r="AF1174" s="1406"/>
      <c r="AG1174" s="1406"/>
      <c r="AH1174" s="1406"/>
      <c r="AI1174" s="1406"/>
      <c r="AJ1174" s="1406"/>
      <c r="AK1174" s="1406"/>
      <c r="AL1174" s="1406"/>
      <c r="AM1174" s="1406"/>
      <c r="AN1174" s="1406"/>
      <c r="AO1174" s="1405"/>
      <c r="AP1174" s="1405"/>
      <c r="AQ1174" s="1405"/>
      <c r="AR1174" s="1405"/>
      <c r="AS1174" s="1405"/>
      <c r="AT1174" s="1405"/>
      <c r="AU1174" s="1405"/>
      <c r="AV1174" s="1405"/>
    </row>
    <row r="1175" spans="1:48" s="1431" customFormat="1">
      <c r="A1175" s="1399"/>
      <c r="B1175" s="1429"/>
      <c r="C1175" s="1430"/>
      <c r="D1175" s="1400"/>
      <c r="E1175" s="1401"/>
      <c r="F1175" s="1401"/>
      <c r="G1175" s="1402"/>
      <c r="H1175" s="1403"/>
      <c r="I1175" s="1404"/>
      <c r="J1175" s="1405"/>
      <c r="K1175" s="1405"/>
      <c r="L1175" s="1405"/>
      <c r="M1175" s="1405"/>
      <c r="N1175" s="1406"/>
      <c r="O1175" s="1406"/>
      <c r="P1175" s="1406"/>
      <c r="Q1175" s="1406"/>
      <c r="R1175" s="1406"/>
      <c r="S1175" s="1406"/>
      <c r="T1175" s="1406"/>
      <c r="U1175" s="1406"/>
      <c r="V1175" s="1406"/>
      <c r="W1175" s="1406"/>
      <c r="X1175" s="1406"/>
      <c r="Y1175" s="1406"/>
      <c r="Z1175" s="1406"/>
      <c r="AA1175" s="1406"/>
      <c r="AB1175" s="1406"/>
      <c r="AC1175" s="1406"/>
      <c r="AD1175" s="1406"/>
      <c r="AE1175" s="1406"/>
      <c r="AF1175" s="1406"/>
      <c r="AG1175" s="1406"/>
      <c r="AH1175" s="1406"/>
      <c r="AI1175" s="1406"/>
      <c r="AJ1175" s="1406"/>
      <c r="AK1175" s="1406"/>
      <c r="AL1175" s="1406"/>
      <c r="AM1175" s="1406"/>
      <c r="AN1175" s="1406"/>
      <c r="AO1175" s="1405"/>
      <c r="AP1175" s="1405"/>
      <c r="AQ1175" s="1405"/>
      <c r="AR1175" s="1405"/>
      <c r="AS1175" s="1405"/>
      <c r="AT1175" s="1405"/>
      <c r="AU1175" s="1405"/>
      <c r="AV1175" s="1405"/>
    </row>
    <row r="1176" spans="1:48" s="1431" customFormat="1">
      <c r="A1176" s="1399"/>
      <c r="B1176" s="1429"/>
      <c r="C1176" s="1430"/>
      <c r="D1176" s="1400"/>
      <c r="E1176" s="1401"/>
      <c r="F1176" s="1401"/>
      <c r="G1176" s="1402"/>
      <c r="H1176" s="1403"/>
      <c r="I1176" s="1404"/>
      <c r="J1176" s="1405"/>
      <c r="K1176" s="1405"/>
      <c r="L1176" s="1405"/>
      <c r="M1176" s="1405"/>
      <c r="N1176" s="1406"/>
      <c r="O1176" s="1406"/>
      <c r="P1176" s="1406"/>
      <c r="Q1176" s="1406"/>
      <c r="R1176" s="1406"/>
      <c r="S1176" s="1406"/>
      <c r="T1176" s="1406"/>
      <c r="U1176" s="1406"/>
      <c r="V1176" s="1406"/>
      <c r="W1176" s="1406"/>
      <c r="X1176" s="1406"/>
      <c r="Y1176" s="1406"/>
      <c r="Z1176" s="1406"/>
      <c r="AA1176" s="1406"/>
      <c r="AB1176" s="1406"/>
      <c r="AC1176" s="1406"/>
      <c r="AD1176" s="1406"/>
      <c r="AE1176" s="1406"/>
      <c r="AF1176" s="1406"/>
      <c r="AG1176" s="1406"/>
      <c r="AH1176" s="1406"/>
      <c r="AI1176" s="1406"/>
      <c r="AJ1176" s="1406"/>
      <c r="AK1176" s="1406"/>
      <c r="AL1176" s="1406"/>
      <c r="AM1176" s="1406"/>
      <c r="AN1176" s="1406"/>
      <c r="AO1176" s="1405"/>
      <c r="AP1176" s="1405"/>
      <c r="AQ1176" s="1405"/>
      <c r="AR1176" s="1405"/>
      <c r="AS1176" s="1405"/>
      <c r="AT1176" s="1405"/>
      <c r="AU1176" s="1405"/>
      <c r="AV1176" s="1405"/>
    </row>
    <row r="1177" spans="1:48" s="1431" customFormat="1">
      <c r="A1177" s="1399"/>
      <c r="B1177" s="1429"/>
      <c r="C1177" s="1430"/>
      <c r="D1177" s="1400"/>
      <c r="E1177" s="1401"/>
      <c r="F1177" s="1401"/>
      <c r="G1177" s="1402"/>
      <c r="H1177" s="1403"/>
      <c r="I1177" s="1404"/>
      <c r="J1177" s="1405"/>
      <c r="K1177" s="1405"/>
      <c r="L1177" s="1405"/>
      <c r="M1177" s="1405"/>
      <c r="N1177" s="1406"/>
      <c r="O1177" s="1406"/>
      <c r="P1177" s="1406"/>
      <c r="Q1177" s="1406"/>
      <c r="R1177" s="1406"/>
      <c r="S1177" s="1406"/>
      <c r="T1177" s="1406"/>
      <c r="U1177" s="1406"/>
      <c r="V1177" s="1406"/>
      <c r="W1177" s="1406"/>
      <c r="X1177" s="1406"/>
      <c r="Y1177" s="1406"/>
      <c r="Z1177" s="1406"/>
      <c r="AA1177" s="1406"/>
      <c r="AB1177" s="1406"/>
      <c r="AC1177" s="1406"/>
      <c r="AD1177" s="1406"/>
      <c r="AE1177" s="1406"/>
      <c r="AF1177" s="1406"/>
      <c r="AG1177" s="1406"/>
      <c r="AH1177" s="1406"/>
      <c r="AI1177" s="1406"/>
      <c r="AJ1177" s="1406"/>
      <c r="AK1177" s="1406"/>
      <c r="AL1177" s="1406"/>
      <c r="AM1177" s="1406"/>
      <c r="AN1177" s="1406"/>
      <c r="AO1177" s="1405"/>
      <c r="AP1177" s="1405"/>
      <c r="AQ1177" s="1405"/>
      <c r="AR1177" s="1405"/>
      <c r="AS1177" s="1405"/>
      <c r="AT1177" s="1405"/>
      <c r="AU1177" s="1405"/>
      <c r="AV1177" s="1405"/>
    </row>
    <row r="1178" spans="1:48" s="1431" customFormat="1">
      <c r="A1178" s="1399"/>
      <c r="B1178" s="1429"/>
      <c r="C1178" s="1430"/>
      <c r="D1178" s="1400"/>
      <c r="E1178" s="1401"/>
      <c r="F1178" s="1401"/>
      <c r="G1178" s="1402"/>
      <c r="H1178" s="1403"/>
      <c r="I1178" s="1404"/>
      <c r="J1178" s="1405"/>
      <c r="K1178" s="1405"/>
      <c r="L1178" s="1405"/>
      <c r="M1178" s="1405"/>
      <c r="N1178" s="1406"/>
      <c r="O1178" s="1406"/>
      <c r="P1178" s="1406"/>
      <c r="Q1178" s="1406"/>
      <c r="R1178" s="1406"/>
      <c r="S1178" s="1406"/>
      <c r="T1178" s="1406"/>
      <c r="U1178" s="1406"/>
      <c r="V1178" s="1406"/>
      <c r="W1178" s="1406"/>
      <c r="X1178" s="1406"/>
      <c r="Y1178" s="1406"/>
      <c r="Z1178" s="1406"/>
      <c r="AA1178" s="1406"/>
      <c r="AB1178" s="1406"/>
      <c r="AC1178" s="1406"/>
      <c r="AD1178" s="1406"/>
      <c r="AE1178" s="1406"/>
      <c r="AF1178" s="1406"/>
      <c r="AG1178" s="1406"/>
      <c r="AH1178" s="1406"/>
      <c r="AI1178" s="1406"/>
      <c r="AJ1178" s="1406"/>
      <c r="AK1178" s="1406"/>
      <c r="AL1178" s="1406"/>
      <c r="AM1178" s="1406"/>
      <c r="AN1178" s="1406"/>
      <c r="AO1178" s="1405"/>
      <c r="AP1178" s="1405"/>
      <c r="AQ1178" s="1405"/>
      <c r="AR1178" s="1405"/>
      <c r="AS1178" s="1405"/>
      <c r="AT1178" s="1405"/>
      <c r="AU1178" s="1405"/>
      <c r="AV1178" s="1405"/>
    </row>
    <row r="1179" spans="1:48" s="1431" customFormat="1">
      <c r="A1179" s="1399"/>
      <c r="B1179" s="1429"/>
      <c r="C1179" s="1430"/>
      <c r="D1179" s="1400"/>
      <c r="E1179" s="1401"/>
      <c r="F1179" s="1401"/>
      <c r="G1179" s="1402"/>
      <c r="H1179" s="1403"/>
      <c r="I1179" s="1404"/>
      <c r="J1179" s="1405"/>
      <c r="K1179" s="1405"/>
      <c r="L1179" s="1405"/>
      <c r="M1179" s="1405"/>
      <c r="N1179" s="1406"/>
      <c r="O1179" s="1406"/>
      <c r="P1179" s="1406"/>
      <c r="Q1179" s="1406"/>
      <c r="R1179" s="1406"/>
      <c r="S1179" s="1406"/>
      <c r="T1179" s="1406"/>
      <c r="U1179" s="1406"/>
      <c r="V1179" s="1406"/>
      <c r="W1179" s="1406"/>
      <c r="X1179" s="1406"/>
      <c r="Y1179" s="1406"/>
      <c r="Z1179" s="1406"/>
      <c r="AA1179" s="1406"/>
      <c r="AB1179" s="1406"/>
      <c r="AC1179" s="1406"/>
      <c r="AD1179" s="1406"/>
      <c r="AE1179" s="1406"/>
      <c r="AF1179" s="1406"/>
      <c r="AG1179" s="1406"/>
      <c r="AH1179" s="1406"/>
      <c r="AI1179" s="1406"/>
      <c r="AJ1179" s="1406"/>
      <c r="AK1179" s="1406"/>
      <c r="AL1179" s="1406"/>
      <c r="AM1179" s="1406"/>
      <c r="AN1179" s="1406"/>
      <c r="AO1179" s="1405"/>
      <c r="AP1179" s="1405"/>
      <c r="AQ1179" s="1405"/>
      <c r="AR1179" s="1405"/>
      <c r="AS1179" s="1405"/>
      <c r="AT1179" s="1405"/>
      <c r="AU1179" s="1405"/>
      <c r="AV1179" s="1405"/>
    </row>
    <row r="1180" spans="1:48" s="1431" customFormat="1">
      <c r="A1180" s="1399"/>
      <c r="B1180" s="1429"/>
      <c r="C1180" s="1430"/>
      <c r="D1180" s="1400"/>
      <c r="E1180" s="1401"/>
      <c r="F1180" s="1401"/>
      <c r="G1180" s="1402"/>
      <c r="H1180" s="1403"/>
      <c r="I1180" s="1404"/>
      <c r="J1180" s="1405"/>
      <c r="K1180" s="1405"/>
      <c r="L1180" s="1405"/>
      <c r="M1180" s="1405"/>
      <c r="N1180" s="1406"/>
      <c r="O1180" s="1406"/>
      <c r="P1180" s="1406"/>
      <c r="Q1180" s="1406"/>
      <c r="R1180" s="1406"/>
      <c r="S1180" s="1406"/>
      <c r="T1180" s="1406"/>
      <c r="U1180" s="1406"/>
      <c r="V1180" s="1406"/>
      <c r="W1180" s="1406"/>
      <c r="X1180" s="1406"/>
      <c r="Y1180" s="1406"/>
      <c r="Z1180" s="1406"/>
      <c r="AA1180" s="1406"/>
      <c r="AB1180" s="1406"/>
      <c r="AC1180" s="1406"/>
      <c r="AD1180" s="1406"/>
      <c r="AE1180" s="1406"/>
      <c r="AF1180" s="1406"/>
      <c r="AG1180" s="1406"/>
      <c r="AH1180" s="1406"/>
      <c r="AI1180" s="1406"/>
      <c r="AJ1180" s="1406"/>
      <c r="AK1180" s="1406"/>
      <c r="AL1180" s="1406"/>
      <c r="AM1180" s="1406"/>
      <c r="AN1180" s="1406"/>
      <c r="AO1180" s="1405"/>
      <c r="AP1180" s="1405"/>
      <c r="AQ1180" s="1405"/>
      <c r="AR1180" s="1405"/>
      <c r="AS1180" s="1405"/>
      <c r="AT1180" s="1405"/>
      <c r="AU1180" s="1405"/>
      <c r="AV1180" s="1405"/>
    </row>
    <row r="1181" spans="1:48" s="1431" customFormat="1">
      <c r="A1181" s="1399"/>
      <c r="B1181" s="1429"/>
      <c r="C1181" s="1430"/>
      <c r="D1181" s="1400"/>
      <c r="E1181" s="1401"/>
      <c r="F1181" s="1401"/>
      <c r="G1181" s="1402"/>
      <c r="H1181" s="1403"/>
      <c r="I1181" s="1404"/>
      <c r="J1181" s="1405"/>
      <c r="K1181" s="1405"/>
      <c r="L1181" s="1405"/>
      <c r="M1181" s="1405"/>
      <c r="N1181" s="1406"/>
      <c r="O1181" s="1406"/>
      <c r="P1181" s="1406"/>
      <c r="Q1181" s="1406"/>
      <c r="R1181" s="1406"/>
      <c r="S1181" s="1406"/>
      <c r="T1181" s="1406"/>
      <c r="U1181" s="1406"/>
      <c r="V1181" s="1406"/>
      <c r="W1181" s="1406"/>
      <c r="X1181" s="1406"/>
      <c r="Y1181" s="1406"/>
      <c r="Z1181" s="1406"/>
      <c r="AA1181" s="1406"/>
      <c r="AB1181" s="1406"/>
      <c r="AC1181" s="1406"/>
      <c r="AD1181" s="1406"/>
      <c r="AE1181" s="1406"/>
      <c r="AF1181" s="1406"/>
      <c r="AG1181" s="1406"/>
      <c r="AH1181" s="1406"/>
      <c r="AI1181" s="1406"/>
      <c r="AJ1181" s="1406"/>
      <c r="AK1181" s="1406"/>
      <c r="AL1181" s="1406"/>
      <c r="AM1181" s="1406"/>
      <c r="AN1181" s="1406"/>
      <c r="AO1181" s="1405"/>
      <c r="AP1181" s="1405"/>
      <c r="AQ1181" s="1405"/>
      <c r="AR1181" s="1405"/>
      <c r="AS1181" s="1405"/>
      <c r="AT1181" s="1405"/>
      <c r="AU1181" s="1405"/>
      <c r="AV1181" s="1405"/>
    </row>
    <row r="1182" spans="1:48" s="1431" customFormat="1">
      <c r="A1182" s="1399"/>
      <c r="B1182" s="1429"/>
      <c r="C1182" s="1430"/>
      <c r="D1182" s="1400"/>
      <c r="E1182" s="1401"/>
      <c r="F1182" s="1401"/>
      <c r="G1182" s="1402"/>
      <c r="H1182" s="1403"/>
      <c r="I1182" s="1404"/>
      <c r="J1182" s="1405"/>
      <c r="K1182" s="1405"/>
      <c r="L1182" s="1405"/>
      <c r="M1182" s="1405"/>
      <c r="N1182" s="1406"/>
      <c r="O1182" s="1406"/>
      <c r="P1182" s="1406"/>
      <c r="Q1182" s="1406"/>
      <c r="R1182" s="1406"/>
      <c r="S1182" s="1406"/>
      <c r="T1182" s="1406"/>
      <c r="U1182" s="1406"/>
      <c r="V1182" s="1406"/>
      <c r="W1182" s="1406"/>
      <c r="X1182" s="1406"/>
      <c r="Y1182" s="1406"/>
      <c r="Z1182" s="1406"/>
      <c r="AA1182" s="1406"/>
      <c r="AB1182" s="1406"/>
      <c r="AC1182" s="1406"/>
      <c r="AD1182" s="1406"/>
      <c r="AE1182" s="1406"/>
      <c r="AF1182" s="1406"/>
      <c r="AG1182" s="1406"/>
      <c r="AH1182" s="1406"/>
      <c r="AI1182" s="1406"/>
      <c r="AJ1182" s="1406"/>
      <c r="AK1182" s="1406"/>
      <c r="AL1182" s="1406"/>
      <c r="AM1182" s="1406"/>
      <c r="AN1182" s="1406"/>
      <c r="AO1182" s="1405"/>
      <c r="AP1182" s="1405"/>
      <c r="AQ1182" s="1405"/>
      <c r="AR1182" s="1405"/>
      <c r="AS1182" s="1405"/>
      <c r="AT1182" s="1405"/>
      <c r="AU1182" s="1405"/>
      <c r="AV1182" s="1405"/>
    </row>
    <row r="1183" spans="1:48" s="1431" customFormat="1">
      <c r="A1183" s="1399"/>
      <c r="B1183" s="1429"/>
      <c r="C1183" s="1430"/>
      <c r="D1183" s="1400"/>
      <c r="E1183" s="1401"/>
      <c r="F1183" s="1401"/>
      <c r="G1183" s="1402"/>
      <c r="H1183" s="1403"/>
      <c r="I1183" s="1404"/>
      <c r="J1183" s="1405"/>
      <c r="K1183" s="1405"/>
      <c r="L1183" s="1405"/>
      <c r="M1183" s="1405"/>
      <c r="N1183" s="1406"/>
      <c r="O1183" s="1406"/>
      <c r="P1183" s="1406"/>
      <c r="Q1183" s="1406"/>
      <c r="R1183" s="1406"/>
      <c r="S1183" s="1406"/>
      <c r="T1183" s="1406"/>
      <c r="U1183" s="1406"/>
      <c r="V1183" s="1406"/>
      <c r="W1183" s="1406"/>
      <c r="X1183" s="1406"/>
      <c r="Y1183" s="1406"/>
      <c r="Z1183" s="1406"/>
      <c r="AA1183" s="1406"/>
      <c r="AB1183" s="1406"/>
      <c r="AC1183" s="1406"/>
      <c r="AD1183" s="1406"/>
      <c r="AE1183" s="1406"/>
      <c r="AF1183" s="1406"/>
      <c r="AG1183" s="1406"/>
      <c r="AH1183" s="1406"/>
      <c r="AI1183" s="1406"/>
      <c r="AJ1183" s="1406"/>
      <c r="AK1183" s="1406"/>
      <c r="AL1183" s="1406"/>
      <c r="AM1183" s="1406"/>
      <c r="AN1183" s="1406"/>
      <c r="AO1183" s="1405"/>
      <c r="AP1183" s="1405"/>
      <c r="AQ1183" s="1405"/>
      <c r="AR1183" s="1405"/>
      <c r="AS1183" s="1405"/>
      <c r="AT1183" s="1405"/>
      <c r="AU1183" s="1405"/>
      <c r="AV1183" s="1405"/>
    </row>
    <row r="1184" spans="1:48" s="1431" customFormat="1">
      <c r="A1184" s="1399"/>
      <c r="B1184" s="1429"/>
      <c r="C1184" s="1430"/>
      <c r="D1184" s="1400"/>
      <c r="E1184" s="1401"/>
      <c r="F1184" s="1401"/>
      <c r="G1184" s="1402"/>
      <c r="H1184" s="1403"/>
      <c r="I1184" s="1404"/>
      <c r="J1184" s="1405"/>
      <c r="K1184" s="1405"/>
      <c r="L1184" s="1405"/>
      <c r="M1184" s="1405"/>
      <c r="N1184" s="1406"/>
      <c r="O1184" s="1406"/>
      <c r="P1184" s="1406"/>
      <c r="Q1184" s="1406"/>
      <c r="R1184" s="1406"/>
      <c r="S1184" s="1406"/>
      <c r="T1184" s="1406"/>
      <c r="U1184" s="1406"/>
      <c r="V1184" s="1406"/>
      <c r="W1184" s="1406"/>
      <c r="X1184" s="1406"/>
      <c r="Y1184" s="1406"/>
      <c r="Z1184" s="1406"/>
      <c r="AA1184" s="1406"/>
      <c r="AB1184" s="1406"/>
      <c r="AC1184" s="1406"/>
      <c r="AD1184" s="1406"/>
      <c r="AE1184" s="1406"/>
      <c r="AF1184" s="1406"/>
      <c r="AG1184" s="1406"/>
      <c r="AH1184" s="1406"/>
      <c r="AI1184" s="1406"/>
      <c r="AJ1184" s="1406"/>
      <c r="AK1184" s="1406"/>
      <c r="AL1184" s="1406"/>
      <c r="AM1184" s="1406"/>
      <c r="AN1184" s="1406"/>
      <c r="AO1184" s="1405"/>
      <c r="AP1184" s="1405"/>
      <c r="AQ1184" s="1405"/>
      <c r="AR1184" s="1405"/>
      <c r="AS1184" s="1405"/>
      <c r="AT1184" s="1405"/>
      <c r="AU1184" s="1405"/>
      <c r="AV1184" s="1405"/>
    </row>
    <row r="1185" spans="1:48" s="1431" customFormat="1">
      <c r="A1185" s="1399"/>
      <c r="B1185" s="1429"/>
      <c r="C1185" s="1430"/>
      <c r="D1185" s="1400"/>
      <c r="E1185" s="1401"/>
      <c r="F1185" s="1401"/>
      <c r="G1185" s="1402"/>
      <c r="H1185" s="1403"/>
      <c r="I1185" s="1404"/>
      <c r="J1185" s="1405"/>
      <c r="K1185" s="1405"/>
      <c r="L1185" s="1405"/>
      <c r="M1185" s="1405"/>
      <c r="N1185" s="1406"/>
      <c r="O1185" s="1406"/>
      <c r="P1185" s="1406"/>
      <c r="Q1185" s="1406"/>
      <c r="R1185" s="1406"/>
      <c r="S1185" s="1406"/>
      <c r="T1185" s="1406"/>
      <c r="U1185" s="1406"/>
      <c r="V1185" s="1406"/>
      <c r="W1185" s="1406"/>
      <c r="X1185" s="1406"/>
      <c r="Y1185" s="1406"/>
      <c r="Z1185" s="1406"/>
      <c r="AA1185" s="1406"/>
      <c r="AB1185" s="1406"/>
      <c r="AC1185" s="1406"/>
      <c r="AD1185" s="1406"/>
      <c r="AE1185" s="1406"/>
      <c r="AF1185" s="1406"/>
      <c r="AG1185" s="1406"/>
      <c r="AH1185" s="1406"/>
      <c r="AI1185" s="1406"/>
      <c r="AJ1185" s="1406"/>
      <c r="AK1185" s="1406"/>
      <c r="AL1185" s="1406"/>
      <c r="AM1185" s="1406"/>
      <c r="AN1185" s="1406"/>
      <c r="AO1185" s="1405"/>
      <c r="AP1185" s="1405"/>
      <c r="AQ1185" s="1405"/>
      <c r="AR1185" s="1405"/>
      <c r="AS1185" s="1405"/>
      <c r="AT1185" s="1405"/>
      <c r="AU1185" s="1405"/>
      <c r="AV1185" s="1405"/>
    </row>
    <row r="1186" spans="1:48" s="1431" customFormat="1">
      <c r="A1186" s="1399"/>
      <c r="B1186" s="1429"/>
      <c r="C1186" s="1430"/>
      <c r="D1186" s="1400"/>
      <c r="E1186" s="1401"/>
      <c r="F1186" s="1401"/>
      <c r="G1186" s="1402"/>
      <c r="H1186" s="1403"/>
      <c r="I1186" s="1404"/>
      <c r="J1186" s="1405"/>
      <c r="K1186" s="1405"/>
      <c r="L1186" s="1405"/>
      <c r="M1186" s="1405"/>
      <c r="N1186" s="1406"/>
      <c r="O1186" s="1406"/>
      <c r="P1186" s="1406"/>
      <c r="Q1186" s="1406"/>
      <c r="R1186" s="1406"/>
      <c r="S1186" s="1406"/>
      <c r="T1186" s="1406"/>
      <c r="U1186" s="1406"/>
      <c r="V1186" s="1406"/>
      <c r="W1186" s="1406"/>
      <c r="X1186" s="1406"/>
      <c r="Y1186" s="1406"/>
      <c r="Z1186" s="1406"/>
      <c r="AA1186" s="1406"/>
      <c r="AB1186" s="1406"/>
      <c r="AC1186" s="1406"/>
      <c r="AD1186" s="1406"/>
      <c r="AE1186" s="1406"/>
      <c r="AF1186" s="1406"/>
      <c r="AG1186" s="1406"/>
      <c r="AH1186" s="1406"/>
      <c r="AI1186" s="1406"/>
      <c r="AJ1186" s="1406"/>
      <c r="AK1186" s="1406"/>
      <c r="AL1186" s="1406"/>
      <c r="AM1186" s="1406"/>
      <c r="AN1186" s="1406"/>
      <c r="AO1186" s="1405"/>
      <c r="AP1186" s="1405"/>
      <c r="AQ1186" s="1405"/>
      <c r="AR1186" s="1405"/>
      <c r="AS1186" s="1405"/>
      <c r="AT1186" s="1405"/>
      <c r="AU1186" s="1405"/>
      <c r="AV1186" s="1405"/>
    </row>
    <row r="1187" spans="1:48" s="1431" customFormat="1">
      <c r="A1187" s="1399"/>
      <c r="B1187" s="1429"/>
      <c r="C1187" s="1430"/>
      <c r="D1187" s="1400"/>
      <c r="E1187" s="1401"/>
      <c r="F1187" s="1401"/>
      <c r="G1187" s="1402"/>
      <c r="H1187" s="1403"/>
      <c r="I1187" s="1404"/>
      <c r="J1187" s="1405"/>
      <c r="K1187" s="1405"/>
      <c r="L1187" s="1405"/>
      <c r="M1187" s="1405"/>
      <c r="N1187" s="1406"/>
      <c r="O1187" s="1406"/>
      <c r="P1187" s="1406"/>
      <c r="Q1187" s="1406"/>
      <c r="R1187" s="1406"/>
      <c r="S1187" s="1406"/>
      <c r="T1187" s="1406"/>
      <c r="U1187" s="1406"/>
      <c r="V1187" s="1406"/>
      <c r="W1187" s="1406"/>
      <c r="X1187" s="1406"/>
      <c r="Y1187" s="1406"/>
      <c r="Z1187" s="1406"/>
      <c r="AA1187" s="1406"/>
      <c r="AB1187" s="1406"/>
      <c r="AC1187" s="1406"/>
      <c r="AD1187" s="1406"/>
      <c r="AE1187" s="1406"/>
      <c r="AF1187" s="1406"/>
      <c r="AG1187" s="1406"/>
      <c r="AH1187" s="1406"/>
      <c r="AI1187" s="1406"/>
      <c r="AJ1187" s="1406"/>
      <c r="AK1187" s="1406"/>
      <c r="AL1187" s="1406"/>
      <c r="AM1187" s="1406"/>
      <c r="AN1187" s="1406"/>
      <c r="AO1187" s="1405"/>
      <c r="AP1187" s="1405"/>
      <c r="AQ1187" s="1405"/>
      <c r="AR1187" s="1405"/>
      <c r="AS1187" s="1405"/>
      <c r="AT1187" s="1405"/>
      <c r="AU1187" s="1405"/>
      <c r="AV1187" s="1405"/>
    </row>
    <row r="1188" spans="1:48" s="1431" customFormat="1">
      <c r="A1188" s="1399"/>
      <c r="B1188" s="1429"/>
      <c r="C1188" s="1430"/>
      <c r="D1188" s="1400"/>
      <c r="E1188" s="1401"/>
      <c r="F1188" s="1401"/>
      <c r="G1188" s="1402"/>
      <c r="H1188" s="1403"/>
      <c r="I1188" s="1404"/>
      <c r="J1188" s="1405"/>
      <c r="K1188" s="1405"/>
      <c r="L1188" s="1405"/>
      <c r="M1188" s="1405"/>
      <c r="N1188" s="1406"/>
      <c r="O1188" s="1406"/>
      <c r="P1188" s="1406"/>
      <c r="Q1188" s="1406"/>
      <c r="R1188" s="1406"/>
      <c r="S1188" s="1406"/>
      <c r="T1188" s="1406"/>
      <c r="U1188" s="1406"/>
      <c r="V1188" s="1406"/>
      <c r="W1188" s="1406"/>
      <c r="X1188" s="1406"/>
      <c r="Y1188" s="1406"/>
      <c r="Z1188" s="1406"/>
      <c r="AA1188" s="1406"/>
      <c r="AB1188" s="1406"/>
      <c r="AC1188" s="1406"/>
      <c r="AD1188" s="1406"/>
      <c r="AE1188" s="1406"/>
      <c r="AF1188" s="1406"/>
      <c r="AG1188" s="1406"/>
      <c r="AH1188" s="1406"/>
      <c r="AI1188" s="1406"/>
      <c r="AJ1188" s="1406"/>
      <c r="AK1188" s="1406"/>
      <c r="AL1188" s="1406"/>
      <c r="AM1188" s="1406"/>
      <c r="AN1188" s="1406"/>
      <c r="AO1188" s="1405"/>
      <c r="AP1188" s="1405"/>
      <c r="AQ1188" s="1405"/>
      <c r="AR1188" s="1405"/>
      <c r="AS1188" s="1405"/>
      <c r="AT1188" s="1405"/>
      <c r="AU1188" s="1405"/>
      <c r="AV1188" s="1405"/>
    </row>
    <row r="1189" spans="1:48" s="1431" customFormat="1">
      <c r="A1189" s="1399"/>
      <c r="B1189" s="1429"/>
      <c r="C1189" s="1430"/>
      <c r="D1189" s="1400"/>
      <c r="E1189" s="1401"/>
      <c r="F1189" s="1401"/>
      <c r="G1189" s="1402"/>
      <c r="H1189" s="1403"/>
      <c r="I1189" s="1404"/>
      <c r="J1189" s="1405"/>
      <c r="K1189" s="1405"/>
      <c r="L1189" s="1405"/>
      <c r="M1189" s="1405"/>
      <c r="N1189" s="1406"/>
      <c r="O1189" s="1406"/>
      <c r="P1189" s="1406"/>
      <c r="Q1189" s="1406"/>
      <c r="R1189" s="1406"/>
      <c r="S1189" s="1406"/>
      <c r="T1189" s="1406"/>
      <c r="U1189" s="1406"/>
      <c r="V1189" s="1406"/>
      <c r="W1189" s="1406"/>
      <c r="X1189" s="1406"/>
      <c r="Y1189" s="1406"/>
      <c r="Z1189" s="1406"/>
      <c r="AA1189" s="1406"/>
      <c r="AB1189" s="1406"/>
      <c r="AC1189" s="1406"/>
      <c r="AD1189" s="1406"/>
      <c r="AE1189" s="1406"/>
      <c r="AF1189" s="1406"/>
      <c r="AG1189" s="1406"/>
      <c r="AH1189" s="1406"/>
      <c r="AI1189" s="1406"/>
      <c r="AJ1189" s="1406"/>
      <c r="AK1189" s="1406"/>
      <c r="AL1189" s="1406"/>
      <c r="AM1189" s="1406"/>
      <c r="AN1189" s="1406"/>
      <c r="AO1189" s="1405"/>
      <c r="AP1189" s="1405"/>
      <c r="AQ1189" s="1405"/>
      <c r="AR1189" s="1405"/>
      <c r="AS1189" s="1405"/>
      <c r="AT1189" s="1405"/>
      <c r="AU1189" s="1405"/>
      <c r="AV1189" s="1405"/>
    </row>
    <row r="1190" spans="1:48" s="1431" customFormat="1">
      <c r="A1190" s="1399"/>
      <c r="B1190" s="1429"/>
      <c r="C1190" s="1430"/>
      <c r="D1190" s="1400"/>
      <c r="E1190" s="1401"/>
      <c r="F1190" s="1401"/>
      <c r="G1190" s="1402"/>
      <c r="H1190" s="1403"/>
      <c r="I1190" s="1404"/>
      <c r="J1190" s="1405"/>
      <c r="K1190" s="1405"/>
      <c r="L1190" s="1405"/>
      <c r="M1190" s="1405"/>
      <c r="N1190" s="1406"/>
      <c r="O1190" s="1406"/>
      <c r="P1190" s="1406"/>
      <c r="Q1190" s="1406"/>
      <c r="R1190" s="1406"/>
      <c r="S1190" s="1406"/>
      <c r="T1190" s="1406"/>
      <c r="U1190" s="1406"/>
      <c r="V1190" s="1406"/>
      <c r="W1190" s="1406"/>
      <c r="X1190" s="1406"/>
      <c r="Y1190" s="1406"/>
      <c r="Z1190" s="1406"/>
      <c r="AA1190" s="1406"/>
      <c r="AB1190" s="1406"/>
      <c r="AC1190" s="1406"/>
      <c r="AD1190" s="1406"/>
      <c r="AE1190" s="1406"/>
      <c r="AF1190" s="1406"/>
      <c r="AG1190" s="1406"/>
      <c r="AH1190" s="1406"/>
      <c r="AI1190" s="1406"/>
      <c r="AJ1190" s="1406"/>
      <c r="AK1190" s="1406"/>
      <c r="AL1190" s="1406"/>
      <c r="AM1190" s="1406"/>
      <c r="AN1190" s="1406"/>
      <c r="AO1190" s="1405"/>
      <c r="AP1190" s="1405"/>
      <c r="AQ1190" s="1405"/>
      <c r="AR1190" s="1405"/>
      <c r="AS1190" s="1405"/>
      <c r="AT1190" s="1405"/>
      <c r="AU1190" s="1405"/>
      <c r="AV1190" s="1405"/>
    </row>
    <row r="1191" spans="1:48" s="1431" customFormat="1">
      <c r="A1191" s="1399"/>
      <c r="B1191" s="1429"/>
      <c r="C1191" s="1430"/>
      <c r="D1191" s="1400"/>
      <c r="E1191" s="1401"/>
      <c r="F1191" s="1401"/>
      <c r="G1191" s="1402"/>
      <c r="H1191" s="1403"/>
      <c r="I1191" s="1404"/>
      <c r="J1191" s="1405"/>
      <c r="K1191" s="1405"/>
      <c r="L1191" s="1405"/>
      <c r="M1191" s="1405"/>
      <c r="N1191" s="1406"/>
      <c r="O1191" s="1406"/>
      <c r="P1191" s="1406"/>
      <c r="Q1191" s="1406"/>
      <c r="R1191" s="1406"/>
      <c r="S1191" s="1406"/>
      <c r="T1191" s="1406"/>
      <c r="U1191" s="1406"/>
      <c r="V1191" s="1406"/>
      <c r="W1191" s="1406"/>
      <c r="X1191" s="1406"/>
      <c r="Y1191" s="1406"/>
      <c r="Z1191" s="1406"/>
      <c r="AA1191" s="1406"/>
      <c r="AB1191" s="1406"/>
      <c r="AC1191" s="1406"/>
      <c r="AD1191" s="1406"/>
      <c r="AE1191" s="1406"/>
      <c r="AF1191" s="1406"/>
      <c r="AG1191" s="1406"/>
      <c r="AH1191" s="1406"/>
      <c r="AI1191" s="1406"/>
      <c r="AJ1191" s="1406"/>
      <c r="AK1191" s="1406"/>
      <c r="AL1191" s="1406"/>
      <c r="AM1191" s="1406"/>
      <c r="AN1191" s="1406"/>
      <c r="AO1191" s="1405"/>
      <c r="AP1191" s="1405"/>
      <c r="AQ1191" s="1405"/>
      <c r="AR1191" s="1405"/>
      <c r="AS1191" s="1405"/>
      <c r="AT1191" s="1405"/>
      <c r="AU1191" s="1405"/>
      <c r="AV1191" s="1405"/>
    </row>
    <row r="1192" spans="1:48" s="1431" customFormat="1">
      <c r="A1192" s="1399"/>
      <c r="B1192" s="1429"/>
      <c r="C1192" s="1430"/>
      <c r="D1192" s="1400"/>
      <c r="E1192" s="1401"/>
      <c r="F1192" s="1401"/>
      <c r="G1192" s="1402"/>
      <c r="H1192" s="1403"/>
      <c r="I1192" s="1404"/>
      <c r="J1192" s="1405"/>
      <c r="K1192" s="1405"/>
      <c r="L1192" s="1405"/>
      <c r="M1192" s="1405"/>
      <c r="N1192" s="1406"/>
      <c r="O1192" s="1406"/>
      <c r="P1192" s="1406"/>
      <c r="Q1192" s="1406"/>
      <c r="R1192" s="1406"/>
      <c r="S1192" s="1406"/>
      <c r="T1192" s="1406"/>
      <c r="U1192" s="1406"/>
      <c r="V1192" s="1406"/>
      <c r="W1192" s="1406"/>
      <c r="X1192" s="1406"/>
      <c r="Y1192" s="1406"/>
      <c r="Z1192" s="1406"/>
      <c r="AA1192" s="1406"/>
      <c r="AB1192" s="1406"/>
      <c r="AC1192" s="1406"/>
      <c r="AD1192" s="1406"/>
      <c r="AE1192" s="1406"/>
      <c r="AF1192" s="1406"/>
      <c r="AG1192" s="1406"/>
      <c r="AH1192" s="1406"/>
      <c r="AI1192" s="1406"/>
      <c r="AJ1192" s="1406"/>
      <c r="AK1192" s="1406"/>
      <c r="AL1192" s="1406"/>
      <c r="AM1192" s="1406"/>
      <c r="AN1192" s="1406"/>
      <c r="AO1192" s="1405"/>
      <c r="AP1192" s="1405"/>
      <c r="AQ1192" s="1405"/>
      <c r="AR1192" s="1405"/>
      <c r="AS1192" s="1405"/>
      <c r="AT1192" s="1405"/>
      <c r="AU1192" s="1405"/>
      <c r="AV1192" s="1405"/>
    </row>
    <row r="1193" spans="1:48" s="1431" customFormat="1">
      <c r="A1193" s="1399"/>
      <c r="B1193" s="1429"/>
      <c r="C1193" s="1430"/>
      <c r="D1193" s="1400"/>
      <c r="E1193" s="1401"/>
      <c r="F1193" s="1401"/>
      <c r="G1193" s="1402"/>
      <c r="H1193" s="1403"/>
      <c r="I1193" s="1404"/>
      <c r="J1193" s="1405"/>
      <c r="K1193" s="1405"/>
      <c r="L1193" s="1405"/>
      <c r="M1193" s="1405"/>
      <c r="N1193" s="1406"/>
      <c r="O1193" s="1406"/>
      <c r="P1193" s="1406"/>
      <c r="Q1193" s="1406"/>
      <c r="R1193" s="1406"/>
      <c r="S1193" s="1406"/>
      <c r="T1193" s="1406"/>
      <c r="U1193" s="1406"/>
      <c r="V1193" s="1406"/>
      <c r="W1193" s="1406"/>
      <c r="X1193" s="1406"/>
      <c r="Y1193" s="1406"/>
      <c r="Z1193" s="1406"/>
      <c r="AA1193" s="1406"/>
      <c r="AB1193" s="1406"/>
      <c r="AC1193" s="1406"/>
      <c r="AD1193" s="1406"/>
      <c r="AE1193" s="1406"/>
      <c r="AF1193" s="1406"/>
      <c r="AG1193" s="1406"/>
      <c r="AH1193" s="1406"/>
      <c r="AI1193" s="1406"/>
      <c r="AJ1193" s="1406"/>
      <c r="AK1193" s="1406"/>
      <c r="AL1193" s="1406"/>
      <c r="AM1193" s="1406"/>
      <c r="AN1193" s="1406"/>
      <c r="AO1193" s="1405"/>
      <c r="AP1193" s="1405"/>
      <c r="AQ1193" s="1405"/>
      <c r="AR1193" s="1405"/>
      <c r="AS1193" s="1405"/>
      <c r="AT1193" s="1405"/>
      <c r="AU1193" s="1405"/>
      <c r="AV1193" s="1405"/>
    </row>
    <row r="1194" spans="1:48" s="1431" customFormat="1">
      <c r="A1194" s="1399"/>
      <c r="B1194" s="1429"/>
      <c r="C1194" s="1430"/>
      <c r="D1194" s="1400"/>
      <c r="E1194" s="1401"/>
      <c r="F1194" s="1401"/>
      <c r="G1194" s="1402"/>
      <c r="H1194" s="1403"/>
      <c r="I1194" s="1404"/>
      <c r="J1194" s="1405"/>
      <c r="K1194" s="1405"/>
      <c r="L1194" s="1405"/>
      <c r="M1194" s="1405"/>
      <c r="N1194" s="1406"/>
      <c r="O1194" s="1406"/>
      <c r="P1194" s="1406"/>
      <c r="Q1194" s="1406"/>
      <c r="R1194" s="1406"/>
      <c r="S1194" s="1406"/>
      <c r="T1194" s="1406"/>
      <c r="U1194" s="1406"/>
      <c r="V1194" s="1406"/>
      <c r="W1194" s="1406"/>
      <c r="X1194" s="1406"/>
      <c r="Y1194" s="1406"/>
      <c r="Z1194" s="1406"/>
      <c r="AA1194" s="1406"/>
      <c r="AB1194" s="1406"/>
      <c r="AC1194" s="1406"/>
      <c r="AD1194" s="1406"/>
      <c r="AE1194" s="1406"/>
      <c r="AF1194" s="1406"/>
      <c r="AG1194" s="1406"/>
      <c r="AH1194" s="1406"/>
      <c r="AI1194" s="1406"/>
      <c r="AJ1194" s="1406"/>
      <c r="AK1194" s="1406"/>
      <c r="AL1194" s="1406"/>
      <c r="AM1194" s="1406"/>
      <c r="AN1194" s="1406"/>
      <c r="AO1194" s="1405"/>
      <c r="AP1194" s="1405"/>
      <c r="AQ1194" s="1405"/>
      <c r="AR1194" s="1405"/>
      <c r="AS1194" s="1405"/>
      <c r="AT1194" s="1405"/>
      <c r="AU1194" s="1405"/>
      <c r="AV1194" s="1405"/>
    </row>
    <row r="1195" spans="1:48" s="1431" customFormat="1">
      <c r="A1195" s="1399"/>
      <c r="B1195" s="1429"/>
      <c r="C1195" s="1430"/>
      <c r="D1195" s="1400"/>
      <c r="E1195" s="1401"/>
      <c r="F1195" s="1401"/>
      <c r="G1195" s="1402"/>
      <c r="H1195" s="1403"/>
      <c r="I1195" s="1404"/>
      <c r="J1195" s="1405"/>
      <c r="K1195" s="1405"/>
      <c r="L1195" s="1405"/>
      <c r="M1195" s="1405"/>
      <c r="N1195" s="1406"/>
      <c r="O1195" s="1406"/>
      <c r="P1195" s="1406"/>
      <c r="Q1195" s="1406"/>
      <c r="R1195" s="1406"/>
      <c r="S1195" s="1406"/>
      <c r="T1195" s="1406"/>
      <c r="U1195" s="1406"/>
      <c r="V1195" s="1406"/>
      <c r="W1195" s="1406"/>
      <c r="X1195" s="1406"/>
      <c r="Y1195" s="1406"/>
      <c r="Z1195" s="1406"/>
      <c r="AA1195" s="1406"/>
      <c r="AB1195" s="1406"/>
      <c r="AC1195" s="1406"/>
      <c r="AD1195" s="1406"/>
      <c r="AE1195" s="1406"/>
      <c r="AF1195" s="1406"/>
      <c r="AG1195" s="1406"/>
      <c r="AH1195" s="1406"/>
      <c r="AI1195" s="1406"/>
      <c r="AJ1195" s="1406"/>
      <c r="AK1195" s="1406"/>
      <c r="AL1195" s="1406"/>
      <c r="AM1195" s="1406"/>
      <c r="AN1195" s="1406"/>
      <c r="AO1195" s="1405"/>
      <c r="AP1195" s="1405"/>
      <c r="AQ1195" s="1405"/>
      <c r="AR1195" s="1405"/>
      <c r="AS1195" s="1405"/>
      <c r="AT1195" s="1405"/>
      <c r="AU1195" s="1405"/>
      <c r="AV1195" s="1405"/>
    </row>
    <row r="1196" spans="1:48" s="1431" customFormat="1">
      <c r="A1196" s="1399"/>
      <c r="B1196" s="1429"/>
      <c r="C1196" s="1430"/>
      <c r="D1196" s="1400"/>
      <c r="E1196" s="1401"/>
      <c r="F1196" s="1401"/>
      <c r="G1196" s="1402"/>
      <c r="H1196" s="1403"/>
      <c r="I1196" s="1404"/>
      <c r="J1196" s="1405"/>
      <c r="K1196" s="1405"/>
      <c r="L1196" s="1405"/>
      <c r="M1196" s="1405"/>
      <c r="N1196" s="1406"/>
      <c r="O1196" s="1406"/>
      <c r="P1196" s="1406"/>
      <c r="Q1196" s="1406"/>
      <c r="R1196" s="1406"/>
      <c r="S1196" s="1406"/>
      <c r="T1196" s="1406"/>
      <c r="U1196" s="1406"/>
      <c r="V1196" s="1406"/>
      <c r="W1196" s="1406"/>
      <c r="X1196" s="1406"/>
      <c r="Y1196" s="1406"/>
      <c r="Z1196" s="1406"/>
      <c r="AA1196" s="1406"/>
      <c r="AB1196" s="1406"/>
      <c r="AC1196" s="1406"/>
      <c r="AD1196" s="1406"/>
      <c r="AE1196" s="1406"/>
      <c r="AF1196" s="1406"/>
      <c r="AG1196" s="1406"/>
      <c r="AH1196" s="1406"/>
      <c r="AI1196" s="1406"/>
      <c r="AJ1196" s="1406"/>
      <c r="AK1196" s="1406"/>
      <c r="AL1196" s="1406"/>
      <c r="AM1196" s="1406"/>
      <c r="AN1196" s="1406"/>
      <c r="AO1196" s="1405"/>
      <c r="AP1196" s="1405"/>
      <c r="AQ1196" s="1405"/>
      <c r="AR1196" s="1405"/>
      <c r="AS1196" s="1405"/>
      <c r="AT1196" s="1405"/>
      <c r="AU1196" s="1405"/>
      <c r="AV1196" s="1405"/>
    </row>
    <row r="1197" spans="1:48" s="1431" customFormat="1">
      <c r="A1197" s="1399"/>
      <c r="B1197" s="1429"/>
      <c r="C1197" s="1430"/>
      <c r="D1197" s="1400"/>
      <c r="E1197" s="1401"/>
      <c r="F1197" s="1401"/>
      <c r="G1197" s="1402"/>
      <c r="H1197" s="1403"/>
      <c r="I1197" s="1404"/>
      <c r="J1197" s="1405"/>
      <c r="K1197" s="1405"/>
      <c r="L1197" s="1405"/>
      <c r="M1197" s="1405"/>
      <c r="N1197" s="1406"/>
      <c r="O1197" s="1406"/>
      <c r="P1197" s="1406"/>
      <c r="Q1197" s="1406"/>
      <c r="R1197" s="1406"/>
      <c r="S1197" s="1406"/>
      <c r="T1197" s="1406"/>
      <c r="U1197" s="1406"/>
      <c r="V1197" s="1406"/>
      <c r="W1197" s="1406"/>
      <c r="X1197" s="1406"/>
      <c r="Y1197" s="1406"/>
      <c r="Z1197" s="1406"/>
      <c r="AA1197" s="1406"/>
      <c r="AB1197" s="1406"/>
      <c r="AC1197" s="1406"/>
      <c r="AD1197" s="1406"/>
      <c r="AE1197" s="1406"/>
      <c r="AF1197" s="1406"/>
      <c r="AG1197" s="1406"/>
      <c r="AH1197" s="1406"/>
      <c r="AI1197" s="1406"/>
      <c r="AJ1197" s="1406"/>
      <c r="AK1197" s="1406"/>
      <c r="AL1197" s="1406"/>
      <c r="AM1197" s="1406"/>
      <c r="AN1197" s="1406"/>
      <c r="AO1197" s="1405"/>
      <c r="AP1197" s="1405"/>
      <c r="AQ1197" s="1405"/>
      <c r="AR1197" s="1405"/>
      <c r="AS1197" s="1405"/>
      <c r="AT1197" s="1405"/>
      <c r="AU1197" s="1405"/>
      <c r="AV1197" s="1405"/>
    </row>
    <row r="1198" spans="1:48" s="1431" customFormat="1">
      <c r="A1198" s="1399"/>
      <c r="B1198" s="1429"/>
      <c r="C1198" s="1430"/>
      <c r="D1198" s="1400"/>
      <c r="E1198" s="1401"/>
      <c r="F1198" s="1401"/>
      <c r="G1198" s="1402"/>
      <c r="H1198" s="1403"/>
      <c r="I1198" s="1404"/>
      <c r="J1198" s="1405"/>
      <c r="K1198" s="1405"/>
      <c r="L1198" s="1405"/>
      <c r="M1198" s="1405"/>
      <c r="N1198" s="1406"/>
      <c r="O1198" s="1406"/>
      <c r="P1198" s="1406"/>
      <c r="Q1198" s="1406"/>
      <c r="R1198" s="1406"/>
      <c r="S1198" s="1406"/>
      <c r="T1198" s="1406"/>
      <c r="U1198" s="1406"/>
      <c r="V1198" s="1406"/>
      <c r="W1198" s="1406"/>
      <c r="X1198" s="1406"/>
      <c r="Y1198" s="1406"/>
      <c r="Z1198" s="1406"/>
      <c r="AA1198" s="1406"/>
      <c r="AB1198" s="1406"/>
      <c r="AC1198" s="1406"/>
      <c r="AD1198" s="1406"/>
      <c r="AE1198" s="1406"/>
      <c r="AF1198" s="1406"/>
      <c r="AG1198" s="1406"/>
      <c r="AH1198" s="1406"/>
      <c r="AI1198" s="1406"/>
      <c r="AJ1198" s="1406"/>
      <c r="AK1198" s="1406"/>
      <c r="AL1198" s="1406"/>
      <c r="AM1198" s="1406"/>
      <c r="AN1198" s="1406"/>
      <c r="AO1198" s="1405"/>
      <c r="AP1198" s="1405"/>
      <c r="AQ1198" s="1405"/>
      <c r="AR1198" s="1405"/>
      <c r="AS1198" s="1405"/>
      <c r="AT1198" s="1405"/>
      <c r="AU1198" s="1405"/>
      <c r="AV1198" s="1405"/>
    </row>
    <row r="1199" spans="1:48" s="1431" customFormat="1">
      <c r="A1199" s="1399"/>
      <c r="B1199" s="1429"/>
      <c r="C1199" s="1430"/>
      <c r="D1199" s="1400"/>
      <c r="E1199" s="1401"/>
      <c r="F1199" s="1401"/>
      <c r="G1199" s="1402"/>
      <c r="H1199" s="1403"/>
      <c r="I1199" s="1404"/>
      <c r="J1199" s="1405"/>
      <c r="K1199" s="1405"/>
      <c r="L1199" s="1405"/>
      <c r="M1199" s="1405"/>
      <c r="N1199" s="1406"/>
      <c r="O1199" s="1406"/>
      <c r="P1199" s="1406"/>
      <c r="Q1199" s="1406"/>
      <c r="R1199" s="1406"/>
      <c r="S1199" s="1406"/>
      <c r="T1199" s="1406"/>
      <c r="U1199" s="1406"/>
      <c r="V1199" s="1406"/>
      <c r="W1199" s="1406"/>
      <c r="X1199" s="1406"/>
      <c r="Y1199" s="1406"/>
      <c r="Z1199" s="1406"/>
      <c r="AA1199" s="1406"/>
      <c r="AB1199" s="1406"/>
      <c r="AC1199" s="1406"/>
      <c r="AD1199" s="1406"/>
      <c r="AE1199" s="1406"/>
      <c r="AF1199" s="1406"/>
      <c r="AG1199" s="1406"/>
      <c r="AH1199" s="1406"/>
      <c r="AI1199" s="1406"/>
      <c r="AJ1199" s="1406"/>
      <c r="AK1199" s="1406"/>
      <c r="AL1199" s="1406"/>
      <c r="AM1199" s="1406"/>
      <c r="AN1199" s="1406"/>
      <c r="AO1199" s="1405"/>
      <c r="AP1199" s="1405"/>
      <c r="AQ1199" s="1405"/>
      <c r="AR1199" s="1405"/>
      <c r="AS1199" s="1405"/>
      <c r="AT1199" s="1405"/>
      <c r="AU1199" s="1405"/>
      <c r="AV1199" s="1405"/>
    </row>
    <row r="1200" spans="1:48" s="1431" customFormat="1">
      <c r="A1200" s="1399"/>
      <c r="B1200" s="1429"/>
      <c r="C1200" s="1430"/>
      <c r="D1200" s="1400"/>
      <c r="E1200" s="1401"/>
      <c r="F1200" s="1401"/>
      <c r="G1200" s="1402"/>
      <c r="H1200" s="1403"/>
      <c r="I1200" s="1404"/>
      <c r="J1200" s="1405"/>
      <c r="K1200" s="1405"/>
      <c r="L1200" s="1405"/>
      <c r="M1200" s="1405"/>
      <c r="N1200" s="1406"/>
      <c r="O1200" s="1406"/>
      <c r="P1200" s="1406"/>
      <c r="Q1200" s="1406"/>
      <c r="R1200" s="1406"/>
      <c r="S1200" s="1406"/>
      <c r="T1200" s="1406"/>
      <c r="U1200" s="1406"/>
      <c r="V1200" s="1406"/>
      <c r="W1200" s="1406"/>
      <c r="X1200" s="1406"/>
      <c r="Y1200" s="1406"/>
      <c r="Z1200" s="1406"/>
      <c r="AA1200" s="1406"/>
      <c r="AB1200" s="1406"/>
      <c r="AC1200" s="1406"/>
      <c r="AD1200" s="1406"/>
      <c r="AE1200" s="1406"/>
      <c r="AF1200" s="1406"/>
      <c r="AG1200" s="1406"/>
      <c r="AH1200" s="1406"/>
      <c r="AI1200" s="1406"/>
      <c r="AJ1200" s="1406"/>
      <c r="AK1200" s="1406"/>
      <c r="AL1200" s="1406"/>
      <c r="AM1200" s="1406"/>
      <c r="AN1200" s="1406"/>
      <c r="AO1200" s="1405"/>
      <c r="AP1200" s="1405"/>
      <c r="AQ1200" s="1405"/>
      <c r="AR1200" s="1405"/>
      <c r="AS1200" s="1405"/>
      <c r="AT1200" s="1405"/>
      <c r="AU1200" s="1405"/>
      <c r="AV1200" s="1405"/>
    </row>
    <row r="1201" spans="1:48" s="1431" customFormat="1">
      <c r="A1201" s="1399"/>
      <c r="B1201" s="1429"/>
      <c r="C1201" s="1430"/>
      <c r="D1201" s="1400"/>
      <c r="E1201" s="1401"/>
      <c r="F1201" s="1401"/>
      <c r="G1201" s="1402"/>
      <c r="H1201" s="1403"/>
      <c r="I1201" s="1404"/>
      <c r="J1201" s="1405"/>
      <c r="K1201" s="1405"/>
      <c r="L1201" s="1405"/>
      <c r="M1201" s="1405"/>
      <c r="N1201" s="1406"/>
      <c r="O1201" s="1406"/>
      <c r="P1201" s="1406"/>
      <c r="Q1201" s="1406"/>
      <c r="R1201" s="1406"/>
      <c r="S1201" s="1406"/>
      <c r="T1201" s="1406"/>
      <c r="U1201" s="1406"/>
      <c r="V1201" s="1406"/>
      <c r="W1201" s="1406"/>
      <c r="X1201" s="1406"/>
      <c r="Y1201" s="1406"/>
      <c r="Z1201" s="1406"/>
      <c r="AA1201" s="1406"/>
      <c r="AB1201" s="1406"/>
      <c r="AC1201" s="1406"/>
      <c r="AD1201" s="1406"/>
      <c r="AE1201" s="1406"/>
      <c r="AF1201" s="1406"/>
      <c r="AG1201" s="1406"/>
      <c r="AH1201" s="1406"/>
      <c r="AI1201" s="1406"/>
      <c r="AJ1201" s="1406"/>
      <c r="AK1201" s="1406"/>
      <c r="AL1201" s="1406"/>
      <c r="AM1201" s="1406"/>
      <c r="AN1201" s="1406"/>
      <c r="AO1201" s="1405"/>
      <c r="AP1201" s="1405"/>
      <c r="AQ1201" s="1405"/>
      <c r="AR1201" s="1405"/>
      <c r="AS1201" s="1405"/>
      <c r="AT1201" s="1405"/>
      <c r="AU1201" s="1405"/>
      <c r="AV1201" s="1405"/>
    </row>
    <row r="1202" spans="1:48" s="1431" customFormat="1">
      <c r="A1202" s="1399"/>
      <c r="B1202" s="1429"/>
      <c r="C1202" s="1430"/>
      <c r="D1202" s="1400"/>
      <c r="E1202" s="1401"/>
      <c r="F1202" s="1401"/>
      <c r="G1202" s="1402"/>
      <c r="H1202" s="1403"/>
      <c r="I1202" s="1404"/>
      <c r="J1202" s="1405"/>
      <c r="K1202" s="1405"/>
      <c r="L1202" s="1405"/>
      <c r="M1202" s="1405"/>
      <c r="N1202" s="1406"/>
      <c r="O1202" s="1406"/>
      <c r="P1202" s="1406"/>
      <c r="Q1202" s="1406"/>
      <c r="R1202" s="1406"/>
      <c r="S1202" s="1406"/>
      <c r="T1202" s="1406"/>
      <c r="U1202" s="1406"/>
      <c r="V1202" s="1406"/>
      <c r="W1202" s="1406"/>
      <c r="X1202" s="1406"/>
      <c r="Y1202" s="1406"/>
      <c r="Z1202" s="1406"/>
      <c r="AA1202" s="1406"/>
      <c r="AB1202" s="1406"/>
      <c r="AC1202" s="1406"/>
      <c r="AD1202" s="1406"/>
      <c r="AE1202" s="1406"/>
      <c r="AF1202" s="1406"/>
      <c r="AG1202" s="1406"/>
      <c r="AH1202" s="1406"/>
      <c r="AI1202" s="1406"/>
      <c r="AJ1202" s="1406"/>
      <c r="AK1202" s="1406"/>
      <c r="AL1202" s="1406"/>
      <c r="AM1202" s="1406"/>
      <c r="AN1202" s="1406"/>
      <c r="AO1202" s="1405"/>
      <c r="AP1202" s="1405"/>
      <c r="AQ1202" s="1405"/>
      <c r="AR1202" s="1405"/>
      <c r="AS1202" s="1405"/>
      <c r="AT1202" s="1405"/>
      <c r="AU1202" s="1405"/>
      <c r="AV1202" s="1405"/>
    </row>
    <row r="1203" spans="1:48" s="1431" customFormat="1">
      <c r="A1203" s="1399"/>
      <c r="B1203" s="1429"/>
      <c r="C1203" s="1430"/>
      <c r="D1203" s="1400"/>
      <c r="E1203" s="1401"/>
      <c r="F1203" s="1401"/>
      <c r="G1203" s="1402"/>
      <c r="H1203" s="1403"/>
      <c r="I1203" s="1404"/>
      <c r="J1203" s="1405"/>
      <c r="K1203" s="1405"/>
      <c r="L1203" s="1405"/>
      <c r="M1203" s="1405"/>
      <c r="N1203" s="1406"/>
      <c r="O1203" s="1406"/>
      <c r="P1203" s="1406"/>
      <c r="Q1203" s="1406"/>
      <c r="R1203" s="1406"/>
      <c r="S1203" s="1406"/>
      <c r="T1203" s="1406"/>
      <c r="U1203" s="1406"/>
      <c r="V1203" s="1406"/>
      <c r="W1203" s="1406"/>
      <c r="X1203" s="1406"/>
      <c r="Y1203" s="1406"/>
      <c r="Z1203" s="1406"/>
      <c r="AA1203" s="1406"/>
      <c r="AB1203" s="1406"/>
      <c r="AC1203" s="1406"/>
      <c r="AD1203" s="1406"/>
      <c r="AE1203" s="1406"/>
      <c r="AF1203" s="1406"/>
      <c r="AG1203" s="1406"/>
      <c r="AH1203" s="1406"/>
      <c r="AI1203" s="1406"/>
      <c r="AJ1203" s="1406"/>
      <c r="AK1203" s="1406"/>
      <c r="AL1203" s="1406"/>
      <c r="AM1203" s="1406"/>
      <c r="AN1203" s="1406"/>
      <c r="AO1203" s="1405"/>
      <c r="AP1203" s="1405"/>
      <c r="AQ1203" s="1405"/>
      <c r="AR1203" s="1405"/>
      <c r="AS1203" s="1405"/>
      <c r="AT1203" s="1405"/>
      <c r="AU1203" s="1405"/>
      <c r="AV1203" s="1405"/>
    </row>
    <row r="1204" spans="1:48" s="1431" customFormat="1">
      <c r="A1204" s="1399"/>
      <c r="B1204" s="1429"/>
      <c r="C1204" s="1430"/>
      <c r="D1204" s="1400"/>
      <c r="E1204" s="1401"/>
      <c r="F1204" s="1401"/>
      <c r="G1204" s="1402"/>
      <c r="H1204" s="1403"/>
      <c r="I1204" s="1404"/>
      <c r="J1204" s="1405"/>
      <c r="K1204" s="1405"/>
      <c r="L1204" s="1405"/>
      <c r="M1204" s="1405"/>
      <c r="N1204" s="1406"/>
      <c r="O1204" s="1406"/>
      <c r="P1204" s="1406"/>
      <c r="Q1204" s="1406"/>
      <c r="R1204" s="1406"/>
      <c r="S1204" s="1406"/>
      <c r="T1204" s="1406"/>
      <c r="U1204" s="1406"/>
      <c r="V1204" s="1406"/>
      <c r="W1204" s="1406"/>
      <c r="X1204" s="1406"/>
      <c r="Y1204" s="1406"/>
      <c r="Z1204" s="1406"/>
      <c r="AA1204" s="1406"/>
      <c r="AB1204" s="1406"/>
      <c r="AC1204" s="1406"/>
      <c r="AD1204" s="1406"/>
      <c r="AE1204" s="1406"/>
      <c r="AF1204" s="1406"/>
      <c r="AG1204" s="1406"/>
      <c r="AH1204" s="1406"/>
      <c r="AI1204" s="1406"/>
      <c r="AJ1204" s="1406"/>
      <c r="AK1204" s="1406"/>
      <c r="AL1204" s="1406"/>
      <c r="AM1204" s="1406"/>
      <c r="AN1204" s="1406"/>
      <c r="AO1204" s="1405"/>
      <c r="AP1204" s="1405"/>
      <c r="AQ1204" s="1405"/>
      <c r="AR1204" s="1405"/>
      <c r="AS1204" s="1405"/>
      <c r="AT1204" s="1405"/>
      <c r="AU1204" s="1405"/>
      <c r="AV1204" s="1405"/>
    </row>
    <row r="1205" spans="1:48" s="1431" customFormat="1">
      <c r="A1205" s="1399"/>
      <c r="B1205" s="1429"/>
      <c r="C1205" s="1430"/>
      <c r="D1205" s="1400"/>
      <c r="E1205" s="1401"/>
      <c r="F1205" s="1401"/>
      <c r="G1205" s="1402"/>
      <c r="H1205" s="1403"/>
      <c r="I1205" s="1404"/>
      <c r="J1205" s="1405"/>
      <c r="K1205" s="1405"/>
      <c r="L1205" s="1405"/>
      <c r="M1205" s="1405"/>
      <c r="N1205" s="1406"/>
      <c r="O1205" s="1406"/>
      <c r="P1205" s="1406"/>
      <c r="Q1205" s="1406"/>
      <c r="R1205" s="1406"/>
      <c r="S1205" s="1406"/>
      <c r="T1205" s="1406"/>
      <c r="U1205" s="1406"/>
      <c r="V1205" s="1406"/>
      <c r="W1205" s="1406"/>
      <c r="X1205" s="1406"/>
      <c r="Y1205" s="1406"/>
      <c r="Z1205" s="1406"/>
      <c r="AA1205" s="1406"/>
      <c r="AB1205" s="1406"/>
      <c r="AC1205" s="1406"/>
      <c r="AD1205" s="1406"/>
      <c r="AE1205" s="1406"/>
      <c r="AF1205" s="1406"/>
      <c r="AG1205" s="1406"/>
      <c r="AH1205" s="1406"/>
      <c r="AI1205" s="1406"/>
      <c r="AJ1205" s="1406"/>
      <c r="AK1205" s="1406"/>
      <c r="AL1205" s="1406"/>
      <c r="AM1205" s="1406"/>
      <c r="AN1205" s="1406"/>
      <c r="AO1205" s="1405"/>
      <c r="AP1205" s="1405"/>
      <c r="AQ1205" s="1405"/>
      <c r="AR1205" s="1405"/>
      <c r="AS1205" s="1405"/>
      <c r="AT1205" s="1405"/>
      <c r="AU1205" s="1405"/>
      <c r="AV1205" s="1405"/>
    </row>
    <row r="1206" spans="1:48" s="1431" customFormat="1">
      <c r="A1206" s="1399"/>
      <c r="B1206" s="1429"/>
      <c r="C1206" s="1430"/>
      <c r="D1206" s="1400"/>
      <c r="E1206" s="1401"/>
      <c r="F1206" s="1401"/>
      <c r="G1206" s="1402"/>
      <c r="H1206" s="1403"/>
      <c r="I1206" s="1404"/>
      <c r="J1206" s="1405"/>
      <c r="K1206" s="1405"/>
      <c r="L1206" s="1405"/>
      <c r="M1206" s="1405"/>
      <c r="N1206" s="1406"/>
      <c r="O1206" s="1406"/>
      <c r="P1206" s="1406"/>
      <c r="Q1206" s="1406"/>
      <c r="R1206" s="1406"/>
      <c r="S1206" s="1406"/>
      <c r="T1206" s="1406"/>
      <c r="U1206" s="1406"/>
      <c r="V1206" s="1406"/>
      <c r="W1206" s="1406"/>
      <c r="X1206" s="1406"/>
      <c r="Y1206" s="1406"/>
      <c r="Z1206" s="1406"/>
      <c r="AA1206" s="1406"/>
      <c r="AB1206" s="1406"/>
      <c r="AC1206" s="1406"/>
      <c r="AD1206" s="1406"/>
      <c r="AE1206" s="1406"/>
      <c r="AF1206" s="1406"/>
      <c r="AG1206" s="1406"/>
      <c r="AH1206" s="1406"/>
      <c r="AI1206" s="1406"/>
      <c r="AJ1206" s="1406"/>
      <c r="AK1206" s="1406"/>
      <c r="AL1206" s="1406"/>
      <c r="AM1206" s="1406"/>
      <c r="AN1206" s="1406"/>
      <c r="AO1206" s="1405"/>
      <c r="AP1206" s="1405"/>
      <c r="AQ1206" s="1405"/>
      <c r="AR1206" s="1405"/>
      <c r="AS1206" s="1405"/>
      <c r="AT1206" s="1405"/>
      <c r="AU1206" s="1405"/>
      <c r="AV1206" s="1405"/>
    </row>
    <row r="1207" spans="1:48" s="1431" customFormat="1">
      <c r="A1207" s="1399"/>
      <c r="B1207" s="1429"/>
      <c r="C1207" s="1430"/>
      <c r="D1207" s="1400"/>
      <c r="E1207" s="1401"/>
      <c r="F1207" s="1401"/>
      <c r="G1207" s="1402"/>
      <c r="H1207" s="1403"/>
      <c r="I1207" s="1404"/>
      <c r="J1207" s="1405"/>
      <c r="K1207" s="1405"/>
      <c r="L1207" s="1405"/>
      <c r="M1207" s="1405"/>
      <c r="N1207" s="1406"/>
      <c r="O1207" s="1406"/>
      <c r="P1207" s="1406"/>
      <c r="Q1207" s="1406"/>
      <c r="R1207" s="1406"/>
      <c r="S1207" s="1406"/>
      <c r="T1207" s="1406"/>
      <c r="U1207" s="1406"/>
      <c r="V1207" s="1406"/>
      <c r="W1207" s="1406"/>
      <c r="X1207" s="1406"/>
      <c r="Y1207" s="1406"/>
      <c r="Z1207" s="1406"/>
      <c r="AA1207" s="1406"/>
      <c r="AB1207" s="1406"/>
      <c r="AC1207" s="1406"/>
      <c r="AD1207" s="1406"/>
      <c r="AE1207" s="1406"/>
      <c r="AF1207" s="1406"/>
      <c r="AG1207" s="1406"/>
      <c r="AH1207" s="1406"/>
      <c r="AI1207" s="1406"/>
      <c r="AJ1207" s="1406"/>
      <c r="AK1207" s="1406"/>
      <c r="AL1207" s="1406"/>
      <c r="AM1207" s="1406"/>
      <c r="AN1207" s="1406"/>
      <c r="AO1207" s="1405"/>
      <c r="AP1207" s="1405"/>
      <c r="AQ1207" s="1405"/>
      <c r="AR1207" s="1405"/>
      <c r="AS1207" s="1405"/>
      <c r="AT1207" s="1405"/>
      <c r="AU1207" s="1405"/>
      <c r="AV1207" s="1405"/>
    </row>
    <row r="1208" spans="1:48" s="1431" customFormat="1">
      <c r="A1208" s="1399"/>
      <c r="B1208" s="1429"/>
      <c r="C1208" s="1430"/>
      <c r="D1208" s="1400"/>
      <c r="E1208" s="1401"/>
      <c r="F1208" s="1401"/>
      <c r="G1208" s="1402"/>
      <c r="H1208" s="1403"/>
      <c r="I1208" s="1404"/>
      <c r="J1208" s="1405"/>
      <c r="K1208" s="1405"/>
      <c r="L1208" s="1405"/>
      <c r="M1208" s="1405"/>
      <c r="N1208" s="1406"/>
      <c r="O1208" s="1406"/>
      <c r="P1208" s="1406"/>
      <c r="Q1208" s="1406"/>
      <c r="R1208" s="1406"/>
      <c r="S1208" s="1406"/>
      <c r="T1208" s="1406"/>
      <c r="U1208" s="1406"/>
      <c r="V1208" s="1406"/>
      <c r="W1208" s="1406"/>
      <c r="X1208" s="1406"/>
      <c r="Y1208" s="1406"/>
      <c r="Z1208" s="1406"/>
      <c r="AA1208" s="1406"/>
      <c r="AB1208" s="1406"/>
      <c r="AC1208" s="1406"/>
      <c r="AD1208" s="1406"/>
      <c r="AE1208" s="1406"/>
      <c r="AF1208" s="1406"/>
      <c r="AG1208" s="1406"/>
      <c r="AH1208" s="1406"/>
      <c r="AI1208" s="1406"/>
      <c r="AJ1208" s="1406"/>
      <c r="AK1208" s="1406"/>
      <c r="AL1208" s="1406"/>
      <c r="AM1208" s="1406"/>
      <c r="AN1208" s="1406"/>
      <c r="AO1208" s="1405"/>
      <c r="AP1208" s="1405"/>
      <c r="AQ1208" s="1405"/>
      <c r="AR1208" s="1405"/>
      <c r="AS1208" s="1405"/>
      <c r="AT1208" s="1405"/>
      <c r="AU1208" s="1405"/>
      <c r="AV1208" s="1405"/>
    </row>
    <row r="1209" spans="1:48" s="1431" customFormat="1">
      <c r="A1209" s="1399"/>
      <c r="B1209" s="1429"/>
      <c r="C1209" s="1430"/>
      <c r="D1209" s="1400"/>
      <c r="E1209" s="1401"/>
      <c r="F1209" s="1401"/>
      <c r="G1209" s="1402"/>
      <c r="H1209" s="1403"/>
      <c r="I1209" s="1404"/>
      <c r="J1209" s="1405"/>
      <c r="K1209" s="1405"/>
      <c r="L1209" s="1405"/>
      <c r="M1209" s="1405"/>
      <c r="N1209" s="1406"/>
      <c r="O1209" s="1406"/>
      <c r="P1209" s="1406"/>
      <c r="Q1209" s="1406"/>
      <c r="R1209" s="1406"/>
      <c r="S1209" s="1406"/>
      <c r="T1209" s="1406"/>
      <c r="U1209" s="1406"/>
      <c r="V1209" s="1406"/>
      <c r="W1209" s="1406"/>
      <c r="X1209" s="1406"/>
      <c r="Y1209" s="1406"/>
      <c r="Z1209" s="1406"/>
      <c r="AA1209" s="1406"/>
      <c r="AB1209" s="1406"/>
      <c r="AC1209" s="1406"/>
      <c r="AD1209" s="1406"/>
      <c r="AE1209" s="1406"/>
      <c r="AF1209" s="1406"/>
      <c r="AG1209" s="1406"/>
      <c r="AH1209" s="1406"/>
      <c r="AI1209" s="1406"/>
      <c r="AJ1209" s="1406"/>
      <c r="AK1209" s="1406"/>
      <c r="AL1209" s="1406"/>
      <c r="AM1209" s="1406"/>
      <c r="AN1209" s="1406"/>
      <c r="AO1209" s="1405"/>
      <c r="AP1209" s="1405"/>
      <c r="AQ1209" s="1405"/>
      <c r="AR1209" s="1405"/>
      <c r="AS1209" s="1405"/>
      <c r="AT1209" s="1405"/>
      <c r="AU1209" s="1405"/>
      <c r="AV1209" s="1405"/>
    </row>
    <row r="1210" spans="1:48" s="1431" customFormat="1">
      <c r="A1210" s="1399"/>
      <c r="B1210" s="1429"/>
      <c r="C1210" s="1430"/>
      <c r="D1210" s="1400"/>
      <c r="E1210" s="1401"/>
      <c r="F1210" s="1401"/>
      <c r="G1210" s="1402"/>
      <c r="H1210" s="1403"/>
      <c r="I1210" s="1404"/>
      <c r="J1210" s="1405"/>
      <c r="K1210" s="1405"/>
      <c r="L1210" s="1405"/>
      <c r="M1210" s="1405"/>
      <c r="N1210" s="1406"/>
      <c r="O1210" s="1406"/>
      <c r="P1210" s="1406"/>
      <c r="Q1210" s="1406"/>
      <c r="R1210" s="1406"/>
      <c r="S1210" s="1406"/>
      <c r="T1210" s="1406"/>
      <c r="U1210" s="1406"/>
      <c r="V1210" s="1406"/>
      <c r="W1210" s="1406"/>
      <c r="X1210" s="1406"/>
      <c r="Y1210" s="1406"/>
      <c r="Z1210" s="1406"/>
      <c r="AA1210" s="1406"/>
      <c r="AB1210" s="1406"/>
      <c r="AC1210" s="1406"/>
      <c r="AD1210" s="1406"/>
      <c r="AE1210" s="1406"/>
      <c r="AF1210" s="1406"/>
      <c r="AG1210" s="1406"/>
      <c r="AH1210" s="1406"/>
      <c r="AI1210" s="1406"/>
      <c r="AJ1210" s="1406"/>
      <c r="AK1210" s="1406"/>
      <c r="AL1210" s="1406"/>
      <c r="AM1210" s="1406"/>
      <c r="AN1210" s="1406"/>
      <c r="AO1210" s="1405"/>
      <c r="AP1210" s="1405"/>
      <c r="AQ1210" s="1405"/>
      <c r="AR1210" s="1405"/>
      <c r="AS1210" s="1405"/>
      <c r="AT1210" s="1405"/>
      <c r="AU1210" s="1405"/>
      <c r="AV1210" s="1405"/>
    </row>
    <row r="1211" spans="1:48" s="1431" customFormat="1">
      <c r="A1211" s="1399"/>
      <c r="B1211" s="1429"/>
      <c r="C1211" s="1430"/>
      <c r="D1211" s="1400"/>
      <c r="E1211" s="1401"/>
      <c r="F1211" s="1401"/>
      <c r="G1211" s="1402"/>
      <c r="H1211" s="1403"/>
      <c r="I1211" s="1404"/>
      <c r="J1211" s="1405"/>
      <c r="K1211" s="1405"/>
      <c r="L1211" s="1405"/>
      <c r="M1211" s="1405"/>
      <c r="N1211" s="1406"/>
      <c r="O1211" s="1406"/>
      <c r="P1211" s="1406"/>
      <c r="Q1211" s="1406"/>
      <c r="R1211" s="1406"/>
      <c r="S1211" s="1406"/>
      <c r="T1211" s="1406"/>
      <c r="U1211" s="1406"/>
      <c r="V1211" s="1406"/>
      <c r="W1211" s="1406"/>
      <c r="X1211" s="1406"/>
      <c r="Y1211" s="1406"/>
      <c r="Z1211" s="1406"/>
      <c r="AA1211" s="1406"/>
      <c r="AB1211" s="1406"/>
      <c r="AC1211" s="1406"/>
      <c r="AD1211" s="1406"/>
      <c r="AE1211" s="1406"/>
      <c r="AF1211" s="1406"/>
      <c r="AG1211" s="1406"/>
      <c r="AH1211" s="1406"/>
      <c r="AI1211" s="1406"/>
      <c r="AJ1211" s="1406"/>
      <c r="AK1211" s="1406"/>
      <c r="AL1211" s="1406"/>
      <c r="AM1211" s="1406"/>
      <c r="AN1211" s="1406"/>
      <c r="AO1211" s="1405"/>
      <c r="AP1211" s="1405"/>
      <c r="AQ1211" s="1405"/>
      <c r="AR1211" s="1405"/>
      <c r="AS1211" s="1405"/>
      <c r="AT1211" s="1405"/>
      <c r="AU1211" s="1405"/>
      <c r="AV1211" s="1405"/>
    </row>
    <row r="1212" spans="1:48" s="1431" customFormat="1">
      <c r="A1212" s="1399"/>
      <c r="B1212" s="1429"/>
      <c r="C1212" s="1430"/>
      <c r="D1212" s="1400"/>
      <c r="E1212" s="1401"/>
      <c r="F1212" s="1401"/>
      <c r="G1212" s="1402"/>
      <c r="H1212" s="1403"/>
      <c r="I1212" s="1404"/>
      <c r="J1212" s="1405"/>
      <c r="K1212" s="1405"/>
      <c r="L1212" s="1405"/>
      <c r="M1212" s="1405"/>
      <c r="N1212" s="1406"/>
      <c r="O1212" s="1406"/>
      <c r="P1212" s="1406"/>
      <c r="Q1212" s="1406"/>
      <c r="R1212" s="1406"/>
      <c r="S1212" s="1406"/>
      <c r="T1212" s="1406"/>
      <c r="U1212" s="1406"/>
      <c r="V1212" s="1406"/>
      <c r="W1212" s="1406"/>
      <c r="X1212" s="1406"/>
      <c r="Y1212" s="1406"/>
      <c r="Z1212" s="1406"/>
      <c r="AA1212" s="1406"/>
      <c r="AB1212" s="1406"/>
      <c r="AC1212" s="1406"/>
      <c r="AD1212" s="1406"/>
      <c r="AE1212" s="1406"/>
      <c r="AF1212" s="1406"/>
      <c r="AG1212" s="1406"/>
      <c r="AH1212" s="1406"/>
      <c r="AI1212" s="1406"/>
      <c r="AJ1212" s="1406"/>
      <c r="AK1212" s="1406"/>
      <c r="AL1212" s="1406"/>
      <c r="AM1212" s="1406"/>
      <c r="AN1212" s="1406"/>
      <c r="AO1212" s="1405"/>
      <c r="AP1212" s="1405"/>
      <c r="AQ1212" s="1405"/>
      <c r="AR1212" s="1405"/>
      <c r="AS1212" s="1405"/>
      <c r="AT1212" s="1405"/>
      <c r="AU1212" s="1405"/>
      <c r="AV1212" s="1405"/>
    </row>
    <row r="1213" spans="1:48" s="1431" customFormat="1">
      <c r="A1213" s="1399"/>
      <c r="B1213" s="1429"/>
      <c r="C1213" s="1430"/>
      <c r="D1213" s="1400"/>
      <c r="E1213" s="1401"/>
      <c r="F1213" s="1401"/>
      <c r="G1213" s="1402"/>
      <c r="H1213" s="1403"/>
      <c r="I1213" s="1404"/>
      <c r="J1213" s="1405"/>
      <c r="K1213" s="1405"/>
      <c r="L1213" s="1405"/>
      <c r="M1213" s="1405"/>
      <c r="N1213" s="1406"/>
      <c r="O1213" s="1406"/>
      <c r="P1213" s="1406"/>
      <c r="Q1213" s="1406"/>
      <c r="R1213" s="1406"/>
      <c r="S1213" s="1406"/>
      <c r="T1213" s="1406"/>
      <c r="U1213" s="1406"/>
      <c r="V1213" s="1406"/>
      <c r="W1213" s="1406"/>
      <c r="X1213" s="1406"/>
      <c r="Y1213" s="1406"/>
      <c r="Z1213" s="1406"/>
      <c r="AA1213" s="1406"/>
      <c r="AB1213" s="1406"/>
      <c r="AC1213" s="1406"/>
      <c r="AD1213" s="1406"/>
      <c r="AE1213" s="1406"/>
      <c r="AF1213" s="1406"/>
      <c r="AG1213" s="1406"/>
      <c r="AH1213" s="1406"/>
      <c r="AI1213" s="1406"/>
      <c r="AJ1213" s="1406"/>
      <c r="AK1213" s="1406"/>
      <c r="AL1213" s="1406"/>
      <c r="AM1213" s="1406"/>
      <c r="AN1213" s="1406"/>
      <c r="AO1213" s="1405"/>
      <c r="AP1213" s="1405"/>
      <c r="AQ1213" s="1405"/>
      <c r="AR1213" s="1405"/>
      <c r="AS1213" s="1405"/>
      <c r="AT1213" s="1405"/>
      <c r="AU1213" s="1405"/>
      <c r="AV1213" s="1405"/>
    </row>
    <row r="1214" spans="1:48" s="1431" customFormat="1">
      <c r="A1214" s="1399"/>
      <c r="B1214" s="1429"/>
      <c r="C1214" s="1430"/>
      <c r="D1214" s="1400"/>
      <c r="E1214" s="1401"/>
      <c r="F1214" s="1401"/>
      <c r="G1214" s="1402"/>
      <c r="H1214" s="1403"/>
      <c r="I1214" s="1404"/>
      <c r="J1214" s="1405"/>
      <c r="K1214" s="1405"/>
      <c r="L1214" s="1405"/>
      <c r="M1214" s="1405"/>
      <c r="N1214" s="1406"/>
      <c r="O1214" s="1406"/>
      <c r="P1214" s="1406"/>
      <c r="Q1214" s="1406"/>
      <c r="R1214" s="1406"/>
      <c r="S1214" s="1406"/>
      <c r="T1214" s="1406"/>
      <c r="U1214" s="1406"/>
      <c r="V1214" s="1406"/>
      <c r="W1214" s="1406"/>
      <c r="X1214" s="1406"/>
      <c r="Y1214" s="1406"/>
      <c r="Z1214" s="1406"/>
      <c r="AA1214" s="1406"/>
      <c r="AB1214" s="1406"/>
      <c r="AC1214" s="1406"/>
      <c r="AD1214" s="1406"/>
      <c r="AE1214" s="1406"/>
      <c r="AF1214" s="1406"/>
      <c r="AG1214" s="1406"/>
      <c r="AH1214" s="1406"/>
      <c r="AI1214" s="1406"/>
      <c r="AJ1214" s="1406"/>
      <c r="AK1214" s="1406"/>
      <c r="AL1214" s="1406"/>
      <c r="AM1214" s="1406"/>
      <c r="AN1214" s="1406"/>
      <c r="AO1214" s="1405"/>
      <c r="AP1214" s="1405"/>
      <c r="AQ1214" s="1405"/>
      <c r="AR1214" s="1405"/>
      <c r="AS1214" s="1405"/>
      <c r="AT1214" s="1405"/>
      <c r="AU1214" s="1405"/>
      <c r="AV1214" s="1405"/>
    </row>
    <row r="1215" spans="1:48" s="1431" customFormat="1">
      <c r="A1215" s="1399"/>
      <c r="B1215" s="1429"/>
      <c r="C1215" s="1430"/>
      <c r="D1215" s="1400"/>
      <c r="E1215" s="1401"/>
      <c r="F1215" s="1401"/>
      <c r="G1215" s="1402"/>
      <c r="H1215" s="1403"/>
      <c r="I1215" s="1404"/>
      <c r="J1215" s="1405"/>
      <c r="K1215" s="1405"/>
      <c r="L1215" s="1405"/>
      <c r="M1215" s="1405"/>
      <c r="N1215" s="1406"/>
      <c r="O1215" s="1406"/>
      <c r="P1215" s="1406"/>
      <c r="Q1215" s="1406"/>
      <c r="R1215" s="1406"/>
      <c r="S1215" s="1406"/>
      <c r="T1215" s="1406"/>
      <c r="U1215" s="1406"/>
      <c r="V1215" s="1406"/>
      <c r="W1215" s="1406"/>
      <c r="X1215" s="1406"/>
      <c r="Y1215" s="1406"/>
      <c r="Z1215" s="1406"/>
      <c r="AA1215" s="1406"/>
      <c r="AB1215" s="1406"/>
      <c r="AC1215" s="1406"/>
      <c r="AD1215" s="1406"/>
      <c r="AE1215" s="1406"/>
      <c r="AF1215" s="1406"/>
      <c r="AG1215" s="1406"/>
      <c r="AH1215" s="1406"/>
      <c r="AI1215" s="1406"/>
      <c r="AJ1215" s="1406"/>
      <c r="AK1215" s="1406"/>
      <c r="AL1215" s="1406"/>
      <c r="AM1215" s="1406"/>
      <c r="AN1215" s="1406"/>
      <c r="AO1215" s="1405"/>
      <c r="AP1215" s="1405"/>
      <c r="AQ1215" s="1405"/>
      <c r="AR1215" s="1405"/>
      <c r="AS1215" s="1405"/>
      <c r="AT1215" s="1405"/>
      <c r="AU1215" s="1405"/>
      <c r="AV1215" s="1405"/>
    </row>
    <row r="1216" spans="1:48" s="1431" customFormat="1">
      <c r="A1216" s="1399"/>
      <c r="B1216" s="1429"/>
      <c r="C1216" s="1430"/>
      <c r="D1216" s="1400"/>
      <c r="E1216" s="1401"/>
      <c r="F1216" s="1401"/>
      <c r="G1216" s="1402"/>
      <c r="H1216" s="1403"/>
      <c r="I1216" s="1404"/>
      <c r="J1216" s="1405"/>
      <c r="K1216" s="1405"/>
      <c r="L1216" s="1405"/>
      <c r="M1216" s="1405"/>
      <c r="N1216" s="1406"/>
      <c r="O1216" s="1406"/>
      <c r="P1216" s="1406"/>
      <c r="Q1216" s="1406"/>
      <c r="R1216" s="1406"/>
      <c r="S1216" s="1406"/>
      <c r="T1216" s="1406"/>
      <c r="U1216" s="1406"/>
      <c r="V1216" s="1406"/>
      <c r="W1216" s="1406"/>
      <c r="X1216" s="1406"/>
      <c r="Y1216" s="1406"/>
      <c r="Z1216" s="1406"/>
      <c r="AA1216" s="1406"/>
      <c r="AB1216" s="1406"/>
      <c r="AC1216" s="1406"/>
      <c r="AD1216" s="1406"/>
      <c r="AE1216" s="1406"/>
      <c r="AF1216" s="1406"/>
      <c r="AG1216" s="1406"/>
      <c r="AH1216" s="1406"/>
      <c r="AI1216" s="1406"/>
      <c r="AJ1216" s="1406"/>
      <c r="AK1216" s="1406"/>
      <c r="AL1216" s="1406"/>
      <c r="AM1216" s="1406"/>
      <c r="AN1216" s="1406"/>
      <c r="AO1216" s="1405"/>
      <c r="AP1216" s="1405"/>
      <c r="AQ1216" s="1405"/>
      <c r="AR1216" s="1405"/>
      <c r="AS1216" s="1405"/>
      <c r="AT1216" s="1405"/>
      <c r="AU1216" s="1405"/>
      <c r="AV1216" s="1405"/>
    </row>
    <row r="1217" spans="1:48" s="1431" customFormat="1">
      <c r="A1217" s="1399"/>
      <c r="B1217" s="1429"/>
      <c r="C1217" s="1430"/>
      <c r="D1217" s="1400"/>
      <c r="E1217" s="1401"/>
      <c r="F1217" s="1401"/>
      <c r="G1217" s="1402"/>
      <c r="H1217" s="1403"/>
      <c r="I1217" s="1404"/>
      <c r="J1217" s="1405"/>
      <c r="K1217" s="1405"/>
      <c r="L1217" s="1405"/>
      <c r="M1217" s="1405"/>
      <c r="N1217" s="1406"/>
      <c r="O1217" s="1406"/>
      <c r="P1217" s="1406"/>
      <c r="Q1217" s="1406"/>
      <c r="R1217" s="1406"/>
      <c r="S1217" s="1406"/>
      <c r="T1217" s="1406"/>
      <c r="U1217" s="1406"/>
      <c r="V1217" s="1406"/>
      <c r="W1217" s="1406"/>
      <c r="X1217" s="1406"/>
      <c r="Y1217" s="1406"/>
      <c r="Z1217" s="1406"/>
      <c r="AA1217" s="1406"/>
      <c r="AB1217" s="1406"/>
      <c r="AC1217" s="1406"/>
      <c r="AD1217" s="1406"/>
      <c r="AE1217" s="1406"/>
      <c r="AF1217" s="1406"/>
      <c r="AG1217" s="1406"/>
      <c r="AH1217" s="1406"/>
      <c r="AI1217" s="1406"/>
      <c r="AJ1217" s="1406"/>
      <c r="AK1217" s="1406"/>
      <c r="AL1217" s="1406"/>
      <c r="AM1217" s="1406"/>
      <c r="AN1217" s="1406"/>
      <c r="AO1217" s="1405"/>
      <c r="AP1217" s="1405"/>
      <c r="AQ1217" s="1405"/>
      <c r="AR1217" s="1405"/>
      <c r="AS1217" s="1405"/>
      <c r="AT1217" s="1405"/>
      <c r="AU1217" s="1405"/>
      <c r="AV1217" s="1405"/>
    </row>
    <row r="1218" spans="1:48" s="1431" customFormat="1">
      <c r="A1218" s="1399"/>
      <c r="B1218" s="1429"/>
      <c r="C1218" s="1430"/>
      <c r="D1218" s="1400"/>
      <c r="E1218" s="1401"/>
      <c r="F1218" s="1401"/>
      <c r="G1218" s="1402"/>
      <c r="H1218" s="1403"/>
      <c r="I1218" s="1404"/>
      <c r="J1218" s="1405"/>
      <c r="K1218" s="1405"/>
      <c r="L1218" s="1405"/>
      <c r="M1218" s="1405"/>
      <c r="N1218" s="1406"/>
      <c r="O1218" s="1406"/>
      <c r="P1218" s="1406"/>
      <c r="Q1218" s="1406"/>
      <c r="R1218" s="1406"/>
      <c r="S1218" s="1406"/>
      <c r="T1218" s="1406"/>
      <c r="U1218" s="1406"/>
      <c r="V1218" s="1406"/>
      <c r="W1218" s="1406"/>
      <c r="X1218" s="1406"/>
      <c r="Y1218" s="1406"/>
      <c r="Z1218" s="1406"/>
      <c r="AA1218" s="1406"/>
      <c r="AB1218" s="1406"/>
      <c r="AC1218" s="1406"/>
      <c r="AD1218" s="1406"/>
      <c r="AE1218" s="1406"/>
      <c r="AF1218" s="1406"/>
      <c r="AG1218" s="1406"/>
      <c r="AH1218" s="1406"/>
      <c r="AI1218" s="1406"/>
      <c r="AJ1218" s="1406"/>
      <c r="AK1218" s="1406"/>
      <c r="AL1218" s="1406"/>
      <c r="AM1218" s="1406"/>
      <c r="AN1218" s="1406"/>
      <c r="AO1218" s="1405"/>
      <c r="AP1218" s="1405"/>
      <c r="AQ1218" s="1405"/>
      <c r="AR1218" s="1405"/>
      <c r="AS1218" s="1405"/>
      <c r="AT1218" s="1405"/>
      <c r="AU1218" s="1405"/>
      <c r="AV1218" s="1405"/>
    </row>
    <row r="1219" spans="1:48" s="1431" customFormat="1">
      <c r="A1219" s="1399"/>
      <c r="B1219" s="1429"/>
      <c r="C1219" s="1430"/>
      <c r="D1219" s="1400"/>
      <c r="E1219" s="1401"/>
      <c r="F1219" s="1401"/>
      <c r="G1219" s="1402"/>
      <c r="H1219" s="1403"/>
      <c r="I1219" s="1404"/>
      <c r="J1219" s="1405"/>
      <c r="K1219" s="1405"/>
      <c r="L1219" s="1405"/>
      <c r="M1219" s="1405"/>
      <c r="N1219" s="1406"/>
      <c r="O1219" s="1406"/>
      <c r="P1219" s="1406"/>
      <c r="Q1219" s="1406"/>
      <c r="R1219" s="1406"/>
      <c r="S1219" s="1406"/>
      <c r="T1219" s="1406"/>
      <c r="U1219" s="1406"/>
      <c r="V1219" s="1406"/>
      <c r="W1219" s="1406"/>
      <c r="X1219" s="1406"/>
      <c r="Y1219" s="1406"/>
      <c r="Z1219" s="1406"/>
      <c r="AA1219" s="1406"/>
      <c r="AB1219" s="1406"/>
      <c r="AC1219" s="1406"/>
      <c r="AD1219" s="1406"/>
      <c r="AE1219" s="1406"/>
      <c r="AF1219" s="1406"/>
      <c r="AG1219" s="1406"/>
      <c r="AH1219" s="1406"/>
      <c r="AI1219" s="1406"/>
      <c r="AJ1219" s="1406"/>
      <c r="AK1219" s="1406"/>
      <c r="AL1219" s="1406"/>
      <c r="AM1219" s="1406"/>
      <c r="AN1219" s="1406"/>
      <c r="AO1219" s="1405"/>
      <c r="AP1219" s="1405"/>
      <c r="AQ1219" s="1405"/>
      <c r="AR1219" s="1405"/>
      <c r="AS1219" s="1405"/>
      <c r="AT1219" s="1405"/>
      <c r="AU1219" s="1405"/>
      <c r="AV1219" s="1405"/>
    </row>
    <row r="1220" spans="1:48" s="1431" customFormat="1">
      <c r="A1220" s="1399"/>
      <c r="B1220" s="1429"/>
      <c r="C1220" s="1430"/>
      <c r="D1220" s="1400"/>
      <c r="E1220" s="1401"/>
      <c r="F1220" s="1401"/>
      <c r="G1220" s="1402"/>
      <c r="H1220" s="1403"/>
      <c r="I1220" s="1404"/>
      <c r="J1220" s="1405"/>
      <c r="K1220" s="1405"/>
      <c r="L1220" s="1405"/>
      <c r="M1220" s="1405"/>
      <c r="N1220" s="1406"/>
      <c r="O1220" s="1406"/>
      <c r="P1220" s="1406"/>
      <c r="Q1220" s="1406"/>
      <c r="R1220" s="1406"/>
      <c r="S1220" s="1406"/>
      <c r="T1220" s="1406"/>
      <c r="U1220" s="1406"/>
      <c r="V1220" s="1406"/>
      <c r="W1220" s="1406"/>
      <c r="X1220" s="1406"/>
      <c r="Y1220" s="1406"/>
      <c r="Z1220" s="1406"/>
      <c r="AA1220" s="1406"/>
      <c r="AB1220" s="1406"/>
      <c r="AC1220" s="1406"/>
      <c r="AD1220" s="1406"/>
      <c r="AE1220" s="1406"/>
      <c r="AF1220" s="1406"/>
      <c r="AG1220" s="1406"/>
      <c r="AH1220" s="1406"/>
      <c r="AI1220" s="1406"/>
      <c r="AJ1220" s="1406"/>
      <c r="AK1220" s="1406"/>
      <c r="AL1220" s="1406"/>
      <c r="AM1220" s="1406"/>
      <c r="AN1220" s="1406"/>
      <c r="AO1220" s="1405"/>
      <c r="AP1220" s="1405"/>
      <c r="AQ1220" s="1405"/>
      <c r="AR1220" s="1405"/>
      <c r="AS1220" s="1405"/>
      <c r="AT1220" s="1405"/>
      <c r="AU1220" s="1405"/>
      <c r="AV1220" s="1405"/>
    </row>
    <row r="1221" spans="1:48" s="1431" customFormat="1">
      <c r="A1221" s="1399"/>
      <c r="B1221" s="1429"/>
      <c r="C1221" s="1430"/>
      <c r="D1221" s="1400"/>
      <c r="E1221" s="1401"/>
      <c r="F1221" s="1401"/>
      <c r="G1221" s="1402"/>
      <c r="H1221" s="1403"/>
      <c r="I1221" s="1404"/>
      <c r="J1221" s="1405"/>
      <c r="K1221" s="1405"/>
      <c r="L1221" s="1405"/>
      <c r="M1221" s="1405"/>
      <c r="N1221" s="1406"/>
      <c r="O1221" s="1406"/>
      <c r="P1221" s="1406"/>
      <c r="Q1221" s="1406"/>
      <c r="R1221" s="1406"/>
      <c r="S1221" s="1406"/>
      <c r="T1221" s="1406"/>
      <c r="U1221" s="1406"/>
      <c r="V1221" s="1406"/>
      <c r="W1221" s="1406"/>
      <c r="X1221" s="1406"/>
      <c r="Y1221" s="1406"/>
      <c r="Z1221" s="1406"/>
      <c r="AA1221" s="1406"/>
      <c r="AB1221" s="1406"/>
      <c r="AC1221" s="1406"/>
      <c r="AD1221" s="1406"/>
      <c r="AE1221" s="1406"/>
      <c r="AF1221" s="1406"/>
      <c r="AG1221" s="1406"/>
      <c r="AH1221" s="1406"/>
      <c r="AI1221" s="1406"/>
      <c r="AJ1221" s="1406"/>
      <c r="AK1221" s="1406"/>
      <c r="AL1221" s="1406"/>
      <c r="AM1221" s="1406"/>
      <c r="AN1221" s="1406"/>
      <c r="AO1221" s="1405"/>
      <c r="AP1221" s="1405"/>
      <c r="AQ1221" s="1405"/>
      <c r="AR1221" s="1405"/>
      <c r="AS1221" s="1405"/>
      <c r="AT1221" s="1405"/>
      <c r="AU1221" s="1405"/>
      <c r="AV1221" s="1405"/>
    </row>
    <row r="1222" spans="1:48" s="1431" customFormat="1">
      <c r="A1222" s="1399"/>
      <c r="B1222" s="1429"/>
      <c r="C1222" s="1430"/>
      <c r="D1222" s="1400"/>
      <c r="E1222" s="1401"/>
      <c r="F1222" s="1401"/>
      <c r="G1222" s="1402"/>
      <c r="H1222" s="1403"/>
      <c r="I1222" s="1404"/>
      <c r="J1222" s="1405"/>
      <c r="K1222" s="1405"/>
      <c r="L1222" s="1405"/>
      <c r="M1222" s="1405"/>
      <c r="N1222" s="1406"/>
      <c r="O1222" s="1406"/>
      <c r="P1222" s="1406"/>
      <c r="Q1222" s="1406"/>
      <c r="R1222" s="1406"/>
      <c r="S1222" s="1406"/>
      <c r="T1222" s="1406"/>
      <c r="U1222" s="1406"/>
      <c r="V1222" s="1406"/>
      <c r="W1222" s="1406"/>
      <c r="X1222" s="1406"/>
      <c r="Y1222" s="1406"/>
      <c r="Z1222" s="1406"/>
      <c r="AA1222" s="1406"/>
      <c r="AB1222" s="1406"/>
      <c r="AC1222" s="1406"/>
      <c r="AD1222" s="1406"/>
      <c r="AE1222" s="1406"/>
      <c r="AF1222" s="1406"/>
      <c r="AG1222" s="1406"/>
      <c r="AH1222" s="1406"/>
      <c r="AI1222" s="1406"/>
      <c r="AJ1222" s="1406"/>
      <c r="AK1222" s="1406"/>
      <c r="AL1222" s="1406"/>
      <c r="AM1222" s="1406"/>
      <c r="AN1222" s="1406"/>
      <c r="AO1222" s="1405"/>
      <c r="AP1222" s="1405"/>
      <c r="AQ1222" s="1405"/>
      <c r="AR1222" s="1405"/>
      <c r="AS1222" s="1405"/>
      <c r="AT1222" s="1405"/>
      <c r="AU1222" s="1405"/>
      <c r="AV1222" s="1405"/>
    </row>
    <row r="1223" spans="1:48" s="1431" customFormat="1">
      <c r="A1223" s="1399"/>
      <c r="B1223" s="1429"/>
      <c r="C1223" s="1430"/>
      <c r="D1223" s="1400"/>
      <c r="E1223" s="1401"/>
      <c r="F1223" s="1401"/>
      <c r="G1223" s="1402"/>
      <c r="H1223" s="1403"/>
      <c r="I1223" s="1404"/>
      <c r="J1223" s="1405"/>
      <c r="K1223" s="1405"/>
      <c r="L1223" s="1405"/>
      <c r="M1223" s="1405"/>
      <c r="N1223" s="1406"/>
      <c r="O1223" s="1406"/>
      <c r="P1223" s="1406"/>
      <c r="Q1223" s="1406"/>
      <c r="R1223" s="1406"/>
      <c r="S1223" s="1406"/>
      <c r="T1223" s="1406"/>
      <c r="U1223" s="1406"/>
      <c r="V1223" s="1406"/>
      <c r="W1223" s="1406"/>
      <c r="X1223" s="1406"/>
      <c r="Y1223" s="1406"/>
      <c r="Z1223" s="1406"/>
      <c r="AA1223" s="1406"/>
      <c r="AB1223" s="1406"/>
      <c r="AC1223" s="1406"/>
      <c r="AD1223" s="1406"/>
      <c r="AE1223" s="1406"/>
      <c r="AF1223" s="1406"/>
      <c r="AG1223" s="1406"/>
      <c r="AH1223" s="1406"/>
      <c r="AI1223" s="1406"/>
      <c r="AJ1223" s="1406"/>
      <c r="AK1223" s="1406"/>
      <c r="AL1223" s="1406"/>
      <c r="AM1223" s="1406"/>
      <c r="AN1223" s="1406"/>
      <c r="AO1223" s="1405"/>
      <c r="AP1223" s="1405"/>
      <c r="AQ1223" s="1405"/>
      <c r="AR1223" s="1405"/>
      <c r="AS1223" s="1405"/>
      <c r="AT1223" s="1405"/>
      <c r="AU1223" s="1405"/>
      <c r="AV1223" s="1405"/>
    </row>
    <row r="1224" spans="1:48" s="1431" customFormat="1">
      <c r="A1224" s="1399"/>
      <c r="B1224" s="1429"/>
      <c r="C1224" s="1430"/>
      <c r="D1224" s="1400"/>
      <c r="E1224" s="1401"/>
      <c r="F1224" s="1401"/>
      <c r="G1224" s="1402"/>
      <c r="H1224" s="1403"/>
      <c r="I1224" s="1404"/>
      <c r="J1224" s="1405"/>
      <c r="K1224" s="1405"/>
      <c r="L1224" s="1405"/>
      <c r="M1224" s="1405"/>
      <c r="N1224" s="1406"/>
      <c r="O1224" s="1406"/>
      <c r="P1224" s="1406"/>
      <c r="Q1224" s="1406"/>
      <c r="R1224" s="1406"/>
      <c r="S1224" s="1406"/>
      <c r="T1224" s="1406"/>
      <c r="U1224" s="1406"/>
      <c r="V1224" s="1406"/>
      <c r="W1224" s="1406"/>
      <c r="X1224" s="1406"/>
      <c r="Y1224" s="1406"/>
      <c r="Z1224" s="1406"/>
      <c r="AA1224" s="1406"/>
      <c r="AB1224" s="1406"/>
      <c r="AC1224" s="1406"/>
      <c r="AD1224" s="1406"/>
      <c r="AE1224" s="1406"/>
      <c r="AF1224" s="1406"/>
      <c r="AG1224" s="1406"/>
      <c r="AH1224" s="1406"/>
      <c r="AI1224" s="1406"/>
      <c r="AJ1224" s="1406"/>
      <c r="AK1224" s="1406"/>
      <c r="AL1224" s="1406"/>
      <c r="AM1224" s="1406"/>
      <c r="AN1224" s="1406"/>
      <c r="AO1224" s="1405"/>
      <c r="AP1224" s="1405"/>
      <c r="AQ1224" s="1405"/>
      <c r="AR1224" s="1405"/>
      <c r="AS1224" s="1405"/>
      <c r="AT1224" s="1405"/>
      <c r="AU1224" s="1405"/>
      <c r="AV1224" s="1405"/>
    </row>
    <row r="1225" spans="1:48" s="1431" customFormat="1">
      <c r="A1225" s="1399"/>
      <c r="B1225" s="1429"/>
      <c r="C1225" s="1430"/>
      <c r="D1225" s="1400"/>
      <c r="E1225" s="1401"/>
      <c r="F1225" s="1401"/>
      <c r="G1225" s="1402"/>
      <c r="H1225" s="1403"/>
      <c r="I1225" s="1404"/>
      <c r="J1225" s="1405"/>
      <c r="K1225" s="1405"/>
      <c r="L1225" s="1405"/>
      <c r="M1225" s="1405"/>
      <c r="N1225" s="1406"/>
      <c r="O1225" s="1406"/>
      <c r="P1225" s="1406"/>
      <c r="Q1225" s="1406"/>
      <c r="R1225" s="1406"/>
      <c r="S1225" s="1406"/>
      <c r="T1225" s="1406"/>
      <c r="U1225" s="1406"/>
      <c r="V1225" s="1406"/>
      <c r="W1225" s="1406"/>
      <c r="X1225" s="1406"/>
      <c r="Y1225" s="1406"/>
      <c r="Z1225" s="1406"/>
      <c r="AA1225" s="1406"/>
      <c r="AB1225" s="1406"/>
      <c r="AC1225" s="1406"/>
      <c r="AD1225" s="1406"/>
      <c r="AE1225" s="1406"/>
      <c r="AF1225" s="1406"/>
      <c r="AG1225" s="1406"/>
      <c r="AH1225" s="1406"/>
      <c r="AI1225" s="1406"/>
      <c r="AJ1225" s="1406"/>
      <c r="AK1225" s="1406"/>
      <c r="AL1225" s="1406"/>
      <c r="AM1225" s="1406"/>
      <c r="AN1225" s="1406"/>
      <c r="AO1225" s="1405"/>
      <c r="AP1225" s="1405"/>
      <c r="AQ1225" s="1405"/>
      <c r="AR1225" s="1405"/>
      <c r="AS1225" s="1405"/>
      <c r="AT1225" s="1405"/>
      <c r="AU1225" s="1405"/>
      <c r="AV1225" s="1405"/>
    </row>
    <row r="1226" spans="1:48" s="1431" customFormat="1">
      <c r="A1226" s="1399"/>
      <c r="B1226" s="1429"/>
      <c r="C1226" s="1430"/>
      <c r="D1226" s="1400"/>
      <c r="E1226" s="1401"/>
      <c r="F1226" s="1401"/>
      <c r="G1226" s="1402"/>
      <c r="H1226" s="1403"/>
      <c r="I1226" s="1404"/>
      <c r="J1226" s="1405"/>
      <c r="K1226" s="1405"/>
      <c r="L1226" s="1405"/>
      <c r="M1226" s="1405"/>
      <c r="N1226" s="1406"/>
      <c r="O1226" s="1406"/>
      <c r="P1226" s="1406"/>
      <c r="Q1226" s="1406"/>
      <c r="R1226" s="1406"/>
      <c r="S1226" s="1406"/>
      <c r="T1226" s="1406"/>
      <c r="U1226" s="1406"/>
      <c r="V1226" s="1406"/>
      <c r="W1226" s="1406"/>
      <c r="X1226" s="1406"/>
      <c r="Y1226" s="1406"/>
      <c r="Z1226" s="1406"/>
      <c r="AA1226" s="1406"/>
      <c r="AB1226" s="1406"/>
      <c r="AC1226" s="1406"/>
      <c r="AD1226" s="1406"/>
      <c r="AE1226" s="1406"/>
      <c r="AF1226" s="1406"/>
      <c r="AG1226" s="1406"/>
      <c r="AH1226" s="1406"/>
      <c r="AI1226" s="1406"/>
      <c r="AJ1226" s="1406"/>
      <c r="AK1226" s="1406"/>
      <c r="AL1226" s="1406"/>
      <c r="AM1226" s="1406"/>
      <c r="AN1226" s="1406"/>
      <c r="AO1226" s="1405"/>
      <c r="AP1226" s="1405"/>
      <c r="AQ1226" s="1405"/>
      <c r="AR1226" s="1405"/>
      <c r="AS1226" s="1405"/>
      <c r="AT1226" s="1405"/>
      <c r="AU1226" s="1405"/>
      <c r="AV1226" s="1405"/>
    </row>
    <row r="1227" spans="1:48" s="1431" customFormat="1">
      <c r="A1227" s="1399"/>
      <c r="B1227" s="1429"/>
      <c r="C1227" s="1430"/>
      <c r="D1227" s="1400"/>
      <c r="E1227" s="1401"/>
      <c r="F1227" s="1401"/>
      <c r="G1227" s="1402"/>
      <c r="H1227" s="1403"/>
      <c r="I1227" s="1404"/>
      <c r="J1227" s="1405"/>
      <c r="K1227" s="1405"/>
      <c r="L1227" s="1405"/>
      <c r="M1227" s="1405"/>
      <c r="N1227" s="1406"/>
      <c r="O1227" s="1406"/>
      <c r="P1227" s="1406"/>
      <c r="Q1227" s="1406"/>
      <c r="R1227" s="1406"/>
      <c r="S1227" s="1406"/>
      <c r="T1227" s="1406"/>
      <c r="U1227" s="1406"/>
      <c r="V1227" s="1406"/>
      <c r="W1227" s="1406"/>
      <c r="X1227" s="1406"/>
      <c r="Y1227" s="1406"/>
      <c r="Z1227" s="1406"/>
      <c r="AA1227" s="1406"/>
      <c r="AB1227" s="1406"/>
      <c r="AC1227" s="1406"/>
      <c r="AD1227" s="1406"/>
      <c r="AE1227" s="1406"/>
      <c r="AF1227" s="1406"/>
      <c r="AG1227" s="1406"/>
      <c r="AH1227" s="1406"/>
      <c r="AI1227" s="1406"/>
      <c r="AJ1227" s="1406"/>
      <c r="AK1227" s="1406"/>
      <c r="AL1227" s="1406"/>
      <c r="AM1227" s="1406"/>
      <c r="AN1227" s="1406"/>
      <c r="AO1227" s="1405"/>
      <c r="AP1227" s="1405"/>
      <c r="AQ1227" s="1405"/>
      <c r="AR1227" s="1405"/>
      <c r="AS1227" s="1405"/>
      <c r="AT1227" s="1405"/>
      <c r="AU1227" s="1405"/>
      <c r="AV1227" s="1405"/>
    </row>
    <row r="1228" spans="1:48" s="1431" customFormat="1">
      <c r="A1228" s="1399"/>
      <c r="B1228" s="1429"/>
      <c r="C1228" s="1430"/>
      <c r="D1228" s="1400"/>
      <c r="E1228" s="1401"/>
      <c r="F1228" s="1401"/>
      <c r="G1228" s="1402"/>
      <c r="H1228" s="1403"/>
      <c r="I1228" s="1404"/>
      <c r="J1228" s="1405"/>
      <c r="K1228" s="1405"/>
      <c r="L1228" s="1405"/>
      <c r="M1228" s="1405"/>
      <c r="N1228" s="1406"/>
      <c r="O1228" s="1406"/>
      <c r="P1228" s="1406"/>
      <c r="Q1228" s="1406"/>
      <c r="R1228" s="1406"/>
      <c r="S1228" s="1406"/>
      <c r="T1228" s="1406"/>
      <c r="U1228" s="1406"/>
      <c r="V1228" s="1406"/>
      <c r="W1228" s="1406"/>
      <c r="X1228" s="1406"/>
      <c r="Y1228" s="1406"/>
      <c r="Z1228" s="1406"/>
      <c r="AA1228" s="1406"/>
      <c r="AB1228" s="1406"/>
      <c r="AC1228" s="1406"/>
      <c r="AD1228" s="1406"/>
      <c r="AE1228" s="1406"/>
      <c r="AF1228" s="1406"/>
      <c r="AG1228" s="1406"/>
      <c r="AH1228" s="1406"/>
      <c r="AI1228" s="1406"/>
      <c r="AJ1228" s="1406"/>
      <c r="AK1228" s="1406"/>
      <c r="AL1228" s="1406"/>
      <c r="AM1228" s="1406"/>
      <c r="AN1228" s="1406"/>
      <c r="AO1228" s="1405"/>
      <c r="AP1228" s="1405"/>
      <c r="AQ1228" s="1405"/>
      <c r="AR1228" s="1405"/>
      <c r="AS1228" s="1405"/>
      <c r="AT1228" s="1405"/>
      <c r="AU1228" s="1405"/>
      <c r="AV1228" s="1405"/>
    </row>
    <row r="1229" spans="1:48" s="1431" customFormat="1">
      <c r="A1229" s="1399"/>
      <c r="B1229" s="1429"/>
      <c r="C1229" s="1430"/>
      <c r="D1229" s="1400"/>
      <c r="E1229" s="1401"/>
      <c r="F1229" s="1401"/>
      <c r="G1229" s="1402"/>
      <c r="H1229" s="1403"/>
      <c r="I1229" s="1404"/>
      <c r="J1229" s="1405"/>
      <c r="K1229" s="1405"/>
      <c r="L1229" s="1405"/>
      <c r="M1229" s="1405"/>
      <c r="N1229" s="1406"/>
      <c r="O1229" s="1406"/>
      <c r="P1229" s="1406"/>
      <c r="Q1229" s="1406"/>
      <c r="R1229" s="1406"/>
      <c r="S1229" s="1406"/>
      <c r="T1229" s="1406"/>
      <c r="U1229" s="1406"/>
      <c r="V1229" s="1406"/>
      <c r="W1229" s="1406"/>
      <c r="X1229" s="1406"/>
      <c r="Y1229" s="1406"/>
      <c r="Z1229" s="1406"/>
      <c r="AA1229" s="1406"/>
      <c r="AB1229" s="1406"/>
      <c r="AC1229" s="1406"/>
      <c r="AD1229" s="1406"/>
      <c r="AE1229" s="1406"/>
      <c r="AF1229" s="1406"/>
      <c r="AG1229" s="1406"/>
      <c r="AH1229" s="1406"/>
      <c r="AI1229" s="1406"/>
      <c r="AJ1229" s="1406"/>
      <c r="AK1229" s="1406"/>
      <c r="AL1229" s="1406"/>
      <c r="AM1229" s="1406"/>
      <c r="AN1229" s="1406"/>
      <c r="AO1229" s="1405"/>
      <c r="AP1229" s="1405"/>
      <c r="AQ1229" s="1405"/>
      <c r="AR1229" s="1405"/>
      <c r="AS1229" s="1405"/>
      <c r="AT1229" s="1405"/>
      <c r="AU1229" s="1405"/>
      <c r="AV1229" s="1405"/>
    </row>
    <row r="1230" spans="1:48" s="1431" customFormat="1">
      <c r="A1230" s="1399"/>
      <c r="B1230" s="1429"/>
      <c r="C1230" s="1430"/>
      <c r="D1230" s="1400"/>
      <c r="E1230" s="1401"/>
      <c r="F1230" s="1401"/>
      <c r="G1230" s="1402"/>
      <c r="H1230" s="1403"/>
      <c r="I1230" s="1404"/>
      <c r="J1230" s="1405"/>
      <c r="K1230" s="1405"/>
      <c r="L1230" s="1405"/>
      <c r="M1230" s="1405"/>
      <c r="N1230" s="1406"/>
      <c r="O1230" s="1406"/>
      <c r="P1230" s="1406"/>
      <c r="Q1230" s="1406"/>
      <c r="R1230" s="1406"/>
      <c r="S1230" s="1406"/>
      <c r="T1230" s="1406"/>
      <c r="U1230" s="1406"/>
      <c r="V1230" s="1406"/>
      <c r="W1230" s="1406"/>
      <c r="X1230" s="1406"/>
      <c r="Y1230" s="1406"/>
      <c r="Z1230" s="1406"/>
      <c r="AA1230" s="1406"/>
      <c r="AB1230" s="1406"/>
      <c r="AC1230" s="1406"/>
      <c r="AD1230" s="1406"/>
      <c r="AE1230" s="1406"/>
      <c r="AF1230" s="1406"/>
      <c r="AG1230" s="1406"/>
      <c r="AH1230" s="1406"/>
      <c r="AI1230" s="1406"/>
      <c r="AJ1230" s="1406"/>
      <c r="AK1230" s="1406"/>
      <c r="AL1230" s="1406"/>
      <c r="AM1230" s="1406"/>
      <c r="AN1230" s="1406"/>
      <c r="AO1230" s="1405"/>
      <c r="AP1230" s="1405"/>
      <c r="AQ1230" s="1405"/>
      <c r="AR1230" s="1405"/>
      <c r="AS1230" s="1405"/>
      <c r="AT1230" s="1405"/>
      <c r="AU1230" s="1405"/>
      <c r="AV1230" s="1405"/>
    </row>
    <row r="1231" spans="1:48" s="1431" customFormat="1">
      <c r="A1231" s="1399"/>
      <c r="B1231" s="1429"/>
      <c r="C1231" s="1430"/>
      <c r="D1231" s="1400"/>
      <c r="E1231" s="1401"/>
      <c r="F1231" s="1401"/>
      <c r="G1231" s="1402"/>
      <c r="H1231" s="1403"/>
      <c r="I1231" s="1404"/>
      <c r="J1231" s="1405"/>
      <c r="K1231" s="1405"/>
      <c r="L1231" s="1405"/>
      <c r="M1231" s="1405"/>
      <c r="N1231" s="1406"/>
      <c r="O1231" s="1406"/>
      <c r="P1231" s="1406"/>
      <c r="Q1231" s="1406"/>
      <c r="R1231" s="1406"/>
      <c r="S1231" s="1406"/>
      <c r="T1231" s="1406"/>
      <c r="U1231" s="1406"/>
      <c r="V1231" s="1406"/>
      <c r="W1231" s="1406"/>
      <c r="X1231" s="1406"/>
      <c r="Y1231" s="1406"/>
      <c r="Z1231" s="1406"/>
      <c r="AA1231" s="1406"/>
      <c r="AB1231" s="1406"/>
      <c r="AC1231" s="1406"/>
      <c r="AD1231" s="1406"/>
      <c r="AE1231" s="1406"/>
      <c r="AF1231" s="1406"/>
      <c r="AG1231" s="1406"/>
      <c r="AH1231" s="1406"/>
      <c r="AI1231" s="1406"/>
      <c r="AJ1231" s="1406"/>
      <c r="AK1231" s="1406"/>
      <c r="AL1231" s="1406"/>
      <c r="AM1231" s="1406"/>
      <c r="AN1231" s="1406"/>
      <c r="AO1231" s="1405"/>
      <c r="AP1231" s="1405"/>
      <c r="AQ1231" s="1405"/>
      <c r="AR1231" s="1405"/>
      <c r="AS1231" s="1405"/>
      <c r="AT1231" s="1405"/>
      <c r="AU1231" s="1405"/>
      <c r="AV1231" s="1405"/>
    </row>
    <row r="1232" spans="1:48" s="1431" customFormat="1">
      <c r="A1232" s="1399"/>
      <c r="B1232" s="1429"/>
      <c r="C1232" s="1430"/>
      <c r="D1232" s="1400"/>
      <c r="E1232" s="1401"/>
      <c r="F1232" s="1401"/>
      <c r="G1232" s="1402"/>
      <c r="H1232" s="1403"/>
      <c r="I1232" s="1404"/>
      <c r="J1232" s="1405"/>
      <c r="K1232" s="1405"/>
      <c r="L1232" s="1405"/>
      <c r="M1232" s="1405"/>
      <c r="N1232" s="1406"/>
      <c r="O1232" s="1406"/>
      <c r="P1232" s="1406"/>
      <c r="Q1232" s="1406"/>
      <c r="R1232" s="1406"/>
      <c r="S1232" s="1406"/>
      <c r="T1232" s="1406"/>
      <c r="U1232" s="1406"/>
      <c r="V1232" s="1406"/>
      <c r="W1232" s="1406"/>
      <c r="X1232" s="1406"/>
      <c r="Y1232" s="1406"/>
      <c r="Z1232" s="1406"/>
      <c r="AA1232" s="1406"/>
      <c r="AB1232" s="1406"/>
      <c r="AC1232" s="1406"/>
      <c r="AD1232" s="1406"/>
      <c r="AE1232" s="1406"/>
      <c r="AF1232" s="1406"/>
      <c r="AG1232" s="1406"/>
      <c r="AH1232" s="1406"/>
      <c r="AI1232" s="1406"/>
      <c r="AJ1232" s="1406"/>
      <c r="AK1232" s="1406"/>
      <c r="AL1232" s="1406"/>
      <c r="AM1232" s="1406"/>
      <c r="AN1232" s="1406"/>
      <c r="AO1232" s="1405"/>
      <c r="AP1232" s="1405"/>
      <c r="AQ1232" s="1405"/>
      <c r="AR1232" s="1405"/>
      <c r="AS1232" s="1405"/>
      <c r="AT1232" s="1405"/>
      <c r="AU1232" s="1405"/>
      <c r="AV1232" s="1405"/>
    </row>
    <row r="1233" spans="1:48" s="1431" customFormat="1">
      <c r="A1233" s="1399"/>
      <c r="B1233" s="1429"/>
      <c r="C1233" s="1430"/>
      <c r="D1233" s="1400"/>
      <c r="E1233" s="1401"/>
      <c r="F1233" s="1401"/>
      <c r="G1233" s="1402"/>
      <c r="H1233" s="1403"/>
      <c r="I1233" s="1404"/>
      <c r="J1233" s="1405"/>
      <c r="K1233" s="1405"/>
      <c r="L1233" s="1405"/>
      <c r="M1233" s="1405"/>
      <c r="N1233" s="1406"/>
      <c r="O1233" s="1406"/>
      <c r="P1233" s="1406"/>
      <c r="Q1233" s="1406"/>
      <c r="R1233" s="1406"/>
      <c r="S1233" s="1406"/>
      <c r="T1233" s="1406"/>
      <c r="U1233" s="1406"/>
      <c r="V1233" s="1406"/>
      <c r="W1233" s="1406"/>
      <c r="X1233" s="1406"/>
      <c r="Y1233" s="1406"/>
      <c r="Z1233" s="1406"/>
      <c r="AA1233" s="1406"/>
      <c r="AB1233" s="1406"/>
      <c r="AC1233" s="1406"/>
      <c r="AD1233" s="1406"/>
      <c r="AE1233" s="1406"/>
      <c r="AF1233" s="1406"/>
      <c r="AG1233" s="1406"/>
      <c r="AH1233" s="1406"/>
      <c r="AI1233" s="1406"/>
      <c r="AJ1233" s="1406"/>
      <c r="AK1233" s="1406"/>
      <c r="AL1233" s="1406"/>
      <c r="AM1233" s="1406"/>
      <c r="AN1233" s="1406"/>
      <c r="AO1233" s="1405"/>
      <c r="AP1233" s="1405"/>
      <c r="AQ1233" s="1405"/>
      <c r="AR1233" s="1405"/>
      <c r="AS1233" s="1405"/>
      <c r="AT1233" s="1405"/>
      <c r="AU1233" s="1405"/>
      <c r="AV1233" s="1405"/>
    </row>
    <row r="1234" spans="1:48" s="1431" customFormat="1">
      <c r="A1234" s="1399"/>
      <c r="B1234" s="1429"/>
      <c r="C1234" s="1430"/>
      <c r="D1234" s="1400"/>
      <c r="E1234" s="1401"/>
      <c r="F1234" s="1401"/>
      <c r="G1234" s="1402"/>
      <c r="H1234" s="1403"/>
      <c r="I1234" s="1404"/>
      <c r="J1234" s="1405"/>
      <c r="K1234" s="1405"/>
      <c r="L1234" s="1405"/>
      <c r="M1234" s="1405"/>
      <c r="N1234" s="1406"/>
      <c r="O1234" s="1406"/>
      <c r="P1234" s="1406"/>
      <c r="Q1234" s="1406"/>
      <c r="R1234" s="1406"/>
      <c r="S1234" s="1406"/>
      <c r="T1234" s="1406"/>
      <c r="U1234" s="1406"/>
      <c r="V1234" s="1406"/>
      <c r="W1234" s="1406"/>
      <c r="X1234" s="1406"/>
      <c r="Y1234" s="1406"/>
      <c r="Z1234" s="1406"/>
      <c r="AA1234" s="1406"/>
      <c r="AB1234" s="1406"/>
      <c r="AC1234" s="1406"/>
      <c r="AD1234" s="1406"/>
      <c r="AE1234" s="1406"/>
      <c r="AF1234" s="1406"/>
      <c r="AG1234" s="1406"/>
      <c r="AH1234" s="1406"/>
      <c r="AI1234" s="1406"/>
      <c r="AJ1234" s="1406"/>
      <c r="AK1234" s="1406"/>
      <c r="AL1234" s="1406"/>
      <c r="AM1234" s="1406"/>
      <c r="AN1234" s="1406"/>
      <c r="AO1234" s="1405"/>
      <c r="AP1234" s="1405"/>
      <c r="AQ1234" s="1405"/>
      <c r="AR1234" s="1405"/>
      <c r="AS1234" s="1405"/>
      <c r="AT1234" s="1405"/>
      <c r="AU1234" s="1405"/>
      <c r="AV1234" s="1405"/>
    </row>
    <row r="1235" spans="1:48" s="1431" customFormat="1">
      <c r="A1235" s="1399"/>
      <c r="B1235" s="1429"/>
      <c r="C1235" s="1430"/>
      <c r="D1235" s="1400"/>
      <c r="E1235" s="1401"/>
      <c r="F1235" s="1401"/>
      <c r="G1235" s="1402"/>
      <c r="H1235" s="1403"/>
      <c r="I1235" s="1404"/>
      <c r="J1235" s="1405"/>
      <c r="K1235" s="1405"/>
      <c r="L1235" s="1405"/>
      <c r="M1235" s="1405"/>
      <c r="N1235" s="1406"/>
      <c r="O1235" s="1406"/>
      <c r="P1235" s="1406"/>
      <c r="Q1235" s="1406"/>
      <c r="R1235" s="1406"/>
      <c r="S1235" s="1406"/>
      <c r="T1235" s="1406"/>
      <c r="U1235" s="1406"/>
      <c r="V1235" s="1406"/>
      <c r="W1235" s="1406"/>
      <c r="X1235" s="1406"/>
      <c r="Y1235" s="1406"/>
      <c r="Z1235" s="1406"/>
      <c r="AA1235" s="1406"/>
      <c r="AB1235" s="1406"/>
      <c r="AC1235" s="1406"/>
      <c r="AD1235" s="1406"/>
      <c r="AE1235" s="1406"/>
      <c r="AF1235" s="1406"/>
      <c r="AG1235" s="1406"/>
      <c r="AH1235" s="1406"/>
      <c r="AI1235" s="1406"/>
      <c r="AJ1235" s="1406"/>
      <c r="AK1235" s="1406"/>
      <c r="AL1235" s="1406"/>
      <c r="AM1235" s="1406"/>
      <c r="AN1235" s="1406"/>
      <c r="AO1235" s="1405"/>
      <c r="AP1235" s="1405"/>
      <c r="AQ1235" s="1405"/>
      <c r="AR1235" s="1405"/>
      <c r="AS1235" s="1405"/>
      <c r="AT1235" s="1405"/>
      <c r="AU1235" s="1405"/>
      <c r="AV1235" s="1405"/>
    </row>
    <row r="1236" spans="1:48" s="1431" customFormat="1">
      <c r="A1236" s="1399"/>
      <c r="B1236" s="1429"/>
      <c r="C1236" s="1430"/>
      <c r="D1236" s="1400"/>
      <c r="E1236" s="1401"/>
      <c r="F1236" s="1401"/>
      <c r="G1236" s="1402"/>
      <c r="H1236" s="1403"/>
      <c r="I1236" s="1404"/>
      <c r="J1236" s="1405"/>
      <c r="K1236" s="1405"/>
      <c r="L1236" s="1405"/>
      <c r="M1236" s="1405"/>
      <c r="N1236" s="1406"/>
      <c r="O1236" s="1406"/>
      <c r="P1236" s="1406"/>
      <c r="Q1236" s="1406"/>
      <c r="R1236" s="1406"/>
      <c r="S1236" s="1406"/>
      <c r="T1236" s="1406"/>
      <c r="U1236" s="1406"/>
      <c r="V1236" s="1406"/>
      <c r="W1236" s="1406"/>
      <c r="X1236" s="1406"/>
      <c r="Y1236" s="1406"/>
      <c r="Z1236" s="1406"/>
      <c r="AA1236" s="1406"/>
      <c r="AB1236" s="1406"/>
      <c r="AC1236" s="1406"/>
      <c r="AD1236" s="1406"/>
      <c r="AE1236" s="1406"/>
      <c r="AF1236" s="1406"/>
      <c r="AG1236" s="1406"/>
      <c r="AH1236" s="1406"/>
      <c r="AI1236" s="1406"/>
      <c r="AJ1236" s="1406"/>
      <c r="AK1236" s="1406"/>
      <c r="AL1236" s="1406"/>
      <c r="AM1236" s="1406"/>
      <c r="AN1236" s="1406"/>
      <c r="AO1236" s="1405"/>
      <c r="AP1236" s="1405"/>
      <c r="AQ1236" s="1405"/>
      <c r="AR1236" s="1405"/>
      <c r="AS1236" s="1405"/>
      <c r="AT1236" s="1405"/>
      <c r="AU1236" s="1405"/>
      <c r="AV1236" s="1405"/>
    </row>
    <row r="1237" spans="1:48" s="1431" customFormat="1">
      <c r="A1237" s="1399"/>
      <c r="B1237" s="1429"/>
      <c r="C1237" s="1430"/>
      <c r="D1237" s="1400"/>
      <c r="E1237" s="1401"/>
      <c r="F1237" s="1401"/>
      <c r="G1237" s="1402"/>
      <c r="H1237" s="1403"/>
      <c r="I1237" s="1404"/>
      <c r="J1237" s="1405"/>
      <c r="K1237" s="1405"/>
      <c r="L1237" s="1405"/>
      <c r="M1237" s="1405"/>
      <c r="N1237" s="1406"/>
      <c r="O1237" s="1406"/>
      <c r="P1237" s="1406"/>
      <c r="Q1237" s="1406"/>
      <c r="R1237" s="1406"/>
      <c r="S1237" s="1406"/>
      <c r="T1237" s="1406"/>
      <c r="U1237" s="1406"/>
      <c r="V1237" s="1406"/>
      <c r="W1237" s="1406"/>
      <c r="X1237" s="1406"/>
      <c r="Y1237" s="1406"/>
      <c r="Z1237" s="1406"/>
      <c r="AA1237" s="1406"/>
      <c r="AB1237" s="1406"/>
      <c r="AC1237" s="1406"/>
      <c r="AD1237" s="1406"/>
      <c r="AE1237" s="1406"/>
      <c r="AF1237" s="1406"/>
      <c r="AG1237" s="1406"/>
      <c r="AH1237" s="1406"/>
      <c r="AI1237" s="1406"/>
      <c r="AJ1237" s="1406"/>
      <c r="AK1237" s="1406"/>
      <c r="AL1237" s="1406"/>
      <c r="AM1237" s="1406"/>
      <c r="AN1237" s="1406"/>
      <c r="AO1237" s="1405"/>
      <c r="AP1237" s="1405"/>
      <c r="AQ1237" s="1405"/>
      <c r="AR1237" s="1405"/>
      <c r="AS1237" s="1405"/>
      <c r="AT1237" s="1405"/>
      <c r="AU1237" s="1405"/>
      <c r="AV1237" s="1405"/>
    </row>
    <row r="1238" spans="1:48" s="1431" customFormat="1">
      <c r="A1238" s="1399"/>
      <c r="B1238" s="1429"/>
      <c r="C1238" s="1430"/>
      <c r="D1238" s="1400"/>
      <c r="E1238" s="1401"/>
      <c r="F1238" s="1401"/>
      <c r="G1238" s="1402"/>
      <c r="H1238" s="1403"/>
      <c r="I1238" s="1404"/>
      <c r="J1238" s="1405"/>
      <c r="K1238" s="1405"/>
      <c r="L1238" s="1405"/>
      <c r="M1238" s="1405"/>
      <c r="N1238" s="1406"/>
      <c r="O1238" s="1406"/>
      <c r="P1238" s="1406"/>
      <c r="Q1238" s="1406"/>
      <c r="R1238" s="1406"/>
      <c r="S1238" s="1406"/>
      <c r="T1238" s="1406"/>
      <c r="U1238" s="1406"/>
      <c r="V1238" s="1406"/>
      <c r="W1238" s="1406"/>
      <c r="X1238" s="1406"/>
      <c r="Y1238" s="1406"/>
      <c r="Z1238" s="1406"/>
      <c r="AA1238" s="1406"/>
      <c r="AB1238" s="1406"/>
      <c r="AC1238" s="1406"/>
      <c r="AD1238" s="1406"/>
      <c r="AE1238" s="1406"/>
      <c r="AF1238" s="1406"/>
      <c r="AG1238" s="1406"/>
      <c r="AH1238" s="1406"/>
      <c r="AI1238" s="1406"/>
      <c r="AJ1238" s="1406"/>
      <c r="AK1238" s="1406"/>
      <c r="AL1238" s="1406"/>
      <c r="AM1238" s="1406"/>
      <c r="AN1238" s="1406"/>
      <c r="AO1238" s="1405"/>
      <c r="AP1238" s="1405"/>
      <c r="AQ1238" s="1405"/>
      <c r="AR1238" s="1405"/>
      <c r="AS1238" s="1405"/>
      <c r="AT1238" s="1405"/>
      <c r="AU1238" s="1405"/>
      <c r="AV1238" s="1405"/>
    </row>
    <row r="1239" spans="1:48" s="1431" customFormat="1">
      <c r="A1239" s="1399"/>
      <c r="B1239" s="1429"/>
      <c r="C1239" s="1430"/>
      <c r="D1239" s="1400"/>
      <c r="E1239" s="1401"/>
      <c r="F1239" s="1401"/>
      <c r="G1239" s="1402"/>
      <c r="H1239" s="1403"/>
      <c r="I1239" s="1404"/>
      <c r="J1239" s="1405"/>
      <c r="K1239" s="1405"/>
      <c r="L1239" s="1405"/>
      <c r="M1239" s="1405"/>
      <c r="N1239" s="1406"/>
      <c r="O1239" s="1406"/>
      <c r="P1239" s="1406"/>
      <c r="Q1239" s="1406"/>
      <c r="R1239" s="1406"/>
      <c r="S1239" s="1406"/>
      <c r="T1239" s="1406"/>
      <c r="U1239" s="1406"/>
      <c r="V1239" s="1406"/>
      <c r="W1239" s="1406"/>
      <c r="X1239" s="1406"/>
      <c r="Y1239" s="1406"/>
      <c r="Z1239" s="1406"/>
      <c r="AA1239" s="1406"/>
      <c r="AB1239" s="1406"/>
      <c r="AC1239" s="1406"/>
      <c r="AD1239" s="1406"/>
      <c r="AE1239" s="1406"/>
      <c r="AF1239" s="1406"/>
      <c r="AG1239" s="1406"/>
      <c r="AH1239" s="1406"/>
      <c r="AI1239" s="1406"/>
      <c r="AJ1239" s="1406"/>
      <c r="AK1239" s="1406"/>
      <c r="AL1239" s="1406"/>
      <c r="AM1239" s="1406"/>
      <c r="AN1239" s="1406"/>
      <c r="AO1239" s="1405"/>
      <c r="AP1239" s="1405"/>
      <c r="AQ1239" s="1405"/>
      <c r="AR1239" s="1405"/>
      <c r="AS1239" s="1405"/>
      <c r="AT1239" s="1405"/>
      <c r="AU1239" s="1405"/>
      <c r="AV1239" s="1405"/>
    </row>
    <row r="1240" spans="1:48" s="1431" customFormat="1">
      <c r="A1240" s="1399"/>
      <c r="B1240" s="1429"/>
      <c r="C1240" s="1430"/>
      <c r="D1240" s="1400"/>
      <c r="E1240" s="1401"/>
      <c r="F1240" s="1401"/>
      <c r="G1240" s="1402"/>
      <c r="H1240" s="1403"/>
      <c r="I1240" s="1404"/>
      <c r="J1240" s="1405"/>
      <c r="K1240" s="1405"/>
      <c r="L1240" s="1405"/>
      <c r="M1240" s="1405"/>
      <c r="N1240" s="1406"/>
      <c r="O1240" s="1406"/>
      <c r="P1240" s="1406"/>
      <c r="Q1240" s="1406"/>
      <c r="R1240" s="1406"/>
      <c r="S1240" s="1406"/>
      <c r="T1240" s="1406"/>
      <c r="U1240" s="1406"/>
      <c r="V1240" s="1406"/>
      <c r="W1240" s="1406"/>
      <c r="X1240" s="1406"/>
      <c r="Y1240" s="1406"/>
      <c r="Z1240" s="1406"/>
      <c r="AA1240" s="1406"/>
      <c r="AB1240" s="1406"/>
      <c r="AC1240" s="1406"/>
      <c r="AD1240" s="1406"/>
      <c r="AE1240" s="1406"/>
      <c r="AF1240" s="1406"/>
      <c r="AG1240" s="1406"/>
      <c r="AH1240" s="1406"/>
      <c r="AI1240" s="1406"/>
      <c r="AJ1240" s="1406"/>
      <c r="AK1240" s="1406"/>
      <c r="AL1240" s="1406"/>
      <c r="AM1240" s="1406"/>
      <c r="AN1240" s="1406"/>
      <c r="AO1240" s="1405"/>
      <c r="AP1240" s="1405"/>
      <c r="AQ1240" s="1405"/>
      <c r="AR1240" s="1405"/>
      <c r="AS1240" s="1405"/>
      <c r="AT1240" s="1405"/>
      <c r="AU1240" s="1405"/>
      <c r="AV1240" s="1405"/>
    </row>
    <row r="1241" spans="1:48" s="1431" customFormat="1">
      <c r="A1241" s="1399"/>
      <c r="B1241" s="1429"/>
      <c r="C1241" s="1430"/>
      <c r="D1241" s="1400"/>
      <c r="E1241" s="1401"/>
      <c r="F1241" s="1401"/>
      <c r="G1241" s="1402"/>
      <c r="H1241" s="1403"/>
      <c r="I1241" s="1404"/>
      <c r="J1241" s="1405"/>
      <c r="K1241" s="1405"/>
      <c r="L1241" s="1405"/>
      <c r="M1241" s="1405"/>
      <c r="N1241" s="1406"/>
      <c r="O1241" s="1406"/>
      <c r="P1241" s="1406"/>
      <c r="Q1241" s="1406"/>
      <c r="R1241" s="1406"/>
      <c r="S1241" s="1406"/>
      <c r="T1241" s="1406"/>
      <c r="U1241" s="1406"/>
      <c r="V1241" s="1406"/>
      <c r="W1241" s="1406"/>
      <c r="X1241" s="1406"/>
      <c r="Y1241" s="1406"/>
      <c r="Z1241" s="1406"/>
      <c r="AA1241" s="1406"/>
      <c r="AB1241" s="1406"/>
      <c r="AC1241" s="1406"/>
      <c r="AD1241" s="1406"/>
      <c r="AE1241" s="1406"/>
      <c r="AF1241" s="1406"/>
      <c r="AG1241" s="1406"/>
      <c r="AH1241" s="1406"/>
      <c r="AI1241" s="1406"/>
      <c r="AJ1241" s="1406"/>
      <c r="AK1241" s="1406"/>
      <c r="AL1241" s="1406"/>
      <c r="AM1241" s="1406"/>
      <c r="AN1241" s="1406"/>
      <c r="AO1241" s="1405"/>
      <c r="AP1241" s="1405"/>
      <c r="AQ1241" s="1405"/>
      <c r="AR1241" s="1405"/>
      <c r="AS1241" s="1405"/>
      <c r="AT1241" s="1405"/>
      <c r="AU1241" s="1405"/>
      <c r="AV1241" s="1405"/>
    </row>
    <row r="1242" spans="1:48" s="1431" customFormat="1">
      <c r="A1242" s="1399"/>
      <c r="B1242" s="1429"/>
      <c r="C1242" s="1430"/>
      <c r="D1242" s="1400"/>
      <c r="E1242" s="1401"/>
      <c r="F1242" s="1401"/>
      <c r="G1242" s="1402"/>
      <c r="H1242" s="1403"/>
      <c r="I1242" s="1404"/>
      <c r="J1242" s="1405"/>
      <c r="K1242" s="1405"/>
      <c r="L1242" s="1405"/>
      <c r="M1242" s="1405"/>
      <c r="N1242" s="1406"/>
      <c r="O1242" s="1406"/>
      <c r="P1242" s="1406"/>
      <c r="Q1242" s="1406"/>
      <c r="R1242" s="1406"/>
      <c r="S1242" s="1406"/>
      <c r="T1242" s="1406"/>
      <c r="U1242" s="1406"/>
      <c r="V1242" s="1406"/>
      <c r="W1242" s="1406"/>
      <c r="X1242" s="1406"/>
      <c r="Y1242" s="1406"/>
      <c r="Z1242" s="1406"/>
      <c r="AA1242" s="1406"/>
      <c r="AB1242" s="1406"/>
      <c r="AC1242" s="1406"/>
      <c r="AD1242" s="1406"/>
      <c r="AE1242" s="1406"/>
      <c r="AF1242" s="1406"/>
      <c r="AG1242" s="1406"/>
      <c r="AH1242" s="1406"/>
      <c r="AI1242" s="1406"/>
      <c r="AJ1242" s="1406"/>
      <c r="AK1242" s="1406"/>
      <c r="AL1242" s="1406"/>
      <c r="AM1242" s="1406"/>
      <c r="AN1242" s="1406"/>
      <c r="AO1242" s="1405"/>
      <c r="AP1242" s="1405"/>
      <c r="AQ1242" s="1405"/>
      <c r="AR1242" s="1405"/>
      <c r="AS1242" s="1405"/>
      <c r="AT1242" s="1405"/>
      <c r="AU1242" s="1405"/>
      <c r="AV1242" s="1405"/>
    </row>
    <row r="1243" spans="1:48" s="1431" customFormat="1">
      <c r="A1243" s="1399"/>
      <c r="B1243" s="1429"/>
      <c r="C1243" s="1430"/>
      <c r="D1243" s="1400"/>
      <c r="E1243" s="1401"/>
      <c r="F1243" s="1401"/>
      <c r="G1243" s="1402"/>
      <c r="H1243" s="1403"/>
      <c r="I1243" s="1404"/>
      <c r="J1243" s="1405"/>
      <c r="K1243" s="1405"/>
      <c r="L1243" s="1405"/>
      <c r="M1243" s="1405"/>
      <c r="N1243" s="1406"/>
      <c r="O1243" s="1406"/>
      <c r="P1243" s="1406"/>
      <c r="Q1243" s="1406"/>
      <c r="R1243" s="1406"/>
      <c r="S1243" s="1406"/>
      <c r="T1243" s="1406"/>
      <c r="U1243" s="1406"/>
      <c r="V1243" s="1406"/>
      <c r="W1243" s="1406"/>
      <c r="X1243" s="1406"/>
      <c r="Y1243" s="1406"/>
      <c r="Z1243" s="1406"/>
      <c r="AA1243" s="1406"/>
      <c r="AB1243" s="1406"/>
      <c r="AC1243" s="1406"/>
      <c r="AD1243" s="1406"/>
      <c r="AE1243" s="1406"/>
      <c r="AF1243" s="1406"/>
      <c r="AG1243" s="1406"/>
      <c r="AH1243" s="1406"/>
      <c r="AI1243" s="1406"/>
      <c r="AJ1243" s="1406"/>
      <c r="AK1243" s="1406"/>
      <c r="AL1243" s="1406"/>
      <c r="AM1243" s="1406"/>
      <c r="AN1243" s="1406"/>
      <c r="AO1243" s="1405"/>
      <c r="AP1243" s="1405"/>
      <c r="AQ1243" s="1405"/>
      <c r="AR1243" s="1405"/>
      <c r="AS1243" s="1405"/>
      <c r="AT1243" s="1405"/>
      <c r="AU1243" s="1405"/>
      <c r="AV1243" s="1405"/>
    </row>
    <row r="1244" spans="1:48" s="1431" customFormat="1">
      <c r="A1244" s="1399"/>
      <c r="B1244" s="1429"/>
      <c r="C1244" s="1430"/>
      <c r="D1244" s="1400"/>
      <c r="E1244" s="1401"/>
      <c r="F1244" s="1401"/>
      <c r="G1244" s="1402"/>
      <c r="H1244" s="1403"/>
      <c r="I1244" s="1404"/>
      <c r="J1244" s="1405"/>
      <c r="K1244" s="1405"/>
      <c r="L1244" s="1405"/>
      <c r="M1244" s="1405"/>
      <c r="N1244" s="1406"/>
      <c r="O1244" s="1406"/>
      <c r="P1244" s="1406"/>
      <c r="Q1244" s="1406"/>
      <c r="R1244" s="1406"/>
      <c r="S1244" s="1406"/>
      <c r="T1244" s="1406"/>
      <c r="U1244" s="1406"/>
      <c r="V1244" s="1406"/>
      <c r="W1244" s="1406"/>
      <c r="X1244" s="1406"/>
      <c r="Y1244" s="1406"/>
      <c r="Z1244" s="1406"/>
      <c r="AA1244" s="1406"/>
      <c r="AB1244" s="1406"/>
      <c r="AC1244" s="1406"/>
      <c r="AD1244" s="1406"/>
      <c r="AE1244" s="1406"/>
      <c r="AF1244" s="1406"/>
      <c r="AG1244" s="1406"/>
      <c r="AH1244" s="1406"/>
      <c r="AI1244" s="1406"/>
      <c r="AJ1244" s="1406"/>
      <c r="AK1244" s="1406"/>
      <c r="AL1244" s="1406"/>
      <c r="AM1244" s="1406"/>
      <c r="AN1244" s="1406"/>
      <c r="AO1244" s="1405"/>
      <c r="AP1244" s="1405"/>
      <c r="AQ1244" s="1405"/>
      <c r="AR1244" s="1405"/>
      <c r="AS1244" s="1405"/>
      <c r="AT1244" s="1405"/>
      <c r="AU1244" s="1405"/>
      <c r="AV1244" s="1405"/>
    </row>
    <row r="1245" spans="1:48" s="1431" customFormat="1">
      <c r="A1245" s="1399"/>
      <c r="B1245" s="1429"/>
      <c r="C1245" s="1430"/>
      <c r="D1245" s="1400"/>
      <c r="E1245" s="1401"/>
      <c r="F1245" s="1401"/>
      <c r="G1245" s="1402"/>
      <c r="H1245" s="1403"/>
      <c r="I1245" s="1404"/>
      <c r="J1245" s="1405"/>
      <c r="K1245" s="1405"/>
      <c r="L1245" s="1405"/>
      <c r="M1245" s="1405"/>
      <c r="N1245" s="1406"/>
      <c r="O1245" s="1406"/>
      <c r="P1245" s="1406"/>
      <c r="Q1245" s="1406"/>
      <c r="R1245" s="1406"/>
      <c r="S1245" s="1406"/>
      <c r="T1245" s="1406"/>
      <c r="U1245" s="1406"/>
      <c r="V1245" s="1406"/>
      <c r="W1245" s="1406"/>
      <c r="X1245" s="1406"/>
      <c r="Y1245" s="1406"/>
      <c r="Z1245" s="1406"/>
      <c r="AA1245" s="1406"/>
      <c r="AB1245" s="1406"/>
      <c r="AC1245" s="1406"/>
      <c r="AD1245" s="1406"/>
      <c r="AE1245" s="1406"/>
      <c r="AF1245" s="1406"/>
      <c r="AG1245" s="1406"/>
      <c r="AH1245" s="1406"/>
      <c r="AI1245" s="1406"/>
      <c r="AJ1245" s="1406"/>
      <c r="AK1245" s="1406"/>
      <c r="AL1245" s="1406"/>
      <c r="AM1245" s="1406"/>
      <c r="AN1245" s="1406"/>
      <c r="AO1245" s="1405"/>
      <c r="AP1245" s="1405"/>
      <c r="AQ1245" s="1405"/>
      <c r="AR1245" s="1405"/>
      <c r="AS1245" s="1405"/>
      <c r="AT1245" s="1405"/>
      <c r="AU1245" s="1405"/>
      <c r="AV1245" s="1405"/>
    </row>
    <row r="1246" spans="1:48" s="1431" customFormat="1">
      <c r="A1246" s="1399"/>
      <c r="B1246" s="1429"/>
      <c r="C1246" s="1430"/>
      <c r="D1246" s="1400"/>
      <c r="E1246" s="1401"/>
      <c r="F1246" s="1401"/>
      <c r="G1246" s="1402"/>
      <c r="H1246" s="1403"/>
      <c r="I1246" s="1404"/>
      <c r="J1246" s="1405"/>
      <c r="K1246" s="1405"/>
      <c r="L1246" s="1405"/>
      <c r="M1246" s="1405"/>
      <c r="N1246" s="1406"/>
      <c r="O1246" s="1406"/>
      <c r="P1246" s="1406"/>
      <c r="Q1246" s="1406"/>
      <c r="R1246" s="1406"/>
      <c r="S1246" s="1406"/>
      <c r="T1246" s="1406"/>
      <c r="U1246" s="1406"/>
      <c r="V1246" s="1406"/>
      <c r="W1246" s="1406"/>
      <c r="X1246" s="1406"/>
      <c r="Y1246" s="1406"/>
      <c r="Z1246" s="1406"/>
      <c r="AA1246" s="1406"/>
      <c r="AB1246" s="1406"/>
      <c r="AC1246" s="1406"/>
      <c r="AD1246" s="1406"/>
      <c r="AE1246" s="1406"/>
      <c r="AF1246" s="1406"/>
      <c r="AG1246" s="1406"/>
      <c r="AH1246" s="1406"/>
      <c r="AI1246" s="1406"/>
      <c r="AJ1246" s="1406"/>
      <c r="AK1246" s="1406"/>
      <c r="AL1246" s="1406"/>
      <c r="AM1246" s="1406"/>
      <c r="AN1246" s="1406"/>
      <c r="AO1246" s="1405"/>
      <c r="AP1246" s="1405"/>
      <c r="AQ1246" s="1405"/>
      <c r="AR1246" s="1405"/>
      <c r="AS1246" s="1405"/>
      <c r="AT1246" s="1405"/>
      <c r="AU1246" s="1405"/>
      <c r="AV1246" s="1405"/>
    </row>
    <row r="1247" spans="1:48" s="1431" customFormat="1">
      <c r="A1247" s="1399"/>
      <c r="B1247" s="1429"/>
      <c r="C1247" s="1430"/>
      <c r="D1247" s="1400"/>
      <c r="E1247" s="1401"/>
      <c r="F1247" s="1401"/>
      <c r="G1247" s="1402"/>
      <c r="H1247" s="1403"/>
      <c r="I1247" s="1404"/>
      <c r="J1247" s="1405"/>
      <c r="K1247" s="1405"/>
      <c r="L1247" s="1405"/>
      <c r="M1247" s="1405"/>
      <c r="N1247" s="1406"/>
      <c r="O1247" s="1406"/>
      <c r="P1247" s="1406"/>
      <c r="Q1247" s="1406"/>
      <c r="R1247" s="1406"/>
      <c r="S1247" s="1406"/>
      <c r="T1247" s="1406"/>
      <c r="U1247" s="1406"/>
      <c r="V1247" s="1406"/>
      <c r="W1247" s="1406"/>
      <c r="X1247" s="1406"/>
      <c r="Y1247" s="1406"/>
      <c r="Z1247" s="1406"/>
      <c r="AA1247" s="1406"/>
      <c r="AB1247" s="1406"/>
      <c r="AC1247" s="1406"/>
      <c r="AD1247" s="1406"/>
      <c r="AE1247" s="1406"/>
      <c r="AF1247" s="1406"/>
      <c r="AG1247" s="1406"/>
      <c r="AH1247" s="1406"/>
      <c r="AI1247" s="1406"/>
      <c r="AJ1247" s="1406"/>
      <c r="AK1247" s="1406"/>
      <c r="AL1247" s="1406"/>
      <c r="AM1247" s="1406"/>
      <c r="AN1247" s="1406"/>
      <c r="AO1247" s="1405"/>
      <c r="AP1247" s="1405"/>
      <c r="AQ1247" s="1405"/>
      <c r="AR1247" s="1405"/>
      <c r="AS1247" s="1405"/>
      <c r="AT1247" s="1405"/>
      <c r="AU1247" s="1405"/>
      <c r="AV1247" s="1405"/>
    </row>
    <row r="1248" spans="1:48" s="1431" customFormat="1">
      <c r="A1248" s="1399"/>
      <c r="B1248" s="1429"/>
      <c r="C1248" s="1430"/>
      <c r="D1248" s="1400"/>
      <c r="E1248" s="1401"/>
      <c r="F1248" s="1401"/>
      <c r="G1248" s="1402"/>
      <c r="H1248" s="1403"/>
      <c r="I1248" s="1404"/>
      <c r="J1248" s="1405"/>
      <c r="K1248" s="1405"/>
      <c r="L1248" s="1405"/>
      <c r="M1248" s="1405"/>
      <c r="N1248" s="1406"/>
      <c r="O1248" s="1406"/>
      <c r="P1248" s="1406"/>
      <c r="Q1248" s="1406"/>
      <c r="R1248" s="1406"/>
      <c r="S1248" s="1406"/>
      <c r="T1248" s="1406"/>
      <c r="U1248" s="1406"/>
      <c r="V1248" s="1406"/>
      <c r="W1248" s="1406"/>
      <c r="X1248" s="1406"/>
      <c r="Y1248" s="1406"/>
      <c r="Z1248" s="1406"/>
      <c r="AA1248" s="1406"/>
      <c r="AB1248" s="1406"/>
      <c r="AC1248" s="1406"/>
      <c r="AD1248" s="1406"/>
      <c r="AE1248" s="1406"/>
      <c r="AF1248" s="1406"/>
      <c r="AG1248" s="1406"/>
      <c r="AH1248" s="1406"/>
      <c r="AI1248" s="1406"/>
      <c r="AJ1248" s="1406"/>
      <c r="AK1248" s="1406"/>
      <c r="AL1248" s="1406"/>
      <c r="AM1248" s="1406"/>
      <c r="AN1248" s="1406"/>
      <c r="AO1248" s="1405"/>
      <c r="AP1248" s="1405"/>
      <c r="AQ1248" s="1405"/>
      <c r="AR1248" s="1405"/>
      <c r="AS1248" s="1405"/>
      <c r="AT1248" s="1405"/>
      <c r="AU1248" s="1405"/>
      <c r="AV1248" s="1405"/>
    </row>
    <row r="1249" spans="1:48" s="1431" customFormat="1">
      <c r="A1249" s="1399"/>
      <c r="B1249" s="1429"/>
      <c r="C1249" s="1430"/>
      <c r="D1249" s="1400"/>
      <c r="E1249" s="1401"/>
      <c r="F1249" s="1401"/>
      <c r="G1249" s="1402"/>
      <c r="H1249" s="1403"/>
      <c r="I1249" s="1404"/>
      <c r="J1249" s="1405"/>
      <c r="K1249" s="1405"/>
      <c r="L1249" s="1405"/>
      <c r="M1249" s="1405"/>
      <c r="N1249" s="1406"/>
      <c r="O1249" s="1406"/>
      <c r="P1249" s="1406"/>
      <c r="Q1249" s="1406"/>
      <c r="R1249" s="1406"/>
      <c r="S1249" s="1406"/>
      <c r="T1249" s="1406"/>
      <c r="U1249" s="1406"/>
      <c r="V1249" s="1406"/>
      <c r="W1249" s="1406"/>
      <c r="X1249" s="1406"/>
      <c r="Y1249" s="1406"/>
      <c r="Z1249" s="1406"/>
      <c r="AA1249" s="1406"/>
      <c r="AB1249" s="1406"/>
      <c r="AC1249" s="1406"/>
      <c r="AD1249" s="1406"/>
      <c r="AE1249" s="1406"/>
      <c r="AF1249" s="1406"/>
      <c r="AG1249" s="1406"/>
      <c r="AH1249" s="1406"/>
      <c r="AI1249" s="1406"/>
      <c r="AJ1249" s="1406"/>
      <c r="AK1249" s="1406"/>
      <c r="AL1249" s="1406"/>
      <c r="AM1249" s="1406"/>
      <c r="AN1249" s="1406"/>
      <c r="AO1249" s="1405"/>
      <c r="AP1249" s="1405"/>
      <c r="AQ1249" s="1405"/>
      <c r="AR1249" s="1405"/>
      <c r="AS1249" s="1405"/>
      <c r="AT1249" s="1405"/>
      <c r="AU1249" s="1405"/>
      <c r="AV1249" s="1405"/>
    </row>
    <row r="1250" spans="1:48" s="1431" customFormat="1">
      <c r="A1250" s="1399"/>
      <c r="B1250" s="1429"/>
      <c r="C1250" s="1430"/>
      <c r="D1250" s="1400"/>
      <c r="E1250" s="1401"/>
      <c r="F1250" s="1401"/>
      <c r="G1250" s="1402"/>
      <c r="H1250" s="1403"/>
      <c r="I1250" s="1404"/>
      <c r="J1250" s="1405"/>
      <c r="K1250" s="1405"/>
      <c r="L1250" s="1405"/>
      <c r="M1250" s="1405"/>
      <c r="N1250" s="1406"/>
      <c r="O1250" s="1406"/>
      <c r="P1250" s="1406"/>
      <c r="Q1250" s="1406"/>
      <c r="R1250" s="1406"/>
      <c r="S1250" s="1406"/>
      <c r="T1250" s="1406"/>
      <c r="U1250" s="1406"/>
      <c r="V1250" s="1406"/>
      <c r="W1250" s="1406"/>
      <c r="X1250" s="1406"/>
      <c r="Y1250" s="1406"/>
      <c r="Z1250" s="1406"/>
      <c r="AA1250" s="1406"/>
      <c r="AB1250" s="1406"/>
      <c r="AC1250" s="1406"/>
      <c r="AD1250" s="1406"/>
      <c r="AE1250" s="1406"/>
      <c r="AF1250" s="1406"/>
      <c r="AG1250" s="1406"/>
      <c r="AH1250" s="1406"/>
      <c r="AI1250" s="1406"/>
      <c r="AJ1250" s="1406"/>
      <c r="AK1250" s="1406"/>
      <c r="AL1250" s="1406"/>
      <c r="AM1250" s="1406"/>
      <c r="AN1250" s="1406"/>
      <c r="AO1250" s="1405"/>
      <c r="AP1250" s="1405"/>
      <c r="AQ1250" s="1405"/>
      <c r="AR1250" s="1405"/>
      <c r="AS1250" s="1405"/>
      <c r="AT1250" s="1405"/>
      <c r="AU1250" s="1405"/>
      <c r="AV1250" s="1405"/>
    </row>
    <row r="1251" spans="1:48" s="1431" customFormat="1">
      <c r="A1251" s="1399"/>
      <c r="B1251" s="1429"/>
      <c r="C1251" s="1430"/>
      <c r="D1251" s="1400"/>
      <c r="E1251" s="1401"/>
      <c r="F1251" s="1401"/>
      <c r="G1251" s="1402"/>
      <c r="H1251" s="1403"/>
      <c r="I1251" s="1404"/>
      <c r="J1251" s="1405"/>
      <c r="K1251" s="1405"/>
      <c r="L1251" s="1405"/>
      <c r="M1251" s="1405"/>
      <c r="N1251" s="1406"/>
      <c r="O1251" s="1406"/>
      <c r="P1251" s="1406"/>
      <c r="Q1251" s="1406"/>
      <c r="R1251" s="1406"/>
      <c r="S1251" s="1406"/>
      <c r="T1251" s="1406"/>
      <c r="U1251" s="1406"/>
      <c r="V1251" s="1406"/>
      <c r="W1251" s="1406"/>
      <c r="X1251" s="1406"/>
      <c r="Y1251" s="1406"/>
      <c r="Z1251" s="1406"/>
      <c r="AA1251" s="1406"/>
      <c r="AB1251" s="1406"/>
      <c r="AC1251" s="1406"/>
      <c r="AD1251" s="1406"/>
      <c r="AE1251" s="1406"/>
      <c r="AF1251" s="1406"/>
      <c r="AG1251" s="1406"/>
      <c r="AH1251" s="1406"/>
      <c r="AI1251" s="1406"/>
      <c r="AJ1251" s="1406"/>
      <c r="AK1251" s="1406"/>
      <c r="AL1251" s="1406"/>
      <c r="AM1251" s="1406"/>
      <c r="AN1251" s="1406"/>
      <c r="AO1251" s="1405"/>
      <c r="AP1251" s="1405"/>
      <c r="AQ1251" s="1405"/>
      <c r="AR1251" s="1405"/>
      <c r="AS1251" s="1405"/>
      <c r="AT1251" s="1405"/>
      <c r="AU1251" s="1405"/>
      <c r="AV1251" s="1405"/>
    </row>
    <row r="1252" spans="1:48" s="1431" customFormat="1">
      <c r="A1252" s="1399"/>
      <c r="B1252" s="1429"/>
      <c r="C1252" s="1430"/>
      <c r="D1252" s="1400"/>
      <c r="E1252" s="1401"/>
      <c r="F1252" s="1401"/>
      <c r="G1252" s="1402"/>
      <c r="H1252" s="1403"/>
      <c r="I1252" s="1404"/>
      <c r="J1252" s="1405"/>
      <c r="K1252" s="1405"/>
      <c r="L1252" s="1405"/>
      <c r="M1252" s="1405"/>
      <c r="N1252" s="1406"/>
      <c r="O1252" s="1406"/>
      <c r="P1252" s="1406"/>
      <c r="Q1252" s="1406"/>
      <c r="R1252" s="1406"/>
      <c r="S1252" s="1406"/>
      <c r="T1252" s="1406"/>
      <c r="U1252" s="1406"/>
      <c r="V1252" s="1406"/>
      <c r="W1252" s="1406"/>
      <c r="X1252" s="1406"/>
      <c r="Y1252" s="1406"/>
      <c r="Z1252" s="1406"/>
      <c r="AA1252" s="1406"/>
      <c r="AB1252" s="1406"/>
      <c r="AC1252" s="1406"/>
      <c r="AD1252" s="1406"/>
      <c r="AE1252" s="1406"/>
      <c r="AF1252" s="1406"/>
      <c r="AG1252" s="1406"/>
      <c r="AH1252" s="1406"/>
      <c r="AI1252" s="1406"/>
      <c r="AJ1252" s="1406"/>
      <c r="AK1252" s="1406"/>
      <c r="AL1252" s="1406"/>
      <c r="AM1252" s="1406"/>
      <c r="AN1252" s="1406"/>
      <c r="AO1252" s="1405"/>
      <c r="AP1252" s="1405"/>
      <c r="AQ1252" s="1405"/>
      <c r="AR1252" s="1405"/>
      <c r="AS1252" s="1405"/>
      <c r="AT1252" s="1405"/>
      <c r="AU1252" s="1405"/>
      <c r="AV1252" s="1405"/>
    </row>
    <row r="1253" spans="1:48" s="1431" customFormat="1">
      <c r="A1253" s="1399"/>
      <c r="B1253" s="1429"/>
      <c r="C1253" s="1430"/>
      <c r="D1253" s="1400"/>
      <c r="E1253" s="1401"/>
      <c r="F1253" s="1401"/>
      <c r="G1253" s="1402"/>
      <c r="H1253" s="1403"/>
      <c r="I1253" s="1404"/>
      <c r="J1253" s="1405"/>
      <c r="K1253" s="1405"/>
      <c r="L1253" s="1405"/>
      <c r="M1253" s="1405"/>
      <c r="N1253" s="1406"/>
      <c r="O1253" s="1406"/>
      <c r="P1253" s="1406"/>
      <c r="Q1253" s="1406"/>
      <c r="R1253" s="1406"/>
      <c r="S1253" s="1406"/>
      <c r="T1253" s="1406"/>
      <c r="U1253" s="1406"/>
      <c r="V1253" s="1406"/>
      <c r="W1253" s="1406"/>
      <c r="X1253" s="1406"/>
      <c r="Y1253" s="1406"/>
      <c r="Z1253" s="1406"/>
      <c r="AA1253" s="1406"/>
      <c r="AB1253" s="1406"/>
      <c r="AC1253" s="1406"/>
      <c r="AD1253" s="1406"/>
      <c r="AE1253" s="1406"/>
      <c r="AF1253" s="1406"/>
      <c r="AG1253" s="1406"/>
      <c r="AH1253" s="1406"/>
      <c r="AI1253" s="1406"/>
      <c r="AJ1253" s="1406"/>
      <c r="AK1253" s="1406"/>
      <c r="AL1253" s="1406"/>
      <c r="AM1253" s="1406"/>
      <c r="AN1253" s="1406"/>
      <c r="AO1253" s="1405"/>
      <c r="AP1253" s="1405"/>
      <c r="AQ1253" s="1405"/>
      <c r="AR1253" s="1405"/>
      <c r="AS1253" s="1405"/>
      <c r="AT1253" s="1405"/>
      <c r="AU1253" s="1405"/>
      <c r="AV1253" s="1405"/>
    </row>
    <row r="1254" spans="1:48" s="1431" customFormat="1">
      <c r="A1254" s="1399"/>
      <c r="B1254" s="1429"/>
      <c r="C1254" s="1430"/>
      <c r="D1254" s="1400"/>
      <c r="E1254" s="1401"/>
      <c r="F1254" s="1401"/>
      <c r="G1254" s="1402"/>
      <c r="H1254" s="1403"/>
      <c r="I1254" s="1404"/>
      <c r="J1254" s="1405"/>
      <c r="K1254" s="1405"/>
      <c r="L1254" s="1405"/>
      <c r="M1254" s="1405"/>
      <c r="N1254" s="1406"/>
      <c r="O1254" s="1406"/>
      <c r="P1254" s="1406"/>
      <c r="Q1254" s="1406"/>
      <c r="R1254" s="1406"/>
      <c r="S1254" s="1406"/>
      <c r="T1254" s="1406"/>
      <c r="U1254" s="1406"/>
      <c r="V1254" s="1406"/>
      <c r="W1254" s="1406"/>
      <c r="X1254" s="1406"/>
      <c r="Y1254" s="1406"/>
      <c r="Z1254" s="1406"/>
      <c r="AA1254" s="1406"/>
      <c r="AB1254" s="1406"/>
      <c r="AC1254" s="1406"/>
      <c r="AD1254" s="1406"/>
      <c r="AE1254" s="1406"/>
      <c r="AF1254" s="1406"/>
      <c r="AG1254" s="1406"/>
      <c r="AH1254" s="1406"/>
      <c r="AI1254" s="1406"/>
      <c r="AJ1254" s="1406"/>
      <c r="AK1254" s="1406"/>
      <c r="AL1254" s="1406"/>
      <c r="AM1254" s="1406"/>
      <c r="AN1254" s="1406"/>
      <c r="AO1254" s="1405"/>
      <c r="AP1254" s="1405"/>
      <c r="AQ1254" s="1405"/>
      <c r="AR1254" s="1405"/>
      <c r="AS1254" s="1405"/>
      <c r="AT1254" s="1405"/>
      <c r="AU1254" s="1405"/>
      <c r="AV1254" s="1405"/>
    </row>
    <row r="1255" spans="1:48" s="1431" customFormat="1">
      <c r="A1255" s="1399"/>
      <c r="B1255" s="1429"/>
      <c r="C1255" s="1430"/>
      <c r="D1255" s="1400"/>
      <c r="E1255" s="1401"/>
      <c r="F1255" s="1401"/>
      <c r="G1255" s="1402"/>
      <c r="H1255" s="1403"/>
      <c r="I1255" s="1404"/>
      <c r="J1255" s="1405"/>
      <c r="K1255" s="1405"/>
      <c r="L1255" s="1405"/>
      <c r="M1255" s="1405"/>
      <c r="N1255" s="1406"/>
      <c r="O1255" s="1406"/>
      <c r="P1255" s="1406"/>
      <c r="Q1255" s="1406"/>
      <c r="R1255" s="1406"/>
      <c r="S1255" s="1406"/>
      <c r="T1255" s="1406"/>
      <c r="U1255" s="1406"/>
      <c r="V1255" s="1406"/>
      <c r="W1255" s="1406"/>
      <c r="X1255" s="1406"/>
      <c r="Y1255" s="1406"/>
      <c r="Z1255" s="1406"/>
      <c r="AA1255" s="1406"/>
      <c r="AB1255" s="1406"/>
      <c r="AC1255" s="1406"/>
      <c r="AD1255" s="1406"/>
      <c r="AE1255" s="1406"/>
      <c r="AF1255" s="1406"/>
      <c r="AG1255" s="1406"/>
      <c r="AH1255" s="1406"/>
      <c r="AI1255" s="1406"/>
      <c r="AJ1255" s="1406"/>
      <c r="AK1255" s="1406"/>
      <c r="AL1255" s="1406"/>
      <c r="AM1255" s="1406"/>
      <c r="AN1255" s="1406"/>
      <c r="AO1255" s="1405"/>
      <c r="AP1255" s="1405"/>
      <c r="AQ1255" s="1405"/>
      <c r="AR1255" s="1405"/>
      <c r="AS1255" s="1405"/>
      <c r="AT1255" s="1405"/>
      <c r="AU1255" s="1405"/>
      <c r="AV1255" s="1405"/>
    </row>
    <row r="1256" spans="1:48" s="1431" customFormat="1">
      <c r="A1256" s="1399"/>
      <c r="B1256" s="1429"/>
      <c r="C1256" s="1430"/>
      <c r="D1256" s="1400"/>
      <c r="E1256" s="1401"/>
      <c r="F1256" s="1401"/>
      <c r="G1256" s="1402"/>
      <c r="H1256" s="1403"/>
      <c r="I1256" s="1404"/>
      <c r="J1256" s="1405"/>
      <c r="K1256" s="1405"/>
      <c r="L1256" s="1405"/>
      <c r="M1256" s="1405"/>
      <c r="N1256" s="1406"/>
      <c r="O1256" s="1406"/>
      <c r="P1256" s="1406"/>
      <c r="Q1256" s="1406"/>
      <c r="R1256" s="1406"/>
      <c r="S1256" s="1406"/>
      <c r="T1256" s="1406"/>
      <c r="U1256" s="1406"/>
      <c r="V1256" s="1406"/>
      <c r="W1256" s="1406"/>
      <c r="X1256" s="1406"/>
      <c r="Y1256" s="1406"/>
      <c r="Z1256" s="1406"/>
      <c r="AA1256" s="1406"/>
      <c r="AB1256" s="1406"/>
      <c r="AC1256" s="1406"/>
      <c r="AD1256" s="1406"/>
      <c r="AE1256" s="1406"/>
      <c r="AF1256" s="1406"/>
      <c r="AG1256" s="1406"/>
      <c r="AH1256" s="1406"/>
      <c r="AI1256" s="1406"/>
      <c r="AJ1256" s="1406"/>
      <c r="AK1256" s="1406"/>
      <c r="AL1256" s="1406"/>
      <c r="AM1256" s="1406"/>
      <c r="AN1256" s="1406"/>
      <c r="AO1256" s="1405"/>
      <c r="AP1256" s="1405"/>
      <c r="AQ1256" s="1405"/>
      <c r="AR1256" s="1405"/>
      <c r="AS1256" s="1405"/>
      <c r="AT1256" s="1405"/>
      <c r="AU1256" s="1405"/>
      <c r="AV1256" s="1405"/>
    </row>
    <row r="1257" spans="1:48" s="1431" customFormat="1">
      <c r="A1257" s="1399"/>
      <c r="B1257" s="1429"/>
      <c r="C1257" s="1430"/>
      <c r="D1257" s="1400"/>
      <c r="E1257" s="1401"/>
      <c r="F1257" s="1401"/>
      <c r="G1257" s="1402"/>
      <c r="H1257" s="1403"/>
      <c r="I1257" s="1404"/>
      <c r="J1257" s="1405"/>
      <c r="K1257" s="1405"/>
      <c r="L1257" s="1405"/>
      <c r="M1257" s="1405"/>
      <c r="N1257" s="1406"/>
      <c r="O1257" s="1406"/>
      <c r="P1257" s="1406"/>
      <c r="Q1257" s="1406"/>
      <c r="R1257" s="1406"/>
      <c r="S1257" s="1406"/>
      <c r="T1257" s="1406"/>
      <c r="U1257" s="1406"/>
      <c r="V1257" s="1406"/>
      <c r="W1257" s="1406"/>
      <c r="X1257" s="1406"/>
      <c r="Y1257" s="1406"/>
      <c r="Z1257" s="1406"/>
      <c r="AA1257" s="1406"/>
      <c r="AB1257" s="1406"/>
      <c r="AC1257" s="1406"/>
      <c r="AD1257" s="1406"/>
      <c r="AE1257" s="1406"/>
      <c r="AF1257" s="1406"/>
      <c r="AG1257" s="1406"/>
      <c r="AH1257" s="1406"/>
      <c r="AI1257" s="1406"/>
      <c r="AJ1257" s="1406"/>
      <c r="AK1257" s="1406"/>
      <c r="AL1257" s="1406"/>
      <c r="AM1257" s="1406"/>
      <c r="AN1257" s="1406"/>
      <c r="AO1257" s="1405"/>
      <c r="AP1257" s="1405"/>
      <c r="AQ1257" s="1405"/>
      <c r="AR1257" s="1405"/>
      <c r="AS1257" s="1405"/>
      <c r="AT1257" s="1405"/>
      <c r="AU1257" s="1405"/>
      <c r="AV1257" s="1405"/>
    </row>
    <row r="1258" spans="1:48" s="1431" customFormat="1">
      <c r="A1258" s="1399"/>
      <c r="B1258" s="1429"/>
      <c r="C1258" s="1430"/>
      <c r="D1258" s="1400"/>
      <c r="E1258" s="1401"/>
      <c r="F1258" s="1401"/>
      <c r="G1258" s="1402"/>
      <c r="H1258" s="1403"/>
      <c r="I1258" s="1404"/>
      <c r="J1258" s="1405"/>
      <c r="K1258" s="1405"/>
      <c r="L1258" s="1405"/>
      <c r="M1258" s="1405"/>
      <c r="N1258" s="1406"/>
      <c r="O1258" s="1406"/>
      <c r="P1258" s="1406"/>
      <c r="Q1258" s="1406"/>
      <c r="R1258" s="1406"/>
      <c r="S1258" s="1406"/>
      <c r="T1258" s="1406"/>
      <c r="U1258" s="1406"/>
      <c r="V1258" s="1406"/>
      <c r="W1258" s="1406"/>
      <c r="X1258" s="1406"/>
      <c r="Y1258" s="1406"/>
      <c r="Z1258" s="1406"/>
      <c r="AA1258" s="1406"/>
      <c r="AB1258" s="1406"/>
      <c r="AC1258" s="1406"/>
      <c r="AD1258" s="1406"/>
      <c r="AE1258" s="1406"/>
      <c r="AF1258" s="1406"/>
      <c r="AG1258" s="1406"/>
      <c r="AH1258" s="1406"/>
      <c r="AI1258" s="1406"/>
      <c r="AJ1258" s="1406"/>
      <c r="AK1258" s="1406"/>
      <c r="AL1258" s="1406"/>
      <c r="AM1258" s="1406"/>
      <c r="AN1258" s="1406"/>
      <c r="AO1258" s="1405"/>
      <c r="AP1258" s="1405"/>
      <c r="AQ1258" s="1405"/>
      <c r="AR1258" s="1405"/>
      <c r="AS1258" s="1405"/>
      <c r="AT1258" s="1405"/>
      <c r="AU1258" s="1405"/>
      <c r="AV1258" s="1405"/>
    </row>
    <row r="1259" spans="1:48" s="1431" customFormat="1">
      <c r="A1259" s="1399"/>
      <c r="B1259" s="1429"/>
      <c r="C1259" s="1430"/>
      <c r="D1259" s="1400"/>
      <c r="E1259" s="1401"/>
      <c r="F1259" s="1401"/>
      <c r="G1259" s="1402"/>
      <c r="H1259" s="1403"/>
      <c r="I1259" s="1404"/>
      <c r="J1259" s="1405"/>
      <c r="K1259" s="1405"/>
      <c r="L1259" s="1405"/>
      <c r="M1259" s="1405"/>
      <c r="N1259" s="1406"/>
      <c r="O1259" s="1406"/>
      <c r="P1259" s="1406"/>
      <c r="Q1259" s="1406"/>
      <c r="R1259" s="1406"/>
      <c r="S1259" s="1406"/>
      <c r="T1259" s="1406"/>
      <c r="U1259" s="1406"/>
      <c r="V1259" s="1406"/>
      <c r="W1259" s="1406"/>
      <c r="X1259" s="1406"/>
      <c r="Y1259" s="1406"/>
      <c r="Z1259" s="1406"/>
      <c r="AA1259" s="1406"/>
      <c r="AB1259" s="1406"/>
      <c r="AC1259" s="1406"/>
      <c r="AD1259" s="1406"/>
      <c r="AE1259" s="1406"/>
      <c r="AF1259" s="1406"/>
      <c r="AG1259" s="1406"/>
      <c r="AH1259" s="1406"/>
      <c r="AI1259" s="1406"/>
      <c r="AJ1259" s="1406"/>
      <c r="AK1259" s="1406"/>
      <c r="AL1259" s="1406"/>
      <c r="AM1259" s="1406"/>
      <c r="AN1259" s="1406"/>
      <c r="AO1259" s="1405"/>
      <c r="AP1259" s="1405"/>
      <c r="AQ1259" s="1405"/>
      <c r="AR1259" s="1405"/>
      <c r="AS1259" s="1405"/>
      <c r="AT1259" s="1405"/>
      <c r="AU1259" s="1405"/>
      <c r="AV1259" s="1405"/>
    </row>
    <row r="1260" spans="1:48" s="1431" customFormat="1">
      <c r="A1260" s="1399"/>
      <c r="B1260" s="1429"/>
      <c r="C1260" s="1430"/>
      <c r="D1260" s="1400"/>
      <c r="E1260" s="1401"/>
      <c r="F1260" s="1401"/>
      <c r="G1260" s="1402"/>
      <c r="H1260" s="1403"/>
      <c r="I1260" s="1404"/>
      <c r="J1260" s="1405"/>
      <c r="K1260" s="1405"/>
      <c r="L1260" s="1405"/>
      <c r="M1260" s="1405"/>
      <c r="N1260" s="1406"/>
      <c r="O1260" s="1406"/>
      <c r="P1260" s="1406"/>
      <c r="Q1260" s="1406"/>
      <c r="R1260" s="1406"/>
      <c r="S1260" s="1406"/>
      <c r="T1260" s="1406"/>
      <c r="U1260" s="1406"/>
      <c r="V1260" s="1406"/>
      <c r="W1260" s="1406"/>
      <c r="X1260" s="1406"/>
      <c r="Y1260" s="1406"/>
      <c r="Z1260" s="1406"/>
      <c r="AA1260" s="1406"/>
      <c r="AB1260" s="1406"/>
      <c r="AC1260" s="1406"/>
      <c r="AD1260" s="1406"/>
      <c r="AE1260" s="1406"/>
      <c r="AF1260" s="1406"/>
      <c r="AG1260" s="1406"/>
      <c r="AH1260" s="1406"/>
      <c r="AI1260" s="1406"/>
      <c r="AJ1260" s="1406"/>
      <c r="AK1260" s="1406"/>
      <c r="AL1260" s="1406"/>
      <c r="AM1260" s="1406"/>
      <c r="AN1260" s="1406"/>
      <c r="AO1260" s="1405"/>
      <c r="AP1260" s="1405"/>
      <c r="AQ1260" s="1405"/>
      <c r="AR1260" s="1405"/>
      <c r="AS1260" s="1405"/>
      <c r="AT1260" s="1405"/>
      <c r="AU1260" s="1405"/>
      <c r="AV1260" s="1405"/>
    </row>
    <row r="1261" spans="1:48" s="1431" customFormat="1">
      <c r="A1261" s="1399"/>
      <c r="B1261" s="1429"/>
      <c r="C1261" s="1430"/>
      <c r="D1261" s="1400"/>
      <c r="E1261" s="1401"/>
      <c r="F1261" s="1401"/>
      <c r="G1261" s="1402"/>
      <c r="H1261" s="1403"/>
      <c r="I1261" s="1404"/>
      <c r="J1261" s="1405"/>
      <c r="K1261" s="1405"/>
      <c r="L1261" s="1405"/>
      <c r="M1261" s="1405"/>
      <c r="N1261" s="1406"/>
      <c r="O1261" s="1406"/>
      <c r="P1261" s="1406"/>
      <c r="Q1261" s="1406"/>
      <c r="R1261" s="1406"/>
      <c r="S1261" s="1406"/>
      <c r="T1261" s="1406"/>
      <c r="U1261" s="1406"/>
      <c r="V1261" s="1406"/>
      <c r="W1261" s="1406"/>
      <c r="X1261" s="1406"/>
      <c r="Y1261" s="1406"/>
      <c r="Z1261" s="1406"/>
      <c r="AA1261" s="1406"/>
      <c r="AB1261" s="1406"/>
      <c r="AC1261" s="1406"/>
      <c r="AD1261" s="1406"/>
      <c r="AE1261" s="1406"/>
      <c r="AF1261" s="1406"/>
      <c r="AG1261" s="1406"/>
      <c r="AH1261" s="1406"/>
      <c r="AI1261" s="1406"/>
      <c r="AJ1261" s="1406"/>
      <c r="AK1261" s="1406"/>
      <c r="AL1261" s="1406"/>
      <c r="AM1261" s="1406"/>
      <c r="AN1261" s="1406"/>
      <c r="AO1261" s="1405"/>
      <c r="AP1261" s="1405"/>
      <c r="AQ1261" s="1405"/>
      <c r="AR1261" s="1405"/>
      <c r="AS1261" s="1405"/>
      <c r="AT1261" s="1405"/>
      <c r="AU1261" s="1405"/>
      <c r="AV1261" s="1405"/>
    </row>
    <row r="1262" spans="1:48" s="1431" customFormat="1">
      <c r="A1262" s="1399"/>
      <c r="B1262" s="1429"/>
      <c r="C1262" s="1430"/>
      <c r="D1262" s="1400"/>
      <c r="E1262" s="1401"/>
      <c r="F1262" s="1401"/>
      <c r="G1262" s="1402"/>
      <c r="H1262" s="1403"/>
      <c r="I1262" s="1404"/>
      <c r="J1262" s="1405"/>
      <c r="K1262" s="1405"/>
      <c r="L1262" s="1405"/>
      <c r="M1262" s="1405"/>
      <c r="N1262" s="1406"/>
      <c r="O1262" s="1406"/>
      <c r="P1262" s="1406"/>
      <c r="Q1262" s="1406"/>
      <c r="R1262" s="1406"/>
      <c r="S1262" s="1406"/>
      <c r="T1262" s="1406"/>
      <c r="U1262" s="1406"/>
      <c r="V1262" s="1406"/>
      <c r="W1262" s="1406"/>
      <c r="X1262" s="1406"/>
      <c r="Y1262" s="1406"/>
      <c r="Z1262" s="1406"/>
      <c r="AA1262" s="1406"/>
      <c r="AB1262" s="1406"/>
      <c r="AC1262" s="1406"/>
      <c r="AD1262" s="1406"/>
      <c r="AE1262" s="1406"/>
      <c r="AF1262" s="1406"/>
      <c r="AG1262" s="1406"/>
      <c r="AH1262" s="1406"/>
      <c r="AI1262" s="1406"/>
      <c r="AJ1262" s="1406"/>
      <c r="AK1262" s="1406"/>
      <c r="AL1262" s="1406"/>
      <c r="AM1262" s="1406"/>
      <c r="AN1262" s="1406"/>
      <c r="AO1262" s="1405"/>
      <c r="AP1262" s="1405"/>
      <c r="AQ1262" s="1405"/>
      <c r="AR1262" s="1405"/>
      <c r="AS1262" s="1405"/>
      <c r="AT1262" s="1405"/>
      <c r="AU1262" s="1405"/>
      <c r="AV1262" s="1405"/>
    </row>
    <row r="1263" spans="1:48" s="1431" customFormat="1">
      <c r="A1263" s="1399"/>
      <c r="B1263" s="1429"/>
      <c r="C1263" s="1430"/>
      <c r="D1263" s="1400"/>
      <c r="E1263" s="1401"/>
      <c r="F1263" s="1401"/>
      <c r="G1263" s="1402"/>
      <c r="H1263" s="1403"/>
      <c r="I1263" s="1404"/>
      <c r="J1263" s="1405"/>
      <c r="K1263" s="1405"/>
      <c r="L1263" s="1405"/>
      <c r="M1263" s="1405"/>
      <c r="N1263" s="1406"/>
      <c r="O1263" s="1406"/>
      <c r="P1263" s="1406"/>
      <c r="Q1263" s="1406"/>
      <c r="R1263" s="1406"/>
      <c r="S1263" s="1406"/>
      <c r="T1263" s="1406"/>
      <c r="U1263" s="1406"/>
      <c r="V1263" s="1406"/>
      <c r="W1263" s="1406"/>
      <c r="X1263" s="1406"/>
      <c r="Y1263" s="1406"/>
      <c r="Z1263" s="1406"/>
      <c r="AA1263" s="1406"/>
      <c r="AB1263" s="1406"/>
      <c r="AC1263" s="1406"/>
      <c r="AD1263" s="1406"/>
      <c r="AE1263" s="1406"/>
      <c r="AF1263" s="1406"/>
      <c r="AG1263" s="1406"/>
      <c r="AH1263" s="1406"/>
      <c r="AI1263" s="1406"/>
      <c r="AJ1263" s="1406"/>
      <c r="AK1263" s="1406"/>
      <c r="AL1263" s="1406"/>
      <c r="AM1263" s="1406"/>
      <c r="AN1263" s="1406"/>
      <c r="AO1263" s="1405"/>
      <c r="AP1263" s="1405"/>
      <c r="AQ1263" s="1405"/>
      <c r="AR1263" s="1405"/>
      <c r="AS1263" s="1405"/>
      <c r="AT1263" s="1405"/>
      <c r="AU1263" s="1405"/>
      <c r="AV1263" s="1405"/>
    </row>
    <row r="1264" spans="1:48" s="1431" customFormat="1">
      <c r="A1264" s="1399"/>
      <c r="B1264" s="1429"/>
      <c r="C1264" s="1430"/>
      <c r="D1264" s="1400"/>
      <c r="E1264" s="1401"/>
      <c r="F1264" s="1401"/>
      <c r="G1264" s="1402"/>
      <c r="H1264" s="1403"/>
      <c r="I1264" s="1404"/>
      <c r="J1264" s="1405"/>
      <c r="K1264" s="1405"/>
      <c r="L1264" s="1405"/>
      <c r="M1264" s="1405"/>
      <c r="N1264" s="1406"/>
      <c r="O1264" s="1406"/>
      <c r="P1264" s="1406"/>
      <c r="Q1264" s="1406"/>
      <c r="R1264" s="1406"/>
      <c r="S1264" s="1406"/>
      <c r="T1264" s="1406"/>
      <c r="U1264" s="1406"/>
      <c r="V1264" s="1406"/>
      <c r="W1264" s="1406"/>
      <c r="X1264" s="1406"/>
      <c r="Y1264" s="1406"/>
      <c r="Z1264" s="1406"/>
      <c r="AA1264" s="1406"/>
      <c r="AB1264" s="1406"/>
      <c r="AC1264" s="1406"/>
      <c r="AD1264" s="1406"/>
      <c r="AE1264" s="1406"/>
      <c r="AF1264" s="1406"/>
      <c r="AG1264" s="1406"/>
      <c r="AH1264" s="1406"/>
      <c r="AI1264" s="1406"/>
      <c r="AJ1264" s="1406"/>
      <c r="AK1264" s="1406"/>
      <c r="AL1264" s="1406"/>
      <c r="AM1264" s="1406"/>
      <c r="AN1264" s="1406"/>
      <c r="AO1264" s="1405"/>
      <c r="AP1264" s="1405"/>
      <c r="AQ1264" s="1405"/>
      <c r="AR1264" s="1405"/>
      <c r="AS1264" s="1405"/>
      <c r="AT1264" s="1405"/>
      <c r="AU1264" s="1405"/>
      <c r="AV1264" s="1405"/>
    </row>
    <row r="1265" spans="1:48" s="1431" customFormat="1">
      <c r="A1265" s="1399"/>
      <c r="B1265" s="1429"/>
      <c r="C1265" s="1430"/>
      <c r="D1265" s="1400"/>
      <c r="E1265" s="1401"/>
      <c r="F1265" s="1401"/>
      <c r="G1265" s="1402"/>
      <c r="H1265" s="1403"/>
      <c r="I1265" s="1404"/>
      <c r="J1265" s="1405"/>
      <c r="K1265" s="1405"/>
      <c r="L1265" s="1405"/>
      <c r="M1265" s="1405"/>
      <c r="N1265" s="1406"/>
      <c r="O1265" s="1406"/>
      <c r="P1265" s="1406"/>
      <c r="Q1265" s="1406"/>
      <c r="R1265" s="1406"/>
      <c r="S1265" s="1406"/>
      <c r="T1265" s="1406"/>
      <c r="U1265" s="1406"/>
      <c r="V1265" s="1406"/>
      <c r="W1265" s="1406"/>
      <c r="X1265" s="1406"/>
      <c r="Y1265" s="1406"/>
      <c r="Z1265" s="1406"/>
      <c r="AA1265" s="1406"/>
      <c r="AB1265" s="1406"/>
      <c r="AC1265" s="1406"/>
      <c r="AD1265" s="1406"/>
      <c r="AE1265" s="1406"/>
      <c r="AF1265" s="1406"/>
      <c r="AG1265" s="1406"/>
      <c r="AH1265" s="1406"/>
      <c r="AI1265" s="1406"/>
      <c r="AJ1265" s="1406"/>
      <c r="AK1265" s="1406"/>
      <c r="AL1265" s="1406"/>
      <c r="AM1265" s="1406"/>
      <c r="AN1265" s="1406"/>
      <c r="AO1265" s="1405"/>
      <c r="AP1265" s="1405"/>
      <c r="AQ1265" s="1405"/>
      <c r="AR1265" s="1405"/>
      <c r="AS1265" s="1405"/>
      <c r="AT1265" s="1405"/>
      <c r="AU1265" s="1405"/>
      <c r="AV1265" s="1405"/>
    </row>
    <row r="1266" spans="1:48" s="1431" customFormat="1">
      <c r="A1266" s="1399"/>
      <c r="B1266" s="1429"/>
      <c r="C1266" s="1430"/>
      <c r="D1266" s="1400"/>
      <c r="E1266" s="1401"/>
      <c r="F1266" s="1401"/>
      <c r="G1266" s="1402"/>
      <c r="H1266" s="1403"/>
      <c r="I1266" s="1404"/>
      <c r="J1266" s="1405"/>
      <c r="K1266" s="1405"/>
      <c r="L1266" s="1405"/>
      <c r="M1266" s="1405"/>
      <c r="N1266" s="1406"/>
      <c r="O1266" s="1406"/>
      <c r="P1266" s="1406"/>
      <c r="Q1266" s="1406"/>
      <c r="R1266" s="1406"/>
      <c r="S1266" s="1406"/>
      <c r="T1266" s="1406"/>
      <c r="U1266" s="1406"/>
      <c r="V1266" s="1406"/>
      <c r="W1266" s="1406"/>
      <c r="X1266" s="1406"/>
      <c r="Y1266" s="1406"/>
      <c r="Z1266" s="1406"/>
      <c r="AA1266" s="1406"/>
      <c r="AB1266" s="1406"/>
      <c r="AC1266" s="1406"/>
      <c r="AD1266" s="1406"/>
      <c r="AE1266" s="1406"/>
      <c r="AF1266" s="1406"/>
      <c r="AG1266" s="1406"/>
      <c r="AH1266" s="1406"/>
      <c r="AI1266" s="1406"/>
      <c r="AJ1266" s="1406"/>
      <c r="AK1266" s="1406"/>
      <c r="AL1266" s="1406"/>
      <c r="AM1266" s="1406"/>
      <c r="AN1266" s="1406"/>
      <c r="AO1266" s="1405"/>
      <c r="AP1266" s="1405"/>
      <c r="AQ1266" s="1405"/>
      <c r="AR1266" s="1405"/>
      <c r="AS1266" s="1405"/>
      <c r="AT1266" s="1405"/>
      <c r="AU1266" s="1405"/>
      <c r="AV1266" s="1405"/>
    </row>
    <row r="1267" spans="1:48" s="1431" customFormat="1">
      <c r="A1267" s="1399"/>
      <c r="B1267" s="1429"/>
      <c r="C1267" s="1430"/>
      <c r="D1267" s="1400"/>
      <c r="E1267" s="1401"/>
      <c r="F1267" s="1401"/>
      <c r="G1267" s="1402"/>
      <c r="H1267" s="1403"/>
      <c r="I1267" s="1404"/>
      <c r="J1267" s="1405"/>
      <c r="K1267" s="1405"/>
      <c r="L1267" s="1405"/>
      <c r="M1267" s="1405"/>
      <c r="N1267" s="1406"/>
      <c r="O1267" s="1406"/>
      <c r="P1267" s="1406"/>
      <c r="Q1267" s="1406"/>
      <c r="R1267" s="1406"/>
      <c r="S1267" s="1406"/>
      <c r="T1267" s="1406"/>
      <c r="U1267" s="1406"/>
      <c r="V1267" s="1406"/>
      <c r="W1267" s="1406"/>
      <c r="X1267" s="1406"/>
      <c r="Y1267" s="1406"/>
      <c r="Z1267" s="1406"/>
      <c r="AA1267" s="1406"/>
      <c r="AB1267" s="1406"/>
      <c r="AC1267" s="1406"/>
      <c r="AD1267" s="1406"/>
      <c r="AE1267" s="1406"/>
      <c r="AF1267" s="1406"/>
      <c r="AG1267" s="1406"/>
      <c r="AH1267" s="1406"/>
      <c r="AI1267" s="1406"/>
      <c r="AJ1267" s="1406"/>
      <c r="AK1267" s="1406"/>
      <c r="AL1267" s="1406"/>
      <c r="AM1267" s="1406"/>
      <c r="AN1267" s="1406"/>
      <c r="AO1267" s="1405"/>
      <c r="AP1267" s="1405"/>
      <c r="AQ1267" s="1405"/>
      <c r="AR1267" s="1405"/>
      <c r="AS1267" s="1405"/>
      <c r="AT1267" s="1405"/>
      <c r="AU1267" s="1405"/>
      <c r="AV1267" s="1405"/>
    </row>
    <row r="1268" spans="1:48" s="1431" customFormat="1">
      <c r="A1268" s="1399"/>
      <c r="B1268" s="1429"/>
      <c r="C1268" s="1430"/>
      <c r="D1268" s="1400"/>
      <c r="E1268" s="1401"/>
      <c r="F1268" s="1401"/>
      <c r="G1268" s="1402"/>
      <c r="H1268" s="1403"/>
      <c r="I1268" s="1404"/>
      <c r="J1268" s="1405"/>
      <c r="K1268" s="1405"/>
      <c r="L1268" s="1405"/>
      <c r="M1268" s="1405"/>
      <c r="N1268" s="1406"/>
      <c r="O1268" s="1406"/>
      <c r="P1268" s="1406"/>
      <c r="Q1268" s="1406"/>
      <c r="R1268" s="1406"/>
      <c r="S1268" s="1406"/>
      <c r="T1268" s="1406"/>
      <c r="U1268" s="1406"/>
      <c r="V1268" s="1406"/>
      <c r="W1268" s="1406"/>
      <c r="X1268" s="1406"/>
      <c r="Y1268" s="1406"/>
      <c r="Z1268" s="1406"/>
      <c r="AA1268" s="1406"/>
      <c r="AB1268" s="1406"/>
      <c r="AC1268" s="1406"/>
      <c r="AD1268" s="1406"/>
      <c r="AE1268" s="1406"/>
      <c r="AF1268" s="1406"/>
      <c r="AG1268" s="1406"/>
      <c r="AH1268" s="1406"/>
      <c r="AI1268" s="1406"/>
      <c r="AJ1268" s="1406"/>
      <c r="AK1268" s="1406"/>
      <c r="AL1268" s="1406"/>
      <c r="AM1268" s="1406"/>
      <c r="AN1268" s="1406"/>
      <c r="AO1268" s="1405"/>
      <c r="AP1268" s="1405"/>
      <c r="AQ1268" s="1405"/>
      <c r="AR1268" s="1405"/>
      <c r="AS1268" s="1405"/>
      <c r="AT1268" s="1405"/>
      <c r="AU1268" s="1405"/>
      <c r="AV1268" s="1405"/>
    </row>
    <row r="1269" spans="1:48" s="1431" customFormat="1">
      <c r="A1269" s="1399"/>
      <c r="B1269" s="1429"/>
      <c r="C1269" s="1430"/>
      <c r="D1269" s="1400"/>
      <c r="E1269" s="1401"/>
      <c r="F1269" s="1401"/>
      <c r="G1269" s="1402"/>
      <c r="H1269" s="1403"/>
      <c r="I1269" s="1404"/>
      <c r="J1269" s="1405"/>
      <c r="K1269" s="1405"/>
      <c r="L1269" s="1405"/>
      <c r="M1269" s="1405"/>
      <c r="N1269" s="1406"/>
      <c r="O1269" s="1406"/>
      <c r="P1269" s="1406"/>
      <c r="Q1269" s="1406"/>
      <c r="R1269" s="1406"/>
      <c r="S1269" s="1406"/>
      <c r="T1269" s="1406"/>
      <c r="U1269" s="1406"/>
      <c r="V1269" s="1406"/>
      <c r="W1269" s="1406"/>
      <c r="X1269" s="1406"/>
      <c r="Y1269" s="1406"/>
      <c r="Z1269" s="1406"/>
      <c r="AA1269" s="1406"/>
      <c r="AB1269" s="1406"/>
      <c r="AC1269" s="1406"/>
      <c r="AD1269" s="1406"/>
      <c r="AE1269" s="1406"/>
      <c r="AF1269" s="1406"/>
      <c r="AG1269" s="1406"/>
      <c r="AH1269" s="1406"/>
      <c r="AI1269" s="1406"/>
      <c r="AJ1269" s="1406"/>
      <c r="AK1269" s="1406"/>
      <c r="AL1269" s="1406"/>
      <c r="AM1269" s="1406"/>
      <c r="AN1269" s="1406"/>
      <c r="AO1269" s="1405"/>
      <c r="AP1269" s="1405"/>
      <c r="AQ1269" s="1405"/>
      <c r="AR1269" s="1405"/>
      <c r="AS1269" s="1405"/>
      <c r="AT1269" s="1405"/>
      <c r="AU1269" s="1405"/>
      <c r="AV1269" s="1405"/>
    </row>
    <row r="1270" spans="1:48" s="1431" customFormat="1">
      <c r="A1270" s="1399"/>
      <c r="B1270" s="1429"/>
      <c r="C1270" s="1430"/>
      <c r="D1270" s="1400"/>
      <c r="E1270" s="1401"/>
      <c r="F1270" s="1401"/>
      <c r="G1270" s="1402"/>
      <c r="H1270" s="1403"/>
      <c r="I1270" s="1404"/>
      <c r="J1270" s="1405"/>
      <c r="K1270" s="1405"/>
      <c r="L1270" s="1405"/>
      <c r="M1270" s="1405"/>
      <c r="N1270" s="1406"/>
      <c r="O1270" s="1406"/>
      <c r="P1270" s="1406"/>
      <c r="Q1270" s="1406"/>
      <c r="R1270" s="1406"/>
      <c r="S1270" s="1406"/>
      <c r="T1270" s="1406"/>
      <c r="U1270" s="1406"/>
      <c r="V1270" s="1406"/>
      <c r="W1270" s="1406"/>
      <c r="X1270" s="1406"/>
      <c r="Y1270" s="1406"/>
      <c r="Z1270" s="1406"/>
      <c r="AA1270" s="1406"/>
      <c r="AB1270" s="1406"/>
      <c r="AC1270" s="1406"/>
      <c r="AD1270" s="1406"/>
      <c r="AE1270" s="1406"/>
      <c r="AF1270" s="1406"/>
      <c r="AG1270" s="1406"/>
      <c r="AH1270" s="1406"/>
      <c r="AI1270" s="1406"/>
      <c r="AJ1270" s="1406"/>
      <c r="AK1270" s="1406"/>
      <c r="AL1270" s="1406"/>
      <c r="AM1270" s="1406"/>
      <c r="AN1270" s="1406"/>
      <c r="AO1270" s="1405"/>
      <c r="AP1270" s="1405"/>
      <c r="AQ1270" s="1405"/>
      <c r="AR1270" s="1405"/>
      <c r="AS1270" s="1405"/>
      <c r="AT1270" s="1405"/>
      <c r="AU1270" s="1405"/>
      <c r="AV1270" s="1405"/>
    </row>
    <row r="1271" spans="1:48" s="1431" customFormat="1">
      <c r="A1271" s="1399"/>
      <c r="B1271" s="1429"/>
      <c r="C1271" s="1430"/>
      <c r="D1271" s="1400"/>
      <c r="E1271" s="1401"/>
      <c r="F1271" s="1401"/>
      <c r="G1271" s="1402"/>
      <c r="H1271" s="1403"/>
      <c r="I1271" s="1404"/>
      <c r="J1271" s="1405"/>
      <c r="K1271" s="1405"/>
      <c r="L1271" s="1405"/>
      <c r="M1271" s="1405"/>
      <c r="N1271" s="1406"/>
      <c r="O1271" s="1406"/>
      <c r="P1271" s="1406"/>
      <c r="Q1271" s="1406"/>
      <c r="R1271" s="1406"/>
      <c r="S1271" s="1406"/>
      <c r="T1271" s="1406"/>
      <c r="U1271" s="1406"/>
      <c r="V1271" s="1406"/>
      <c r="W1271" s="1406"/>
      <c r="X1271" s="1406"/>
      <c r="Y1271" s="1406"/>
      <c r="Z1271" s="1406"/>
      <c r="AA1271" s="1406"/>
      <c r="AB1271" s="1406"/>
      <c r="AC1271" s="1406"/>
      <c r="AD1271" s="1406"/>
      <c r="AE1271" s="1406"/>
      <c r="AF1271" s="1406"/>
      <c r="AG1271" s="1406"/>
      <c r="AH1271" s="1406"/>
      <c r="AI1271" s="1406"/>
      <c r="AJ1271" s="1406"/>
      <c r="AK1271" s="1406"/>
      <c r="AL1271" s="1406"/>
      <c r="AM1271" s="1406"/>
      <c r="AN1271" s="1406"/>
      <c r="AO1271" s="1405"/>
      <c r="AP1271" s="1405"/>
      <c r="AQ1271" s="1405"/>
      <c r="AR1271" s="1405"/>
      <c r="AS1271" s="1405"/>
      <c r="AT1271" s="1405"/>
      <c r="AU1271" s="1405"/>
      <c r="AV1271" s="1405"/>
    </row>
    <row r="1272" spans="1:48" s="1431" customFormat="1">
      <c r="A1272" s="1399"/>
      <c r="B1272" s="1429"/>
      <c r="C1272" s="1430"/>
      <c r="D1272" s="1400"/>
      <c r="E1272" s="1401"/>
      <c r="F1272" s="1401"/>
      <c r="G1272" s="1402"/>
      <c r="H1272" s="1403"/>
      <c r="I1272" s="1404"/>
      <c r="J1272" s="1405"/>
      <c r="K1272" s="1405"/>
      <c r="L1272" s="1405"/>
      <c r="M1272" s="1405"/>
      <c r="N1272" s="1406"/>
      <c r="O1272" s="1406"/>
      <c r="P1272" s="1406"/>
      <c r="Q1272" s="1406"/>
      <c r="R1272" s="1406"/>
      <c r="S1272" s="1406"/>
      <c r="T1272" s="1406"/>
      <c r="U1272" s="1406"/>
      <c r="V1272" s="1406"/>
      <c r="W1272" s="1406"/>
      <c r="X1272" s="1406"/>
      <c r="Y1272" s="1406"/>
      <c r="Z1272" s="1406"/>
      <c r="AA1272" s="1406"/>
      <c r="AB1272" s="1406"/>
      <c r="AC1272" s="1406"/>
      <c r="AD1272" s="1406"/>
      <c r="AE1272" s="1406"/>
      <c r="AF1272" s="1406"/>
      <c r="AG1272" s="1406"/>
      <c r="AH1272" s="1406"/>
      <c r="AI1272" s="1406"/>
      <c r="AJ1272" s="1406"/>
      <c r="AK1272" s="1406"/>
      <c r="AL1272" s="1406"/>
      <c r="AM1272" s="1406"/>
      <c r="AN1272" s="1406"/>
      <c r="AO1272" s="1405"/>
      <c r="AP1272" s="1405"/>
      <c r="AQ1272" s="1405"/>
      <c r="AR1272" s="1405"/>
      <c r="AS1272" s="1405"/>
      <c r="AT1272" s="1405"/>
      <c r="AU1272" s="1405"/>
      <c r="AV1272" s="1405"/>
    </row>
    <row r="1273" spans="1:48" s="1431" customFormat="1">
      <c r="A1273" s="1399"/>
      <c r="B1273" s="1429"/>
      <c r="C1273" s="1430"/>
      <c r="D1273" s="1400"/>
      <c r="E1273" s="1401"/>
      <c r="F1273" s="1401"/>
      <c r="G1273" s="1402"/>
      <c r="H1273" s="1403"/>
      <c r="I1273" s="1404"/>
      <c r="J1273" s="1405"/>
      <c r="K1273" s="1405"/>
      <c r="L1273" s="1405"/>
      <c r="M1273" s="1405"/>
      <c r="N1273" s="1406"/>
      <c r="O1273" s="1406"/>
      <c r="P1273" s="1406"/>
      <c r="Q1273" s="1406"/>
      <c r="R1273" s="1406"/>
      <c r="S1273" s="1406"/>
      <c r="T1273" s="1406"/>
      <c r="U1273" s="1406"/>
      <c r="V1273" s="1406"/>
      <c r="W1273" s="1406"/>
      <c r="X1273" s="1406"/>
      <c r="Y1273" s="1406"/>
      <c r="Z1273" s="1406"/>
      <c r="AA1273" s="1406"/>
      <c r="AB1273" s="1406"/>
      <c r="AC1273" s="1406"/>
      <c r="AD1273" s="1406"/>
      <c r="AE1273" s="1406"/>
      <c r="AF1273" s="1406"/>
      <c r="AG1273" s="1406"/>
      <c r="AH1273" s="1406"/>
      <c r="AI1273" s="1406"/>
      <c r="AJ1273" s="1406"/>
      <c r="AK1273" s="1406"/>
      <c r="AL1273" s="1406"/>
      <c r="AM1273" s="1406"/>
      <c r="AN1273" s="1406"/>
      <c r="AO1273" s="1405"/>
      <c r="AP1273" s="1405"/>
      <c r="AQ1273" s="1405"/>
      <c r="AR1273" s="1405"/>
      <c r="AS1273" s="1405"/>
      <c r="AT1273" s="1405"/>
      <c r="AU1273" s="1405"/>
      <c r="AV1273" s="1405"/>
    </row>
    <row r="1274" spans="1:48" s="1431" customFormat="1">
      <c r="A1274" s="1399"/>
      <c r="B1274" s="1429"/>
      <c r="C1274" s="1430"/>
      <c r="D1274" s="1400"/>
      <c r="E1274" s="1401"/>
      <c r="F1274" s="1401"/>
      <c r="G1274" s="1402"/>
      <c r="H1274" s="1403"/>
      <c r="I1274" s="1404"/>
      <c r="J1274" s="1405"/>
      <c r="K1274" s="1405"/>
      <c r="L1274" s="1405"/>
      <c r="M1274" s="1405"/>
      <c r="N1274" s="1406"/>
      <c r="O1274" s="1406"/>
      <c r="P1274" s="1406"/>
      <c r="Q1274" s="1406"/>
      <c r="R1274" s="1406"/>
      <c r="S1274" s="1406"/>
      <c r="T1274" s="1406"/>
      <c r="U1274" s="1406"/>
      <c r="V1274" s="1406"/>
      <c r="W1274" s="1406"/>
      <c r="X1274" s="1406"/>
      <c r="Y1274" s="1406"/>
      <c r="Z1274" s="1406"/>
      <c r="AA1274" s="1406"/>
      <c r="AB1274" s="1406"/>
      <c r="AC1274" s="1406"/>
      <c r="AD1274" s="1406"/>
      <c r="AE1274" s="1406"/>
      <c r="AF1274" s="1406"/>
      <c r="AG1274" s="1406"/>
      <c r="AH1274" s="1406"/>
      <c r="AI1274" s="1406"/>
      <c r="AJ1274" s="1406"/>
      <c r="AK1274" s="1406"/>
      <c r="AL1274" s="1406"/>
      <c r="AM1274" s="1406"/>
      <c r="AN1274" s="1406"/>
      <c r="AO1274" s="1405"/>
      <c r="AP1274" s="1405"/>
      <c r="AQ1274" s="1405"/>
      <c r="AR1274" s="1405"/>
      <c r="AS1274" s="1405"/>
      <c r="AT1274" s="1405"/>
      <c r="AU1274" s="1405"/>
      <c r="AV1274" s="1405"/>
    </row>
    <row r="1275" spans="1:48" s="1431" customFormat="1">
      <c r="A1275" s="1399"/>
      <c r="B1275" s="1429"/>
      <c r="C1275" s="1430"/>
      <c r="D1275" s="1400"/>
      <c r="E1275" s="1401"/>
      <c r="F1275" s="1401"/>
      <c r="G1275" s="1402"/>
      <c r="H1275" s="1403"/>
      <c r="I1275" s="1404"/>
      <c r="J1275" s="1405"/>
      <c r="K1275" s="1405"/>
      <c r="L1275" s="1405"/>
      <c r="M1275" s="1405"/>
      <c r="N1275" s="1406"/>
      <c r="O1275" s="1406"/>
      <c r="P1275" s="1406"/>
      <c r="Q1275" s="1406"/>
      <c r="R1275" s="1406"/>
      <c r="S1275" s="1406"/>
      <c r="T1275" s="1406"/>
      <c r="U1275" s="1406"/>
      <c r="V1275" s="1406"/>
      <c r="W1275" s="1406"/>
      <c r="X1275" s="1406"/>
      <c r="Y1275" s="1406"/>
      <c r="Z1275" s="1406"/>
      <c r="AA1275" s="1406"/>
      <c r="AB1275" s="1406"/>
      <c r="AC1275" s="1406"/>
      <c r="AD1275" s="1406"/>
      <c r="AE1275" s="1406"/>
      <c r="AF1275" s="1406"/>
      <c r="AG1275" s="1406"/>
      <c r="AH1275" s="1406"/>
      <c r="AI1275" s="1406"/>
      <c r="AJ1275" s="1406"/>
      <c r="AK1275" s="1406"/>
      <c r="AL1275" s="1406"/>
      <c r="AM1275" s="1406"/>
      <c r="AN1275" s="1406"/>
      <c r="AO1275" s="1405"/>
      <c r="AP1275" s="1405"/>
      <c r="AQ1275" s="1405"/>
      <c r="AR1275" s="1405"/>
      <c r="AS1275" s="1405"/>
      <c r="AT1275" s="1405"/>
      <c r="AU1275" s="1405"/>
      <c r="AV1275" s="1405"/>
    </row>
    <row r="1276" spans="1:48" s="1431" customFormat="1">
      <c r="A1276" s="1399"/>
      <c r="B1276" s="1429"/>
      <c r="C1276" s="1430"/>
      <c r="D1276" s="1400"/>
      <c r="E1276" s="1401"/>
      <c r="F1276" s="1401"/>
      <c r="G1276" s="1402"/>
      <c r="H1276" s="1403"/>
      <c r="I1276" s="1404"/>
      <c r="J1276" s="1405"/>
      <c r="K1276" s="1405"/>
      <c r="L1276" s="1405"/>
      <c r="M1276" s="1405"/>
      <c r="N1276" s="1406"/>
      <c r="O1276" s="1406"/>
      <c r="P1276" s="1406"/>
      <c r="Q1276" s="1406"/>
      <c r="R1276" s="1406"/>
      <c r="S1276" s="1406"/>
      <c r="T1276" s="1406"/>
      <c r="U1276" s="1406"/>
      <c r="V1276" s="1406"/>
      <c r="W1276" s="1406"/>
      <c r="X1276" s="1406"/>
      <c r="Y1276" s="1406"/>
      <c r="Z1276" s="1406"/>
      <c r="AA1276" s="1406"/>
      <c r="AB1276" s="1406"/>
      <c r="AC1276" s="1406"/>
      <c r="AD1276" s="1406"/>
      <c r="AE1276" s="1406"/>
      <c r="AF1276" s="1406"/>
      <c r="AG1276" s="1406"/>
      <c r="AH1276" s="1406"/>
      <c r="AI1276" s="1406"/>
      <c r="AJ1276" s="1406"/>
      <c r="AK1276" s="1406"/>
      <c r="AL1276" s="1406"/>
      <c r="AM1276" s="1406"/>
      <c r="AN1276" s="1406"/>
      <c r="AO1276" s="1405"/>
      <c r="AP1276" s="1405"/>
      <c r="AQ1276" s="1405"/>
      <c r="AR1276" s="1405"/>
      <c r="AS1276" s="1405"/>
      <c r="AT1276" s="1405"/>
      <c r="AU1276" s="1405"/>
      <c r="AV1276" s="1405"/>
    </row>
    <row r="1277" spans="1:48" s="1431" customFormat="1">
      <c r="A1277" s="1399"/>
      <c r="B1277" s="1429"/>
      <c r="C1277" s="1430"/>
      <c r="D1277" s="1400"/>
      <c r="E1277" s="1401"/>
      <c r="F1277" s="1401"/>
      <c r="G1277" s="1402"/>
      <c r="H1277" s="1403"/>
      <c r="I1277" s="1404"/>
      <c r="J1277" s="1405"/>
      <c r="K1277" s="1405"/>
      <c r="L1277" s="1405"/>
      <c r="M1277" s="1405"/>
      <c r="N1277" s="1406"/>
      <c r="O1277" s="1406"/>
      <c r="P1277" s="1406"/>
      <c r="Q1277" s="1406"/>
      <c r="R1277" s="1406"/>
      <c r="S1277" s="1406"/>
      <c r="T1277" s="1406"/>
      <c r="U1277" s="1406"/>
      <c r="V1277" s="1406"/>
      <c r="W1277" s="1406"/>
      <c r="X1277" s="1406"/>
      <c r="Y1277" s="1406"/>
      <c r="Z1277" s="1406"/>
      <c r="AA1277" s="1406"/>
      <c r="AB1277" s="1406"/>
      <c r="AC1277" s="1406"/>
      <c r="AD1277" s="1406"/>
      <c r="AE1277" s="1406"/>
      <c r="AF1277" s="1406"/>
      <c r="AG1277" s="1406"/>
      <c r="AH1277" s="1406"/>
      <c r="AI1277" s="1406"/>
      <c r="AJ1277" s="1406"/>
      <c r="AK1277" s="1406"/>
      <c r="AL1277" s="1406"/>
      <c r="AM1277" s="1406"/>
      <c r="AN1277" s="1406"/>
      <c r="AO1277" s="1405"/>
      <c r="AP1277" s="1405"/>
      <c r="AQ1277" s="1405"/>
      <c r="AR1277" s="1405"/>
      <c r="AS1277" s="1405"/>
      <c r="AT1277" s="1405"/>
      <c r="AU1277" s="1405"/>
      <c r="AV1277" s="1405"/>
    </row>
    <row r="1278" spans="1:48" s="1431" customFormat="1">
      <c r="A1278" s="1399"/>
      <c r="B1278" s="1429"/>
      <c r="C1278" s="1430"/>
      <c r="D1278" s="1400"/>
      <c r="E1278" s="1401"/>
      <c r="F1278" s="1401"/>
      <c r="G1278" s="1402"/>
      <c r="H1278" s="1403"/>
      <c r="I1278" s="1404"/>
      <c r="J1278" s="1405"/>
      <c r="K1278" s="1405"/>
      <c r="L1278" s="1405"/>
      <c r="M1278" s="1405"/>
      <c r="N1278" s="1406"/>
      <c r="O1278" s="1406"/>
      <c r="P1278" s="1406"/>
      <c r="Q1278" s="1406"/>
      <c r="R1278" s="1406"/>
      <c r="S1278" s="1406"/>
      <c r="T1278" s="1406"/>
      <c r="U1278" s="1406"/>
      <c r="V1278" s="1406"/>
      <c r="W1278" s="1406"/>
      <c r="X1278" s="1406"/>
      <c r="Y1278" s="1406"/>
      <c r="Z1278" s="1406"/>
      <c r="AA1278" s="1406"/>
      <c r="AB1278" s="1406"/>
      <c r="AC1278" s="1406"/>
      <c r="AD1278" s="1406"/>
      <c r="AE1278" s="1406"/>
      <c r="AF1278" s="1406"/>
      <c r="AG1278" s="1406"/>
      <c r="AH1278" s="1406"/>
      <c r="AI1278" s="1406"/>
      <c r="AJ1278" s="1406"/>
      <c r="AK1278" s="1406"/>
      <c r="AL1278" s="1406"/>
      <c r="AM1278" s="1406"/>
      <c r="AN1278" s="1406"/>
      <c r="AO1278" s="1405"/>
      <c r="AP1278" s="1405"/>
      <c r="AQ1278" s="1405"/>
      <c r="AR1278" s="1405"/>
      <c r="AS1278" s="1405"/>
      <c r="AT1278" s="1405"/>
      <c r="AU1278" s="1405"/>
      <c r="AV1278" s="1405"/>
    </row>
    <row r="1279" spans="1:48" s="1431" customFormat="1">
      <c r="A1279" s="1399"/>
      <c r="B1279" s="1429"/>
      <c r="C1279" s="1430"/>
      <c r="D1279" s="1400"/>
      <c r="E1279" s="1401"/>
      <c r="F1279" s="1401"/>
      <c r="G1279" s="1402"/>
      <c r="H1279" s="1403"/>
      <c r="I1279" s="1404"/>
      <c r="J1279" s="1405"/>
      <c r="K1279" s="1405"/>
      <c r="L1279" s="1405"/>
      <c r="M1279" s="1405"/>
      <c r="N1279" s="1406"/>
      <c r="O1279" s="1406"/>
      <c r="P1279" s="1406"/>
      <c r="Q1279" s="1406"/>
      <c r="R1279" s="1406"/>
      <c r="S1279" s="1406"/>
      <c r="T1279" s="1406"/>
      <c r="U1279" s="1406"/>
      <c r="V1279" s="1406"/>
      <c r="W1279" s="1406"/>
      <c r="X1279" s="1406"/>
      <c r="Y1279" s="1406"/>
      <c r="Z1279" s="1406"/>
      <c r="AA1279" s="1406"/>
      <c r="AB1279" s="1406"/>
      <c r="AC1279" s="1406"/>
      <c r="AD1279" s="1406"/>
      <c r="AE1279" s="1406"/>
      <c r="AF1279" s="1406"/>
      <c r="AG1279" s="1406"/>
      <c r="AH1279" s="1406"/>
      <c r="AI1279" s="1406"/>
      <c r="AJ1279" s="1406"/>
      <c r="AK1279" s="1406"/>
      <c r="AL1279" s="1406"/>
      <c r="AM1279" s="1406"/>
      <c r="AN1279" s="1406"/>
      <c r="AO1279" s="1405"/>
      <c r="AP1279" s="1405"/>
      <c r="AQ1279" s="1405"/>
      <c r="AR1279" s="1405"/>
      <c r="AS1279" s="1405"/>
      <c r="AT1279" s="1405"/>
      <c r="AU1279" s="1405"/>
      <c r="AV1279" s="1405"/>
    </row>
    <row r="1280" spans="1:48" s="1431" customFormat="1">
      <c r="A1280" s="1399"/>
      <c r="B1280" s="1429"/>
      <c r="C1280" s="1430"/>
      <c r="D1280" s="1400"/>
      <c r="E1280" s="1401"/>
      <c r="F1280" s="1401"/>
      <c r="G1280" s="1402"/>
      <c r="H1280" s="1403"/>
      <c r="I1280" s="1404"/>
      <c r="J1280" s="1405"/>
      <c r="K1280" s="1405"/>
      <c r="L1280" s="1405"/>
      <c r="M1280" s="1405"/>
      <c r="N1280" s="1406"/>
      <c r="O1280" s="1406"/>
      <c r="P1280" s="1406"/>
      <c r="Q1280" s="1406"/>
      <c r="R1280" s="1406"/>
      <c r="S1280" s="1406"/>
      <c r="T1280" s="1406"/>
      <c r="U1280" s="1406"/>
      <c r="V1280" s="1406"/>
      <c r="W1280" s="1406"/>
      <c r="X1280" s="1406"/>
      <c r="Y1280" s="1406"/>
      <c r="Z1280" s="1406"/>
      <c r="AA1280" s="1406"/>
      <c r="AB1280" s="1406"/>
      <c r="AC1280" s="1406"/>
      <c r="AD1280" s="1406"/>
      <c r="AE1280" s="1406"/>
      <c r="AF1280" s="1406"/>
      <c r="AG1280" s="1406"/>
      <c r="AH1280" s="1406"/>
      <c r="AI1280" s="1406"/>
      <c r="AJ1280" s="1406"/>
      <c r="AK1280" s="1406"/>
      <c r="AL1280" s="1406"/>
      <c r="AM1280" s="1406"/>
      <c r="AN1280" s="1406"/>
      <c r="AO1280" s="1405"/>
      <c r="AP1280" s="1405"/>
      <c r="AQ1280" s="1405"/>
      <c r="AR1280" s="1405"/>
      <c r="AS1280" s="1405"/>
      <c r="AT1280" s="1405"/>
      <c r="AU1280" s="1405"/>
      <c r="AV1280" s="1405"/>
    </row>
    <row r="1281" spans="1:48" s="1431" customFormat="1">
      <c r="A1281" s="1399"/>
      <c r="B1281" s="1429"/>
      <c r="C1281" s="1430"/>
      <c r="D1281" s="1400"/>
      <c r="E1281" s="1401"/>
      <c r="F1281" s="1401"/>
      <c r="G1281" s="1402"/>
      <c r="H1281" s="1403"/>
      <c r="I1281" s="1404"/>
      <c r="J1281" s="1405"/>
      <c r="K1281" s="1405"/>
      <c r="L1281" s="1405"/>
      <c r="M1281" s="1405"/>
      <c r="N1281" s="1406"/>
      <c r="O1281" s="1406"/>
      <c r="P1281" s="1406"/>
      <c r="Q1281" s="1406"/>
      <c r="R1281" s="1406"/>
      <c r="S1281" s="1406"/>
      <c r="T1281" s="1406"/>
      <c r="U1281" s="1406"/>
      <c r="V1281" s="1406"/>
      <c r="W1281" s="1406"/>
      <c r="X1281" s="1406"/>
      <c r="Y1281" s="1406"/>
      <c r="Z1281" s="1406"/>
      <c r="AA1281" s="1406"/>
      <c r="AB1281" s="1406"/>
      <c r="AC1281" s="1406"/>
      <c r="AD1281" s="1406"/>
      <c r="AE1281" s="1406"/>
      <c r="AF1281" s="1406"/>
      <c r="AG1281" s="1406"/>
      <c r="AH1281" s="1406"/>
      <c r="AI1281" s="1406"/>
      <c r="AJ1281" s="1406"/>
      <c r="AK1281" s="1406"/>
      <c r="AL1281" s="1406"/>
      <c r="AM1281" s="1406"/>
      <c r="AN1281" s="1406"/>
      <c r="AO1281" s="1405"/>
      <c r="AP1281" s="1405"/>
      <c r="AQ1281" s="1405"/>
      <c r="AR1281" s="1405"/>
      <c r="AS1281" s="1405"/>
      <c r="AT1281" s="1405"/>
      <c r="AU1281" s="1405"/>
      <c r="AV1281" s="1405"/>
    </row>
    <row r="1282" spans="1:48" s="1431" customFormat="1">
      <c r="A1282" s="1399"/>
      <c r="B1282" s="1429"/>
      <c r="C1282" s="1430"/>
      <c r="D1282" s="1400"/>
      <c r="E1282" s="1401"/>
      <c r="F1282" s="1401"/>
      <c r="G1282" s="1402"/>
      <c r="H1282" s="1403"/>
      <c r="I1282" s="1404"/>
      <c r="J1282" s="1405"/>
      <c r="K1282" s="1405"/>
      <c r="L1282" s="1405"/>
      <c r="M1282" s="1405"/>
      <c r="N1282" s="1406"/>
      <c r="O1282" s="1406"/>
      <c r="P1282" s="1406"/>
      <c r="Q1282" s="1406"/>
      <c r="R1282" s="1406"/>
      <c r="S1282" s="1406"/>
      <c r="T1282" s="1406"/>
      <c r="U1282" s="1406"/>
      <c r="V1282" s="1406"/>
      <c r="W1282" s="1406"/>
      <c r="X1282" s="1406"/>
      <c r="Y1282" s="1406"/>
      <c r="Z1282" s="1406"/>
      <c r="AA1282" s="1406"/>
      <c r="AB1282" s="1406"/>
      <c r="AC1282" s="1406"/>
      <c r="AD1282" s="1406"/>
      <c r="AE1282" s="1406"/>
      <c r="AF1282" s="1406"/>
      <c r="AG1282" s="1406"/>
      <c r="AH1282" s="1406"/>
      <c r="AI1282" s="1406"/>
      <c r="AJ1282" s="1406"/>
      <c r="AK1282" s="1406"/>
      <c r="AL1282" s="1406"/>
      <c r="AM1282" s="1406"/>
      <c r="AN1282" s="1406"/>
      <c r="AO1282" s="1405"/>
      <c r="AP1282" s="1405"/>
      <c r="AQ1282" s="1405"/>
      <c r="AR1282" s="1405"/>
      <c r="AS1282" s="1405"/>
      <c r="AT1282" s="1405"/>
      <c r="AU1282" s="1405"/>
      <c r="AV1282" s="1405"/>
    </row>
    <row r="1283" spans="1:48" s="1431" customFormat="1">
      <c r="A1283" s="1399"/>
      <c r="B1283" s="1429"/>
      <c r="C1283" s="1430"/>
      <c r="D1283" s="1400"/>
      <c r="E1283" s="1401"/>
      <c r="F1283" s="1401"/>
      <c r="G1283" s="1402"/>
      <c r="H1283" s="1403"/>
      <c r="I1283" s="1404"/>
      <c r="J1283" s="1405"/>
      <c r="K1283" s="1405"/>
      <c r="L1283" s="1405"/>
      <c r="M1283" s="1405"/>
      <c r="N1283" s="1406"/>
      <c r="O1283" s="1406"/>
      <c r="P1283" s="1406"/>
      <c r="Q1283" s="1406"/>
      <c r="R1283" s="1406"/>
      <c r="S1283" s="1406"/>
      <c r="T1283" s="1406"/>
      <c r="U1283" s="1406"/>
      <c r="V1283" s="1406"/>
      <c r="W1283" s="1406"/>
      <c r="X1283" s="1406"/>
      <c r="Y1283" s="1406"/>
      <c r="Z1283" s="1406"/>
      <c r="AA1283" s="1406"/>
      <c r="AB1283" s="1406"/>
      <c r="AC1283" s="1406"/>
      <c r="AD1283" s="1406"/>
      <c r="AE1283" s="1406"/>
      <c r="AF1283" s="1406"/>
      <c r="AG1283" s="1406"/>
      <c r="AH1283" s="1406"/>
      <c r="AI1283" s="1406"/>
      <c r="AJ1283" s="1406"/>
      <c r="AK1283" s="1406"/>
      <c r="AL1283" s="1406"/>
      <c r="AM1283" s="1406"/>
      <c r="AN1283" s="1406"/>
      <c r="AO1283" s="1405"/>
      <c r="AP1283" s="1405"/>
      <c r="AQ1283" s="1405"/>
      <c r="AR1283" s="1405"/>
      <c r="AS1283" s="1405"/>
      <c r="AT1283" s="1405"/>
      <c r="AU1283" s="1405"/>
      <c r="AV1283" s="1405"/>
    </row>
    <row r="1284" spans="1:48" s="1431" customFormat="1">
      <c r="A1284" s="1399"/>
      <c r="B1284" s="1429"/>
      <c r="C1284" s="1430"/>
      <c r="D1284" s="1400"/>
      <c r="E1284" s="1401"/>
      <c r="F1284" s="1401"/>
      <c r="G1284" s="1402"/>
      <c r="H1284" s="1403"/>
      <c r="I1284" s="1404"/>
      <c r="J1284" s="1405"/>
      <c r="K1284" s="1405"/>
      <c r="L1284" s="1405"/>
      <c r="M1284" s="1405"/>
      <c r="N1284" s="1406"/>
      <c r="O1284" s="1406"/>
      <c r="P1284" s="1406"/>
      <c r="Q1284" s="1406"/>
      <c r="R1284" s="1406"/>
      <c r="S1284" s="1406"/>
      <c r="T1284" s="1406"/>
      <c r="U1284" s="1406"/>
      <c r="V1284" s="1406"/>
      <c r="W1284" s="1406"/>
      <c r="X1284" s="1406"/>
      <c r="Y1284" s="1406"/>
      <c r="Z1284" s="1406"/>
      <c r="AA1284" s="1406"/>
      <c r="AB1284" s="1406"/>
      <c r="AC1284" s="1406"/>
      <c r="AD1284" s="1406"/>
      <c r="AE1284" s="1406"/>
      <c r="AF1284" s="1406"/>
      <c r="AG1284" s="1406"/>
      <c r="AH1284" s="1406"/>
      <c r="AI1284" s="1406"/>
      <c r="AJ1284" s="1406"/>
      <c r="AK1284" s="1406"/>
      <c r="AL1284" s="1406"/>
      <c r="AM1284" s="1406"/>
      <c r="AN1284" s="1406"/>
      <c r="AO1284" s="1405"/>
      <c r="AP1284" s="1405"/>
      <c r="AQ1284" s="1405"/>
      <c r="AR1284" s="1405"/>
      <c r="AS1284" s="1405"/>
      <c r="AT1284" s="1405"/>
      <c r="AU1284" s="1405"/>
      <c r="AV1284" s="1405"/>
    </row>
    <row r="1285" spans="1:48" s="1431" customFormat="1">
      <c r="A1285" s="1399"/>
      <c r="B1285" s="1429"/>
      <c r="C1285" s="1430"/>
      <c r="D1285" s="1400"/>
      <c r="E1285" s="1401"/>
      <c r="F1285" s="1401"/>
      <c r="G1285" s="1402"/>
      <c r="H1285" s="1403"/>
      <c r="I1285" s="1404"/>
      <c r="J1285" s="1405"/>
      <c r="K1285" s="1405"/>
      <c r="L1285" s="1405"/>
      <c r="M1285" s="1405"/>
      <c r="N1285" s="1406"/>
      <c r="O1285" s="1406"/>
      <c r="P1285" s="1406"/>
      <c r="Q1285" s="1406"/>
      <c r="R1285" s="1406"/>
      <c r="S1285" s="1406"/>
      <c r="T1285" s="1406"/>
      <c r="U1285" s="1406"/>
      <c r="V1285" s="1406"/>
      <c r="W1285" s="1406"/>
      <c r="X1285" s="1406"/>
      <c r="Y1285" s="1406"/>
      <c r="Z1285" s="1406"/>
      <c r="AA1285" s="1406"/>
      <c r="AB1285" s="1406"/>
      <c r="AC1285" s="1406"/>
      <c r="AD1285" s="1406"/>
      <c r="AE1285" s="1406"/>
      <c r="AF1285" s="1406"/>
      <c r="AG1285" s="1406"/>
      <c r="AH1285" s="1406"/>
      <c r="AI1285" s="1406"/>
      <c r="AJ1285" s="1406"/>
      <c r="AK1285" s="1406"/>
      <c r="AL1285" s="1406"/>
      <c r="AM1285" s="1406"/>
      <c r="AN1285" s="1406"/>
      <c r="AO1285" s="1405"/>
      <c r="AP1285" s="1405"/>
      <c r="AQ1285" s="1405"/>
      <c r="AR1285" s="1405"/>
      <c r="AS1285" s="1405"/>
      <c r="AT1285" s="1405"/>
      <c r="AU1285" s="1405"/>
      <c r="AV1285" s="1405"/>
    </row>
    <row r="1286" spans="1:48" s="1431" customFormat="1">
      <c r="A1286" s="1399"/>
      <c r="B1286" s="1429"/>
      <c r="C1286" s="1430"/>
      <c r="D1286" s="1400"/>
      <c r="E1286" s="1401"/>
      <c r="F1286" s="1401"/>
      <c r="G1286" s="1402"/>
      <c r="H1286" s="1403"/>
      <c r="I1286" s="1404"/>
      <c r="J1286" s="1405"/>
      <c r="K1286" s="1405"/>
      <c r="L1286" s="1405"/>
      <c r="M1286" s="1405"/>
      <c r="N1286" s="1406"/>
      <c r="O1286" s="1406"/>
      <c r="P1286" s="1406"/>
      <c r="Q1286" s="1406"/>
      <c r="R1286" s="1406"/>
      <c r="S1286" s="1406"/>
      <c r="T1286" s="1406"/>
      <c r="U1286" s="1406"/>
      <c r="V1286" s="1406"/>
      <c r="W1286" s="1406"/>
      <c r="X1286" s="1406"/>
      <c r="Y1286" s="1406"/>
      <c r="Z1286" s="1406"/>
      <c r="AA1286" s="1406"/>
      <c r="AB1286" s="1406"/>
      <c r="AC1286" s="1406"/>
      <c r="AD1286" s="1406"/>
      <c r="AE1286" s="1406"/>
      <c r="AF1286" s="1406"/>
      <c r="AG1286" s="1406"/>
      <c r="AH1286" s="1406"/>
      <c r="AI1286" s="1406"/>
      <c r="AJ1286" s="1406"/>
      <c r="AK1286" s="1406"/>
      <c r="AL1286" s="1406"/>
      <c r="AM1286" s="1406"/>
      <c r="AN1286" s="1406"/>
      <c r="AO1286" s="1405"/>
      <c r="AP1286" s="1405"/>
      <c r="AQ1286" s="1405"/>
      <c r="AR1286" s="1405"/>
      <c r="AS1286" s="1405"/>
      <c r="AT1286" s="1405"/>
      <c r="AU1286" s="1405"/>
      <c r="AV1286" s="1405"/>
    </row>
    <row r="1287" spans="1:48" s="1431" customFormat="1">
      <c r="A1287" s="1399"/>
      <c r="B1287" s="1429"/>
      <c r="C1287" s="1430"/>
      <c r="D1287" s="1400"/>
      <c r="E1287" s="1401"/>
      <c r="F1287" s="1401"/>
      <c r="G1287" s="1402"/>
      <c r="H1287" s="1403"/>
      <c r="I1287" s="1404"/>
      <c r="J1287" s="1405"/>
      <c r="K1287" s="1405"/>
      <c r="L1287" s="1405"/>
      <c r="M1287" s="1405"/>
      <c r="N1287" s="1406"/>
      <c r="O1287" s="1406"/>
      <c r="P1287" s="1406"/>
      <c r="Q1287" s="1406"/>
      <c r="R1287" s="1406"/>
      <c r="S1287" s="1406"/>
      <c r="T1287" s="1406"/>
      <c r="U1287" s="1406"/>
      <c r="V1287" s="1406"/>
      <c r="W1287" s="1406"/>
      <c r="X1287" s="1406"/>
      <c r="Y1287" s="1406"/>
      <c r="Z1287" s="1406"/>
      <c r="AA1287" s="1406"/>
      <c r="AB1287" s="1406"/>
      <c r="AC1287" s="1406"/>
      <c r="AD1287" s="1406"/>
      <c r="AE1287" s="1406"/>
      <c r="AF1287" s="1406"/>
      <c r="AG1287" s="1406"/>
      <c r="AH1287" s="1406"/>
      <c r="AI1287" s="1406"/>
      <c r="AJ1287" s="1406"/>
      <c r="AK1287" s="1406"/>
      <c r="AL1287" s="1406"/>
      <c r="AM1287" s="1406"/>
      <c r="AN1287" s="1406"/>
      <c r="AO1287" s="1405"/>
      <c r="AP1287" s="1405"/>
      <c r="AQ1287" s="1405"/>
      <c r="AR1287" s="1405"/>
      <c r="AS1287" s="1405"/>
      <c r="AT1287" s="1405"/>
      <c r="AU1287" s="1405"/>
      <c r="AV1287" s="1405"/>
    </row>
    <row r="1288" spans="1:48" s="1431" customFormat="1">
      <c r="A1288" s="1399"/>
      <c r="B1288" s="1429"/>
      <c r="C1288" s="1430"/>
      <c r="D1288" s="1400"/>
      <c r="E1288" s="1401"/>
      <c r="F1288" s="1401"/>
      <c r="G1288" s="1402"/>
      <c r="H1288" s="1403"/>
      <c r="I1288" s="1404"/>
      <c r="J1288" s="1405"/>
      <c r="K1288" s="1405"/>
      <c r="L1288" s="1405"/>
      <c r="M1288" s="1405"/>
      <c r="N1288" s="1406"/>
      <c r="O1288" s="1406"/>
      <c r="P1288" s="1406"/>
      <c r="Q1288" s="1406"/>
      <c r="R1288" s="1406"/>
      <c r="S1288" s="1406"/>
      <c r="T1288" s="1406"/>
      <c r="U1288" s="1406"/>
      <c r="V1288" s="1406"/>
      <c r="W1288" s="1406"/>
      <c r="X1288" s="1406"/>
      <c r="Y1288" s="1406"/>
      <c r="Z1288" s="1406"/>
      <c r="AA1288" s="1406"/>
      <c r="AB1288" s="1406"/>
      <c r="AC1288" s="1406"/>
      <c r="AD1288" s="1406"/>
      <c r="AE1288" s="1406"/>
      <c r="AF1288" s="1406"/>
      <c r="AG1288" s="1406"/>
      <c r="AH1288" s="1406"/>
      <c r="AI1288" s="1406"/>
      <c r="AJ1288" s="1406"/>
      <c r="AK1288" s="1406"/>
      <c r="AL1288" s="1406"/>
      <c r="AM1288" s="1406"/>
      <c r="AN1288" s="1406"/>
      <c r="AO1288" s="1405"/>
      <c r="AP1288" s="1405"/>
      <c r="AQ1288" s="1405"/>
      <c r="AR1288" s="1405"/>
      <c r="AS1288" s="1405"/>
      <c r="AT1288" s="1405"/>
      <c r="AU1288" s="1405"/>
      <c r="AV1288" s="1405"/>
    </row>
    <row r="1289" spans="1:48" s="1431" customFormat="1">
      <c r="A1289" s="1399"/>
      <c r="B1289" s="1429"/>
      <c r="C1289" s="1430"/>
      <c r="D1289" s="1400"/>
      <c r="E1289" s="1401"/>
      <c r="F1289" s="1401"/>
      <c r="G1289" s="1402"/>
      <c r="H1289" s="1403"/>
      <c r="I1289" s="1404"/>
      <c r="J1289" s="1405"/>
      <c r="K1289" s="1405"/>
      <c r="L1289" s="1405"/>
      <c r="M1289" s="1405"/>
      <c r="N1289" s="1406"/>
      <c r="O1289" s="1406"/>
      <c r="P1289" s="1406"/>
      <c r="Q1289" s="1406"/>
      <c r="R1289" s="1406"/>
      <c r="S1289" s="1406"/>
      <c r="T1289" s="1406"/>
      <c r="U1289" s="1406"/>
      <c r="V1289" s="1406"/>
      <c r="W1289" s="1406"/>
      <c r="X1289" s="1406"/>
      <c r="Y1289" s="1406"/>
      <c r="Z1289" s="1406"/>
      <c r="AA1289" s="1406"/>
      <c r="AB1289" s="1406"/>
      <c r="AC1289" s="1406"/>
      <c r="AD1289" s="1406"/>
      <c r="AE1289" s="1406"/>
      <c r="AF1289" s="1406"/>
      <c r="AG1289" s="1406"/>
      <c r="AH1289" s="1406"/>
      <c r="AI1289" s="1406"/>
      <c r="AJ1289" s="1406"/>
      <c r="AK1289" s="1406"/>
      <c r="AL1289" s="1406"/>
      <c r="AM1289" s="1406"/>
      <c r="AN1289" s="1406"/>
      <c r="AO1289" s="1405"/>
      <c r="AP1289" s="1405"/>
      <c r="AQ1289" s="1405"/>
      <c r="AR1289" s="1405"/>
      <c r="AS1289" s="1405"/>
      <c r="AT1289" s="1405"/>
      <c r="AU1289" s="1405"/>
      <c r="AV1289" s="1405"/>
    </row>
    <row r="1290" spans="1:48" s="1431" customFormat="1">
      <c r="A1290" s="1399"/>
      <c r="B1290" s="1429"/>
      <c r="C1290" s="1430"/>
      <c r="D1290" s="1400"/>
      <c r="E1290" s="1401"/>
      <c r="F1290" s="1401"/>
      <c r="G1290" s="1402"/>
      <c r="H1290" s="1403"/>
      <c r="I1290" s="1404"/>
      <c r="J1290" s="1405"/>
      <c r="K1290" s="1405"/>
      <c r="L1290" s="1405"/>
      <c r="M1290" s="1405"/>
      <c r="N1290" s="1406"/>
      <c r="O1290" s="1406"/>
      <c r="P1290" s="1406"/>
      <c r="Q1290" s="1406"/>
      <c r="R1290" s="1406"/>
      <c r="S1290" s="1406"/>
      <c r="T1290" s="1406"/>
      <c r="U1290" s="1406"/>
      <c r="V1290" s="1406"/>
      <c r="W1290" s="1406"/>
      <c r="X1290" s="1406"/>
      <c r="Y1290" s="1406"/>
      <c r="Z1290" s="1406"/>
      <c r="AA1290" s="1406"/>
      <c r="AB1290" s="1406"/>
      <c r="AC1290" s="1406"/>
      <c r="AD1290" s="1406"/>
      <c r="AE1290" s="1406"/>
      <c r="AF1290" s="1406"/>
      <c r="AG1290" s="1406"/>
      <c r="AH1290" s="1406"/>
      <c r="AI1290" s="1406"/>
      <c r="AJ1290" s="1406"/>
      <c r="AK1290" s="1406"/>
      <c r="AL1290" s="1406"/>
      <c r="AM1290" s="1406"/>
      <c r="AN1290" s="1406"/>
      <c r="AO1290" s="1405"/>
      <c r="AP1290" s="1405"/>
      <c r="AQ1290" s="1405"/>
      <c r="AR1290" s="1405"/>
      <c r="AS1290" s="1405"/>
      <c r="AT1290" s="1405"/>
      <c r="AU1290" s="1405"/>
      <c r="AV1290" s="1405"/>
    </row>
    <row r="1291" spans="1:48" s="1431" customFormat="1">
      <c r="A1291" s="1399"/>
      <c r="B1291" s="1429"/>
      <c r="C1291" s="1430"/>
      <c r="D1291" s="1400"/>
      <c r="E1291" s="1401"/>
      <c r="F1291" s="1401"/>
      <c r="G1291" s="1402"/>
      <c r="H1291" s="1403"/>
      <c r="I1291" s="1404"/>
      <c r="J1291" s="1405"/>
      <c r="K1291" s="1405"/>
      <c r="L1291" s="1405"/>
      <c r="M1291" s="1405"/>
      <c r="N1291" s="1406"/>
      <c r="O1291" s="1406"/>
      <c r="P1291" s="1406"/>
      <c r="Q1291" s="1406"/>
      <c r="R1291" s="1406"/>
      <c r="S1291" s="1406"/>
      <c r="T1291" s="1406"/>
      <c r="U1291" s="1406"/>
      <c r="V1291" s="1406"/>
      <c r="W1291" s="1406"/>
      <c r="X1291" s="1406"/>
      <c r="Y1291" s="1406"/>
      <c r="Z1291" s="1406"/>
      <c r="AA1291" s="1406"/>
      <c r="AB1291" s="1406"/>
      <c r="AC1291" s="1406"/>
      <c r="AD1291" s="1406"/>
      <c r="AE1291" s="1406"/>
      <c r="AF1291" s="1406"/>
      <c r="AG1291" s="1406"/>
      <c r="AH1291" s="1406"/>
      <c r="AI1291" s="1406"/>
      <c r="AJ1291" s="1406"/>
      <c r="AK1291" s="1406"/>
      <c r="AL1291" s="1406"/>
      <c r="AM1291" s="1406"/>
      <c r="AN1291" s="1406"/>
      <c r="AO1291" s="1405"/>
      <c r="AP1291" s="1405"/>
      <c r="AQ1291" s="1405"/>
      <c r="AR1291" s="1405"/>
      <c r="AS1291" s="1405"/>
      <c r="AT1291" s="1405"/>
      <c r="AU1291" s="1405"/>
      <c r="AV1291" s="1405"/>
    </row>
    <row r="1292" spans="1:48" s="1431" customFormat="1">
      <c r="A1292" s="1399"/>
      <c r="B1292" s="1429"/>
      <c r="C1292" s="1430"/>
      <c r="D1292" s="1400"/>
      <c r="E1292" s="1401"/>
      <c r="F1292" s="1401"/>
      <c r="G1292" s="1402"/>
      <c r="H1292" s="1403"/>
      <c r="I1292" s="1404"/>
      <c r="J1292" s="1405"/>
      <c r="K1292" s="1405"/>
      <c r="L1292" s="1405"/>
      <c r="M1292" s="1405"/>
      <c r="N1292" s="1406"/>
      <c r="O1292" s="1406"/>
      <c r="P1292" s="1406"/>
      <c r="Q1292" s="1406"/>
      <c r="R1292" s="1406"/>
      <c r="S1292" s="1406"/>
      <c r="T1292" s="1406"/>
      <c r="U1292" s="1406"/>
      <c r="V1292" s="1406"/>
      <c r="W1292" s="1406"/>
      <c r="X1292" s="1406"/>
      <c r="Y1292" s="1406"/>
      <c r="Z1292" s="1406"/>
      <c r="AA1292" s="1406"/>
      <c r="AB1292" s="1406"/>
      <c r="AC1292" s="1406"/>
      <c r="AD1292" s="1406"/>
      <c r="AE1292" s="1406"/>
      <c r="AF1292" s="1406"/>
      <c r="AG1292" s="1406"/>
      <c r="AH1292" s="1406"/>
      <c r="AI1292" s="1406"/>
      <c r="AJ1292" s="1406"/>
      <c r="AK1292" s="1406"/>
      <c r="AL1292" s="1406"/>
      <c r="AM1292" s="1406"/>
      <c r="AN1292" s="1406"/>
      <c r="AO1292" s="1405"/>
      <c r="AP1292" s="1405"/>
      <c r="AQ1292" s="1405"/>
      <c r="AR1292" s="1405"/>
      <c r="AS1292" s="1405"/>
      <c r="AT1292" s="1405"/>
      <c r="AU1292" s="1405"/>
      <c r="AV1292" s="1405"/>
    </row>
    <row r="1293" spans="1:48" s="1431" customFormat="1">
      <c r="A1293" s="1399"/>
      <c r="B1293" s="1429"/>
      <c r="C1293" s="1430"/>
      <c r="D1293" s="1400"/>
      <c r="E1293" s="1401"/>
      <c r="F1293" s="1401"/>
      <c r="G1293" s="1402"/>
      <c r="H1293" s="1403"/>
      <c r="I1293" s="1404"/>
      <c r="J1293" s="1405"/>
      <c r="K1293" s="1405"/>
      <c r="L1293" s="1405"/>
      <c r="M1293" s="1405"/>
      <c r="N1293" s="1406"/>
      <c r="O1293" s="1406"/>
      <c r="P1293" s="1406"/>
      <c r="Q1293" s="1406"/>
      <c r="R1293" s="1406"/>
      <c r="S1293" s="1406"/>
      <c r="T1293" s="1406"/>
      <c r="U1293" s="1406"/>
      <c r="V1293" s="1406"/>
      <c r="W1293" s="1406"/>
      <c r="X1293" s="1406"/>
      <c r="Y1293" s="1406"/>
      <c r="Z1293" s="1406"/>
      <c r="AA1293" s="1406"/>
      <c r="AB1293" s="1406"/>
      <c r="AC1293" s="1406"/>
      <c r="AD1293" s="1406"/>
      <c r="AE1293" s="1406"/>
      <c r="AF1293" s="1406"/>
      <c r="AG1293" s="1406"/>
      <c r="AH1293" s="1406"/>
      <c r="AI1293" s="1406"/>
      <c r="AJ1293" s="1406"/>
      <c r="AK1293" s="1406"/>
      <c r="AL1293" s="1406"/>
      <c r="AM1293" s="1406"/>
      <c r="AN1293" s="1406"/>
      <c r="AO1293" s="1405"/>
      <c r="AP1293" s="1405"/>
      <c r="AQ1293" s="1405"/>
      <c r="AR1293" s="1405"/>
      <c r="AS1293" s="1405"/>
      <c r="AT1293" s="1405"/>
      <c r="AU1293" s="1405"/>
      <c r="AV1293" s="1405"/>
    </row>
    <row r="1294" spans="1:48" s="1431" customFormat="1">
      <c r="A1294" s="1399"/>
      <c r="B1294" s="1429"/>
      <c r="C1294" s="1430"/>
      <c r="D1294" s="1400"/>
      <c r="E1294" s="1401"/>
      <c r="F1294" s="1401"/>
      <c r="G1294" s="1402"/>
      <c r="H1294" s="1403"/>
      <c r="I1294" s="1404"/>
      <c r="J1294" s="1405"/>
      <c r="K1294" s="1405"/>
      <c r="L1294" s="1405"/>
      <c r="M1294" s="1405"/>
      <c r="N1294" s="1406"/>
      <c r="O1294" s="1406"/>
      <c r="P1294" s="1406"/>
      <c r="Q1294" s="1406"/>
      <c r="R1294" s="1406"/>
      <c r="S1294" s="1406"/>
      <c r="T1294" s="1406"/>
      <c r="U1294" s="1406"/>
      <c r="V1294" s="1406"/>
      <c r="W1294" s="1406"/>
      <c r="X1294" s="1406"/>
      <c r="Y1294" s="1406"/>
      <c r="Z1294" s="1406"/>
      <c r="AA1294" s="1406"/>
      <c r="AB1294" s="1406"/>
      <c r="AC1294" s="1406"/>
      <c r="AD1294" s="1406"/>
      <c r="AE1294" s="1406"/>
      <c r="AF1294" s="1406"/>
      <c r="AG1294" s="1406"/>
      <c r="AH1294" s="1406"/>
      <c r="AI1294" s="1406"/>
      <c r="AJ1294" s="1406"/>
      <c r="AK1294" s="1406"/>
      <c r="AL1294" s="1406"/>
      <c r="AM1294" s="1406"/>
      <c r="AN1294" s="1406"/>
      <c r="AO1294" s="1405"/>
      <c r="AP1294" s="1405"/>
      <c r="AQ1294" s="1405"/>
      <c r="AR1294" s="1405"/>
      <c r="AS1294" s="1405"/>
      <c r="AT1294" s="1405"/>
      <c r="AU1294" s="1405"/>
      <c r="AV1294" s="1405"/>
    </row>
    <row r="1295" spans="1:48" s="1431" customFormat="1">
      <c r="A1295" s="1399"/>
      <c r="B1295" s="1429"/>
      <c r="C1295" s="1430"/>
      <c r="D1295" s="1400"/>
      <c r="E1295" s="1401"/>
      <c r="F1295" s="1401"/>
      <c r="G1295" s="1402"/>
      <c r="H1295" s="1403"/>
      <c r="I1295" s="1404"/>
      <c r="J1295" s="1405"/>
      <c r="K1295" s="1405"/>
      <c r="L1295" s="1405"/>
      <c r="M1295" s="1405"/>
      <c r="N1295" s="1406"/>
      <c r="O1295" s="1406"/>
      <c r="P1295" s="1406"/>
      <c r="Q1295" s="1406"/>
      <c r="R1295" s="1406"/>
      <c r="S1295" s="1406"/>
      <c r="T1295" s="1406"/>
      <c r="U1295" s="1406"/>
      <c r="V1295" s="1406"/>
      <c r="W1295" s="1406"/>
      <c r="X1295" s="1406"/>
      <c r="Y1295" s="1406"/>
      <c r="Z1295" s="1406"/>
      <c r="AA1295" s="1406"/>
      <c r="AB1295" s="1406"/>
      <c r="AC1295" s="1406"/>
      <c r="AD1295" s="1406"/>
      <c r="AE1295" s="1406"/>
      <c r="AF1295" s="1406"/>
      <c r="AG1295" s="1406"/>
      <c r="AH1295" s="1406"/>
      <c r="AI1295" s="1406"/>
      <c r="AJ1295" s="1406"/>
      <c r="AK1295" s="1406"/>
      <c r="AL1295" s="1406"/>
      <c r="AM1295" s="1406"/>
      <c r="AN1295" s="1406"/>
      <c r="AO1295" s="1405"/>
      <c r="AP1295" s="1405"/>
      <c r="AQ1295" s="1405"/>
      <c r="AR1295" s="1405"/>
      <c r="AS1295" s="1405"/>
      <c r="AT1295" s="1405"/>
      <c r="AU1295" s="1405"/>
      <c r="AV1295" s="1405"/>
    </row>
    <row r="1296" spans="1:48" s="1431" customFormat="1">
      <c r="A1296" s="1399"/>
      <c r="B1296" s="1429"/>
      <c r="C1296" s="1430"/>
      <c r="D1296" s="1400"/>
      <c r="E1296" s="1401"/>
      <c r="F1296" s="1401"/>
      <c r="G1296" s="1402"/>
      <c r="H1296" s="1403"/>
      <c r="I1296" s="1404"/>
      <c r="J1296" s="1405"/>
      <c r="K1296" s="1405"/>
      <c r="L1296" s="1405"/>
      <c r="M1296" s="1405"/>
      <c r="N1296" s="1406"/>
      <c r="O1296" s="1406"/>
      <c r="P1296" s="1406"/>
      <c r="Q1296" s="1406"/>
      <c r="R1296" s="1406"/>
      <c r="S1296" s="1406"/>
      <c r="T1296" s="1406"/>
      <c r="U1296" s="1406"/>
      <c r="V1296" s="1406"/>
      <c r="W1296" s="1406"/>
      <c r="X1296" s="1406"/>
      <c r="Y1296" s="1406"/>
      <c r="Z1296" s="1406"/>
      <c r="AA1296" s="1406"/>
      <c r="AB1296" s="1406"/>
      <c r="AC1296" s="1406"/>
      <c r="AD1296" s="1406"/>
      <c r="AE1296" s="1406"/>
      <c r="AF1296" s="1406"/>
      <c r="AG1296" s="1406"/>
      <c r="AH1296" s="1406"/>
      <c r="AI1296" s="1406"/>
      <c r="AJ1296" s="1406"/>
      <c r="AK1296" s="1406"/>
      <c r="AL1296" s="1406"/>
      <c r="AM1296" s="1406"/>
      <c r="AN1296" s="1406"/>
      <c r="AO1296" s="1405"/>
      <c r="AP1296" s="1405"/>
      <c r="AQ1296" s="1405"/>
      <c r="AR1296" s="1405"/>
      <c r="AS1296" s="1405"/>
      <c r="AT1296" s="1405"/>
      <c r="AU1296" s="1405"/>
      <c r="AV1296" s="1405"/>
    </row>
    <row r="1297" spans="1:48" s="1431" customFormat="1">
      <c r="A1297" s="1399"/>
      <c r="B1297" s="1429"/>
      <c r="C1297" s="1430"/>
      <c r="D1297" s="1400"/>
      <c r="E1297" s="1401"/>
      <c r="F1297" s="1401"/>
      <c r="G1297" s="1402"/>
      <c r="H1297" s="1403"/>
      <c r="I1297" s="1404"/>
      <c r="J1297" s="1405"/>
      <c r="K1297" s="1405"/>
      <c r="L1297" s="1405"/>
      <c r="M1297" s="1405"/>
      <c r="N1297" s="1406"/>
      <c r="O1297" s="1406"/>
      <c r="P1297" s="1406"/>
      <c r="Q1297" s="1406"/>
      <c r="R1297" s="1406"/>
      <c r="S1297" s="1406"/>
      <c r="T1297" s="1406"/>
      <c r="U1297" s="1406"/>
      <c r="V1297" s="1406"/>
      <c r="W1297" s="1406"/>
      <c r="X1297" s="1406"/>
      <c r="Y1297" s="1406"/>
      <c r="Z1297" s="1406"/>
      <c r="AA1297" s="1406"/>
      <c r="AB1297" s="1406"/>
      <c r="AC1297" s="1406"/>
      <c r="AD1297" s="1406"/>
      <c r="AE1297" s="1406"/>
      <c r="AF1297" s="1406"/>
      <c r="AG1297" s="1406"/>
      <c r="AH1297" s="1406"/>
      <c r="AI1297" s="1406"/>
      <c r="AJ1297" s="1406"/>
      <c r="AK1297" s="1406"/>
      <c r="AL1297" s="1406"/>
      <c r="AM1297" s="1406"/>
      <c r="AN1297" s="1406"/>
      <c r="AO1297" s="1405"/>
      <c r="AP1297" s="1405"/>
      <c r="AQ1297" s="1405"/>
      <c r="AR1297" s="1405"/>
      <c r="AS1297" s="1405"/>
      <c r="AT1297" s="1405"/>
      <c r="AU1297" s="1405"/>
      <c r="AV1297" s="1405"/>
    </row>
    <row r="1298" spans="1:48" s="1431" customFormat="1">
      <c r="A1298" s="1399"/>
      <c r="B1298" s="1429"/>
      <c r="C1298" s="1430"/>
      <c r="D1298" s="1400"/>
      <c r="E1298" s="1401"/>
      <c r="F1298" s="1401"/>
      <c r="G1298" s="1402"/>
      <c r="H1298" s="1403"/>
      <c r="I1298" s="1404"/>
      <c r="J1298" s="1405"/>
      <c r="K1298" s="1405"/>
      <c r="L1298" s="1405"/>
      <c r="M1298" s="1405"/>
      <c r="N1298" s="1406"/>
      <c r="O1298" s="1406"/>
      <c r="P1298" s="1406"/>
      <c r="Q1298" s="1406"/>
      <c r="R1298" s="1406"/>
      <c r="S1298" s="1406"/>
      <c r="T1298" s="1406"/>
      <c r="U1298" s="1406"/>
      <c r="V1298" s="1406"/>
      <c r="W1298" s="1406"/>
      <c r="X1298" s="1406"/>
      <c r="Y1298" s="1406"/>
      <c r="Z1298" s="1406"/>
      <c r="AA1298" s="1406"/>
      <c r="AB1298" s="1406"/>
      <c r="AC1298" s="1406"/>
      <c r="AD1298" s="1406"/>
      <c r="AE1298" s="1406"/>
      <c r="AF1298" s="1406"/>
      <c r="AG1298" s="1406"/>
      <c r="AH1298" s="1406"/>
      <c r="AI1298" s="1406"/>
      <c r="AJ1298" s="1406"/>
      <c r="AK1298" s="1406"/>
      <c r="AL1298" s="1406"/>
      <c r="AM1298" s="1406"/>
      <c r="AN1298" s="1406"/>
      <c r="AO1298" s="1405"/>
      <c r="AP1298" s="1405"/>
      <c r="AQ1298" s="1405"/>
      <c r="AR1298" s="1405"/>
      <c r="AS1298" s="1405"/>
      <c r="AT1298" s="1405"/>
      <c r="AU1298" s="1405"/>
      <c r="AV1298" s="1405"/>
    </row>
    <row r="1299" spans="1:48" s="1431" customFormat="1">
      <c r="A1299" s="1399"/>
      <c r="B1299" s="1429"/>
      <c r="C1299" s="1430"/>
      <c r="D1299" s="1400"/>
      <c r="E1299" s="1401"/>
      <c r="F1299" s="1401"/>
      <c r="G1299" s="1402"/>
      <c r="H1299" s="1403"/>
      <c r="I1299" s="1404"/>
      <c r="J1299" s="1405"/>
      <c r="K1299" s="1405"/>
      <c r="L1299" s="1405"/>
      <c r="M1299" s="1405"/>
      <c r="N1299" s="1406"/>
      <c r="O1299" s="1406"/>
      <c r="P1299" s="1406"/>
      <c r="Q1299" s="1406"/>
      <c r="R1299" s="1406"/>
      <c r="S1299" s="1406"/>
      <c r="T1299" s="1406"/>
      <c r="U1299" s="1406"/>
      <c r="V1299" s="1406"/>
      <c r="W1299" s="1406"/>
      <c r="X1299" s="1406"/>
      <c r="Y1299" s="1406"/>
      <c r="Z1299" s="1406"/>
      <c r="AA1299" s="1406"/>
      <c r="AB1299" s="1406"/>
      <c r="AC1299" s="1406"/>
      <c r="AD1299" s="1406"/>
      <c r="AE1299" s="1406"/>
      <c r="AF1299" s="1406"/>
      <c r="AG1299" s="1406"/>
      <c r="AH1299" s="1406"/>
      <c r="AI1299" s="1406"/>
      <c r="AJ1299" s="1406"/>
      <c r="AK1299" s="1406"/>
      <c r="AL1299" s="1406"/>
      <c r="AM1299" s="1406"/>
      <c r="AN1299" s="1406"/>
      <c r="AO1299" s="1405"/>
      <c r="AP1299" s="1405"/>
      <c r="AQ1299" s="1405"/>
      <c r="AR1299" s="1405"/>
      <c r="AS1299" s="1405"/>
      <c r="AT1299" s="1405"/>
      <c r="AU1299" s="1405"/>
      <c r="AV1299" s="1405"/>
    </row>
    <row r="1300" spans="1:48" s="1431" customFormat="1">
      <c r="A1300" s="1399"/>
      <c r="B1300" s="1429"/>
      <c r="C1300" s="1430"/>
      <c r="D1300" s="1400"/>
      <c r="E1300" s="1401"/>
      <c r="F1300" s="1401"/>
      <c r="G1300" s="1402"/>
      <c r="H1300" s="1403"/>
      <c r="I1300" s="1404"/>
      <c r="J1300" s="1405"/>
      <c r="K1300" s="1405"/>
      <c r="L1300" s="1405"/>
      <c r="M1300" s="1405"/>
      <c r="N1300" s="1406"/>
      <c r="O1300" s="1406"/>
      <c r="P1300" s="1406"/>
      <c r="Q1300" s="1406"/>
      <c r="R1300" s="1406"/>
      <c r="S1300" s="1406"/>
      <c r="T1300" s="1406"/>
      <c r="U1300" s="1406"/>
      <c r="V1300" s="1406"/>
      <c r="W1300" s="1406"/>
      <c r="X1300" s="1406"/>
      <c r="Y1300" s="1406"/>
      <c r="Z1300" s="1406"/>
      <c r="AA1300" s="1406"/>
      <c r="AB1300" s="1406"/>
      <c r="AC1300" s="1406"/>
      <c r="AD1300" s="1406"/>
      <c r="AE1300" s="1406"/>
      <c r="AF1300" s="1406"/>
      <c r="AG1300" s="1406"/>
      <c r="AH1300" s="1406"/>
      <c r="AI1300" s="1406"/>
      <c r="AJ1300" s="1406"/>
      <c r="AK1300" s="1406"/>
      <c r="AL1300" s="1406"/>
      <c r="AM1300" s="1406"/>
      <c r="AN1300" s="1406"/>
      <c r="AO1300" s="1405"/>
      <c r="AP1300" s="1405"/>
      <c r="AQ1300" s="1405"/>
      <c r="AR1300" s="1405"/>
      <c r="AS1300" s="1405"/>
      <c r="AT1300" s="1405"/>
      <c r="AU1300" s="1405"/>
      <c r="AV1300" s="1405"/>
    </row>
    <row r="1301" spans="1:48" s="1431" customFormat="1">
      <c r="A1301" s="1399"/>
      <c r="B1301" s="1429"/>
      <c r="C1301" s="1430"/>
      <c r="D1301" s="1400"/>
      <c r="E1301" s="1401"/>
      <c r="F1301" s="1401"/>
      <c r="G1301" s="1402"/>
      <c r="H1301" s="1403"/>
      <c r="I1301" s="1404"/>
      <c r="J1301" s="1405"/>
      <c r="K1301" s="1405"/>
      <c r="L1301" s="1405"/>
      <c r="M1301" s="1405"/>
      <c r="N1301" s="1406"/>
      <c r="O1301" s="1406"/>
      <c r="P1301" s="1406"/>
      <c r="Q1301" s="1406"/>
      <c r="R1301" s="1406"/>
      <c r="S1301" s="1406"/>
      <c r="T1301" s="1406"/>
      <c r="U1301" s="1406"/>
      <c r="V1301" s="1406"/>
      <c r="W1301" s="1406"/>
      <c r="X1301" s="1406"/>
      <c r="Y1301" s="1406"/>
      <c r="Z1301" s="1406"/>
      <c r="AA1301" s="1406"/>
      <c r="AB1301" s="1406"/>
      <c r="AC1301" s="1406"/>
      <c r="AD1301" s="1406"/>
      <c r="AE1301" s="1406"/>
      <c r="AF1301" s="1406"/>
      <c r="AG1301" s="1406"/>
      <c r="AH1301" s="1406"/>
      <c r="AI1301" s="1406"/>
      <c r="AJ1301" s="1406"/>
      <c r="AK1301" s="1406"/>
      <c r="AL1301" s="1406"/>
      <c r="AM1301" s="1406"/>
      <c r="AN1301" s="1406"/>
      <c r="AO1301" s="1405"/>
      <c r="AP1301" s="1405"/>
      <c r="AQ1301" s="1405"/>
      <c r="AR1301" s="1405"/>
      <c r="AS1301" s="1405"/>
      <c r="AT1301" s="1405"/>
      <c r="AU1301" s="1405"/>
      <c r="AV1301" s="1405"/>
    </row>
    <row r="1302" spans="1:48" s="1431" customFormat="1">
      <c r="A1302" s="1399"/>
      <c r="B1302" s="1429"/>
      <c r="C1302" s="1430"/>
      <c r="D1302" s="1400"/>
      <c r="E1302" s="1401"/>
      <c r="F1302" s="1401"/>
      <c r="G1302" s="1402"/>
      <c r="H1302" s="1403"/>
      <c r="I1302" s="1404"/>
      <c r="J1302" s="1405"/>
      <c r="K1302" s="1405"/>
      <c r="L1302" s="1405"/>
      <c r="M1302" s="1405"/>
      <c r="N1302" s="1406"/>
      <c r="O1302" s="1406"/>
      <c r="P1302" s="1406"/>
      <c r="Q1302" s="1406"/>
      <c r="R1302" s="1406"/>
      <c r="S1302" s="1406"/>
      <c r="T1302" s="1406"/>
      <c r="U1302" s="1406"/>
      <c r="V1302" s="1406"/>
      <c r="W1302" s="1406"/>
      <c r="X1302" s="1406"/>
      <c r="Y1302" s="1406"/>
      <c r="Z1302" s="1406"/>
      <c r="AA1302" s="1406"/>
      <c r="AB1302" s="1406"/>
      <c r="AC1302" s="1406"/>
      <c r="AD1302" s="1406"/>
      <c r="AE1302" s="1406"/>
      <c r="AF1302" s="1406"/>
      <c r="AG1302" s="1406"/>
      <c r="AH1302" s="1406"/>
      <c r="AI1302" s="1406"/>
      <c r="AJ1302" s="1406"/>
      <c r="AK1302" s="1406"/>
      <c r="AL1302" s="1406"/>
      <c r="AM1302" s="1406"/>
      <c r="AN1302" s="1406"/>
      <c r="AO1302" s="1405"/>
      <c r="AP1302" s="1405"/>
      <c r="AQ1302" s="1405"/>
      <c r="AR1302" s="1405"/>
      <c r="AS1302" s="1405"/>
      <c r="AT1302" s="1405"/>
      <c r="AU1302" s="1405"/>
      <c r="AV1302" s="1405"/>
    </row>
    <row r="1303" spans="1:48" s="1431" customFormat="1">
      <c r="A1303" s="1399"/>
      <c r="B1303" s="1429"/>
      <c r="C1303" s="1430"/>
      <c r="D1303" s="1400"/>
      <c r="E1303" s="1401"/>
      <c r="F1303" s="1401"/>
      <c r="G1303" s="1402"/>
      <c r="H1303" s="1403"/>
      <c r="I1303" s="1404"/>
      <c r="J1303" s="1405"/>
      <c r="K1303" s="1405"/>
      <c r="L1303" s="1405"/>
      <c r="M1303" s="1405"/>
      <c r="N1303" s="1406"/>
      <c r="O1303" s="1406"/>
      <c r="P1303" s="1406"/>
      <c r="Q1303" s="1406"/>
      <c r="R1303" s="1406"/>
      <c r="S1303" s="1406"/>
      <c r="T1303" s="1406"/>
      <c r="U1303" s="1406"/>
      <c r="V1303" s="1406"/>
      <c r="W1303" s="1406"/>
      <c r="X1303" s="1406"/>
      <c r="Y1303" s="1406"/>
      <c r="Z1303" s="1406"/>
      <c r="AA1303" s="1406"/>
      <c r="AB1303" s="1406"/>
      <c r="AC1303" s="1406"/>
      <c r="AD1303" s="1406"/>
      <c r="AE1303" s="1406"/>
      <c r="AF1303" s="1406"/>
      <c r="AG1303" s="1406"/>
      <c r="AH1303" s="1406"/>
      <c r="AI1303" s="1406"/>
      <c r="AJ1303" s="1406"/>
      <c r="AK1303" s="1406"/>
      <c r="AL1303" s="1406"/>
      <c r="AM1303" s="1406"/>
      <c r="AN1303" s="1406"/>
      <c r="AO1303" s="1405"/>
      <c r="AP1303" s="1405"/>
      <c r="AQ1303" s="1405"/>
      <c r="AR1303" s="1405"/>
      <c r="AS1303" s="1405"/>
      <c r="AT1303" s="1405"/>
      <c r="AU1303" s="1405"/>
      <c r="AV1303" s="1405"/>
    </row>
    <row r="1304" spans="1:48" s="1431" customFormat="1">
      <c r="A1304" s="1399"/>
      <c r="B1304" s="1429"/>
      <c r="C1304" s="1430"/>
      <c r="D1304" s="1400"/>
      <c r="E1304" s="1401"/>
      <c r="F1304" s="1401"/>
      <c r="G1304" s="1402"/>
      <c r="H1304" s="1403"/>
      <c r="I1304" s="1404"/>
      <c r="J1304" s="1405"/>
      <c r="K1304" s="1405"/>
      <c r="L1304" s="1405"/>
      <c r="M1304" s="1405"/>
      <c r="N1304" s="1406"/>
      <c r="O1304" s="1406"/>
      <c r="P1304" s="1406"/>
      <c r="Q1304" s="1406"/>
      <c r="R1304" s="1406"/>
      <c r="S1304" s="1406"/>
      <c r="T1304" s="1406"/>
      <c r="U1304" s="1406"/>
      <c r="V1304" s="1406"/>
      <c r="W1304" s="1406"/>
      <c r="X1304" s="1406"/>
      <c r="Y1304" s="1406"/>
      <c r="Z1304" s="1406"/>
      <c r="AA1304" s="1406"/>
      <c r="AB1304" s="1406"/>
      <c r="AC1304" s="1406"/>
      <c r="AD1304" s="1406"/>
      <c r="AE1304" s="1406"/>
      <c r="AF1304" s="1406"/>
      <c r="AG1304" s="1406"/>
      <c r="AH1304" s="1406"/>
      <c r="AI1304" s="1406"/>
      <c r="AJ1304" s="1406"/>
      <c r="AK1304" s="1406"/>
      <c r="AL1304" s="1406"/>
      <c r="AM1304" s="1406"/>
      <c r="AN1304" s="1406"/>
      <c r="AO1304" s="1405"/>
      <c r="AP1304" s="1405"/>
      <c r="AQ1304" s="1405"/>
      <c r="AR1304" s="1405"/>
      <c r="AS1304" s="1405"/>
      <c r="AT1304" s="1405"/>
      <c r="AU1304" s="1405"/>
      <c r="AV1304" s="1405"/>
    </row>
    <row r="1305" spans="1:48" s="1431" customFormat="1">
      <c r="A1305" s="1399"/>
      <c r="B1305" s="1429"/>
      <c r="C1305" s="1430"/>
      <c r="D1305" s="1400"/>
      <c r="E1305" s="1401"/>
      <c r="F1305" s="1401"/>
      <c r="G1305" s="1402"/>
      <c r="H1305" s="1403"/>
      <c r="I1305" s="1404"/>
      <c r="J1305" s="1405"/>
      <c r="K1305" s="1405"/>
      <c r="L1305" s="1405"/>
      <c r="M1305" s="1405"/>
      <c r="N1305" s="1406"/>
      <c r="O1305" s="1406"/>
      <c r="P1305" s="1406"/>
      <c r="Q1305" s="1406"/>
      <c r="R1305" s="1406"/>
      <c r="S1305" s="1406"/>
      <c r="T1305" s="1406"/>
      <c r="U1305" s="1406"/>
      <c r="V1305" s="1406"/>
      <c r="W1305" s="1406"/>
      <c r="X1305" s="1406"/>
      <c r="Y1305" s="1406"/>
      <c r="Z1305" s="1406"/>
      <c r="AA1305" s="1406"/>
      <c r="AB1305" s="1406"/>
      <c r="AC1305" s="1406"/>
      <c r="AD1305" s="1406"/>
      <c r="AE1305" s="1406"/>
      <c r="AF1305" s="1406"/>
      <c r="AG1305" s="1406"/>
      <c r="AH1305" s="1406"/>
      <c r="AI1305" s="1406"/>
      <c r="AJ1305" s="1406"/>
      <c r="AK1305" s="1406"/>
      <c r="AL1305" s="1406"/>
      <c r="AM1305" s="1406"/>
      <c r="AN1305" s="1406"/>
      <c r="AO1305" s="1405"/>
      <c r="AP1305" s="1405"/>
      <c r="AQ1305" s="1405"/>
      <c r="AR1305" s="1405"/>
      <c r="AS1305" s="1405"/>
      <c r="AT1305" s="1405"/>
      <c r="AU1305" s="1405"/>
      <c r="AV1305" s="1405"/>
    </row>
    <row r="1306" spans="1:48" s="1431" customFormat="1">
      <c r="A1306" s="1399"/>
      <c r="B1306" s="1429"/>
      <c r="C1306" s="1430"/>
      <c r="D1306" s="1400"/>
      <c r="E1306" s="1401"/>
      <c r="F1306" s="1401"/>
      <c r="G1306" s="1402"/>
      <c r="H1306" s="1403"/>
      <c r="I1306" s="1404"/>
      <c r="J1306" s="1405"/>
      <c r="K1306" s="1405"/>
      <c r="L1306" s="1405"/>
      <c r="M1306" s="1405"/>
      <c r="N1306" s="1406"/>
      <c r="O1306" s="1406"/>
      <c r="P1306" s="1406"/>
      <c r="Q1306" s="1406"/>
      <c r="R1306" s="1406"/>
      <c r="S1306" s="1406"/>
      <c r="T1306" s="1406"/>
      <c r="U1306" s="1406"/>
      <c r="V1306" s="1406"/>
      <c r="W1306" s="1406"/>
      <c r="X1306" s="1406"/>
      <c r="Y1306" s="1406"/>
      <c r="Z1306" s="1406"/>
      <c r="AA1306" s="1406"/>
      <c r="AB1306" s="1406"/>
      <c r="AC1306" s="1406"/>
      <c r="AD1306" s="1406"/>
      <c r="AE1306" s="1406"/>
      <c r="AF1306" s="1406"/>
      <c r="AG1306" s="1406"/>
      <c r="AH1306" s="1406"/>
      <c r="AI1306" s="1406"/>
      <c r="AJ1306" s="1406"/>
      <c r="AK1306" s="1406"/>
      <c r="AL1306" s="1406"/>
      <c r="AM1306" s="1406"/>
      <c r="AN1306" s="1406"/>
      <c r="AO1306" s="1405"/>
      <c r="AP1306" s="1405"/>
      <c r="AQ1306" s="1405"/>
      <c r="AR1306" s="1405"/>
      <c r="AS1306" s="1405"/>
      <c r="AT1306" s="1405"/>
      <c r="AU1306" s="1405"/>
      <c r="AV1306" s="1405"/>
    </row>
    <row r="1307" spans="1:48" s="1431" customFormat="1">
      <c r="A1307" s="1399"/>
      <c r="B1307" s="1429"/>
      <c r="C1307" s="1430"/>
      <c r="D1307" s="1400"/>
      <c r="E1307" s="1401"/>
      <c r="F1307" s="1401"/>
      <c r="G1307" s="1402"/>
      <c r="H1307" s="1403"/>
      <c r="I1307" s="1404"/>
      <c r="J1307" s="1405"/>
      <c r="K1307" s="1405"/>
      <c r="L1307" s="1405"/>
      <c r="M1307" s="1405"/>
      <c r="N1307" s="1406"/>
      <c r="O1307" s="1406"/>
      <c r="P1307" s="1406"/>
      <c r="Q1307" s="1406"/>
      <c r="R1307" s="1406"/>
      <c r="S1307" s="1406"/>
      <c r="T1307" s="1406"/>
      <c r="U1307" s="1406"/>
      <c r="V1307" s="1406"/>
      <c r="W1307" s="1406"/>
      <c r="X1307" s="1406"/>
      <c r="Y1307" s="1406"/>
      <c r="Z1307" s="1406"/>
      <c r="AA1307" s="1406"/>
      <c r="AB1307" s="1406"/>
      <c r="AC1307" s="1406"/>
      <c r="AD1307" s="1406"/>
      <c r="AE1307" s="1406"/>
      <c r="AF1307" s="1406"/>
      <c r="AG1307" s="1406"/>
      <c r="AH1307" s="1406"/>
      <c r="AI1307" s="1406"/>
      <c r="AJ1307" s="1406"/>
      <c r="AK1307" s="1406"/>
      <c r="AL1307" s="1406"/>
      <c r="AM1307" s="1406"/>
      <c r="AN1307" s="1406"/>
      <c r="AO1307" s="1405"/>
      <c r="AP1307" s="1405"/>
      <c r="AQ1307" s="1405"/>
      <c r="AR1307" s="1405"/>
      <c r="AS1307" s="1405"/>
      <c r="AT1307" s="1405"/>
      <c r="AU1307" s="1405"/>
      <c r="AV1307" s="1405"/>
    </row>
    <row r="1308" spans="1:48" s="1431" customFormat="1">
      <c r="A1308" s="1399"/>
      <c r="B1308" s="1429"/>
      <c r="C1308" s="1430"/>
      <c r="D1308" s="1400"/>
      <c r="E1308" s="1401"/>
      <c r="F1308" s="1401"/>
      <c r="G1308" s="1402"/>
      <c r="H1308" s="1403"/>
      <c r="I1308" s="1404"/>
      <c r="J1308" s="1405"/>
      <c r="K1308" s="1405"/>
      <c r="L1308" s="1405"/>
      <c r="M1308" s="1405"/>
      <c r="N1308" s="1406"/>
      <c r="O1308" s="1406"/>
      <c r="P1308" s="1406"/>
      <c r="Q1308" s="1406"/>
      <c r="R1308" s="1406"/>
      <c r="S1308" s="1406"/>
      <c r="T1308" s="1406"/>
      <c r="U1308" s="1406"/>
      <c r="V1308" s="1406"/>
      <c r="W1308" s="1406"/>
      <c r="X1308" s="1406"/>
      <c r="Y1308" s="1406"/>
      <c r="Z1308" s="1406"/>
      <c r="AA1308" s="1406"/>
      <c r="AB1308" s="1406"/>
      <c r="AC1308" s="1406"/>
      <c r="AD1308" s="1406"/>
      <c r="AE1308" s="1406"/>
      <c r="AF1308" s="1406"/>
      <c r="AG1308" s="1406"/>
      <c r="AH1308" s="1406"/>
      <c r="AI1308" s="1406"/>
      <c r="AJ1308" s="1406"/>
      <c r="AK1308" s="1406"/>
      <c r="AL1308" s="1406"/>
      <c r="AM1308" s="1406"/>
      <c r="AN1308" s="1406"/>
      <c r="AO1308" s="1405"/>
      <c r="AP1308" s="1405"/>
      <c r="AQ1308" s="1405"/>
      <c r="AR1308" s="1405"/>
      <c r="AS1308" s="1405"/>
      <c r="AT1308" s="1405"/>
      <c r="AU1308" s="1405"/>
      <c r="AV1308" s="1405"/>
    </row>
    <row r="1309" spans="1:48" s="1431" customFormat="1">
      <c r="A1309" s="1399"/>
      <c r="B1309" s="1429"/>
      <c r="C1309" s="1430"/>
      <c r="D1309" s="1400"/>
      <c r="E1309" s="1401"/>
      <c r="F1309" s="1401"/>
      <c r="G1309" s="1402"/>
      <c r="H1309" s="1403"/>
      <c r="I1309" s="1404"/>
      <c r="J1309" s="1405"/>
      <c r="K1309" s="1405"/>
      <c r="L1309" s="1405"/>
      <c r="M1309" s="1405"/>
      <c r="N1309" s="1406"/>
      <c r="O1309" s="1406"/>
      <c r="P1309" s="1406"/>
      <c r="Q1309" s="1406"/>
      <c r="R1309" s="1406"/>
      <c r="S1309" s="1406"/>
      <c r="T1309" s="1406"/>
      <c r="U1309" s="1406"/>
      <c r="V1309" s="1406"/>
      <c r="W1309" s="1406"/>
      <c r="X1309" s="1406"/>
      <c r="Y1309" s="1406"/>
      <c r="Z1309" s="1406"/>
      <c r="AA1309" s="1406"/>
      <c r="AB1309" s="1406"/>
      <c r="AC1309" s="1406"/>
      <c r="AD1309" s="1406"/>
      <c r="AE1309" s="1406"/>
      <c r="AF1309" s="1406"/>
      <c r="AG1309" s="1406"/>
      <c r="AH1309" s="1406"/>
      <c r="AI1309" s="1406"/>
      <c r="AJ1309" s="1406"/>
      <c r="AK1309" s="1406"/>
      <c r="AL1309" s="1406"/>
      <c r="AM1309" s="1406"/>
      <c r="AN1309" s="1406"/>
      <c r="AO1309" s="1405"/>
      <c r="AP1309" s="1405"/>
      <c r="AQ1309" s="1405"/>
      <c r="AR1309" s="1405"/>
      <c r="AS1309" s="1405"/>
      <c r="AT1309" s="1405"/>
      <c r="AU1309" s="1405"/>
      <c r="AV1309" s="1405"/>
    </row>
    <row r="1310" spans="1:48" s="1431" customFormat="1">
      <c r="A1310" s="1399"/>
      <c r="B1310" s="1429"/>
      <c r="C1310" s="1430"/>
      <c r="D1310" s="1400"/>
      <c r="E1310" s="1401"/>
      <c r="F1310" s="1401"/>
      <c r="G1310" s="1402"/>
      <c r="H1310" s="1403"/>
      <c r="I1310" s="1404"/>
      <c r="J1310" s="1405"/>
      <c r="K1310" s="1405"/>
      <c r="L1310" s="1405"/>
      <c r="M1310" s="1405"/>
      <c r="N1310" s="1406"/>
      <c r="O1310" s="1406"/>
      <c r="P1310" s="1406"/>
      <c r="Q1310" s="1406"/>
      <c r="R1310" s="1406"/>
      <c r="S1310" s="1406"/>
      <c r="T1310" s="1406"/>
      <c r="U1310" s="1406"/>
      <c r="V1310" s="1406"/>
      <c r="W1310" s="1406"/>
      <c r="X1310" s="1406"/>
      <c r="Y1310" s="1406"/>
      <c r="Z1310" s="1406"/>
      <c r="AA1310" s="1406"/>
      <c r="AB1310" s="1406"/>
      <c r="AC1310" s="1406"/>
      <c r="AD1310" s="1406"/>
      <c r="AE1310" s="1406"/>
      <c r="AF1310" s="1406"/>
      <c r="AG1310" s="1406"/>
      <c r="AH1310" s="1406"/>
      <c r="AI1310" s="1406"/>
      <c r="AJ1310" s="1406"/>
      <c r="AK1310" s="1406"/>
      <c r="AL1310" s="1406"/>
      <c r="AM1310" s="1406"/>
      <c r="AN1310" s="1406"/>
      <c r="AO1310" s="1405"/>
      <c r="AP1310" s="1405"/>
      <c r="AQ1310" s="1405"/>
      <c r="AR1310" s="1405"/>
      <c r="AS1310" s="1405"/>
      <c r="AT1310" s="1405"/>
      <c r="AU1310" s="1405"/>
      <c r="AV1310" s="1405"/>
    </row>
    <row r="1311" spans="1:48" s="1431" customFormat="1">
      <c r="A1311" s="1399"/>
      <c r="B1311" s="1429"/>
      <c r="C1311" s="1430"/>
      <c r="D1311" s="1400"/>
      <c r="E1311" s="1401"/>
      <c r="F1311" s="1401"/>
      <c r="G1311" s="1402"/>
      <c r="H1311" s="1403"/>
      <c r="I1311" s="1404"/>
      <c r="J1311" s="1405"/>
      <c r="K1311" s="1405"/>
      <c r="L1311" s="1405"/>
      <c r="M1311" s="1405"/>
      <c r="N1311" s="1406"/>
      <c r="O1311" s="1406"/>
      <c r="P1311" s="1406"/>
      <c r="Q1311" s="1406"/>
      <c r="R1311" s="1406"/>
      <c r="S1311" s="1406"/>
      <c r="T1311" s="1406"/>
      <c r="U1311" s="1406"/>
      <c r="V1311" s="1406"/>
      <c r="W1311" s="1406"/>
      <c r="X1311" s="1406"/>
      <c r="Y1311" s="1406"/>
      <c r="Z1311" s="1406"/>
      <c r="AA1311" s="1406"/>
      <c r="AB1311" s="1406"/>
      <c r="AC1311" s="1406"/>
      <c r="AD1311" s="1406"/>
      <c r="AE1311" s="1406"/>
      <c r="AF1311" s="1406"/>
      <c r="AG1311" s="1406"/>
      <c r="AH1311" s="1406"/>
      <c r="AI1311" s="1406"/>
      <c r="AJ1311" s="1406"/>
      <c r="AK1311" s="1406"/>
      <c r="AL1311" s="1406"/>
      <c r="AM1311" s="1406"/>
      <c r="AN1311" s="1406"/>
      <c r="AO1311" s="1405"/>
      <c r="AP1311" s="1405"/>
      <c r="AQ1311" s="1405"/>
      <c r="AR1311" s="1405"/>
      <c r="AS1311" s="1405"/>
      <c r="AT1311" s="1405"/>
      <c r="AU1311" s="1405"/>
      <c r="AV1311" s="1405"/>
    </row>
    <row r="1312" spans="1:48" s="1431" customFormat="1">
      <c r="A1312" s="1399"/>
      <c r="B1312" s="1429"/>
      <c r="C1312" s="1430"/>
      <c r="D1312" s="1400"/>
      <c r="E1312" s="1401"/>
      <c r="F1312" s="1401"/>
      <c r="G1312" s="1402"/>
      <c r="H1312" s="1403"/>
      <c r="I1312" s="1404"/>
      <c r="J1312" s="1405"/>
      <c r="K1312" s="1405"/>
      <c r="L1312" s="1405"/>
      <c r="M1312" s="1405"/>
      <c r="N1312" s="1406"/>
      <c r="O1312" s="1406"/>
      <c r="P1312" s="1406"/>
      <c r="Q1312" s="1406"/>
      <c r="R1312" s="1406"/>
      <c r="S1312" s="1406"/>
      <c r="T1312" s="1406"/>
      <c r="U1312" s="1406"/>
      <c r="V1312" s="1406"/>
      <c r="W1312" s="1406"/>
      <c r="X1312" s="1406"/>
      <c r="Y1312" s="1406"/>
      <c r="Z1312" s="1406"/>
      <c r="AA1312" s="1406"/>
      <c r="AB1312" s="1406"/>
      <c r="AC1312" s="1406"/>
      <c r="AD1312" s="1406"/>
      <c r="AE1312" s="1406"/>
      <c r="AF1312" s="1406"/>
      <c r="AG1312" s="1406"/>
      <c r="AH1312" s="1406"/>
      <c r="AI1312" s="1406"/>
      <c r="AJ1312" s="1406"/>
      <c r="AK1312" s="1406"/>
      <c r="AL1312" s="1406"/>
      <c r="AM1312" s="1406"/>
      <c r="AN1312" s="1406"/>
      <c r="AO1312" s="1405"/>
      <c r="AP1312" s="1405"/>
      <c r="AQ1312" s="1405"/>
      <c r="AR1312" s="1405"/>
      <c r="AS1312" s="1405"/>
      <c r="AT1312" s="1405"/>
      <c r="AU1312" s="1405"/>
      <c r="AV1312" s="1405"/>
    </row>
    <row r="1313" spans="1:48" s="1431" customFormat="1">
      <c r="A1313" s="1399"/>
      <c r="B1313" s="1429"/>
      <c r="C1313" s="1430"/>
      <c r="D1313" s="1400"/>
      <c r="E1313" s="1401"/>
      <c r="F1313" s="1401"/>
      <c r="G1313" s="1402"/>
      <c r="H1313" s="1403"/>
      <c r="I1313" s="1404"/>
      <c r="J1313" s="1405"/>
      <c r="K1313" s="1405"/>
      <c r="L1313" s="1405"/>
      <c r="M1313" s="1405"/>
      <c r="N1313" s="1406"/>
      <c r="O1313" s="1406"/>
      <c r="P1313" s="1406"/>
      <c r="Q1313" s="1406"/>
      <c r="R1313" s="1406"/>
      <c r="S1313" s="1406"/>
      <c r="T1313" s="1406"/>
      <c r="U1313" s="1406"/>
      <c r="V1313" s="1406"/>
      <c r="W1313" s="1406"/>
      <c r="X1313" s="1406"/>
      <c r="Y1313" s="1406"/>
      <c r="Z1313" s="1406"/>
      <c r="AA1313" s="1406"/>
      <c r="AB1313" s="1406"/>
      <c r="AC1313" s="1406"/>
      <c r="AD1313" s="1406"/>
      <c r="AE1313" s="1406"/>
      <c r="AF1313" s="1406"/>
      <c r="AG1313" s="1406"/>
      <c r="AH1313" s="1406"/>
      <c r="AI1313" s="1406"/>
      <c r="AJ1313" s="1406"/>
      <c r="AK1313" s="1406"/>
      <c r="AL1313" s="1406"/>
      <c r="AM1313" s="1406"/>
      <c r="AN1313" s="1406"/>
      <c r="AO1313" s="1405"/>
      <c r="AP1313" s="1405"/>
      <c r="AQ1313" s="1405"/>
      <c r="AR1313" s="1405"/>
      <c r="AS1313" s="1405"/>
      <c r="AT1313" s="1405"/>
      <c r="AU1313" s="1405"/>
      <c r="AV1313" s="1405"/>
    </row>
    <row r="1314" spans="1:48" s="1431" customFormat="1">
      <c r="A1314" s="1399"/>
      <c r="B1314" s="1429"/>
      <c r="C1314" s="1430"/>
      <c r="D1314" s="1400"/>
      <c r="E1314" s="1401"/>
      <c r="F1314" s="1401"/>
      <c r="G1314" s="1402"/>
      <c r="H1314" s="1403"/>
      <c r="I1314" s="1404"/>
      <c r="J1314" s="1405"/>
      <c r="K1314" s="1405"/>
      <c r="L1314" s="1405"/>
      <c r="M1314" s="1405"/>
      <c r="N1314" s="1406"/>
      <c r="O1314" s="1406"/>
      <c r="P1314" s="1406"/>
      <c r="Q1314" s="1406"/>
      <c r="R1314" s="1406"/>
      <c r="S1314" s="1406"/>
      <c r="T1314" s="1406"/>
      <c r="U1314" s="1406"/>
      <c r="V1314" s="1406"/>
      <c r="W1314" s="1406"/>
      <c r="X1314" s="1406"/>
      <c r="Y1314" s="1406"/>
      <c r="Z1314" s="1406"/>
      <c r="AA1314" s="1406"/>
      <c r="AB1314" s="1406"/>
      <c r="AC1314" s="1406"/>
      <c r="AD1314" s="1406"/>
      <c r="AE1314" s="1406"/>
      <c r="AF1314" s="1406"/>
      <c r="AG1314" s="1406"/>
      <c r="AH1314" s="1406"/>
      <c r="AI1314" s="1406"/>
      <c r="AJ1314" s="1406"/>
      <c r="AK1314" s="1406"/>
      <c r="AL1314" s="1406"/>
      <c r="AM1314" s="1406"/>
      <c r="AN1314" s="1406"/>
      <c r="AO1314" s="1405"/>
      <c r="AP1314" s="1405"/>
      <c r="AQ1314" s="1405"/>
      <c r="AR1314" s="1405"/>
      <c r="AS1314" s="1405"/>
      <c r="AT1314" s="1405"/>
      <c r="AU1314" s="1405"/>
      <c r="AV1314" s="1405"/>
    </row>
    <row r="1315" spans="1:48" s="1431" customFormat="1">
      <c r="A1315" s="1399"/>
      <c r="B1315" s="1429"/>
      <c r="C1315" s="1430"/>
      <c r="D1315" s="1400"/>
      <c r="E1315" s="1401"/>
      <c r="F1315" s="1401"/>
      <c r="G1315" s="1402"/>
      <c r="H1315" s="1403"/>
      <c r="I1315" s="1404"/>
      <c r="J1315" s="1405"/>
      <c r="K1315" s="1405"/>
      <c r="L1315" s="1405"/>
      <c r="M1315" s="1405"/>
      <c r="N1315" s="1406"/>
      <c r="O1315" s="1406"/>
      <c r="P1315" s="1406"/>
      <c r="Q1315" s="1406"/>
      <c r="R1315" s="1406"/>
      <c r="S1315" s="1406"/>
      <c r="T1315" s="1406"/>
      <c r="U1315" s="1406"/>
      <c r="V1315" s="1406"/>
      <c r="W1315" s="1406"/>
      <c r="X1315" s="1406"/>
      <c r="Y1315" s="1406"/>
      <c r="Z1315" s="1406"/>
      <c r="AA1315" s="1406"/>
      <c r="AB1315" s="1406"/>
      <c r="AC1315" s="1406"/>
      <c r="AD1315" s="1406"/>
      <c r="AE1315" s="1406"/>
      <c r="AF1315" s="1406"/>
      <c r="AG1315" s="1406"/>
      <c r="AH1315" s="1406"/>
      <c r="AI1315" s="1406"/>
      <c r="AJ1315" s="1406"/>
      <c r="AK1315" s="1406"/>
      <c r="AL1315" s="1406"/>
      <c r="AM1315" s="1406"/>
      <c r="AN1315" s="1406"/>
      <c r="AO1315" s="1405"/>
      <c r="AP1315" s="1405"/>
      <c r="AQ1315" s="1405"/>
      <c r="AR1315" s="1405"/>
      <c r="AS1315" s="1405"/>
      <c r="AT1315" s="1405"/>
      <c r="AU1315" s="1405"/>
      <c r="AV1315" s="1405"/>
    </row>
    <row r="1316" spans="1:48" s="1431" customFormat="1">
      <c r="A1316" s="1399"/>
      <c r="B1316" s="1429"/>
      <c r="C1316" s="1430"/>
      <c r="D1316" s="1400"/>
      <c r="E1316" s="1401"/>
      <c r="F1316" s="1401"/>
      <c r="G1316" s="1402"/>
      <c r="H1316" s="1403"/>
      <c r="I1316" s="1404"/>
      <c r="J1316" s="1405"/>
      <c r="K1316" s="1405"/>
      <c r="L1316" s="1405"/>
      <c r="M1316" s="1405"/>
      <c r="N1316" s="1406"/>
      <c r="O1316" s="1406"/>
      <c r="P1316" s="1406"/>
      <c r="Q1316" s="1406"/>
      <c r="R1316" s="1406"/>
      <c r="S1316" s="1406"/>
      <c r="T1316" s="1406"/>
      <c r="U1316" s="1406"/>
      <c r="V1316" s="1406"/>
      <c r="W1316" s="1406"/>
      <c r="X1316" s="1406"/>
      <c r="Y1316" s="1406"/>
      <c r="Z1316" s="1406"/>
      <c r="AA1316" s="1406"/>
      <c r="AB1316" s="1406"/>
      <c r="AC1316" s="1406"/>
      <c r="AD1316" s="1406"/>
      <c r="AE1316" s="1406"/>
      <c r="AF1316" s="1406"/>
      <c r="AG1316" s="1406"/>
      <c r="AH1316" s="1406"/>
      <c r="AI1316" s="1406"/>
      <c r="AJ1316" s="1406"/>
      <c r="AK1316" s="1406"/>
      <c r="AL1316" s="1406"/>
      <c r="AM1316" s="1406"/>
      <c r="AN1316" s="1406"/>
      <c r="AO1316" s="1405"/>
      <c r="AP1316" s="1405"/>
      <c r="AQ1316" s="1405"/>
      <c r="AR1316" s="1405"/>
      <c r="AS1316" s="1405"/>
      <c r="AT1316" s="1405"/>
      <c r="AU1316" s="1405"/>
      <c r="AV1316" s="1405"/>
    </row>
    <row r="1317" spans="1:48" s="1431" customFormat="1">
      <c r="A1317" s="1399"/>
      <c r="B1317" s="1429"/>
      <c r="C1317" s="1430"/>
      <c r="D1317" s="1400"/>
      <c r="E1317" s="1401"/>
      <c r="F1317" s="1401"/>
      <c r="G1317" s="1402"/>
      <c r="H1317" s="1403"/>
      <c r="I1317" s="1404"/>
      <c r="J1317" s="1405"/>
      <c r="K1317" s="1405"/>
      <c r="L1317" s="1405"/>
      <c r="M1317" s="1405"/>
      <c r="N1317" s="1406"/>
      <c r="O1317" s="1406"/>
      <c r="P1317" s="1406"/>
      <c r="Q1317" s="1406"/>
      <c r="R1317" s="1406"/>
      <c r="S1317" s="1406"/>
      <c r="T1317" s="1406"/>
      <c r="U1317" s="1406"/>
      <c r="V1317" s="1406"/>
      <c r="W1317" s="1406"/>
      <c r="X1317" s="1406"/>
      <c r="Y1317" s="1406"/>
      <c r="Z1317" s="1406"/>
      <c r="AA1317" s="1406"/>
      <c r="AB1317" s="1406"/>
      <c r="AC1317" s="1406"/>
      <c r="AD1317" s="1406"/>
      <c r="AE1317" s="1406"/>
      <c r="AF1317" s="1406"/>
      <c r="AG1317" s="1406"/>
      <c r="AH1317" s="1406"/>
      <c r="AI1317" s="1406"/>
      <c r="AJ1317" s="1406"/>
      <c r="AK1317" s="1406"/>
      <c r="AL1317" s="1406"/>
      <c r="AM1317" s="1406"/>
      <c r="AN1317" s="1406"/>
      <c r="AO1317" s="1405"/>
      <c r="AP1317" s="1405"/>
      <c r="AQ1317" s="1405"/>
      <c r="AR1317" s="1405"/>
      <c r="AS1317" s="1405"/>
      <c r="AT1317" s="1405"/>
      <c r="AU1317" s="1405"/>
      <c r="AV1317" s="1405"/>
    </row>
    <row r="1318" spans="1:48" s="1431" customFormat="1">
      <c r="A1318" s="1399"/>
      <c r="B1318" s="1429"/>
      <c r="C1318" s="1430"/>
      <c r="D1318" s="1400"/>
      <c r="E1318" s="1401"/>
      <c r="F1318" s="1401"/>
      <c r="G1318" s="1402"/>
      <c r="H1318" s="1403"/>
      <c r="I1318" s="1404"/>
      <c r="J1318" s="1405"/>
      <c r="K1318" s="1405"/>
      <c r="L1318" s="1405"/>
      <c r="M1318" s="1405"/>
      <c r="N1318" s="1406"/>
      <c r="O1318" s="1406"/>
      <c r="P1318" s="1406"/>
      <c r="Q1318" s="1406"/>
      <c r="R1318" s="1406"/>
      <c r="S1318" s="1406"/>
      <c r="T1318" s="1406"/>
      <c r="U1318" s="1406"/>
      <c r="V1318" s="1406"/>
      <c r="W1318" s="1406"/>
      <c r="X1318" s="1406"/>
      <c r="Y1318" s="1406"/>
      <c r="Z1318" s="1406"/>
      <c r="AA1318" s="1406"/>
      <c r="AB1318" s="1406"/>
      <c r="AC1318" s="1406"/>
      <c r="AD1318" s="1406"/>
      <c r="AE1318" s="1406"/>
      <c r="AF1318" s="1406"/>
      <c r="AG1318" s="1406"/>
      <c r="AH1318" s="1406"/>
      <c r="AI1318" s="1406"/>
      <c r="AJ1318" s="1406"/>
      <c r="AK1318" s="1406"/>
      <c r="AL1318" s="1406"/>
      <c r="AM1318" s="1406"/>
      <c r="AN1318" s="1406"/>
      <c r="AO1318" s="1405"/>
      <c r="AP1318" s="1405"/>
      <c r="AQ1318" s="1405"/>
      <c r="AR1318" s="1405"/>
      <c r="AS1318" s="1405"/>
      <c r="AT1318" s="1405"/>
      <c r="AU1318" s="1405"/>
      <c r="AV1318" s="1405"/>
    </row>
    <row r="1319" spans="1:48" s="1431" customFormat="1">
      <c r="A1319" s="1399"/>
      <c r="B1319" s="1429"/>
      <c r="C1319" s="1430"/>
      <c r="D1319" s="1400"/>
      <c r="E1319" s="1401"/>
      <c r="F1319" s="1401"/>
      <c r="G1319" s="1402"/>
      <c r="H1319" s="1403"/>
      <c r="I1319" s="1404"/>
      <c r="J1319" s="1405"/>
      <c r="K1319" s="1405"/>
      <c r="L1319" s="1405"/>
      <c r="M1319" s="1405"/>
      <c r="N1319" s="1406"/>
      <c r="O1319" s="1406"/>
      <c r="P1319" s="1406"/>
      <c r="Q1319" s="1406"/>
      <c r="R1319" s="1406"/>
      <c r="S1319" s="1406"/>
      <c r="T1319" s="1406"/>
      <c r="U1319" s="1406"/>
      <c r="V1319" s="1406"/>
      <c r="W1319" s="1406"/>
      <c r="X1319" s="1406"/>
      <c r="Y1319" s="1406"/>
      <c r="Z1319" s="1406"/>
      <c r="AA1319" s="1406"/>
      <c r="AB1319" s="1406"/>
      <c r="AC1319" s="1406"/>
      <c r="AD1319" s="1406"/>
      <c r="AE1319" s="1406"/>
      <c r="AF1319" s="1406"/>
      <c r="AG1319" s="1406"/>
      <c r="AH1319" s="1406"/>
      <c r="AI1319" s="1406"/>
      <c r="AJ1319" s="1406"/>
      <c r="AK1319" s="1406"/>
      <c r="AL1319" s="1406"/>
      <c r="AM1319" s="1406"/>
      <c r="AN1319" s="1406"/>
      <c r="AO1319" s="1405"/>
      <c r="AP1319" s="1405"/>
      <c r="AQ1319" s="1405"/>
      <c r="AR1319" s="1405"/>
      <c r="AS1319" s="1405"/>
      <c r="AT1319" s="1405"/>
      <c r="AU1319" s="1405"/>
      <c r="AV1319" s="1405"/>
    </row>
    <row r="1320" spans="1:48" s="1431" customFormat="1">
      <c r="A1320" s="1399"/>
      <c r="B1320" s="1429"/>
      <c r="C1320" s="1430"/>
      <c r="D1320" s="1400"/>
      <c r="E1320" s="1401"/>
      <c r="F1320" s="1401"/>
      <c r="G1320" s="1402"/>
      <c r="H1320" s="1403"/>
      <c r="I1320" s="1404"/>
      <c r="J1320" s="1405"/>
      <c r="K1320" s="1405"/>
      <c r="L1320" s="1405"/>
      <c r="M1320" s="1405"/>
      <c r="N1320" s="1406"/>
      <c r="O1320" s="1406"/>
      <c r="P1320" s="1406"/>
      <c r="Q1320" s="1406"/>
      <c r="R1320" s="1406"/>
      <c r="S1320" s="1406"/>
      <c r="T1320" s="1406"/>
      <c r="U1320" s="1406"/>
      <c r="V1320" s="1406"/>
      <c r="W1320" s="1406"/>
      <c r="X1320" s="1406"/>
      <c r="Y1320" s="1406"/>
      <c r="Z1320" s="1406"/>
      <c r="AA1320" s="1406"/>
      <c r="AB1320" s="1406"/>
      <c r="AC1320" s="1406"/>
      <c r="AD1320" s="1406"/>
      <c r="AE1320" s="1406"/>
      <c r="AF1320" s="1406"/>
      <c r="AG1320" s="1406"/>
      <c r="AH1320" s="1406"/>
      <c r="AI1320" s="1406"/>
      <c r="AJ1320" s="1406"/>
      <c r="AK1320" s="1406"/>
      <c r="AL1320" s="1406"/>
      <c r="AM1320" s="1406"/>
      <c r="AN1320" s="1406"/>
      <c r="AO1320" s="1405"/>
      <c r="AP1320" s="1405"/>
      <c r="AQ1320" s="1405"/>
      <c r="AR1320" s="1405"/>
      <c r="AS1320" s="1405"/>
      <c r="AT1320" s="1405"/>
      <c r="AU1320" s="1405"/>
      <c r="AV1320" s="1405"/>
    </row>
    <row r="1321" spans="1:48" s="1431" customFormat="1">
      <c r="A1321" s="1399"/>
      <c r="B1321" s="1429"/>
      <c r="C1321" s="1430"/>
      <c r="D1321" s="1400"/>
      <c r="E1321" s="1401"/>
      <c r="F1321" s="1401"/>
      <c r="G1321" s="1402"/>
      <c r="H1321" s="1403"/>
      <c r="I1321" s="1404"/>
      <c r="J1321" s="1405"/>
      <c r="K1321" s="1405"/>
      <c r="L1321" s="1405"/>
      <c r="M1321" s="1405"/>
      <c r="N1321" s="1406"/>
      <c r="O1321" s="1406"/>
      <c r="P1321" s="1406"/>
      <c r="Q1321" s="1406"/>
      <c r="R1321" s="1406"/>
      <c r="S1321" s="1406"/>
      <c r="T1321" s="1406"/>
      <c r="U1321" s="1406"/>
      <c r="V1321" s="1406"/>
      <c r="W1321" s="1406"/>
      <c r="X1321" s="1406"/>
      <c r="Y1321" s="1406"/>
      <c r="Z1321" s="1406"/>
      <c r="AA1321" s="1406"/>
      <c r="AB1321" s="1406"/>
      <c r="AC1321" s="1406"/>
      <c r="AD1321" s="1406"/>
      <c r="AE1321" s="1406"/>
      <c r="AF1321" s="1406"/>
      <c r="AG1321" s="1406"/>
      <c r="AH1321" s="1406"/>
      <c r="AI1321" s="1406"/>
      <c r="AJ1321" s="1406"/>
      <c r="AK1321" s="1406"/>
      <c r="AL1321" s="1406"/>
      <c r="AM1321" s="1406"/>
      <c r="AN1321" s="1406"/>
      <c r="AO1321" s="1405"/>
      <c r="AP1321" s="1405"/>
      <c r="AQ1321" s="1405"/>
      <c r="AR1321" s="1405"/>
      <c r="AS1321" s="1405"/>
      <c r="AT1321" s="1405"/>
      <c r="AU1321" s="1405"/>
      <c r="AV1321" s="1405"/>
    </row>
    <row r="1322" spans="1:48" s="1431" customFormat="1">
      <c r="A1322" s="1399"/>
      <c r="B1322" s="1429"/>
      <c r="C1322" s="1430"/>
      <c r="D1322" s="1400"/>
      <c r="E1322" s="1401"/>
      <c r="F1322" s="1401"/>
      <c r="G1322" s="1402"/>
      <c r="H1322" s="1403"/>
      <c r="I1322" s="1404"/>
      <c r="J1322" s="1405"/>
      <c r="K1322" s="1405"/>
      <c r="L1322" s="1405"/>
      <c r="M1322" s="1405"/>
      <c r="N1322" s="1406"/>
      <c r="O1322" s="1406"/>
      <c r="P1322" s="1406"/>
      <c r="Q1322" s="1406"/>
      <c r="R1322" s="1406"/>
      <c r="S1322" s="1406"/>
      <c r="T1322" s="1406"/>
      <c r="U1322" s="1406"/>
      <c r="V1322" s="1406"/>
      <c r="W1322" s="1406"/>
      <c r="X1322" s="1406"/>
      <c r="Y1322" s="1406"/>
      <c r="Z1322" s="1406"/>
      <c r="AA1322" s="1406"/>
      <c r="AB1322" s="1406"/>
      <c r="AC1322" s="1406"/>
      <c r="AD1322" s="1406"/>
      <c r="AE1322" s="1406"/>
      <c r="AF1322" s="1406"/>
      <c r="AG1322" s="1406"/>
      <c r="AH1322" s="1406"/>
      <c r="AI1322" s="1406"/>
      <c r="AJ1322" s="1406"/>
      <c r="AK1322" s="1406"/>
      <c r="AL1322" s="1406"/>
      <c r="AM1322" s="1406"/>
      <c r="AN1322" s="1406"/>
      <c r="AO1322" s="1405"/>
      <c r="AP1322" s="1405"/>
      <c r="AQ1322" s="1405"/>
      <c r="AR1322" s="1405"/>
      <c r="AS1322" s="1405"/>
      <c r="AT1322" s="1405"/>
      <c r="AU1322" s="1405"/>
      <c r="AV1322" s="1405"/>
    </row>
    <row r="1323" spans="1:48" s="1431" customFormat="1">
      <c r="A1323" s="1399"/>
      <c r="B1323" s="1429"/>
      <c r="C1323" s="1430"/>
      <c r="D1323" s="1400"/>
      <c r="E1323" s="1401"/>
      <c r="F1323" s="1401"/>
      <c r="G1323" s="1402"/>
      <c r="H1323" s="1403"/>
      <c r="I1323" s="1404"/>
      <c r="J1323" s="1405"/>
      <c r="K1323" s="1405"/>
      <c r="L1323" s="1405"/>
      <c r="M1323" s="1405"/>
      <c r="N1323" s="1406"/>
      <c r="O1323" s="1406"/>
      <c r="P1323" s="1406"/>
      <c r="Q1323" s="1406"/>
      <c r="R1323" s="1406"/>
      <c r="S1323" s="1406"/>
      <c r="T1323" s="1406"/>
      <c r="U1323" s="1406"/>
      <c r="V1323" s="1406"/>
      <c r="W1323" s="1406"/>
      <c r="X1323" s="1406"/>
      <c r="Y1323" s="1406"/>
      <c r="Z1323" s="1406"/>
      <c r="AA1323" s="1406"/>
      <c r="AB1323" s="1406"/>
      <c r="AC1323" s="1406"/>
      <c r="AD1323" s="1406"/>
      <c r="AE1323" s="1406"/>
      <c r="AF1323" s="1406"/>
      <c r="AG1323" s="1406"/>
      <c r="AH1323" s="1406"/>
      <c r="AI1323" s="1406"/>
      <c r="AJ1323" s="1406"/>
      <c r="AK1323" s="1406"/>
      <c r="AL1323" s="1406"/>
      <c r="AM1323" s="1406"/>
      <c r="AN1323" s="1406"/>
      <c r="AO1323" s="1405"/>
      <c r="AP1323" s="1405"/>
      <c r="AQ1323" s="1405"/>
      <c r="AR1323" s="1405"/>
      <c r="AS1323" s="1405"/>
      <c r="AT1323" s="1405"/>
      <c r="AU1323" s="1405"/>
      <c r="AV1323" s="1405"/>
    </row>
    <row r="1324" spans="1:48" s="1431" customFormat="1">
      <c r="A1324" s="1399"/>
      <c r="B1324" s="1429"/>
      <c r="C1324" s="1430"/>
      <c r="D1324" s="1400"/>
      <c r="E1324" s="1401"/>
      <c r="F1324" s="1401"/>
      <c r="G1324" s="1402"/>
      <c r="H1324" s="1403"/>
      <c r="I1324" s="1404"/>
      <c r="J1324" s="1405"/>
      <c r="K1324" s="1405"/>
      <c r="L1324" s="1405"/>
      <c r="M1324" s="1405"/>
      <c r="N1324" s="1406"/>
      <c r="O1324" s="1406"/>
      <c r="P1324" s="1406"/>
      <c r="Q1324" s="1406"/>
      <c r="R1324" s="1406"/>
      <c r="S1324" s="1406"/>
      <c r="T1324" s="1406"/>
      <c r="U1324" s="1406"/>
      <c r="V1324" s="1406"/>
      <c r="W1324" s="1406"/>
      <c r="X1324" s="1406"/>
      <c r="Y1324" s="1406"/>
      <c r="Z1324" s="1406"/>
      <c r="AA1324" s="1406"/>
      <c r="AB1324" s="1406"/>
      <c r="AC1324" s="1406"/>
      <c r="AD1324" s="1406"/>
      <c r="AE1324" s="1406"/>
      <c r="AF1324" s="1406"/>
      <c r="AG1324" s="1406"/>
      <c r="AH1324" s="1406"/>
      <c r="AI1324" s="1406"/>
      <c r="AJ1324" s="1406"/>
      <c r="AK1324" s="1406"/>
      <c r="AL1324" s="1406"/>
      <c r="AM1324" s="1406"/>
      <c r="AN1324" s="1406"/>
      <c r="AO1324" s="1405"/>
      <c r="AP1324" s="1405"/>
      <c r="AQ1324" s="1405"/>
      <c r="AR1324" s="1405"/>
      <c r="AS1324" s="1405"/>
      <c r="AT1324" s="1405"/>
      <c r="AU1324" s="1405"/>
      <c r="AV1324" s="1405"/>
    </row>
    <row r="1325" spans="1:48" s="1431" customFormat="1">
      <c r="A1325" s="1399"/>
      <c r="B1325" s="1429"/>
      <c r="C1325" s="1430"/>
      <c r="D1325" s="1400"/>
      <c r="E1325" s="1401"/>
      <c r="F1325" s="1401"/>
      <c r="G1325" s="1402"/>
      <c r="H1325" s="1403"/>
      <c r="I1325" s="1404"/>
      <c r="J1325" s="1405"/>
      <c r="K1325" s="1405"/>
      <c r="L1325" s="1405"/>
      <c r="M1325" s="1405"/>
      <c r="N1325" s="1406"/>
      <c r="O1325" s="1406"/>
      <c r="P1325" s="1406"/>
      <c r="Q1325" s="1406"/>
      <c r="R1325" s="1406"/>
      <c r="S1325" s="1406"/>
      <c r="T1325" s="1406"/>
      <c r="U1325" s="1406"/>
      <c r="V1325" s="1406"/>
      <c r="W1325" s="1406"/>
      <c r="X1325" s="1406"/>
      <c r="Y1325" s="1406"/>
      <c r="Z1325" s="1406"/>
      <c r="AA1325" s="1406"/>
      <c r="AB1325" s="1406"/>
      <c r="AC1325" s="1406"/>
      <c r="AD1325" s="1406"/>
      <c r="AE1325" s="1406"/>
      <c r="AF1325" s="1406"/>
      <c r="AG1325" s="1406"/>
      <c r="AH1325" s="1406"/>
      <c r="AI1325" s="1406"/>
      <c r="AJ1325" s="1406"/>
      <c r="AK1325" s="1406"/>
      <c r="AL1325" s="1406"/>
      <c r="AM1325" s="1406"/>
      <c r="AN1325" s="1406"/>
      <c r="AO1325" s="1405"/>
      <c r="AP1325" s="1405"/>
      <c r="AQ1325" s="1405"/>
      <c r="AR1325" s="1405"/>
      <c r="AS1325" s="1405"/>
      <c r="AT1325" s="1405"/>
      <c r="AU1325" s="1405"/>
      <c r="AV1325" s="1405"/>
    </row>
    <row r="1326" spans="1:48" s="1431" customFormat="1">
      <c r="A1326" s="1399"/>
      <c r="B1326" s="1429"/>
      <c r="C1326" s="1430"/>
      <c r="D1326" s="1400"/>
      <c r="E1326" s="1401"/>
      <c r="F1326" s="1401"/>
      <c r="G1326" s="1402"/>
      <c r="H1326" s="1403"/>
      <c r="I1326" s="1404"/>
      <c r="J1326" s="1405"/>
      <c r="K1326" s="1405"/>
      <c r="L1326" s="1405"/>
      <c r="M1326" s="1405"/>
      <c r="N1326" s="1406"/>
      <c r="O1326" s="1406"/>
      <c r="P1326" s="1406"/>
      <c r="Q1326" s="1406"/>
      <c r="R1326" s="1406"/>
      <c r="S1326" s="1406"/>
      <c r="T1326" s="1406"/>
      <c r="U1326" s="1406"/>
      <c r="V1326" s="1406"/>
      <c r="W1326" s="1406"/>
      <c r="X1326" s="1406"/>
      <c r="Y1326" s="1406"/>
      <c r="Z1326" s="1406"/>
      <c r="AA1326" s="1406"/>
      <c r="AB1326" s="1406"/>
      <c r="AC1326" s="1406"/>
      <c r="AD1326" s="1406"/>
      <c r="AE1326" s="1406"/>
      <c r="AF1326" s="1406"/>
      <c r="AG1326" s="1406"/>
      <c r="AH1326" s="1406"/>
      <c r="AI1326" s="1406"/>
      <c r="AJ1326" s="1406"/>
      <c r="AK1326" s="1406"/>
      <c r="AL1326" s="1406"/>
      <c r="AM1326" s="1406"/>
      <c r="AN1326" s="1406"/>
      <c r="AO1326" s="1405"/>
      <c r="AP1326" s="1405"/>
      <c r="AQ1326" s="1405"/>
      <c r="AR1326" s="1405"/>
      <c r="AS1326" s="1405"/>
      <c r="AT1326" s="1405"/>
      <c r="AU1326" s="1405"/>
      <c r="AV1326" s="1405"/>
    </row>
    <row r="1327" spans="1:48" s="1431" customFormat="1">
      <c r="A1327" s="1399"/>
      <c r="B1327" s="1429"/>
      <c r="C1327" s="1430"/>
      <c r="D1327" s="1400"/>
      <c r="E1327" s="1401"/>
      <c r="F1327" s="1401"/>
      <c r="G1327" s="1402"/>
      <c r="H1327" s="1403"/>
      <c r="I1327" s="1404"/>
      <c r="J1327" s="1405"/>
      <c r="K1327" s="1405"/>
      <c r="L1327" s="1405"/>
      <c r="M1327" s="1405"/>
      <c r="N1327" s="1406"/>
      <c r="O1327" s="1406"/>
      <c r="P1327" s="1406"/>
      <c r="Q1327" s="1406"/>
      <c r="R1327" s="1406"/>
      <c r="S1327" s="1406"/>
      <c r="T1327" s="1406"/>
      <c r="U1327" s="1406"/>
      <c r="V1327" s="1406"/>
      <c r="W1327" s="1406"/>
      <c r="X1327" s="1406"/>
      <c r="Y1327" s="1406"/>
      <c r="Z1327" s="1406"/>
      <c r="AA1327" s="1406"/>
      <c r="AB1327" s="1406"/>
      <c r="AC1327" s="1406"/>
      <c r="AD1327" s="1406"/>
      <c r="AE1327" s="1406"/>
      <c r="AF1327" s="1406"/>
      <c r="AG1327" s="1406"/>
      <c r="AH1327" s="1406"/>
      <c r="AI1327" s="1406"/>
      <c r="AJ1327" s="1406"/>
      <c r="AK1327" s="1406"/>
      <c r="AL1327" s="1406"/>
      <c r="AM1327" s="1406"/>
      <c r="AN1327" s="1406"/>
      <c r="AO1327" s="1405"/>
      <c r="AP1327" s="1405"/>
      <c r="AQ1327" s="1405"/>
      <c r="AR1327" s="1405"/>
      <c r="AS1327" s="1405"/>
      <c r="AT1327" s="1405"/>
      <c r="AU1327" s="1405"/>
      <c r="AV1327" s="1405"/>
    </row>
    <row r="1328" spans="1:48" s="1431" customFormat="1">
      <c r="A1328" s="1399"/>
      <c r="B1328" s="1429"/>
      <c r="C1328" s="1430"/>
      <c r="D1328" s="1400"/>
      <c r="E1328" s="1401"/>
      <c r="F1328" s="1401"/>
      <c r="G1328" s="1402"/>
      <c r="H1328" s="1403"/>
      <c r="I1328" s="1404"/>
      <c r="J1328" s="1405"/>
      <c r="K1328" s="1405"/>
      <c r="L1328" s="1405"/>
      <c r="M1328" s="1405"/>
      <c r="N1328" s="1406"/>
      <c r="O1328" s="1406"/>
      <c r="P1328" s="1406"/>
      <c r="Q1328" s="1406"/>
      <c r="R1328" s="1406"/>
      <c r="S1328" s="1406"/>
      <c r="T1328" s="1406"/>
      <c r="U1328" s="1406"/>
      <c r="V1328" s="1406"/>
      <c r="W1328" s="1406"/>
      <c r="X1328" s="1406"/>
      <c r="Y1328" s="1406"/>
      <c r="Z1328" s="1406"/>
      <c r="AA1328" s="1406"/>
      <c r="AB1328" s="1406"/>
      <c r="AC1328" s="1406"/>
      <c r="AD1328" s="1406"/>
      <c r="AE1328" s="1406"/>
      <c r="AF1328" s="1406"/>
      <c r="AG1328" s="1406"/>
      <c r="AH1328" s="1406"/>
      <c r="AI1328" s="1406"/>
      <c r="AJ1328" s="1406"/>
      <c r="AK1328" s="1406"/>
      <c r="AL1328" s="1406"/>
      <c r="AM1328" s="1406"/>
      <c r="AN1328" s="1406"/>
      <c r="AO1328" s="1405"/>
      <c r="AP1328" s="1405"/>
      <c r="AQ1328" s="1405"/>
      <c r="AR1328" s="1405"/>
      <c r="AS1328" s="1405"/>
      <c r="AT1328" s="1405"/>
      <c r="AU1328" s="1405"/>
      <c r="AV1328" s="1405"/>
    </row>
    <row r="1329" spans="1:48" s="1431" customFormat="1">
      <c r="A1329" s="1399"/>
      <c r="B1329" s="1429"/>
      <c r="C1329" s="1430"/>
      <c r="D1329" s="1400"/>
      <c r="E1329" s="1401"/>
      <c r="F1329" s="1401"/>
      <c r="G1329" s="1402"/>
      <c r="H1329" s="1403"/>
      <c r="I1329" s="1404"/>
      <c r="J1329" s="1405"/>
      <c r="K1329" s="1405"/>
      <c r="L1329" s="1405"/>
      <c r="M1329" s="1405"/>
      <c r="N1329" s="1406"/>
      <c r="O1329" s="1406"/>
      <c r="P1329" s="1406"/>
      <c r="Q1329" s="1406"/>
      <c r="R1329" s="1406"/>
      <c r="S1329" s="1406"/>
      <c r="T1329" s="1406"/>
      <c r="U1329" s="1406"/>
      <c r="V1329" s="1406"/>
      <c r="W1329" s="1406"/>
      <c r="X1329" s="1406"/>
      <c r="Y1329" s="1406"/>
      <c r="Z1329" s="1406"/>
      <c r="AA1329" s="1406"/>
      <c r="AB1329" s="1406"/>
      <c r="AC1329" s="1406"/>
      <c r="AD1329" s="1406"/>
      <c r="AE1329" s="1406"/>
      <c r="AF1329" s="1406"/>
      <c r="AG1329" s="1406"/>
      <c r="AH1329" s="1406"/>
      <c r="AI1329" s="1406"/>
      <c r="AJ1329" s="1406"/>
      <c r="AK1329" s="1406"/>
      <c r="AL1329" s="1406"/>
      <c r="AM1329" s="1406"/>
      <c r="AN1329" s="1406"/>
      <c r="AO1329" s="1405"/>
      <c r="AP1329" s="1405"/>
      <c r="AQ1329" s="1405"/>
      <c r="AR1329" s="1405"/>
      <c r="AS1329" s="1405"/>
      <c r="AT1329" s="1405"/>
      <c r="AU1329" s="1405"/>
      <c r="AV1329" s="1405"/>
    </row>
    <row r="1330" spans="1:48" s="1431" customFormat="1">
      <c r="A1330" s="1399"/>
      <c r="B1330" s="1429"/>
      <c r="C1330" s="1430"/>
      <c r="D1330" s="1400"/>
      <c r="E1330" s="1401"/>
      <c r="F1330" s="1401"/>
      <c r="G1330" s="1402"/>
      <c r="H1330" s="1403"/>
      <c r="I1330" s="1404"/>
      <c r="J1330" s="1405"/>
      <c r="K1330" s="1405"/>
      <c r="L1330" s="1405"/>
      <c r="M1330" s="1405"/>
      <c r="N1330" s="1406"/>
      <c r="O1330" s="1406"/>
      <c r="P1330" s="1406"/>
      <c r="Q1330" s="1406"/>
      <c r="R1330" s="1406"/>
      <c r="S1330" s="1406"/>
      <c r="T1330" s="1406"/>
      <c r="U1330" s="1406"/>
      <c r="V1330" s="1406"/>
      <c r="W1330" s="1406"/>
      <c r="X1330" s="1406"/>
      <c r="Y1330" s="1406"/>
      <c r="Z1330" s="1406"/>
      <c r="AA1330" s="1406"/>
      <c r="AB1330" s="1406"/>
      <c r="AC1330" s="1406"/>
      <c r="AD1330" s="1406"/>
      <c r="AE1330" s="1406"/>
      <c r="AF1330" s="1406"/>
      <c r="AG1330" s="1406"/>
      <c r="AH1330" s="1406"/>
      <c r="AI1330" s="1406"/>
      <c r="AJ1330" s="1406"/>
      <c r="AK1330" s="1406"/>
      <c r="AL1330" s="1406"/>
      <c r="AM1330" s="1406"/>
      <c r="AN1330" s="1406"/>
      <c r="AO1330" s="1405"/>
      <c r="AP1330" s="1405"/>
      <c r="AQ1330" s="1405"/>
      <c r="AR1330" s="1405"/>
      <c r="AS1330" s="1405"/>
      <c r="AT1330" s="1405"/>
      <c r="AU1330" s="1405"/>
      <c r="AV1330" s="1405"/>
    </row>
    <row r="1331" spans="1:48" s="1431" customFormat="1">
      <c r="A1331" s="1399"/>
      <c r="B1331" s="1429"/>
      <c r="C1331" s="1430"/>
      <c r="D1331" s="1400"/>
      <c r="E1331" s="1401"/>
      <c r="F1331" s="1401"/>
      <c r="G1331" s="1402"/>
      <c r="H1331" s="1403"/>
      <c r="I1331" s="1404"/>
      <c r="J1331" s="1405"/>
      <c r="K1331" s="1405"/>
      <c r="L1331" s="1405"/>
      <c r="M1331" s="1405"/>
      <c r="N1331" s="1406"/>
      <c r="O1331" s="1406"/>
      <c r="P1331" s="1406"/>
      <c r="Q1331" s="1406"/>
      <c r="R1331" s="1406"/>
      <c r="S1331" s="1406"/>
      <c r="T1331" s="1406"/>
      <c r="U1331" s="1406"/>
      <c r="V1331" s="1406"/>
      <c r="W1331" s="1406"/>
      <c r="X1331" s="1406"/>
      <c r="Y1331" s="1406"/>
      <c r="Z1331" s="1406"/>
      <c r="AA1331" s="1406"/>
      <c r="AB1331" s="1406"/>
      <c r="AC1331" s="1406"/>
      <c r="AD1331" s="1406"/>
      <c r="AE1331" s="1406"/>
      <c r="AF1331" s="1406"/>
      <c r="AG1331" s="1406"/>
      <c r="AH1331" s="1406"/>
      <c r="AI1331" s="1406"/>
      <c r="AJ1331" s="1406"/>
      <c r="AK1331" s="1406"/>
      <c r="AL1331" s="1406"/>
      <c r="AM1331" s="1406"/>
      <c r="AN1331" s="1406"/>
      <c r="AO1331" s="1405"/>
      <c r="AP1331" s="1405"/>
      <c r="AQ1331" s="1405"/>
      <c r="AR1331" s="1405"/>
      <c r="AS1331" s="1405"/>
      <c r="AT1331" s="1405"/>
      <c r="AU1331" s="1405"/>
      <c r="AV1331" s="1405"/>
    </row>
    <row r="1332" spans="1:48" s="1431" customFormat="1">
      <c r="A1332" s="1399"/>
      <c r="B1332" s="1429"/>
      <c r="C1332" s="1430"/>
      <c r="D1332" s="1400"/>
      <c r="E1332" s="1401"/>
      <c r="F1332" s="1401"/>
      <c r="G1332" s="1402"/>
      <c r="H1332" s="1403"/>
      <c r="I1332" s="1404"/>
      <c r="J1332" s="1405"/>
      <c r="K1332" s="1405"/>
      <c r="L1332" s="1405"/>
      <c r="M1332" s="1405"/>
      <c r="N1332" s="1406"/>
      <c r="O1332" s="1406"/>
      <c r="P1332" s="1406"/>
      <c r="Q1332" s="1406"/>
      <c r="R1332" s="1406"/>
      <c r="S1332" s="1406"/>
      <c r="T1332" s="1406"/>
      <c r="U1332" s="1406"/>
      <c r="V1332" s="1406"/>
      <c r="W1332" s="1406"/>
      <c r="X1332" s="1406"/>
      <c r="Y1332" s="1406"/>
      <c r="Z1332" s="1406"/>
      <c r="AA1332" s="1406"/>
      <c r="AB1332" s="1406"/>
      <c r="AC1332" s="1406"/>
      <c r="AD1332" s="1406"/>
      <c r="AE1332" s="1406"/>
      <c r="AF1332" s="1406"/>
      <c r="AG1332" s="1406"/>
      <c r="AH1332" s="1406"/>
      <c r="AI1332" s="1406"/>
      <c r="AJ1332" s="1406"/>
      <c r="AK1332" s="1406"/>
      <c r="AL1332" s="1406"/>
      <c r="AM1332" s="1406"/>
      <c r="AN1332" s="1406"/>
      <c r="AO1332" s="1405"/>
      <c r="AP1332" s="1405"/>
      <c r="AQ1332" s="1405"/>
      <c r="AR1332" s="1405"/>
      <c r="AS1332" s="1405"/>
      <c r="AT1332" s="1405"/>
      <c r="AU1332" s="1405"/>
      <c r="AV1332" s="1405"/>
    </row>
    <row r="1333" spans="1:48" s="1431" customFormat="1">
      <c r="A1333" s="1399"/>
      <c r="B1333" s="1429"/>
      <c r="C1333" s="1430"/>
      <c r="D1333" s="1400"/>
      <c r="E1333" s="1401"/>
      <c r="F1333" s="1401"/>
      <c r="G1333" s="1402"/>
      <c r="H1333" s="1403"/>
      <c r="I1333" s="1404"/>
      <c r="J1333" s="1405"/>
      <c r="K1333" s="1405"/>
      <c r="L1333" s="1405"/>
      <c r="M1333" s="1405"/>
      <c r="N1333" s="1406"/>
      <c r="O1333" s="1406"/>
      <c r="P1333" s="1406"/>
      <c r="Q1333" s="1406"/>
      <c r="R1333" s="1406"/>
      <c r="S1333" s="1406"/>
      <c r="T1333" s="1406"/>
      <c r="U1333" s="1406"/>
      <c r="V1333" s="1406"/>
      <c r="W1333" s="1406"/>
      <c r="X1333" s="1406"/>
      <c r="Y1333" s="1406"/>
      <c r="Z1333" s="1406"/>
      <c r="AA1333" s="1406"/>
      <c r="AB1333" s="1406"/>
      <c r="AC1333" s="1406"/>
      <c r="AD1333" s="1406"/>
      <c r="AE1333" s="1406"/>
      <c r="AF1333" s="1406"/>
      <c r="AG1333" s="1406"/>
      <c r="AH1333" s="1406"/>
      <c r="AI1333" s="1406"/>
      <c r="AJ1333" s="1406"/>
      <c r="AK1333" s="1406"/>
      <c r="AL1333" s="1406"/>
      <c r="AM1333" s="1406"/>
      <c r="AN1333" s="1406"/>
      <c r="AO1333" s="1405"/>
      <c r="AP1333" s="1405"/>
      <c r="AQ1333" s="1405"/>
      <c r="AR1333" s="1405"/>
      <c r="AS1333" s="1405"/>
      <c r="AT1333" s="1405"/>
      <c r="AU1333" s="1405"/>
      <c r="AV1333" s="1405"/>
    </row>
    <row r="1334" spans="1:48" s="1431" customFormat="1">
      <c r="A1334" s="1399"/>
      <c r="B1334" s="1429"/>
      <c r="C1334" s="1430"/>
      <c r="D1334" s="1400"/>
      <c r="E1334" s="1401"/>
      <c r="F1334" s="1401"/>
      <c r="G1334" s="1402"/>
      <c r="H1334" s="1403"/>
      <c r="I1334" s="1404"/>
      <c r="J1334" s="1405"/>
      <c r="K1334" s="1405"/>
      <c r="L1334" s="1405"/>
      <c r="M1334" s="1405"/>
      <c r="N1334" s="1406"/>
      <c r="O1334" s="1406"/>
      <c r="P1334" s="1406"/>
      <c r="Q1334" s="1406"/>
      <c r="R1334" s="1406"/>
      <c r="S1334" s="1406"/>
      <c r="T1334" s="1406"/>
      <c r="U1334" s="1406"/>
      <c r="V1334" s="1406"/>
      <c r="W1334" s="1406"/>
      <c r="X1334" s="1406"/>
      <c r="Y1334" s="1406"/>
      <c r="Z1334" s="1406"/>
      <c r="AA1334" s="1406"/>
      <c r="AB1334" s="1406"/>
      <c r="AC1334" s="1406"/>
      <c r="AD1334" s="1406"/>
      <c r="AE1334" s="1406"/>
      <c r="AF1334" s="1406"/>
      <c r="AG1334" s="1406"/>
      <c r="AH1334" s="1406"/>
      <c r="AI1334" s="1406"/>
      <c r="AJ1334" s="1406"/>
      <c r="AK1334" s="1406"/>
      <c r="AL1334" s="1406"/>
      <c r="AM1334" s="1406"/>
      <c r="AN1334" s="1406"/>
      <c r="AO1334" s="1405"/>
      <c r="AP1334" s="1405"/>
      <c r="AQ1334" s="1405"/>
      <c r="AR1334" s="1405"/>
      <c r="AS1334" s="1405"/>
      <c r="AT1334" s="1405"/>
      <c r="AU1334" s="1405"/>
      <c r="AV1334" s="1405"/>
    </row>
    <row r="1335" spans="1:48" s="1431" customFormat="1">
      <c r="A1335" s="1399"/>
      <c r="B1335" s="1429"/>
      <c r="C1335" s="1430"/>
      <c r="D1335" s="1400"/>
      <c r="E1335" s="1401"/>
      <c r="F1335" s="1401"/>
      <c r="G1335" s="1402"/>
      <c r="H1335" s="1403"/>
      <c r="I1335" s="1404"/>
      <c r="J1335" s="1405"/>
      <c r="K1335" s="1405"/>
      <c r="L1335" s="1405"/>
      <c r="M1335" s="1405"/>
      <c r="N1335" s="1406"/>
      <c r="O1335" s="1406"/>
      <c r="P1335" s="1406"/>
      <c r="Q1335" s="1406"/>
      <c r="R1335" s="1406"/>
      <c r="S1335" s="1406"/>
      <c r="T1335" s="1406"/>
      <c r="U1335" s="1406"/>
      <c r="V1335" s="1406"/>
      <c r="W1335" s="1406"/>
      <c r="X1335" s="1406"/>
      <c r="Y1335" s="1406"/>
      <c r="Z1335" s="1406"/>
      <c r="AA1335" s="1406"/>
      <c r="AB1335" s="1406"/>
      <c r="AC1335" s="1406"/>
      <c r="AD1335" s="1406"/>
      <c r="AE1335" s="1406"/>
      <c r="AF1335" s="1406"/>
      <c r="AG1335" s="1406"/>
      <c r="AH1335" s="1406"/>
      <c r="AI1335" s="1406"/>
      <c r="AJ1335" s="1406"/>
      <c r="AK1335" s="1406"/>
      <c r="AL1335" s="1406"/>
      <c r="AM1335" s="1406"/>
      <c r="AN1335" s="1406"/>
      <c r="AO1335" s="1405"/>
      <c r="AP1335" s="1405"/>
      <c r="AQ1335" s="1405"/>
      <c r="AR1335" s="1405"/>
      <c r="AS1335" s="1405"/>
      <c r="AT1335" s="1405"/>
      <c r="AU1335" s="1405"/>
      <c r="AV1335" s="1405"/>
    </row>
    <row r="1336" spans="1:48" s="1431" customFormat="1">
      <c r="A1336" s="1399"/>
      <c r="B1336" s="1429"/>
      <c r="C1336" s="1430"/>
      <c r="D1336" s="1400"/>
      <c r="E1336" s="1401"/>
      <c r="F1336" s="1401"/>
      <c r="G1336" s="1402"/>
      <c r="H1336" s="1403"/>
      <c r="I1336" s="1404"/>
      <c r="J1336" s="1405"/>
      <c r="K1336" s="1405"/>
      <c r="L1336" s="1405"/>
      <c r="M1336" s="1405"/>
      <c r="N1336" s="1406"/>
      <c r="O1336" s="1406"/>
      <c r="P1336" s="1406"/>
      <c r="Q1336" s="1406"/>
      <c r="R1336" s="1406"/>
      <c r="S1336" s="1406"/>
      <c r="T1336" s="1406"/>
      <c r="U1336" s="1406"/>
      <c r="V1336" s="1406"/>
      <c r="W1336" s="1406"/>
      <c r="X1336" s="1406"/>
      <c r="Y1336" s="1406"/>
      <c r="Z1336" s="1406"/>
      <c r="AA1336" s="1406"/>
      <c r="AB1336" s="1406"/>
      <c r="AC1336" s="1406"/>
      <c r="AD1336" s="1406"/>
      <c r="AE1336" s="1406"/>
      <c r="AF1336" s="1406"/>
      <c r="AG1336" s="1406"/>
      <c r="AH1336" s="1406"/>
      <c r="AI1336" s="1406"/>
      <c r="AJ1336" s="1406"/>
      <c r="AK1336" s="1406"/>
      <c r="AL1336" s="1406"/>
      <c r="AM1336" s="1406"/>
      <c r="AN1336" s="1406"/>
      <c r="AO1336" s="1405"/>
      <c r="AP1336" s="1405"/>
      <c r="AQ1336" s="1405"/>
      <c r="AR1336" s="1405"/>
      <c r="AS1336" s="1405"/>
      <c r="AT1336" s="1405"/>
      <c r="AU1336" s="1405"/>
      <c r="AV1336" s="1405"/>
    </row>
    <row r="1337" spans="1:48" s="1431" customFormat="1">
      <c r="A1337" s="1399"/>
      <c r="B1337" s="1429"/>
      <c r="C1337" s="1430"/>
      <c r="D1337" s="1400"/>
      <c r="E1337" s="1401"/>
      <c r="F1337" s="1401"/>
      <c r="G1337" s="1402"/>
      <c r="H1337" s="1403"/>
      <c r="I1337" s="1404"/>
      <c r="J1337" s="1405"/>
      <c r="K1337" s="1405"/>
      <c r="L1337" s="1405"/>
      <c r="M1337" s="1405"/>
      <c r="N1337" s="1406"/>
      <c r="O1337" s="1406"/>
      <c r="P1337" s="1406"/>
      <c r="Q1337" s="1406"/>
      <c r="R1337" s="1406"/>
      <c r="S1337" s="1406"/>
      <c r="T1337" s="1406"/>
      <c r="U1337" s="1406"/>
      <c r="V1337" s="1406"/>
      <c r="W1337" s="1406"/>
      <c r="X1337" s="1406"/>
      <c r="Y1337" s="1406"/>
      <c r="Z1337" s="1406"/>
      <c r="AA1337" s="1406"/>
      <c r="AB1337" s="1406"/>
      <c r="AC1337" s="1406"/>
      <c r="AD1337" s="1406"/>
      <c r="AE1337" s="1406"/>
      <c r="AF1337" s="1406"/>
      <c r="AG1337" s="1406"/>
      <c r="AH1337" s="1406"/>
      <c r="AI1337" s="1406"/>
      <c r="AJ1337" s="1406"/>
      <c r="AK1337" s="1406"/>
      <c r="AL1337" s="1406"/>
      <c r="AM1337" s="1406"/>
      <c r="AN1337" s="1406"/>
      <c r="AO1337" s="1405"/>
      <c r="AP1337" s="1405"/>
      <c r="AQ1337" s="1405"/>
      <c r="AR1337" s="1405"/>
      <c r="AS1337" s="1405"/>
      <c r="AT1337" s="1405"/>
      <c r="AU1337" s="1405"/>
      <c r="AV1337" s="1405"/>
    </row>
    <row r="1338" spans="1:48" s="1431" customFormat="1">
      <c r="A1338" s="1399"/>
      <c r="B1338" s="1429"/>
      <c r="C1338" s="1430"/>
      <c r="D1338" s="1400"/>
      <c r="E1338" s="1401"/>
      <c r="F1338" s="1401"/>
      <c r="G1338" s="1402"/>
      <c r="H1338" s="1403"/>
      <c r="I1338" s="1404"/>
      <c r="J1338" s="1405"/>
      <c r="K1338" s="1405"/>
      <c r="L1338" s="1405"/>
      <c r="M1338" s="1405"/>
      <c r="N1338" s="1406"/>
      <c r="O1338" s="1406"/>
      <c r="P1338" s="1406"/>
      <c r="Q1338" s="1406"/>
      <c r="R1338" s="1406"/>
      <c r="S1338" s="1406"/>
      <c r="T1338" s="1406"/>
      <c r="U1338" s="1406"/>
      <c r="V1338" s="1406"/>
      <c r="W1338" s="1406"/>
      <c r="X1338" s="1406"/>
      <c r="Y1338" s="1406"/>
      <c r="Z1338" s="1406"/>
      <c r="AA1338" s="1406"/>
      <c r="AB1338" s="1406"/>
      <c r="AC1338" s="1406"/>
      <c r="AD1338" s="1406"/>
      <c r="AE1338" s="1406"/>
      <c r="AF1338" s="1406"/>
      <c r="AG1338" s="1406"/>
      <c r="AH1338" s="1406"/>
      <c r="AI1338" s="1406"/>
      <c r="AJ1338" s="1406"/>
      <c r="AK1338" s="1406"/>
      <c r="AL1338" s="1406"/>
      <c r="AM1338" s="1406"/>
      <c r="AN1338" s="1406"/>
      <c r="AO1338" s="1405"/>
      <c r="AP1338" s="1405"/>
      <c r="AQ1338" s="1405"/>
      <c r="AR1338" s="1405"/>
      <c r="AS1338" s="1405"/>
      <c r="AT1338" s="1405"/>
      <c r="AU1338" s="1405"/>
      <c r="AV1338" s="1405"/>
    </row>
    <row r="1339" spans="1:48" s="1431" customFormat="1">
      <c r="A1339" s="1399"/>
      <c r="B1339" s="1429"/>
      <c r="C1339" s="1430"/>
      <c r="D1339" s="1400"/>
      <c r="E1339" s="1401"/>
      <c r="F1339" s="1401"/>
      <c r="G1339" s="1402"/>
      <c r="H1339" s="1403"/>
      <c r="I1339" s="1404"/>
      <c r="J1339" s="1405"/>
      <c r="K1339" s="1405"/>
      <c r="L1339" s="1405"/>
      <c r="M1339" s="1405"/>
      <c r="N1339" s="1406"/>
      <c r="O1339" s="1406"/>
      <c r="P1339" s="1406"/>
      <c r="Q1339" s="1406"/>
      <c r="R1339" s="1406"/>
      <c r="S1339" s="1406"/>
      <c r="T1339" s="1406"/>
      <c r="U1339" s="1406"/>
      <c r="V1339" s="1406"/>
      <c r="W1339" s="1406"/>
      <c r="X1339" s="1406"/>
      <c r="Y1339" s="1406"/>
      <c r="Z1339" s="1406"/>
      <c r="AA1339" s="1406"/>
      <c r="AB1339" s="1406"/>
      <c r="AC1339" s="1406"/>
      <c r="AD1339" s="1406"/>
      <c r="AE1339" s="1406"/>
      <c r="AF1339" s="1406"/>
      <c r="AG1339" s="1406"/>
      <c r="AH1339" s="1406"/>
      <c r="AI1339" s="1406"/>
      <c r="AJ1339" s="1406"/>
      <c r="AK1339" s="1406"/>
      <c r="AL1339" s="1406"/>
      <c r="AM1339" s="1406"/>
      <c r="AN1339" s="1406"/>
      <c r="AO1339" s="1405"/>
      <c r="AP1339" s="1405"/>
      <c r="AQ1339" s="1405"/>
      <c r="AR1339" s="1405"/>
      <c r="AS1339" s="1405"/>
      <c r="AT1339" s="1405"/>
      <c r="AU1339" s="1405"/>
      <c r="AV1339" s="1405"/>
    </row>
    <row r="1340" spans="1:48" s="1431" customFormat="1">
      <c r="A1340" s="1399"/>
      <c r="B1340" s="1429"/>
      <c r="C1340" s="1430"/>
      <c r="D1340" s="1400"/>
      <c r="E1340" s="1401"/>
      <c r="F1340" s="1401"/>
      <c r="G1340" s="1402"/>
      <c r="H1340" s="1403"/>
      <c r="I1340" s="1404"/>
      <c r="J1340" s="1405"/>
      <c r="K1340" s="1405"/>
      <c r="L1340" s="1405"/>
      <c r="M1340" s="1405"/>
      <c r="N1340" s="1406"/>
      <c r="O1340" s="1406"/>
      <c r="P1340" s="1406"/>
      <c r="Q1340" s="1406"/>
      <c r="R1340" s="1406"/>
      <c r="S1340" s="1406"/>
      <c r="T1340" s="1406"/>
      <c r="U1340" s="1406"/>
      <c r="V1340" s="1406"/>
      <c r="W1340" s="1406"/>
      <c r="X1340" s="1406"/>
      <c r="Y1340" s="1406"/>
      <c r="Z1340" s="1406"/>
      <c r="AA1340" s="1406"/>
      <c r="AB1340" s="1406"/>
      <c r="AC1340" s="1406"/>
      <c r="AD1340" s="1406"/>
      <c r="AE1340" s="1406"/>
      <c r="AF1340" s="1406"/>
      <c r="AG1340" s="1406"/>
      <c r="AH1340" s="1406"/>
      <c r="AI1340" s="1406"/>
      <c r="AJ1340" s="1406"/>
      <c r="AK1340" s="1406"/>
      <c r="AL1340" s="1406"/>
      <c r="AM1340" s="1406"/>
      <c r="AN1340" s="1406"/>
      <c r="AO1340" s="1405"/>
      <c r="AP1340" s="1405"/>
      <c r="AQ1340" s="1405"/>
      <c r="AR1340" s="1405"/>
      <c r="AS1340" s="1405"/>
      <c r="AT1340" s="1405"/>
      <c r="AU1340" s="1405"/>
      <c r="AV1340" s="1405"/>
    </row>
    <row r="1341" spans="1:48" s="1431" customFormat="1">
      <c r="A1341" s="1399"/>
      <c r="B1341" s="1429"/>
      <c r="C1341" s="1430"/>
      <c r="D1341" s="1400"/>
      <c r="E1341" s="1401"/>
      <c r="F1341" s="1401"/>
      <c r="G1341" s="1402"/>
      <c r="H1341" s="1403"/>
      <c r="I1341" s="1404"/>
      <c r="J1341" s="1405"/>
      <c r="K1341" s="1405"/>
      <c r="L1341" s="1405"/>
      <c r="M1341" s="1405"/>
      <c r="N1341" s="1406"/>
      <c r="O1341" s="1406"/>
      <c r="P1341" s="1406"/>
      <c r="Q1341" s="1406"/>
      <c r="R1341" s="1406"/>
      <c r="S1341" s="1406"/>
      <c r="T1341" s="1406"/>
      <c r="U1341" s="1406"/>
      <c r="V1341" s="1406"/>
      <c r="W1341" s="1406"/>
      <c r="X1341" s="1406"/>
      <c r="Y1341" s="1406"/>
      <c r="Z1341" s="1406"/>
      <c r="AA1341" s="1406"/>
      <c r="AB1341" s="1406"/>
      <c r="AC1341" s="1406"/>
      <c r="AD1341" s="1406"/>
      <c r="AE1341" s="1406"/>
      <c r="AF1341" s="1406"/>
      <c r="AG1341" s="1406"/>
      <c r="AH1341" s="1406"/>
      <c r="AI1341" s="1406"/>
      <c r="AJ1341" s="1406"/>
      <c r="AK1341" s="1406"/>
      <c r="AL1341" s="1406"/>
      <c r="AM1341" s="1406"/>
      <c r="AN1341" s="1406"/>
      <c r="AO1341" s="1405"/>
      <c r="AP1341" s="1405"/>
      <c r="AQ1341" s="1405"/>
      <c r="AR1341" s="1405"/>
      <c r="AS1341" s="1405"/>
      <c r="AT1341" s="1405"/>
      <c r="AU1341" s="1405"/>
      <c r="AV1341" s="1405"/>
    </row>
    <row r="1342" spans="1:48" s="1431" customFormat="1">
      <c r="A1342" s="1399"/>
      <c r="B1342" s="1429"/>
      <c r="C1342" s="1430"/>
      <c r="D1342" s="1400"/>
      <c r="E1342" s="1401"/>
      <c r="F1342" s="1401"/>
      <c r="G1342" s="1402"/>
      <c r="H1342" s="1403"/>
      <c r="I1342" s="1404"/>
      <c r="J1342" s="1405"/>
      <c r="K1342" s="1405"/>
      <c r="L1342" s="1405"/>
      <c r="M1342" s="1405"/>
      <c r="N1342" s="1406"/>
      <c r="O1342" s="1406"/>
      <c r="P1342" s="1406"/>
      <c r="Q1342" s="1406"/>
      <c r="R1342" s="1406"/>
      <c r="S1342" s="1406"/>
      <c r="T1342" s="1406"/>
      <c r="U1342" s="1406"/>
      <c r="V1342" s="1406"/>
      <c r="W1342" s="1406"/>
      <c r="X1342" s="1406"/>
      <c r="Y1342" s="1406"/>
      <c r="Z1342" s="1406"/>
      <c r="AA1342" s="1406"/>
      <c r="AB1342" s="1406"/>
      <c r="AC1342" s="1406"/>
      <c r="AD1342" s="1406"/>
      <c r="AE1342" s="1406"/>
      <c r="AF1342" s="1406"/>
      <c r="AG1342" s="1406"/>
      <c r="AH1342" s="1406"/>
      <c r="AI1342" s="1406"/>
      <c r="AJ1342" s="1406"/>
      <c r="AK1342" s="1406"/>
      <c r="AL1342" s="1406"/>
      <c r="AM1342" s="1406"/>
      <c r="AN1342" s="1406"/>
      <c r="AO1342" s="1405"/>
      <c r="AP1342" s="1405"/>
      <c r="AQ1342" s="1405"/>
      <c r="AR1342" s="1405"/>
      <c r="AS1342" s="1405"/>
      <c r="AT1342" s="1405"/>
      <c r="AU1342" s="1405"/>
      <c r="AV1342" s="1405"/>
    </row>
    <row r="1343" spans="1:48" s="1431" customFormat="1">
      <c r="A1343" s="1399"/>
      <c r="B1343" s="1429"/>
      <c r="C1343" s="1430"/>
      <c r="D1343" s="1400"/>
      <c r="E1343" s="1401"/>
      <c r="F1343" s="1401"/>
      <c r="G1343" s="1402"/>
      <c r="H1343" s="1403"/>
      <c r="I1343" s="1404"/>
      <c r="J1343" s="1405"/>
      <c r="K1343" s="1405"/>
      <c r="L1343" s="1405"/>
      <c r="M1343" s="1405"/>
      <c r="N1343" s="1406"/>
      <c r="O1343" s="1406"/>
      <c r="P1343" s="1406"/>
      <c r="Q1343" s="1406"/>
      <c r="R1343" s="1406"/>
      <c r="S1343" s="1406"/>
      <c r="T1343" s="1406"/>
      <c r="U1343" s="1406"/>
      <c r="V1343" s="1406"/>
      <c r="W1343" s="1406"/>
      <c r="X1343" s="1406"/>
      <c r="Y1343" s="1406"/>
      <c r="Z1343" s="1406"/>
      <c r="AA1343" s="1406"/>
      <c r="AB1343" s="1406"/>
      <c r="AC1343" s="1406"/>
      <c r="AD1343" s="1406"/>
      <c r="AE1343" s="1406"/>
      <c r="AF1343" s="1406"/>
      <c r="AG1343" s="1406"/>
      <c r="AH1343" s="1406"/>
      <c r="AI1343" s="1406"/>
      <c r="AJ1343" s="1406"/>
      <c r="AK1343" s="1406"/>
      <c r="AL1343" s="1406"/>
      <c r="AM1343" s="1406"/>
      <c r="AN1343" s="1406"/>
      <c r="AO1343" s="1405"/>
      <c r="AP1343" s="1405"/>
      <c r="AQ1343" s="1405"/>
      <c r="AR1343" s="1405"/>
      <c r="AS1343" s="1405"/>
      <c r="AT1343" s="1405"/>
      <c r="AU1343" s="1405"/>
      <c r="AV1343" s="1405"/>
    </row>
    <row r="1344" spans="1:48" s="1431" customFormat="1">
      <c r="A1344" s="1399"/>
      <c r="B1344" s="1429"/>
      <c r="C1344" s="1430"/>
      <c r="D1344" s="1400"/>
      <c r="E1344" s="1401"/>
      <c r="F1344" s="1401"/>
      <c r="G1344" s="1402"/>
      <c r="H1344" s="1403"/>
      <c r="I1344" s="1404"/>
      <c r="J1344" s="1405"/>
      <c r="K1344" s="1405"/>
      <c r="L1344" s="1405"/>
      <c r="M1344" s="1405"/>
      <c r="N1344" s="1406"/>
      <c r="O1344" s="1406"/>
      <c r="P1344" s="1406"/>
      <c r="Q1344" s="1406"/>
      <c r="R1344" s="1406"/>
      <c r="S1344" s="1406"/>
      <c r="T1344" s="1406"/>
      <c r="U1344" s="1406"/>
      <c r="V1344" s="1406"/>
      <c r="W1344" s="1406"/>
      <c r="X1344" s="1406"/>
      <c r="Y1344" s="1406"/>
      <c r="Z1344" s="1406"/>
      <c r="AA1344" s="1406"/>
      <c r="AB1344" s="1406"/>
      <c r="AC1344" s="1406"/>
      <c r="AD1344" s="1406"/>
      <c r="AE1344" s="1406"/>
      <c r="AF1344" s="1406"/>
      <c r="AG1344" s="1406"/>
      <c r="AH1344" s="1406"/>
      <c r="AI1344" s="1406"/>
      <c r="AJ1344" s="1406"/>
      <c r="AK1344" s="1406"/>
      <c r="AL1344" s="1406"/>
      <c r="AM1344" s="1406"/>
      <c r="AN1344" s="1406"/>
      <c r="AO1344" s="1405"/>
      <c r="AP1344" s="1405"/>
      <c r="AQ1344" s="1405"/>
      <c r="AR1344" s="1405"/>
      <c r="AS1344" s="1405"/>
      <c r="AT1344" s="1405"/>
      <c r="AU1344" s="1405"/>
      <c r="AV1344" s="1405"/>
    </row>
    <row r="1345" spans="1:48" s="1431" customFormat="1">
      <c r="A1345" s="1399"/>
      <c r="B1345" s="1429"/>
      <c r="C1345" s="1430"/>
      <c r="D1345" s="1400"/>
      <c r="E1345" s="1401"/>
      <c r="F1345" s="1401"/>
      <c r="G1345" s="1402"/>
      <c r="H1345" s="1403"/>
      <c r="I1345" s="1404"/>
      <c r="J1345" s="1405"/>
      <c r="K1345" s="1405"/>
      <c r="L1345" s="1405"/>
      <c r="M1345" s="1405"/>
      <c r="N1345" s="1406"/>
      <c r="O1345" s="1406"/>
      <c r="P1345" s="1406"/>
      <c r="Q1345" s="1406"/>
      <c r="R1345" s="1406"/>
      <c r="S1345" s="1406"/>
      <c r="T1345" s="1406"/>
      <c r="U1345" s="1406"/>
      <c r="V1345" s="1406"/>
      <c r="W1345" s="1406"/>
      <c r="X1345" s="1406"/>
      <c r="Y1345" s="1406"/>
      <c r="Z1345" s="1406"/>
      <c r="AA1345" s="1406"/>
      <c r="AB1345" s="1406"/>
      <c r="AC1345" s="1406"/>
      <c r="AD1345" s="1406"/>
      <c r="AE1345" s="1406"/>
      <c r="AF1345" s="1406"/>
      <c r="AG1345" s="1406"/>
      <c r="AH1345" s="1406"/>
      <c r="AI1345" s="1406"/>
      <c r="AJ1345" s="1406"/>
      <c r="AK1345" s="1406"/>
      <c r="AL1345" s="1406"/>
      <c r="AM1345" s="1406"/>
      <c r="AN1345" s="1406"/>
      <c r="AO1345" s="1405"/>
      <c r="AP1345" s="1405"/>
      <c r="AQ1345" s="1405"/>
      <c r="AR1345" s="1405"/>
      <c r="AS1345" s="1405"/>
      <c r="AT1345" s="1405"/>
      <c r="AU1345" s="1405"/>
      <c r="AV1345" s="1405"/>
    </row>
    <row r="1346" spans="1:48" s="1431" customFormat="1">
      <c r="A1346" s="1399"/>
      <c r="B1346" s="1429"/>
      <c r="C1346" s="1430"/>
      <c r="D1346" s="1400"/>
      <c r="E1346" s="1401"/>
      <c r="F1346" s="1401"/>
      <c r="G1346" s="1402"/>
      <c r="H1346" s="1403"/>
      <c r="I1346" s="1404"/>
      <c r="J1346" s="1405"/>
      <c r="K1346" s="1405"/>
      <c r="L1346" s="1405"/>
      <c r="M1346" s="1405"/>
      <c r="N1346" s="1406"/>
      <c r="O1346" s="1406"/>
      <c r="P1346" s="1406"/>
      <c r="Q1346" s="1406"/>
      <c r="R1346" s="1406"/>
      <c r="S1346" s="1406"/>
      <c r="T1346" s="1406"/>
      <c r="U1346" s="1406"/>
      <c r="V1346" s="1406"/>
      <c r="W1346" s="1406"/>
      <c r="X1346" s="1406"/>
      <c r="Y1346" s="1406"/>
      <c r="Z1346" s="1406"/>
      <c r="AA1346" s="1406"/>
      <c r="AB1346" s="1406"/>
      <c r="AC1346" s="1406"/>
      <c r="AD1346" s="1406"/>
      <c r="AE1346" s="1406"/>
      <c r="AF1346" s="1406"/>
      <c r="AG1346" s="1406"/>
      <c r="AH1346" s="1406"/>
      <c r="AI1346" s="1406"/>
      <c r="AJ1346" s="1406"/>
      <c r="AK1346" s="1406"/>
      <c r="AL1346" s="1406"/>
      <c r="AM1346" s="1406"/>
      <c r="AN1346" s="1406"/>
      <c r="AO1346" s="1405"/>
      <c r="AP1346" s="1405"/>
      <c r="AQ1346" s="1405"/>
      <c r="AR1346" s="1405"/>
      <c r="AS1346" s="1405"/>
      <c r="AT1346" s="1405"/>
      <c r="AU1346" s="1405"/>
      <c r="AV1346" s="1405"/>
    </row>
    <row r="1347" spans="1:48" s="1431" customFormat="1">
      <c r="A1347" s="1399"/>
      <c r="B1347" s="1429"/>
      <c r="C1347" s="1430"/>
      <c r="D1347" s="1400"/>
      <c r="E1347" s="1401"/>
      <c r="F1347" s="1401"/>
      <c r="G1347" s="1402"/>
      <c r="H1347" s="1403"/>
      <c r="I1347" s="1404"/>
      <c r="J1347" s="1405"/>
      <c r="K1347" s="1405"/>
      <c r="L1347" s="1405"/>
      <c r="M1347" s="1405"/>
      <c r="N1347" s="1406"/>
      <c r="O1347" s="1406"/>
      <c r="P1347" s="1406"/>
      <c r="Q1347" s="1406"/>
      <c r="R1347" s="1406"/>
      <c r="S1347" s="1406"/>
      <c r="T1347" s="1406"/>
      <c r="U1347" s="1406"/>
      <c r="V1347" s="1406"/>
      <c r="W1347" s="1406"/>
      <c r="X1347" s="1406"/>
      <c r="Y1347" s="1406"/>
      <c r="Z1347" s="1406"/>
      <c r="AA1347" s="1406"/>
      <c r="AB1347" s="1406"/>
      <c r="AC1347" s="1406"/>
      <c r="AD1347" s="1406"/>
      <c r="AE1347" s="1406"/>
      <c r="AF1347" s="1406"/>
      <c r="AG1347" s="1406"/>
      <c r="AH1347" s="1406"/>
      <c r="AI1347" s="1406"/>
      <c r="AJ1347" s="1406"/>
      <c r="AK1347" s="1406"/>
      <c r="AL1347" s="1406"/>
      <c r="AM1347" s="1406"/>
      <c r="AN1347" s="1406"/>
      <c r="AO1347" s="1405"/>
      <c r="AP1347" s="1405"/>
      <c r="AQ1347" s="1405"/>
      <c r="AR1347" s="1405"/>
      <c r="AS1347" s="1405"/>
      <c r="AT1347" s="1405"/>
      <c r="AU1347" s="1405"/>
      <c r="AV1347" s="1405"/>
    </row>
    <row r="1348" spans="1:48" s="1431" customFormat="1">
      <c r="A1348" s="1399"/>
      <c r="B1348" s="1429"/>
      <c r="C1348" s="1430"/>
      <c r="D1348" s="1400"/>
      <c r="E1348" s="1401"/>
      <c r="F1348" s="1401"/>
      <c r="G1348" s="1402"/>
      <c r="H1348" s="1403"/>
      <c r="I1348" s="1404"/>
      <c r="J1348" s="1405"/>
      <c r="K1348" s="1405"/>
      <c r="L1348" s="1405"/>
      <c r="M1348" s="1405"/>
      <c r="N1348" s="1406"/>
      <c r="O1348" s="1406"/>
      <c r="P1348" s="1406"/>
      <c r="Q1348" s="1406"/>
      <c r="R1348" s="1406"/>
      <c r="S1348" s="1406"/>
      <c r="T1348" s="1406"/>
      <c r="U1348" s="1406"/>
      <c r="V1348" s="1406"/>
      <c r="W1348" s="1406"/>
      <c r="X1348" s="1406"/>
      <c r="Y1348" s="1406"/>
      <c r="Z1348" s="1406"/>
      <c r="AA1348" s="1406"/>
      <c r="AB1348" s="1406"/>
      <c r="AC1348" s="1406"/>
      <c r="AD1348" s="1406"/>
      <c r="AE1348" s="1406"/>
      <c r="AF1348" s="1406"/>
      <c r="AG1348" s="1406"/>
      <c r="AH1348" s="1406"/>
      <c r="AI1348" s="1406"/>
      <c r="AJ1348" s="1406"/>
      <c r="AK1348" s="1406"/>
      <c r="AL1348" s="1406"/>
      <c r="AM1348" s="1406"/>
      <c r="AN1348" s="1406"/>
      <c r="AO1348" s="1405"/>
      <c r="AP1348" s="1405"/>
      <c r="AQ1348" s="1405"/>
      <c r="AR1348" s="1405"/>
      <c r="AS1348" s="1405"/>
      <c r="AT1348" s="1405"/>
      <c r="AU1348" s="1405"/>
      <c r="AV1348" s="1405"/>
    </row>
    <row r="1349" spans="1:48" s="1431" customFormat="1">
      <c r="A1349" s="1399"/>
      <c r="B1349" s="1429"/>
      <c r="C1349" s="1430"/>
      <c r="D1349" s="1400"/>
      <c r="E1349" s="1401"/>
      <c r="F1349" s="1401"/>
      <c r="G1349" s="1402"/>
      <c r="H1349" s="1403"/>
      <c r="I1349" s="1404"/>
      <c r="J1349" s="1405"/>
      <c r="K1349" s="1405"/>
      <c r="L1349" s="1405"/>
      <c r="M1349" s="1405"/>
      <c r="N1349" s="1406"/>
      <c r="O1349" s="1406"/>
      <c r="P1349" s="1406"/>
      <c r="Q1349" s="1406"/>
      <c r="R1349" s="1406"/>
      <c r="S1349" s="1406"/>
      <c r="T1349" s="1406"/>
      <c r="U1349" s="1406"/>
      <c r="V1349" s="1406"/>
      <c r="W1349" s="1406"/>
      <c r="X1349" s="1406"/>
      <c r="Y1349" s="1406"/>
      <c r="Z1349" s="1406"/>
      <c r="AA1349" s="1406"/>
      <c r="AB1349" s="1406"/>
      <c r="AC1349" s="1406"/>
      <c r="AD1349" s="1406"/>
      <c r="AE1349" s="1406"/>
      <c r="AF1349" s="1406"/>
      <c r="AG1349" s="1406"/>
      <c r="AH1349" s="1406"/>
      <c r="AI1349" s="1406"/>
      <c r="AJ1349" s="1406"/>
      <c r="AK1349" s="1406"/>
      <c r="AL1349" s="1406"/>
      <c r="AM1349" s="1406"/>
      <c r="AN1349" s="1406"/>
      <c r="AO1349" s="1405"/>
      <c r="AP1349" s="1405"/>
      <c r="AQ1349" s="1405"/>
      <c r="AR1349" s="1405"/>
      <c r="AS1349" s="1405"/>
      <c r="AT1349" s="1405"/>
      <c r="AU1349" s="1405"/>
      <c r="AV1349" s="1405"/>
    </row>
    <row r="1350" spans="1:48" s="1431" customFormat="1">
      <c r="A1350" s="1399"/>
      <c r="B1350" s="1429"/>
      <c r="C1350" s="1430"/>
      <c r="D1350" s="1400"/>
      <c r="E1350" s="1401"/>
      <c r="F1350" s="1401"/>
      <c r="G1350" s="1402"/>
      <c r="H1350" s="1403"/>
      <c r="I1350" s="1404"/>
      <c r="J1350" s="1405"/>
      <c r="K1350" s="1405"/>
      <c r="L1350" s="1405"/>
      <c r="M1350" s="1405"/>
      <c r="N1350" s="1406"/>
      <c r="O1350" s="1406"/>
      <c r="P1350" s="1406"/>
      <c r="Q1350" s="1406"/>
      <c r="R1350" s="1406"/>
      <c r="S1350" s="1406"/>
      <c r="T1350" s="1406"/>
      <c r="U1350" s="1406"/>
      <c r="V1350" s="1406"/>
      <c r="W1350" s="1406"/>
      <c r="X1350" s="1406"/>
      <c r="Y1350" s="1406"/>
      <c r="Z1350" s="1406"/>
      <c r="AA1350" s="1406"/>
      <c r="AB1350" s="1406"/>
      <c r="AC1350" s="1406"/>
      <c r="AD1350" s="1406"/>
      <c r="AE1350" s="1406"/>
      <c r="AF1350" s="1406"/>
      <c r="AG1350" s="1406"/>
      <c r="AH1350" s="1406"/>
      <c r="AI1350" s="1406"/>
      <c r="AJ1350" s="1406"/>
      <c r="AK1350" s="1406"/>
      <c r="AL1350" s="1406"/>
      <c r="AM1350" s="1406"/>
      <c r="AN1350" s="1406"/>
      <c r="AO1350" s="1405"/>
      <c r="AP1350" s="1405"/>
      <c r="AQ1350" s="1405"/>
      <c r="AR1350" s="1405"/>
      <c r="AS1350" s="1405"/>
      <c r="AT1350" s="1405"/>
      <c r="AU1350" s="1405"/>
      <c r="AV1350" s="1405"/>
    </row>
    <row r="1351" spans="1:48" s="1431" customFormat="1">
      <c r="A1351" s="1399"/>
      <c r="B1351" s="1429"/>
      <c r="C1351" s="1430"/>
      <c r="D1351" s="1400"/>
      <c r="E1351" s="1401"/>
      <c r="F1351" s="1401"/>
      <c r="G1351" s="1402"/>
      <c r="H1351" s="1403"/>
      <c r="I1351" s="1404"/>
      <c r="J1351" s="1405"/>
      <c r="K1351" s="1405"/>
      <c r="L1351" s="1405"/>
      <c r="M1351" s="1405"/>
      <c r="N1351" s="1406"/>
      <c r="O1351" s="1406"/>
      <c r="P1351" s="1406"/>
      <c r="Q1351" s="1406"/>
      <c r="R1351" s="1406"/>
      <c r="S1351" s="1406"/>
      <c r="T1351" s="1406"/>
      <c r="U1351" s="1406"/>
      <c r="V1351" s="1406"/>
      <c r="W1351" s="1406"/>
      <c r="X1351" s="1406"/>
      <c r="Y1351" s="1406"/>
      <c r="Z1351" s="1406"/>
      <c r="AA1351" s="1406"/>
      <c r="AB1351" s="1406"/>
      <c r="AC1351" s="1406"/>
      <c r="AD1351" s="1406"/>
      <c r="AE1351" s="1406"/>
      <c r="AF1351" s="1406"/>
      <c r="AG1351" s="1406"/>
      <c r="AH1351" s="1406"/>
      <c r="AI1351" s="1406"/>
      <c r="AJ1351" s="1406"/>
      <c r="AK1351" s="1406"/>
      <c r="AL1351" s="1406"/>
      <c r="AM1351" s="1406"/>
      <c r="AN1351" s="1406"/>
      <c r="AO1351" s="1405"/>
      <c r="AP1351" s="1405"/>
      <c r="AQ1351" s="1405"/>
      <c r="AR1351" s="1405"/>
      <c r="AS1351" s="1405"/>
      <c r="AT1351" s="1405"/>
      <c r="AU1351" s="1405"/>
      <c r="AV1351" s="1405"/>
    </row>
    <row r="1352" spans="1:48" s="1431" customFormat="1">
      <c r="A1352" s="1399"/>
      <c r="B1352" s="1429"/>
      <c r="C1352" s="1430"/>
      <c r="D1352" s="1400"/>
      <c r="E1352" s="1401"/>
      <c r="F1352" s="1401"/>
      <c r="G1352" s="1402"/>
      <c r="H1352" s="1403"/>
      <c r="I1352" s="1404"/>
      <c r="J1352" s="1405"/>
      <c r="K1352" s="1405"/>
      <c r="L1352" s="1405"/>
      <c r="M1352" s="1405"/>
      <c r="N1352" s="1406"/>
      <c r="O1352" s="1406"/>
      <c r="P1352" s="1406"/>
      <c r="Q1352" s="1406"/>
      <c r="R1352" s="1406"/>
      <c r="S1352" s="1406"/>
      <c r="T1352" s="1406"/>
      <c r="U1352" s="1406"/>
      <c r="V1352" s="1406"/>
      <c r="W1352" s="1406"/>
      <c r="X1352" s="1406"/>
      <c r="Y1352" s="1406"/>
      <c r="Z1352" s="1406"/>
      <c r="AA1352" s="1406"/>
      <c r="AB1352" s="1406"/>
      <c r="AC1352" s="1406"/>
      <c r="AD1352" s="1406"/>
      <c r="AE1352" s="1406"/>
      <c r="AF1352" s="1406"/>
      <c r="AG1352" s="1406"/>
      <c r="AH1352" s="1406"/>
      <c r="AI1352" s="1406"/>
      <c r="AJ1352" s="1406"/>
      <c r="AK1352" s="1406"/>
      <c r="AL1352" s="1406"/>
      <c r="AM1352" s="1406"/>
      <c r="AN1352" s="1406"/>
      <c r="AO1352" s="1405"/>
      <c r="AP1352" s="1405"/>
      <c r="AQ1352" s="1405"/>
      <c r="AR1352" s="1405"/>
      <c r="AS1352" s="1405"/>
      <c r="AT1352" s="1405"/>
      <c r="AU1352" s="1405"/>
      <c r="AV1352" s="1405"/>
    </row>
    <row r="1353" spans="1:48" s="1431" customFormat="1">
      <c r="A1353" s="1399"/>
      <c r="B1353" s="1429"/>
      <c r="C1353" s="1430"/>
      <c r="D1353" s="1400"/>
      <c r="E1353" s="1401"/>
      <c r="F1353" s="1401"/>
      <c r="G1353" s="1402"/>
      <c r="H1353" s="1403"/>
      <c r="I1353" s="1404"/>
      <c r="J1353" s="1405"/>
      <c r="K1353" s="1405"/>
      <c r="L1353" s="1405"/>
      <c r="M1353" s="1405"/>
      <c r="N1353" s="1406"/>
      <c r="O1353" s="1406"/>
      <c r="P1353" s="1406"/>
      <c r="Q1353" s="1406"/>
      <c r="R1353" s="1406"/>
      <c r="S1353" s="1406"/>
      <c r="T1353" s="1406"/>
      <c r="U1353" s="1406"/>
      <c r="V1353" s="1406"/>
      <c r="W1353" s="1406"/>
      <c r="X1353" s="1406"/>
      <c r="Y1353" s="1406"/>
      <c r="Z1353" s="1406"/>
      <c r="AA1353" s="1406"/>
      <c r="AB1353" s="1406"/>
      <c r="AC1353" s="1406"/>
      <c r="AD1353" s="1406"/>
      <c r="AE1353" s="1406"/>
      <c r="AF1353" s="1406"/>
      <c r="AG1353" s="1406"/>
      <c r="AH1353" s="1406"/>
      <c r="AI1353" s="1406"/>
      <c r="AJ1353" s="1406"/>
      <c r="AK1353" s="1406"/>
      <c r="AL1353" s="1406"/>
      <c r="AM1353" s="1406"/>
      <c r="AN1353" s="1406"/>
      <c r="AO1353" s="1405"/>
      <c r="AP1353" s="1405"/>
      <c r="AQ1353" s="1405"/>
      <c r="AR1353" s="1405"/>
      <c r="AS1353" s="1405"/>
      <c r="AT1353" s="1405"/>
      <c r="AU1353" s="1405"/>
      <c r="AV1353" s="1405"/>
    </row>
    <row r="1354" spans="1:48" s="1431" customFormat="1">
      <c r="A1354" s="1399"/>
      <c r="B1354" s="1429"/>
      <c r="C1354" s="1430"/>
      <c r="D1354" s="1400"/>
      <c r="E1354" s="1401"/>
      <c r="F1354" s="1401"/>
      <c r="G1354" s="1402"/>
      <c r="H1354" s="1403"/>
      <c r="I1354" s="1404"/>
      <c r="J1354" s="1405"/>
      <c r="K1354" s="1405"/>
      <c r="L1354" s="1405"/>
      <c r="M1354" s="1405"/>
      <c r="N1354" s="1406"/>
      <c r="O1354" s="1406"/>
      <c r="P1354" s="1406"/>
      <c r="Q1354" s="1406"/>
      <c r="R1354" s="1406"/>
      <c r="S1354" s="1406"/>
      <c r="T1354" s="1406"/>
      <c r="U1354" s="1406"/>
      <c r="V1354" s="1406"/>
      <c r="W1354" s="1406"/>
      <c r="X1354" s="1406"/>
      <c r="Y1354" s="1406"/>
      <c r="Z1354" s="1406"/>
      <c r="AA1354" s="1406"/>
      <c r="AB1354" s="1406"/>
      <c r="AC1354" s="1406"/>
      <c r="AD1354" s="1406"/>
      <c r="AE1354" s="1406"/>
      <c r="AF1354" s="1406"/>
      <c r="AG1354" s="1406"/>
      <c r="AH1354" s="1406"/>
      <c r="AI1354" s="1406"/>
      <c r="AJ1354" s="1406"/>
      <c r="AK1354" s="1406"/>
      <c r="AL1354" s="1406"/>
      <c r="AM1354" s="1406"/>
      <c r="AN1354" s="1406"/>
      <c r="AO1354" s="1405"/>
      <c r="AP1354" s="1405"/>
      <c r="AQ1354" s="1405"/>
      <c r="AR1354" s="1405"/>
      <c r="AS1354" s="1405"/>
      <c r="AT1354" s="1405"/>
      <c r="AU1354" s="1405"/>
      <c r="AV1354" s="1405"/>
    </row>
    <row r="1355" spans="1:48" s="1431" customFormat="1">
      <c r="A1355" s="1399"/>
      <c r="B1355" s="1429"/>
      <c r="C1355" s="1430"/>
      <c r="D1355" s="1400"/>
      <c r="E1355" s="1401"/>
      <c r="F1355" s="1401"/>
      <c r="G1355" s="1402"/>
      <c r="H1355" s="1403"/>
      <c r="I1355" s="1404"/>
      <c r="J1355" s="1405"/>
      <c r="K1355" s="1405"/>
      <c r="L1355" s="1405"/>
      <c r="M1355" s="1405"/>
      <c r="N1355" s="1406"/>
      <c r="O1355" s="1406"/>
      <c r="P1355" s="1406"/>
      <c r="Q1355" s="1406"/>
      <c r="R1355" s="1406"/>
      <c r="S1355" s="1406"/>
      <c r="T1355" s="1406"/>
      <c r="U1355" s="1406"/>
      <c r="V1355" s="1406"/>
      <c r="W1355" s="1406"/>
      <c r="X1355" s="1406"/>
      <c r="Y1355" s="1406"/>
      <c r="Z1355" s="1406"/>
      <c r="AA1355" s="1406"/>
      <c r="AB1355" s="1406"/>
      <c r="AC1355" s="1406"/>
      <c r="AD1355" s="1406"/>
      <c r="AE1355" s="1406"/>
      <c r="AF1355" s="1406"/>
      <c r="AG1355" s="1406"/>
      <c r="AH1355" s="1406"/>
      <c r="AI1355" s="1406"/>
      <c r="AJ1355" s="1406"/>
      <c r="AK1355" s="1406"/>
      <c r="AL1355" s="1406"/>
      <c r="AM1355" s="1406"/>
      <c r="AN1355" s="1406"/>
      <c r="AO1355" s="1405"/>
      <c r="AP1355" s="1405"/>
      <c r="AQ1355" s="1405"/>
      <c r="AR1355" s="1405"/>
      <c r="AS1355" s="1405"/>
      <c r="AT1355" s="1405"/>
      <c r="AU1355" s="1405"/>
      <c r="AV1355" s="1405"/>
    </row>
    <row r="1356" spans="1:48" s="1431" customFormat="1">
      <c r="A1356" s="1399"/>
      <c r="B1356" s="1429"/>
      <c r="C1356" s="1430"/>
      <c r="D1356" s="1400"/>
      <c r="E1356" s="1401"/>
      <c r="F1356" s="1401"/>
      <c r="G1356" s="1402"/>
      <c r="H1356" s="1403"/>
      <c r="I1356" s="1404"/>
      <c r="J1356" s="1405"/>
      <c r="K1356" s="1405"/>
      <c r="L1356" s="1405"/>
      <c r="M1356" s="1405"/>
      <c r="N1356" s="1406"/>
      <c r="O1356" s="1406"/>
      <c r="P1356" s="1406"/>
      <c r="Q1356" s="1406"/>
      <c r="R1356" s="1406"/>
      <c r="S1356" s="1406"/>
      <c r="T1356" s="1406"/>
      <c r="U1356" s="1406"/>
      <c r="V1356" s="1406"/>
      <c r="W1356" s="1406"/>
      <c r="X1356" s="1406"/>
      <c r="Y1356" s="1406"/>
      <c r="Z1356" s="1406"/>
      <c r="AA1356" s="1406"/>
      <c r="AB1356" s="1406"/>
      <c r="AC1356" s="1406"/>
      <c r="AD1356" s="1406"/>
      <c r="AE1356" s="1406"/>
      <c r="AF1356" s="1406"/>
      <c r="AG1356" s="1406"/>
      <c r="AH1356" s="1406"/>
      <c r="AI1356" s="1406"/>
      <c r="AJ1356" s="1406"/>
      <c r="AK1356" s="1406"/>
      <c r="AL1356" s="1406"/>
      <c r="AM1356" s="1406"/>
      <c r="AN1356" s="1406"/>
      <c r="AO1356" s="1405"/>
      <c r="AP1356" s="1405"/>
      <c r="AQ1356" s="1405"/>
      <c r="AR1356" s="1405"/>
      <c r="AS1356" s="1405"/>
      <c r="AT1356" s="1405"/>
      <c r="AU1356" s="1405"/>
      <c r="AV1356" s="1405"/>
    </row>
    <row r="1357" spans="1:48" s="1431" customFormat="1">
      <c r="A1357" s="1399"/>
      <c r="B1357" s="1429"/>
      <c r="C1357" s="1430"/>
      <c r="D1357" s="1400"/>
      <c r="E1357" s="1401"/>
      <c r="F1357" s="1401"/>
      <c r="G1357" s="1402"/>
      <c r="H1357" s="1403"/>
      <c r="I1357" s="1404"/>
      <c r="J1357" s="1405"/>
      <c r="K1357" s="1405"/>
      <c r="L1357" s="1405"/>
      <c r="M1357" s="1405"/>
      <c r="N1357" s="1406"/>
      <c r="O1357" s="1406"/>
      <c r="P1357" s="1406"/>
      <c r="Q1357" s="1406"/>
      <c r="R1357" s="1406"/>
      <c r="S1357" s="1406"/>
      <c r="T1357" s="1406"/>
      <c r="U1357" s="1406"/>
      <c r="V1357" s="1406"/>
      <c r="W1357" s="1406"/>
      <c r="X1357" s="1406"/>
      <c r="Y1357" s="1406"/>
      <c r="Z1357" s="1406"/>
      <c r="AA1357" s="1406"/>
      <c r="AB1357" s="1406"/>
      <c r="AC1357" s="1406"/>
      <c r="AD1357" s="1406"/>
      <c r="AE1357" s="1406"/>
      <c r="AF1357" s="1406"/>
      <c r="AG1357" s="1406"/>
      <c r="AH1357" s="1406"/>
      <c r="AI1357" s="1406"/>
      <c r="AJ1357" s="1406"/>
      <c r="AK1357" s="1406"/>
      <c r="AL1357" s="1406"/>
      <c r="AM1357" s="1406"/>
      <c r="AN1357" s="1406"/>
      <c r="AO1357" s="1405"/>
      <c r="AP1357" s="1405"/>
      <c r="AQ1357" s="1405"/>
      <c r="AR1357" s="1405"/>
      <c r="AS1357" s="1405"/>
      <c r="AT1357" s="1405"/>
      <c r="AU1357" s="1405"/>
      <c r="AV1357" s="1405"/>
    </row>
    <row r="1358" spans="1:48" s="1431" customFormat="1">
      <c r="A1358" s="1399"/>
      <c r="B1358" s="1429"/>
      <c r="C1358" s="1430"/>
      <c r="D1358" s="1400"/>
      <c r="E1358" s="1401"/>
      <c r="F1358" s="1401"/>
      <c r="G1358" s="1402"/>
      <c r="H1358" s="1403"/>
      <c r="I1358" s="1404"/>
      <c r="J1358" s="1405"/>
      <c r="K1358" s="1405"/>
      <c r="L1358" s="1405"/>
      <c r="M1358" s="1405"/>
      <c r="N1358" s="1406"/>
      <c r="O1358" s="1406"/>
      <c r="P1358" s="1406"/>
      <c r="Q1358" s="1406"/>
      <c r="R1358" s="1406"/>
      <c r="S1358" s="1406"/>
      <c r="T1358" s="1406"/>
      <c r="U1358" s="1406"/>
      <c r="V1358" s="1406"/>
      <c r="W1358" s="1406"/>
      <c r="X1358" s="1406"/>
      <c r="Y1358" s="1406"/>
      <c r="Z1358" s="1406"/>
      <c r="AA1358" s="1406"/>
      <c r="AB1358" s="1406"/>
      <c r="AC1358" s="1406"/>
      <c r="AD1358" s="1406"/>
      <c r="AE1358" s="1406"/>
      <c r="AF1358" s="1406"/>
      <c r="AG1358" s="1406"/>
      <c r="AH1358" s="1406"/>
      <c r="AI1358" s="1406"/>
      <c r="AJ1358" s="1406"/>
      <c r="AK1358" s="1406"/>
      <c r="AL1358" s="1406"/>
      <c r="AM1358" s="1406"/>
      <c r="AN1358" s="1406"/>
      <c r="AO1358" s="1405"/>
      <c r="AP1358" s="1405"/>
      <c r="AQ1358" s="1405"/>
      <c r="AR1358" s="1405"/>
      <c r="AS1358" s="1405"/>
      <c r="AT1358" s="1405"/>
      <c r="AU1358" s="1405"/>
      <c r="AV1358" s="1405"/>
    </row>
    <row r="1359" spans="1:48" s="1431" customFormat="1">
      <c r="A1359" s="1399"/>
      <c r="B1359" s="1429"/>
      <c r="C1359" s="1430"/>
      <c r="D1359" s="1400"/>
      <c r="E1359" s="1401"/>
      <c r="F1359" s="1401"/>
      <c r="G1359" s="1402"/>
      <c r="H1359" s="1403"/>
      <c r="I1359" s="1404"/>
      <c r="J1359" s="1405"/>
      <c r="K1359" s="1405"/>
      <c r="L1359" s="1405"/>
      <c r="M1359" s="1405"/>
      <c r="N1359" s="1406"/>
      <c r="O1359" s="1406"/>
      <c r="P1359" s="1406"/>
      <c r="Q1359" s="1406"/>
      <c r="R1359" s="1406"/>
      <c r="S1359" s="1406"/>
      <c r="T1359" s="1406"/>
      <c r="U1359" s="1406"/>
      <c r="V1359" s="1406"/>
      <c r="W1359" s="1406"/>
      <c r="X1359" s="1406"/>
      <c r="Y1359" s="1406"/>
      <c r="Z1359" s="1406"/>
      <c r="AA1359" s="1406"/>
      <c r="AB1359" s="1406"/>
      <c r="AC1359" s="1406"/>
      <c r="AD1359" s="1406"/>
      <c r="AE1359" s="1406"/>
      <c r="AF1359" s="1406"/>
      <c r="AG1359" s="1406"/>
      <c r="AH1359" s="1406"/>
      <c r="AI1359" s="1406"/>
      <c r="AJ1359" s="1406"/>
      <c r="AK1359" s="1406"/>
      <c r="AL1359" s="1406"/>
      <c r="AM1359" s="1406"/>
      <c r="AN1359" s="1406"/>
      <c r="AO1359" s="1405"/>
      <c r="AP1359" s="1405"/>
      <c r="AQ1359" s="1405"/>
      <c r="AR1359" s="1405"/>
      <c r="AS1359" s="1405"/>
      <c r="AT1359" s="1405"/>
      <c r="AU1359" s="1405"/>
      <c r="AV1359" s="1405"/>
    </row>
    <row r="1360" spans="1:48" s="1431" customFormat="1">
      <c r="A1360" s="1399"/>
      <c r="B1360" s="1429"/>
      <c r="C1360" s="1430"/>
      <c r="D1360" s="1400"/>
      <c r="E1360" s="1401"/>
      <c r="F1360" s="1401"/>
      <c r="G1360" s="1402"/>
      <c r="H1360" s="1403"/>
      <c r="I1360" s="1404"/>
      <c r="J1360" s="1405"/>
      <c r="K1360" s="1405"/>
      <c r="L1360" s="1405"/>
      <c r="M1360" s="1405"/>
      <c r="N1360" s="1406"/>
      <c r="O1360" s="1406"/>
      <c r="P1360" s="1406"/>
      <c r="Q1360" s="1406"/>
      <c r="R1360" s="1406"/>
      <c r="S1360" s="1406"/>
      <c r="T1360" s="1406"/>
      <c r="U1360" s="1406"/>
      <c r="V1360" s="1406"/>
      <c r="W1360" s="1406"/>
      <c r="X1360" s="1406"/>
      <c r="Y1360" s="1406"/>
      <c r="Z1360" s="1406"/>
      <c r="AA1360" s="1406"/>
      <c r="AB1360" s="1406"/>
      <c r="AC1360" s="1406"/>
      <c r="AD1360" s="1406"/>
      <c r="AE1360" s="1406"/>
      <c r="AF1360" s="1406"/>
      <c r="AG1360" s="1406"/>
      <c r="AH1360" s="1406"/>
      <c r="AI1360" s="1406"/>
      <c r="AJ1360" s="1406"/>
      <c r="AK1360" s="1406"/>
      <c r="AL1360" s="1406"/>
      <c r="AM1360" s="1406"/>
      <c r="AN1360" s="1406"/>
      <c r="AO1360" s="1405"/>
      <c r="AP1360" s="1405"/>
      <c r="AQ1360" s="1405"/>
      <c r="AR1360" s="1405"/>
      <c r="AS1360" s="1405"/>
      <c r="AT1360" s="1405"/>
      <c r="AU1360" s="1405"/>
      <c r="AV1360" s="1405"/>
    </row>
    <row r="1361" spans="1:48" s="1431" customFormat="1">
      <c r="A1361" s="1399"/>
      <c r="B1361" s="1429"/>
      <c r="C1361" s="1430"/>
      <c r="D1361" s="1400"/>
      <c r="E1361" s="1401"/>
      <c r="F1361" s="1401"/>
      <c r="G1361" s="1402"/>
      <c r="H1361" s="1403"/>
      <c r="I1361" s="1404"/>
      <c r="J1361" s="1405"/>
      <c r="K1361" s="1405"/>
      <c r="L1361" s="1405"/>
      <c r="M1361" s="1405"/>
      <c r="N1361" s="1406"/>
      <c r="O1361" s="1406"/>
      <c r="P1361" s="1406"/>
      <c r="Q1361" s="1406"/>
      <c r="R1361" s="1406"/>
      <c r="S1361" s="1406"/>
      <c r="T1361" s="1406"/>
      <c r="U1361" s="1406"/>
      <c r="V1361" s="1406"/>
      <c r="W1361" s="1406"/>
      <c r="X1361" s="1406"/>
      <c r="Y1361" s="1406"/>
      <c r="Z1361" s="1406"/>
      <c r="AA1361" s="1406"/>
      <c r="AB1361" s="1406"/>
      <c r="AC1361" s="1406"/>
      <c r="AD1361" s="1406"/>
      <c r="AE1361" s="1406"/>
      <c r="AF1361" s="1406"/>
      <c r="AG1361" s="1406"/>
      <c r="AH1361" s="1406"/>
      <c r="AI1361" s="1406"/>
      <c r="AJ1361" s="1406"/>
      <c r="AK1361" s="1406"/>
      <c r="AL1361" s="1406"/>
      <c r="AM1361" s="1406"/>
      <c r="AN1361" s="1406"/>
      <c r="AO1361" s="1405"/>
      <c r="AP1361" s="1405"/>
      <c r="AQ1361" s="1405"/>
      <c r="AR1361" s="1405"/>
      <c r="AS1361" s="1405"/>
      <c r="AT1361" s="1405"/>
      <c r="AU1361" s="1405"/>
      <c r="AV1361" s="1405"/>
    </row>
    <row r="1362" spans="1:48" s="1431" customFormat="1">
      <c r="A1362" s="1399"/>
      <c r="B1362" s="1429"/>
      <c r="C1362" s="1430"/>
      <c r="D1362" s="1400"/>
      <c r="E1362" s="1401"/>
      <c r="F1362" s="1401"/>
      <c r="G1362" s="1402"/>
      <c r="H1362" s="1403"/>
      <c r="I1362" s="1404"/>
      <c r="J1362" s="1405"/>
      <c r="K1362" s="1405"/>
      <c r="L1362" s="1405"/>
      <c r="M1362" s="1405"/>
      <c r="N1362" s="1406"/>
      <c r="O1362" s="1406"/>
      <c r="P1362" s="1406"/>
      <c r="Q1362" s="1406"/>
      <c r="R1362" s="1406"/>
      <c r="S1362" s="1406"/>
      <c r="T1362" s="1406"/>
      <c r="U1362" s="1406"/>
      <c r="V1362" s="1406"/>
      <c r="W1362" s="1406"/>
      <c r="X1362" s="1406"/>
      <c r="Y1362" s="1406"/>
      <c r="Z1362" s="1406"/>
      <c r="AA1362" s="1406"/>
      <c r="AB1362" s="1406"/>
      <c r="AC1362" s="1406"/>
      <c r="AD1362" s="1406"/>
      <c r="AE1362" s="1406"/>
      <c r="AF1362" s="1406"/>
      <c r="AG1362" s="1406"/>
      <c r="AH1362" s="1406"/>
      <c r="AI1362" s="1406"/>
      <c r="AJ1362" s="1406"/>
      <c r="AK1362" s="1406"/>
      <c r="AL1362" s="1406"/>
      <c r="AM1362" s="1406"/>
      <c r="AN1362" s="1406"/>
      <c r="AO1362" s="1405"/>
      <c r="AP1362" s="1405"/>
      <c r="AQ1362" s="1405"/>
      <c r="AR1362" s="1405"/>
      <c r="AS1362" s="1405"/>
      <c r="AT1362" s="1405"/>
      <c r="AU1362" s="1405"/>
      <c r="AV1362" s="1405"/>
    </row>
    <row r="1363" spans="1:48" s="1431" customFormat="1">
      <c r="A1363" s="1399"/>
      <c r="B1363" s="1429"/>
      <c r="C1363" s="1430"/>
      <c r="D1363" s="1400"/>
      <c r="E1363" s="1401"/>
      <c r="F1363" s="1401"/>
      <c r="G1363" s="1402"/>
      <c r="H1363" s="1403"/>
      <c r="I1363" s="1404"/>
      <c r="J1363" s="1405"/>
      <c r="K1363" s="1405"/>
      <c r="L1363" s="1405"/>
      <c r="M1363" s="1405"/>
      <c r="N1363" s="1406"/>
      <c r="O1363" s="1406"/>
      <c r="P1363" s="1406"/>
      <c r="Q1363" s="1406"/>
      <c r="R1363" s="1406"/>
      <c r="S1363" s="1406"/>
      <c r="T1363" s="1406"/>
      <c r="U1363" s="1406"/>
      <c r="V1363" s="1406"/>
      <c r="W1363" s="1406"/>
      <c r="X1363" s="1406"/>
      <c r="Y1363" s="1406"/>
      <c r="Z1363" s="1406"/>
      <c r="AA1363" s="1406"/>
      <c r="AB1363" s="1406"/>
      <c r="AC1363" s="1406"/>
      <c r="AD1363" s="1406"/>
      <c r="AE1363" s="1406"/>
      <c r="AF1363" s="1406"/>
      <c r="AG1363" s="1406"/>
      <c r="AH1363" s="1406"/>
      <c r="AI1363" s="1406"/>
      <c r="AJ1363" s="1406"/>
      <c r="AK1363" s="1406"/>
      <c r="AL1363" s="1406"/>
      <c r="AM1363" s="1406"/>
      <c r="AN1363" s="1406"/>
      <c r="AO1363" s="1405"/>
      <c r="AP1363" s="1405"/>
      <c r="AQ1363" s="1405"/>
      <c r="AR1363" s="1405"/>
      <c r="AS1363" s="1405"/>
      <c r="AT1363" s="1405"/>
      <c r="AU1363" s="1405"/>
      <c r="AV1363" s="1405"/>
    </row>
    <row r="1364" spans="1:48" s="1431" customFormat="1">
      <c r="A1364" s="1399"/>
      <c r="B1364" s="1429"/>
      <c r="C1364" s="1430"/>
      <c r="D1364" s="1400"/>
      <c r="E1364" s="1401"/>
      <c r="F1364" s="1401"/>
      <c r="G1364" s="1402"/>
      <c r="H1364" s="1403"/>
      <c r="I1364" s="1404"/>
      <c r="J1364" s="1405"/>
      <c r="K1364" s="1405"/>
      <c r="L1364" s="1405"/>
      <c r="M1364" s="1405"/>
      <c r="N1364" s="1406"/>
      <c r="O1364" s="1406"/>
      <c r="P1364" s="1406"/>
      <c r="Q1364" s="1406"/>
      <c r="R1364" s="1406"/>
      <c r="S1364" s="1406"/>
      <c r="T1364" s="1406"/>
      <c r="U1364" s="1406"/>
      <c r="V1364" s="1406"/>
      <c r="W1364" s="1406"/>
      <c r="X1364" s="1406"/>
      <c r="Y1364" s="1406"/>
      <c r="Z1364" s="1406"/>
      <c r="AA1364" s="1406"/>
      <c r="AB1364" s="1406"/>
      <c r="AC1364" s="1406"/>
      <c r="AD1364" s="1406"/>
      <c r="AE1364" s="1406"/>
      <c r="AF1364" s="1406"/>
      <c r="AG1364" s="1406"/>
      <c r="AH1364" s="1406"/>
      <c r="AI1364" s="1406"/>
      <c r="AJ1364" s="1406"/>
      <c r="AK1364" s="1406"/>
      <c r="AL1364" s="1406"/>
      <c r="AM1364" s="1406"/>
      <c r="AN1364" s="1406"/>
      <c r="AO1364" s="1405"/>
      <c r="AP1364" s="1405"/>
      <c r="AQ1364" s="1405"/>
      <c r="AR1364" s="1405"/>
      <c r="AS1364" s="1405"/>
      <c r="AT1364" s="1405"/>
      <c r="AU1364" s="1405"/>
      <c r="AV1364" s="1405"/>
    </row>
    <row r="1365" spans="1:48" s="1431" customFormat="1">
      <c r="A1365" s="1399"/>
      <c r="B1365" s="1429"/>
      <c r="C1365" s="1430"/>
      <c r="D1365" s="1400"/>
      <c r="E1365" s="1401"/>
      <c r="F1365" s="1401"/>
      <c r="G1365" s="1402"/>
      <c r="H1365" s="1403"/>
      <c r="I1365" s="1404"/>
      <c r="J1365" s="1405"/>
      <c r="K1365" s="1405"/>
      <c r="L1365" s="1405"/>
      <c r="M1365" s="1405"/>
      <c r="N1365" s="1406"/>
      <c r="O1365" s="1406"/>
      <c r="P1365" s="1406"/>
      <c r="Q1365" s="1406"/>
      <c r="R1365" s="1406"/>
      <c r="S1365" s="1406"/>
      <c r="T1365" s="1406"/>
      <c r="U1365" s="1406"/>
      <c r="V1365" s="1406"/>
      <c r="W1365" s="1406"/>
      <c r="X1365" s="1406"/>
      <c r="Y1365" s="1406"/>
      <c r="Z1365" s="1406"/>
      <c r="AA1365" s="1406"/>
      <c r="AB1365" s="1406"/>
      <c r="AC1365" s="1406"/>
      <c r="AD1365" s="1406"/>
      <c r="AE1365" s="1406"/>
      <c r="AF1365" s="1406"/>
      <c r="AG1365" s="1406"/>
      <c r="AH1365" s="1406"/>
      <c r="AI1365" s="1406"/>
      <c r="AJ1365" s="1406"/>
      <c r="AK1365" s="1406"/>
      <c r="AL1365" s="1406"/>
      <c r="AM1365" s="1406"/>
      <c r="AN1365" s="1406"/>
      <c r="AO1365" s="1405"/>
      <c r="AP1365" s="1405"/>
      <c r="AQ1365" s="1405"/>
      <c r="AR1365" s="1405"/>
      <c r="AS1365" s="1405"/>
      <c r="AT1365" s="1405"/>
      <c r="AU1365" s="1405"/>
      <c r="AV1365" s="1405"/>
    </row>
    <row r="1366" spans="1:48" s="1431" customFormat="1">
      <c r="A1366" s="1399"/>
      <c r="B1366" s="1429"/>
      <c r="C1366" s="1430"/>
      <c r="D1366" s="1400"/>
      <c r="E1366" s="1401"/>
      <c r="F1366" s="1401"/>
      <c r="G1366" s="1402"/>
      <c r="H1366" s="1403"/>
      <c r="I1366" s="1404"/>
      <c r="J1366" s="1405"/>
      <c r="K1366" s="1405"/>
      <c r="L1366" s="1405"/>
      <c r="M1366" s="1405"/>
      <c r="N1366" s="1406"/>
      <c r="O1366" s="1406"/>
      <c r="P1366" s="1406"/>
      <c r="Q1366" s="1406"/>
      <c r="R1366" s="1406"/>
      <c r="S1366" s="1406"/>
      <c r="T1366" s="1406"/>
      <c r="U1366" s="1406"/>
      <c r="V1366" s="1406"/>
      <c r="W1366" s="1406"/>
      <c r="X1366" s="1406"/>
      <c r="Y1366" s="1406"/>
      <c r="Z1366" s="1406"/>
      <c r="AA1366" s="1406"/>
      <c r="AB1366" s="1406"/>
      <c r="AC1366" s="1406"/>
      <c r="AD1366" s="1406"/>
      <c r="AE1366" s="1406"/>
      <c r="AF1366" s="1406"/>
      <c r="AG1366" s="1406"/>
      <c r="AH1366" s="1406"/>
      <c r="AI1366" s="1406"/>
      <c r="AJ1366" s="1406"/>
      <c r="AK1366" s="1406"/>
      <c r="AL1366" s="1406"/>
      <c r="AM1366" s="1406"/>
      <c r="AN1366" s="1406"/>
      <c r="AO1366" s="1405"/>
      <c r="AP1366" s="1405"/>
      <c r="AQ1366" s="1405"/>
      <c r="AR1366" s="1405"/>
      <c r="AS1366" s="1405"/>
      <c r="AT1366" s="1405"/>
      <c r="AU1366" s="1405"/>
      <c r="AV1366" s="1405"/>
    </row>
    <row r="1367" spans="1:48" s="1431" customFormat="1">
      <c r="A1367" s="1399"/>
      <c r="B1367" s="1429"/>
      <c r="C1367" s="1430"/>
      <c r="D1367" s="1400"/>
      <c r="E1367" s="1401"/>
      <c r="F1367" s="1401"/>
      <c r="G1367" s="1402"/>
      <c r="H1367" s="1403"/>
      <c r="I1367" s="1404"/>
      <c r="J1367" s="1405"/>
      <c r="K1367" s="1405"/>
      <c r="L1367" s="1405"/>
      <c r="M1367" s="1405"/>
      <c r="N1367" s="1406"/>
      <c r="O1367" s="1406"/>
      <c r="P1367" s="1406"/>
      <c r="Q1367" s="1406"/>
      <c r="R1367" s="1406"/>
      <c r="S1367" s="1406"/>
      <c r="T1367" s="1406"/>
      <c r="U1367" s="1406"/>
      <c r="V1367" s="1406"/>
      <c r="W1367" s="1406"/>
      <c r="X1367" s="1406"/>
      <c r="Y1367" s="1406"/>
      <c r="Z1367" s="1406"/>
      <c r="AA1367" s="1406"/>
      <c r="AB1367" s="1406"/>
      <c r="AC1367" s="1406"/>
      <c r="AD1367" s="1406"/>
      <c r="AE1367" s="1406"/>
      <c r="AF1367" s="1406"/>
      <c r="AG1367" s="1406"/>
      <c r="AH1367" s="1406"/>
      <c r="AI1367" s="1406"/>
      <c r="AJ1367" s="1406"/>
      <c r="AK1367" s="1406"/>
      <c r="AL1367" s="1406"/>
      <c r="AM1367" s="1406"/>
      <c r="AN1367" s="1406"/>
      <c r="AO1367" s="1405"/>
      <c r="AP1367" s="1405"/>
      <c r="AQ1367" s="1405"/>
      <c r="AR1367" s="1405"/>
      <c r="AS1367" s="1405"/>
      <c r="AT1367" s="1405"/>
      <c r="AU1367" s="1405"/>
      <c r="AV1367" s="1405"/>
    </row>
    <row r="1368" spans="1:48" s="1431" customFormat="1">
      <c r="A1368" s="1399"/>
      <c r="B1368" s="1429"/>
      <c r="C1368" s="1430"/>
      <c r="D1368" s="1400"/>
      <c r="E1368" s="1401"/>
      <c r="F1368" s="1401"/>
      <c r="G1368" s="1402"/>
      <c r="H1368" s="1403"/>
      <c r="I1368" s="1404"/>
      <c r="J1368" s="1405"/>
      <c r="K1368" s="1405"/>
      <c r="L1368" s="1405"/>
      <c r="M1368" s="1405"/>
      <c r="N1368" s="1406"/>
      <c r="O1368" s="1406"/>
      <c r="P1368" s="1406"/>
      <c r="Q1368" s="1406"/>
      <c r="R1368" s="1406"/>
      <c r="S1368" s="1406"/>
      <c r="T1368" s="1406"/>
      <c r="U1368" s="1406"/>
      <c r="V1368" s="1406"/>
      <c r="W1368" s="1406"/>
      <c r="X1368" s="1406"/>
      <c r="Y1368" s="1406"/>
      <c r="Z1368" s="1406"/>
      <c r="AA1368" s="1406"/>
      <c r="AB1368" s="1406"/>
      <c r="AC1368" s="1406"/>
      <c r="AD1368" s="1406"/>
      <c r="AE1368" s="1406"/>
      <c r="AF1368" s="1406"/>
      <c r="AG1368" s="1406"/>
      <c r="AH1368" s="1406"/>
      <c r="AI1368" s="1406"/>
      <c r="AJ1368" s="1406"/>
      <c r="AK1368" s="1406"/>
      <c r="AL1368" s="1406"/>
      <c r="AM1368" s="1406"/>
      <c r="AN1368" s="1406"/>
      <c r="AO1368" s="1405"/>
      <c r="AP1368" s="1405"/>
      <c r="AQ1368" s="1405"/>
      <c r="AR1368" s="1405"/>
      <c r="AS1368" s="1405"/>
      <c r="AT1368" s="1405"/>
      <c r="AU1368" s="1405"/>
      <c r="AV1368" s="1405"/>
    </row>
    <row r="1369" spans="1:48" s="1431" customFormat="1">
      <c r="A1369" s="1399"/>
      <c r="B1369" s="1429"/>
      <c r="C1369" s="1430"/>
      <c r="D1369" s="1400"/>
      <c r="E1369" s="1401"/>
      <c r="F1369" s="1401"/>
      <c r="G1369" s="1402"/>
      <c r="H1369" s="1403"/>
      <c r="I1369" s="1404"/>
      <c r="J1369" s="1405"/>
      <c r="K1369" s="1405"/>
      <c r="L1369" s="1405"/>
      <c r="M1369" s="1405"/>
      <c r="N1369" s="1406"/>
      <c r="O1369" s="1406"/>
      <c r="P1369" s="1406"/>
      <c r="Q1369" s="1406"/>
      <c r="R1369" s="1406"/>
      <c r="S1369" s="1406"/>
      <c r="T1369" s="1406"/>
      <c r="U1369" s="1406"/>
      <c r="V1369" s="1406"/>
      <c r="W1369" s="1406"/>
      <c r="X1369" s="1406"/>
      <c r="Y1369" s="1406"/>
      <c r="Z1369" s="1406"/>
      <c r="AA1369" s="1406"/>
      <c r="AB1369" s="1406"/>
      <c r="AC1369" s="1406"/>
      <c r="AD1369" s="1406"/>
      <c r="AE1369" s="1406"/>
      <c r="AF1369" s="1406"/>
      <c r="AG1369" s="1406"/>
      <c r="AH1369" s="1406"/>
      <c r="AI1369" s="1406"/>
      <c r="AJ1369" s="1406"/>
      <c r="AK1369" s="1406"/>
      <c r="AL1369" s="1406"/>
      <c r="AM1369" s="1406"/>
      <c r="AN1369" s="1406"/>
      <c r="AO1369" s="1405"/>
      <c r="AP1369" s="1405"/>
      <c r="AQ1369" s="1405"/>
      <c r="AR1369" s="1405"/>
      <c r="AS1369" s="1405"/>
      <c r="AT1369" s="1405"/>
      <c r="AU1369" s="1405"/>
      <c r="AV1369" s="1405"/>
    </row>
    <row r="1370" spans="1:48" s="1431" customFormat="1">
      <c r="A1370" s="1399"/>
      <c r="B1370" s="1429"/>
      <c r="C1370" s="1430"/>
      <c r="D1370" s="1400"/>
      <c r="E1370" s="1401"/>
      <c r="F1370" s="1401"/>
      <c r="G1370" s="1402"/>
      <c r="H1370" s="1403"/>
      <c r="I1370" s="1404"/>
      <c r="J1370" s="1405"/>
      <c r="K1370" s="1405"/>
      <c r="L1370" s="1405"/>
      <c r="M1370" s="1405"/>
      <c r="N1370" s="1406"/>
      <c r="O1370" s="1406"/>
      <c r="P1370" s="1406"/>
      <c r="Q1370" s="1406"/>
      <c r="R1370" s="1406"/>
      <c r="S1370" s="1406"/>
      <c r="T1370" s="1406"/>
      <c r="U1370" s="1406"/>
      <c r="V1370" s="1406"/>
      <c r="W1370" s="1406"/>
      <c r="X1370" s="1406"/>
      <c r="Y1370" s="1406"/>
      <c r="Z1370" s="1406"/>
      <c r="AA1370" s="1406"/>
      <c r="AB1370" s="1406"/>
      <c r="AC1370" s="1406"/>
      <c r="AD1370" s="1406"/>
      <c r="AE1370" s="1406"/>
      <c r="AF1370" s="1406"/>
      <c r="AG1370" s="1406"/>
      <c r="AH1370" s="1406"/>
      <c r="AI1370" s="1406"/>
      <c r="AJ1370" s="1406"/>
      <c r="AK1370" s="1406"/>
      <c r="AL1370" s="1406"/>
      <c r="AM1370" s="1406"/>
      <c r="AN1370" s="1406"/>
      <c r="AO1370" s="1405"/>
      <c r="AP1370" s="1405"/>
      <c r="AQ1370" s="1405"/>
      <c r="AR1370" s="1405"/>
      <c r="AS1370" s="1405"/>
      <c r="AT1370" s="1405"/>
      <c r="AU1370" s="1405"/>
      <c r="AV1370" s="1405"/>
    </row>
    <row r="1371" spans="1:48" s="1431" customFormat="1">
      <c r="A1371" s="1399"/>
      <c r="B1371" s="1429"/>
      <c r="C1371" s="1430"/>
      <c r="D1371" s="1400"/>
      <c r="E1371" s="1401"/>
      <c r="F1371" s="1401"/>
      <c r="G1371" s="1402"/>
      <c r="H1371" s="1403"/>
      <c r="I1371" s="1404"/>
      <c r="J1371" s="1405"/>
      <c r="K1371" s="1405"/>
      <c r="L1371" s="1405"/>
      <c r="M1371" s="1405"/>
      <c r="N1371" s="1406"/>
      <c r="O1371" s="1406"/>
      <c r="P1371" s="1406"/>
      <c r="Q1371" s="1406"/>
      <c r="R1371" s="1406"/>
      <c r="S1371" s="1406"/>
      <c r="T1371" s="1406"/>
      <c r="U1371" s="1406"/>
      <c r="V1371" s="1406"/>
      <c r="W1371" s="1406"/>
      <c r="X1371" s="1406"/>
      <c r="Y1371" s="1406"/>
      <c r="Z1371" s="1406"/>
      <c r="AA1371" s="1406"/>
      <c r="AB1371" s="1406"/>
      <c r="AC1371" s="1406"/>
      <c r="AD1371" s="1406"/>
      <c r="AE1371" s="1406"/>
      <c r="AF1371" s="1406"/>
      <c r="AG1371" s="1406"/>
      <c r="AH1371" s="1406"/>
      <c r="AI1371" s="1406"/>
      <c r="AJ1371" s="1406"/>
      <c r="AK1371" s="1406"/>
      <c r="AL1371" s="1406"/>
      <c r="AM1371" s="1406"/>
      <c r="AN1371" s="1406"/>
      <c r="AO1371" s="1405"/>
      <c r="AP1371" s="1405"/>
      <c r="AQ1371" s="1405"/>
      <c r="AR1371" s="1405"/>
      <c r="AS1371" s="1405"/>
      <c r="AT1371" s="1405"/>
      <c r="AU1371" s="1405"/>
      <c r="AV1371" s="1405"/>
    </row>
    <row r="1372" spans="1:48" s="1431" customFormat="1">
      <c r="A1372" s="1399"/>
      <c r="B1372" s="1429"/>
      <c r="C1372" s="1430"/>
      <c r="D1372" s="1400"/>
      <c r="E1372" s="1401"/>
      <c r="F1372" s="1401"/>
      <c r="G1372" s="1402"/>
      <c r="H1372" s="1403"/>
      <c r="I1372" s="1404"/>
      <c r="J1372" s="1405"/>
      <c r="K1372" s="1405"/>
      <c r="L1372" s="1405"/>
      <c r="M1372" s="1405"/>
      <c r="N1372" s="1406"/>
      <c r="O1372" s="1406"/>
      <c r="P1372" s="1406"/>
      <c r="Q1372" s="1406"/>
      <c r="R1372" s="1406"/>
      <c r="S1372" s="1406"/>
      <c r="T1372" s="1406"/>
      <c r="U1372" s="1406"/>
      <c r="V1372" s="1406"/>
      <c r="W1372" s="1406"/>
      <c r="X1372" s="1406"/>
      <c r="Y1372" s="1406"/>
      <c r="Z1372" s="1406"/>
      <c r="AA1372" s="1406"/>
      <c r="AB1372" s="1406"/>
      <c r="AC1372" s="1406"/>
      <c r="AD1372" s="1406"/>
      <c r="AE1372" s="1406"/>
      <c r="AF1372" s="1406"/>
      <c r="AG1372" s="1406"/>
      <c r="AH1372" s="1406"/>
      <c r="AI1372" s="1406"/>
      <c r="AJ1372" s="1406"/>
      <c r="AK1372" s="1406"/>
      <c r="AL1372" s="1406"/>
      <c r="AM1372" s="1406"/>
      <c r="AN1372" s="1406"/>
      <c r="AO1372" s="1405"/>
      <c r="AP1372" s="1405"/>
      <c r="AQ1372" s="1405"/>
      <c r="AR1372" s="1405"/>
      <c r="AS1372" s="1405"/>
      <c r="AT1372" s="1405"/>
      <c r="AU1372" s="1405"/>
      <c r="AV1372" s="1405"/>
    </row>
    <row r="1373" spans="1:48" s="1431" customFormat="1">
      <c r="A1373" s="1399"/>
      <c r="B1373" s="1429"/>
      <c r="C1373" s="1430"/>
      <c r="D1373" s="1400"/>
      <c r="E1373" s="1401"/>
      <c r="F1373" s="1401"/>
      <c r="G1373" s="1402"/>
      <c r="H1373" s="1403"/>
      <c r="I1373" s="1404"/>
      <c r="J1373" s="1405"/>
      <c r="K1373" s="1405"/>
      <c r="L1373" s="1405"/>
      <c r="M1373" s="1405"/>
      <c r="N1373" s="1406"/>
      <c r="O1373" s="1406"/>
      <c r="P1373" s="1406"/>
      <c r="Q1373" s="1406"/>
      <c r="R1373" s="1406"/>
      <c r="S1373" s="1406"/>
      <c r="T1373" s="1406"/>
      <c r="U1373" s="1406"/>
      <c r="V1373" s="1406"/>
      <c r="W1373" s="1406"/>
      <c r="X1373" s="1406"/>
      <c r="Y1373" s="1406"/>
      <c r="Z1373" s="1406"/>
      <c r="AA1373" s="1406"/>
      <c r="AB1373" s="1406"/>
      <c r="AC1373" s="1406"/>
      <c r="AD1373" s="1406"/>
      <c r="AE1373" s="1406"/>
      <c r="AF1373" s="1406"/>
      <c r="AG1373" s="1406"/>
      <c r="AH1373" s="1406"/>
      <c r="AI1373" s="1406"/>
      <c r="AJ1373" s="1406"/>
      <c r="AK1373" s="1406"/>
      <c r="AL1373" s="1406"/>
      <c r="AM1373" s="1406"/>
      <c r="AN1373" s="1406"/>
      <c r="AO1373" s="1405"/>
      <c r="AP1373" s="1405"/>
      <c r="AQ1373" s="1405"/>
      <c r="AR1373" s="1405"/>
      <c r="AS1373" s="1405"/>
      <c r="AT1373" s="1405"/>
      <c r="AU1373" s="1405"/>
      <c r="AV1373" s="1405"/>
    </row>
    <row r="1374" spans="1:48" s="1431" customFormat="1">
      <c r="A1374" s="1399"/>
      <c r="B1374" s="1429"/>
      <c r="C1374" s="1430"/>
      <c r="D1374" s="1400"/>
      <c r="E1374" s="1401"/>
      <c r="F1374" s="1401"/>
      <c r="G1374" s="1402"/>
      <c r="H1374" s="1403"/>
      <c r="I1374" s="1404"/>
      <c r="J1374" s="1405"/>
      <c r="K1374" s="1405"/>
      <c r="L1374" s="1405"/>
      <c r="M1374" s="1405"/>
      <c r="N1374" s="1406"/>
      <c r="O1374" s="1406"/>
      <c r="P1374" s="1406"/>
      <c r="Q1374" s="1406"/>
      <c r="R1374" s="1406"/>
      <c r="S1374" s="1406"/>
      <c r="T1374" s="1406"/>
      <c r="U1374" s="1406"/>
      <c r="V1374" s="1406"/>
      <c r="W1374" s="1406"/>
      <c r="X1374" s="1406"/>
      <c r="Y1374" s="1406"/>
      <c r="Z1374" s="1406"/>
      <c r="AA1374" s="1406"/>
      <c r="AB1374" s="1406"/>
      <c r="AC1374" s="1406"/>
      <c r="AD1374" s="1406"/>
      <c r="AE1374" s="1406"/>
      <c r="AF1374" s="1406"/>
      <c r="AG1374" s="1406"/>
      <c r="AH1374" s="1406"/>
      <c r="AI1374" s="1406"/>
      <c r="AJ1374" s="1406"/>
      <c r="AK1374" s="1406"/>
      <c r="AL1374" s="1406"/>
      <c r="AM1374" s="1406"/>
      <c r="AN1374" s="1406"/>
      <c r="AO1374" s="1405"/>
      <c r="AP1374" s="1405"/>
      <c r="AQ1374" s="1405"/>
      <c r="AR1374" s="1405"/>
      <c r="AS1374" s="1405"/>
      <c r="AT1374" s="1405"/>
      <c r="AU1374" s="1405"/>
      <c r="AV1374" s="1405"/>
    </row>
    <row r="1375" spans="1:48" s="1431" customFormat="1">
      <c r="A1375" s="1399"/>
      <c r="B1375" s="1429"/>
      <c r="C1375" s="1430"/>
      <c r="D1375" s="1400"/>
      <c r="E1375" s="1401"/>
      <c r="F1375" s="1401"/>
      <c r="G1375" s="1402"/>
      <c r="H1375" s="1403"/>
      <c r="I1375" s="1404"/>
      <c r="J1375" s="1405"/>
      <c r="K1375" s="1405"/>
      <c r="L1375" s="1405"/>
      <c r="M1375" s="1405"/>
      <c r="N1375" s="1406"/>
      <c r="O1375" s="1406"/>
      <c r="P1375" s="1406"/>
      <c r="Q1375" s="1406"/>
      <c r="R1375" s="1406"/>
      <c r="S1375" s="1406"/>
      <c r="T1375" s="1406"/>
      <c r="U1375" s="1406"/>
      <c r="V1375" s="1406"/>
      <c r="W1375" s="1406"/>
      <c r="X1375" s="1406"/>
      <c r="Y1375" s="1406"/>
      <c r="Z1375" s="1406"/>
      <c r="AA1375" s="1406"/>
      <c r="AB1375" s="1406"/>
      <c r="AC1375" s="1406"/>
      <c r="AD1375" s="1406"/>
      <c r="AE1375" s="1406"/>
      <c r="AF1375" s="1406"/>
      <c r="AG1375" s="1406"/>
      <c r="AH1375" s="1406"/>
      <c r="AI1375" s="1406"/>
      <c r="AJ1375" s="1406"/>
      <c r="AK1375" s="1406"/>
      <c r="AL1375" s="1406"/>
      <c r="AM1375" s="1406"/>
      <c r="AN1375" s="1406"/>
      <c r="AO1375" s="1405"/>
      <c r="AP1375" s="1405"/>
      <c r="AQ1375" s="1405"/>
      <c r="AR1375" s="1405"/>
      <c r="AS1375" s="1405"/>
      <c r="AT1375" s="1405"/>
      <c r="AU1375" s="1405"/>
      <c r="AV1375" s="1405"/>
    </row>
    <row r="1376" spans="1:48" s="1431" customFormat="1">
      <c r="A1376" s="1399"/>
      <c r="B1376" s="1429"/>
      <c r="C1376" s="1430"/>
      <c r="D1376" s="1400"/>
      <c r="E1376" s="1401"/>
      <c r="F1376" s="1401"/>
      <c r="G1376" s="1402"/>
      <c r="H1376" s="1403"/>
      <c r="I1376" s="1404"/>
      <c r="J1376" s="1405"/>
      <c r="K1376" s="1405"/>
      <c r="L1376" s="1405"/>
      <c r="M1376" s="1405"/>
      <c r="N1376" s="1406"/>
      <c r="O1376" s="1406"/>
      <c r="P1376" s="1406"/>
      <c r="Q1376" s="1406"/>
      <c r="R1376" s="1406"/>
      <c r="S1376" s="1406"/>
      <c r="T1376" s="1406"/>
      <c r="U1376" s="1406"/>
      <c r="V1376" s="1406"/>
      <c r="W1376" s="1406"/>
      <c r="X1376" s="1406"/>
      <c r="Y1376" s="1406"/>
      <c r="Z1376" s="1406"/>
      <c r="AA1376" s="1406"/>
      <c r="AB1376" s="1406"/>
      <c r="AC1376" s="1406"/>
      <c r="AD1376" s="1406"/>
      <c r="AE1376" s="1406"/>
      <c r="AF1376" s="1406"/>
      <c r="AG1376" s="1406"/>
      <c r="AH1376" s="1406"/>
      <c r="AI1376" s="1406"/>
      <c r="AJ1376" s="1406"/>
      <c r="AK1376" s="1406"/>
      <c r="AL1376" s="1406"/>
      <c r="AM1376" s="1406"/>
      <c r="AN1376" s="1406"/>
      <c r="AO1376" s="1405"/>
      <c r="AP1376" s="1405"/>
      <c r="AQ1376" s="1405"/>
      <c r="AR1376" s="1405"/>
      <c r="AS1376" s="1405"/>
      <c r="AT1376" s="1405"/>
      <c r="AU1376" s="1405"/>
      <c r="AV1376" s="1405"/>
    </row>
    <row r="1377" spans="1:48" s="1431" customFormat="1">
      <c r="A1377" s="1399"/>
      <c r="B1377" s="1429"/>
      <c r="C1377" s="1430"/>
      <c r="D1377" s="1400"/>
      <c r="E1377" s="1401"/>
      <c r="F1377" s="1401"/>
      <c r="G1377" s="1402"/>
      <c r="H1377" s="1403"/>
      <c r="I1377" s="1404"/>
      <c r="J1377" s="1405"/>
      <c r="K1377" s="1405"/>
      <c r="L1377" s="1405"/>
      <c r="M1377" s="1405"/>
      <c r="N1377" s="1406"/>
      <c r="O1377" s="1406"/>
      <c r="P1377" s="1406"/>
      <c r="Q1377" s="1406"/>
      <c r="R1377" s="1406"/>
      <c r="S1377" s="1406"/>
      <c r="T1377" s="1406"/>
      <c r="U1377" s="1406"/>
      <c r="V1377" s="1406"/>
      <c r="W1377" s="1406"/>
      <c r="X1377" s="1406"/>
      <c r="Y1377" s="1406"/>
      <c r="Z1377" s="1406"/>
      <c r="AA1377" s="1406"/>
      <c r="AB1377" s="1406"/>
      <c r="AC1377" s="1406"/>
      <c r="AD1377" s="1406"/>
      <c r="AE1377" s="1406"/>
      <c r="AF1377" s="1406"/>
      <c r="AG1377" s="1406"/>
      <c r="AH1377" s="1406"/>
      <c r="AI1377" s="1406"/>
      <c r="AJ1377" s="1406"/>
      <c r="AK1377" s="1406"/>
      <c r="AL1377" s="1406"/>
      <c r="AM1377" s="1406"/>
      <c r="AN1377" s="1406"/>
      <c r="AO1377" s="1405"/>
      <c r="AP1377" s="1405"/>
      <c r="AQ1377" s="1405"/>
      <c r="AR1377" s="1405"/>
      <c r="AS1377" s="1405"/>
      <c r="AT1377" s="1405"/>
      <c r="AU1377" s="1405"/>
      <c r="AV1377" s="1405"/>
    </row>
    <row r="1378" spans="1:48" s="1431" customFormat="1">
      <c r="A1378" s="1399"/>
      <c r="B1378" s="1429"/>
      <c r="C1378" s="1430"/>
      <c r="D1378" s="1400"/>
      <c r="E1378" s="1401"/>
      <c r="F1378" s="1401"/>
      <c r="G1378" s="1402"/>
      <c r="H1378" s="1403"/>
      <c r="I1378" s="1404"/>
      <c r="J1378" s="1405"/>
      <c r="K1378" s="1405"/>
      <c r="L1378" s="1405"/>
      <c r="M1378" s="1405"/>
      <c r="N1378" s="1406"/>
      <c r="O1378" s="1406"/>
      <c r="P1378" s="1406"/>
      <c r="Q1378" s="1406"/>
      <c r="R1378" s="1406"/>
      <c r="S1378" s="1406"/>
      <c r="T1378" s="1406"/>
      <c r="U1378" s="1406"/>
      <c r="V1378" s="1406"/>
      <c r="W1378" s="1406"/>
      <c r="X1378" s="1406"/>
      <c r="Y1378" s="1406"/>
      <c r="Z1378" s="1406"/>
      <c r="AA1378" s="1406"/>
      <c r="AB1378" s="1406"/>
      <c r="AC1378" s="1406"/>
      <c r="AD1378" s="1406"/>
      <c r="AE1378" s="1406"/>
      <c r="AF1378" s="1406"/>
      <c r="AG1378" s="1406"/>
      <c r="AH1378" s="1406"/>
      <c r="AI1378" s="1406"/>
      <c r="AJ1378" s="1406"/>
      <c r="AK1378" s="1406"/>
      <c r="AL1378" s="1406"/>
      <c r="AM1378" s="1406"/>
      <c r="AN1378" s="1406"/>
      <c r="AO1378" s="1405"/>
      <c r="AP1378" s="1405"/>
      <c r="AQ1378" s="1405"/>
      <c r="AR1378" s="1405"/>
      <c r="AS1378" s="1405"/>
      <c r="AT1378" s="1405"/>
      <c r="AU1378" s="1405"/>
      <c r="AV1378" s="1405"/>
    </row>
    <row r="1379" spans="1:48" s="1431" customFormat="1">
      <c r="A1379" s="1399"/>
      <c r="B1379" s="1429"/>
      <c r="C1379" s="1430"/>
      <c r="D1379" s="1400"/>
      <c r="E1379" s="1401"/>
      <c r="F1379" s="1401"/>
      <c r="G1379" s="1402"/>
      <c r="H1379" s="1403"/>
      <c r="I1379" s="1404"/>
      <c r="J1379" s="1405"/>
      <c r="K1379" s="1405"/>
      <c r="L1379" s="1405"/>
      <c r="M1379" s="1405"/>
      <c r="N1379" s="1406"/>
      <c r="O1379" s="1406"/>
      <c r="P1379" s="1406"/>
      <c r="Q1379" s="1406"/>
      <c r="R1379" s="1406"/>
      <c r="S1379" s="1406"/>
      <c r="T1379" s="1406"/>
      <c r="U1379" s="1406"/>
      <c r="V1379" s="1406"/>
      <c r="W1379" s="1406"/>
      <c r="X1379" s="1406"/>
      <c r="Y1379" s="1406"/>
      <c r="Z1379" s="1406"/>
      <c r="AA1379" s="1406"/>
      <c r="AB1379" s="1406"/>
      <c r="AC1379" s="1406"/>
      <c r="AD1379" s="1406"/>
      <c r="AE1379" s="1406"/>
      <c r="AF1379" s="1406"/>
      <c r="AG1379" s="1406"/>
      <c r="AH1379" s="1406"/>
      <c r="AI1379" s="1406"/>
      <c r="AJ1379" s="1406"/>
      <c r="AK1379" s="1406"/>
      <c r="AL1379" s="1406"/>
      <c r="AM1379" s="1406"/>
      <c r="AN1379" s="1406"/>
      <c r="AO1379" s="1405"/>
      <c r="AP1379" s="1405"/>
      <c r="AQ1379" s="1405"/>
      <c r="AR1379" s="1405"/>
      <c r="AS1379" s="1405"/>
      <c r="AT1379" s="1405"/>
      <c r="AU1379" s="1405"/>
      <c r="AV1379" s="1405"/>
    </row>
    <row r="1380" spans="1:48" s="1431" customFormat="1">
      <c r="A1380" s="1399"/>
      <c r="B1380" s="1429"/>
      <c r="C1380" s="1430"/>
      <c r="D1380" s="1400"/>
      <c r="E1380" s="1401"/>
      <c r="F1380" s="1401"/>
      <c r="G1380" s="1402"/>
      <c r="H1380" s="1403"/>
      <c r="I1380" s="1404"/>
      <c r="J1380" s="1405"/>
      <c r="K1380" s="1405"/>
      <c r="L1380" s="1405"/>
      <c r="M1380" s="1405"/>
      <c r="N1380" s="1406"/>
      <c r="O1380" s="1406"/>
      <c r="P1380" s="1406"/>
      <c r="Q1380" s="1406"/>
      <c r="R1380" s="1406"/>
      <c r="S1380" s="1406"/>
      <c r="T1380" s="1406"/>
      <c r="U1380" s="1406"/>
      <c r="V1380" s="1406"/>
      <c r="W1380" s="1406"/>
      <c r="X1380" s="1406"/>
      <c r="Y1380" s="1406"/>
      <c r="Z1380" s="1406"/>
      <c r="AA1380" s="1406"/>
      <c r="AB1380" s="1406"/>
      <c r="AC1380" s="1406"/>
      <c r="AD1380" s="1406"/>
      <c r="AE1380" s="1406"/>
      <c r="AF1380" s="1406"/>
      <c r="AG1380" s="1406"/>
      <c r="AH1380" s="1406"/>
      <c r="AI1380" s="1406"/>
      <c r="AJ1380" s="1406"/>
      <c r="AK1380" s="1406"/>
      <c r="AL1380" s="1406"/>
      <c r="AM1380" s="1406"/>
      <c r="AN1380" s="1406"/>
      <c r="AO1380" s="1405"/>
      <c r="AP1380" s="1405"/>
      <c r="AQ1380" s="1405"/>
      <c r="AR1380" s="1405"/>
      <c r="AS1380" s="1405"/>
      <c r="AT1380" s="1405"/>
      <c r="AU1380" s="1405"/>
      <c r="AV1380" s="1405"/>
    </row>
    <row r="1381" spans="1:48" s="1431" customFormat="1">
      <c r="A1381" s="1399"/>
      <c r="B1381" s="1429"/>
      <c r="C1381" s="1430"/>
      <c r="D1381" s="1400"/>
      <c r="E1381" s="1401"/>
      <c r="F1381" s="1401"/>
      <c r="G1381" s="1402"/>
      <c r="H1381" s="1403"/>
      <c r="I1381" s="1404"/>
      <c r="J1381" s="1405"/>
      <c r="K1381" s="1405"/>
      <c r="L1381" s="1405"/>
      <c r="M1381" s="1405"/>
      <c r="N1381" s="1406"/>
      <c r="O1381" s="1406"/>
      <c r="P1381" s="1406"/>
      <c r="Q1381" s="1406"/>
      <c r="R1381" s="1406"/>
      <c r="S1381" s="1406"/>
      <c r="T1381" s="1406"/>
      <c r="U1381" s="1406"/>
      <c r="V1381" s="1406"/>
      <c r="W1381" s="1406"/>
      <c r="X1381" s="1406"/>
      <c r="Y1381" s="1406"/>
      <c r="Z1381" s="1406"/>
      <c r="AA1381" s="1406"/>
      <c r="AB1381" s="1406"/>
      <c r="AC1381" s="1406"/>
      <c r="AD1381" s="1406"/>
      <c r="AE1381" s="1406"/>
      <c r="AF1381" s="1406"/>
      <c r="AG1381" s="1406"/>
      <c r="AH1381" s="1406"/>
      <c r="AI1381" s="1406"/>
      <c r="AJ1381" s="1406"/>
      <c r="AK1381" s="1406"/>
      <c r="AL1381" s="1406"/>
      <c r="AM1381" s="1406"/>
      <c r="AN1381" s="1406"/>
      <c r="AO1381" s="1405"/>
      <c r="AP1381" s="1405"/>
      <c r="AQ1381" s="1405"/>
      <c r="AR1381" s="1405"/>
      <c r="AS1381" s="1405"/>
      <c r="AT1381" s="1405"/>
      <c r="AU1381" s="1405"/>
      <c r="AV1381" s="1405"/>
    </row>
    <row r="1382" spans="1:48" s="1431" customFormat="1">
      <c r="A1382" s="1399"/>
      <c r="B1382" s="1429"/>
      <c r="C1382" s="1430"/>
      <c r="D1382" s="1400"/>
      <c r="E1382" s="1401"/>
      <c r="F1382" s="1401"/>
      <c r="G1382" s="1402"/>
      <c r="H1382" s="1403"/>
      <c r="I1382" s="1404"/>
      <c r="J1382" s="1405"/>
      <c r="K1382" s="1405"/>
      <c r="L1382" s="1405"/>
      <c r="M1382" s="1405"/>
      <c r="N1382" s="1406"/>
      <c r="O1382" s="1406"/>
      <c r="P1382" s="1406"/>
      <c r="Q1382" s="1406"/>
      <c r="R1382" s="1406"/>
      <c r="S1382" s="1406"/>
      <c r="T1382" s="1406"/>
      <c r="U1382" s="1406"/>
      <c r="V1382" s="1406"/>
      <c r="W1382" s="1406"/>
      <c r="X1382" s="1406"/>
      <c r="Y1382" s="1406"/>
      <c r="Z1382" s="1406"/>
      <c r="AA1382" s="1406"/>
      <c r="AB1382" s="1406"/>
      <c r="AC1382" s="1406"/>
      <c r="AD1382" s="1406"/>
      <c r="AE1382" s="1406"/>
      <c r="AF1382" s="1406"/>
      <c r="AG1382" s="1406"/>
      <c r="AH1382" s="1406"/>
      <c r="AI1382" s="1406"/>
      <c r="AJ1382" s="1406"/>
      <c r="AK1382" s="1406"/>
      <c r="AL1382" s="1406"/>
      <c r="AM1382" s="1406"/>
      <c r="AN1382" s="1406"/>
      <c r="AO1382" s="1405"/>
      <c r="AP1382" s="1405"/>
      <c r="AQ1382" s="1405"/>
      <c r="AR1382" s="1405"/>
      <c r="AS1382" s="1405"/>
      <c r="AT1382" s="1405"/>
      <c r="AU1382" s="1405"/>
      <c r="AV1382" s="1405"/>
    </row>
    <row r="1383" spans="1:48" s="1431" customFormat="1">
      <c r="A1383" s="1399"/>
      <c r="B1383" s="1429"/>
      <c r="C1383" s="1430"/>
      <c r="D1383" s="1400"/>
      <c r="E1383" s="1401"/>
      <c r="F1383" s="1401"/>
      <c r="G1383" s="1402"/>
      <c r="H1383" s="1403"/>
      <c r="I1383" s="1404"/>
      <c r="J1383" s="1405"/>
      <c r="K1383" s="1405"/>
      <c r="L1383" s="1405"/>
      <c r="M1383" s="1405"/>
      <c r="N1383" s="1406"/>
      <c r="O1383" s="1406"/>
      <c r="P1383" s="1406"/>
      <c r="Q1383" s="1406"/>
      <c r="R1383" s="1406"/>
      <c r="S1383" s="1406"/>
      <c r="T1383" s="1406"/>
      <c r="U1383" s="1406"/>
      <c r="V1383" s="1406"/>
      <c r="W1383" s="1406"/>
      <c r="X1383" s="1406"/>
      <c r="Y1383" s="1406"/>
      <c r="Z1383" s="1406"/>
      <c r="AA1383" s="1406"/>
      <c r="AB1383" s="1406"/>
      <c r="AC1383" s="1406"/>
      <c r="AD1383" s="1406"/>
      <c r="AE1383" s="1406"/>
      <c r="AF1383" s="1406"/>
      <c r="AG1383" s="1406"/>
      <c r="AH1383" s="1406"/>
      <c r="AI1383" s="1406"/>
      <c r="AJ1383" s="1406"/>
      <c r="AK1383" s="1406"/>
      <c r="AL1383" s="1406"/>
      <c r="AM1383" s="1406"/>
      <c r="AN1383" s="1406"/>
      <c r="AO1383" s="1405"/>
      <c r="AP1383" s="1405"/>
      <c r="AQ1383" s="1405"/>
      <c r="AR1383" s="1405"/>
      <c r="AS1383" s="1405"/>
      <c r="AT1383" s="1405"/>
      <c r="AU1383" s="1405"/>
      <c r="AV1383" s="1405"/>
    </row>
    <row r="1384" spans="1:48" s="1431" customFormat="1">
      <c r="A1384" s="1399"/>
      <c r="B1384" s="1429"/>
      <c r="C1384" s="1430"/>
      <c r="D1384" s="1400"/>
      <c r="E1384" s="1401"/>
      <c r="F1384" s="1401"/>
      <c r="G1384" s="1402"/>
      <c r="H1384" s="1403"/>
      <c r="I1384" s="1404"/>
      <c r="J1384" s="1405"/>
      <c r="K1384" s="1405"/>
      <c r="L1384" s="1405"/>
      <c r="M1384" s="1405"/>
      <c r="N1384" s="1406"/>
      <c r="O1384" s="1406"/>
      <c r="P1384" s="1406"/>
      <c r="Q1384" s="1406"/>
      <c r="R1384" s="1406"/>
      <c r="S1384" s="1406"/>
      <c r="T1384" s="1406"/>
      <c r="U1384" s="1406"/>
      <c r="V1384" s="1406"/>
      <c r="W1384" s="1406"/>
      <c r="X1384" s="1406"/>
      <c r="Y1384" s="1406"/>
      <c r="Z1384" s="1406"/>
      <c r="AA1384" s="1406"/>
      <c r="AB1384" s="1406"/>
      <c r="AC1384" s="1406"/>
      <c r="AD1384" s="1406"/>
      <c r="AE1384" s="1406"/>
      <c r="AF1384" s="1406"/>
      <c r="AG1384" s="1406"/>
      <c r="AH1384" s="1406"/>
      <c r="AI1384" s="1406"/>
      <c r="AJ1384" s="1406"/>
      <c r="AK1384" s="1406"/>
      <c r="AL1384" s="1406"/>
      <c r="AM1384" s="1406"/>
      <c r="AN1384" s="1406"/>
      <c r="AO1384" s="1405"/>
      <c r="AP1384" s="1405"/>
      <c r="AQ1384" s="1405"/>
      <c r="AR1384" s="1405"/>
      <c r="AS1384" s="1405"/>
      <c r="AT1384" s="1405"/>
      <c r="AU1384" s="1405"/>
      <c r="AV1384" s="1405"/>
    </row>
    <row r="1385" spans="1:48" s="1431" customFormat="1">
      <c r="A1385" s="1399"/>
      <c r="B1385" s="1429"/>
      <c r="C1385" s="1430"/>
      <c r="D1385" s="1400"/>
      <c r="E1385" s="1401"/>
      <c r="F1385" s="1401"/>
      <c r="G1385" s="1402"/>
      <c r="H1385" s="1403"/>
      <c r="I1385" s="1404"/>
      <c r="J1385" s="1405"/>
      <c r="K1385" s="1405"/>
      <c r="L1385" s="1405"/>
      <c r="M1385" s="1405"/>
      <c r="N1385" s="1406"/>
      <c r="O1385" s="1406"/>
      <c r="P1385" s="1406"/>
      <c r="Q1385" s="1406"/>
      <c r="R1385" s="1406"/>
      <c r="S1385" s="1406"/>
      <c r="T1385" s="1406"/>
      <c r="U1385" s="1406"/>
      <c r="V1385" s="1406"/>
      <c r="W1385" s="1406"/>
      <c r="X1385" s="1406"/>
      <c r="Y1385" s="1406"/>
      <c r="Z1385" s="1406"/>
      <c r="AA1385" s="1406"/>
      <c r="AB1385" s="1406"/>
      <c r="AC1385" s="1406"/>
      <c r="AD1385" s="1406"/>
      <c r="AE1385" s="1406"/>
      <c r="AF1385" s="1406"/>
      <c r="AG1385" s="1406"/>
      <c r="AH1385" s="1406"/>
      <c r="AI1385" s="1406"/>
      <c r="AJ1385" s="1406"/>
      <c r="AK1385" s="1406"/>
      <c r="AL1385" s="1406"/>
      <c r="AM1385" s="1406"/>
      <c r="AN1385" s="1406"/>
      <c r="AO1385" s="1405"/>
      <c r="AP1385" s="1405"/>
      <c r="AQ1385" s="1405"/>
      <c r="AR1385" s="1405"/>
      <c r="AS1385" s="1405"/>
      <c r="AT1385" s="1405"/>
      <c r="AU1385" s="1405"/>
      <c r="AV1385" s="1405"/>
    </row>
    <row r="1386" spans="1:48" s="1431" customFormat="1">
      <c r="A1386" s="1399"/>
      <c r="B1386" s="1429"/>
      <c r="C1386" s="1430"/>
      <c r="D1386" s="1400"/>
      <c r="E1386" s="1401"/>
      <c r="F1386" s="1401"/>
      <c r="G1386" s="1402"/>
      <c r="H1386" s="1403"/>
      <c r="I1386" s="1404"/>
      <c r="J1386" s="1405"/>
      <c r="K1386" s="1405"/>
      <c r="L1386" s="1405"/>
      <c r="M1386" s="1405"/>
      <c r="N1386" s="1406"/>
      <c r="O1386" s="1406"/>
      <c r="P1386" s="1406"/>
      <c r="Q1386" s="1406"/>
      <c r="R1386" s="1406"/>
      <c r="S1386" s="1406"/>
      <c r="T1386" s="1406"/>
      <c r="U1386" s="1406"/>
      <c r="V1386" s="1406"/>
      <c r="W1386" s="1406"/>
      <c r="X1386" s="1406"/>
      <c r="Y1386" s="1406"/>
      <c r="Z1386" s="1406"/>
      <c r="AA1386" s="1406"/>
      <c r="AB1386" s="1406"/>
      <c r="AC1386" s="1406"/>
      <c r="AD1386" s="1406"/>
      <c r="AE1386" s="1406"/>
      <c r="AF1386" s="1406"/>
      <c r="AG1386" s="1406"/>
      <c r="AH1386" s="1406"/>
      <c r="AI1386" s="1406"/>
      <c r="AJ1386" s="1406"/>
      <c r="AK1386" s="1406"/>
      <c r="AL1386" s="1406"/>
      <c r="AM1386" s="1406"/>
      <c r="AN1386" s="1406"/>
      <c r="AO1386" s="1405"/>
      <c r="AP1386" s="1405"/>
      <c r="AQ1386" s="1405"/>
      <c r="AR1386" s="1405"/>
      <c r="AS1386" s="1405"/>
      <c r="AT1386" s="1405"/>
      <c r="AU1386" s="1405"/>
      <c r="AV1386" s="1405"/>
    </row>
    <row r="1387" spans="1:48" s="1431" customFormat="1">
      <c r="A1387" s="1399"/>
      <c r="B1387" s="1429"/>
      <c r="C1387" s="1430"/>
      <c r="D1387" s="1400"/>
      <c r="E1387" s="1401"/>
      <c r="F1387" s="1401"/>
      <c r="G1387" s="1402"/>
      <c r="H1387" s="1403"/>
      <c r="I1387" s="1404"/>
      <c r="J1387" s="1405"/>
      <c r="K1387" s="1405"/>
      <c r="L1387" s="1405"/>
      <c r="M1387" s="1405"/>
      <c r="N1387" s="1406"/>
      <c r="O1387" s="1406"/>
      <c r="P1387" s="1406"/>
      <c r="Q1387" s="1406"/>
      <c r="R1387" s="1406"/>
      <c r="S1387" s="1406"/>
      <c r="T1387" s="1406"/>
      <c r="U1387" s="1406"/>
      <c r="V1387" s="1406"/>
      <c r="W1387" s="1406"/>
      <c r="X1387" s="1406"/>
      <c r="Y1387" s="1406"/>
      <c r="Z1387" s="1406"/>
      <c r="AA1387" s="1406"/>
      <c r="AB1387" s="1406"/>
      <c r="AC1387" s="1406"/>
      <c r="AD1387" s="1406"/>
      <c r="AE1387" s="1406"/>
      <c r="AF1387" s="1406"/>
      <c r="AG1387" s="1406"/>
      <c r="AH1387" s="1406"/>
      <c r="AI1387" s="1406"/>
      <c r="AJ1387" s="1406"/>
      <c r="AK1387" s="1406"/>
      <c r="AL1387" s="1406"/>
      <c r="AM1387" s="1406"/>
      <c r="AN1387" s="1406"/>
      <c r="AO1387" s="1405"/>
      <c r="AP1387" s="1405"/>
      <c r="AQ1387" s="1405"/>
      <c r="AR1387" s="1405"/>
      <c r="AS1387" s="1405"/>
      <c r="AT1387" s="1405"/>
      <c r="AU1387" s="1405"/>
      <c r="AV1387" s="1405"/>
    </row>
    <row r="1388" spans="1:48" s="1431" customFormat="1">
      <c r="A1388" s="1399"/>
      <c r="B1388" s="1429"/>
      <c r="C1388" s="1430"/>
      <c r="D1388" s="1400"/>
      <c r="E1388" s="1401"/>
      <c r="F1388" s="1401"/>
      <c r="G1388" s="1402"/>
      <c r="H1388" s="1403"/>
      <c r="I1388" s="1404"/>
      <c r="J1388" s="1405"/>
      <c r="K1388" s="1405"/>
      <c r="L1388" s="1405"/>
      <c r="M1388" s="1405"/>
      <c r="N1388" s="1406"/>
      <c r="O1388" s="1406"/>
      <c r="P1388" s="1406"/>
      <c r="Q1388" s="1406"/>
      <c r="R1388" s="1406"/>
      <c r="S1388" s="1406"/>
      <c r="T1388" s="1406"/>
      <c r="U1388" s="1406"/>
      <c r="V1388" s="1406"/>
      <c r="W1388" s="1406"/>
      <c r="X1388" s="1406"/>
      <c r="Y1388" s="1406"/>
      <c r="Z1388" s="1406"/>
      <c r="AA1388" s="1406"/>
      <c r="AB1388" s="1406"/>
      <c r="AC1388" s="1406"/>
      <c r="AD1388" s="1406"/>
      <c r="AE1388" s="1406"/>
      <c r="AF1388" s="1406"/>
      <c r="AG1388" s="1406"/>
      <c r="AH1388" s="1406"/>
      <c r="AI1388" s="1406"/>
      <c r="AJ1388" s="1406"/>
      <c r="AK1388" s="1406"/>
      <c r="AL1388" s="1406"/>
      <c r="AM1388" s="1406"/>
      <c r="AN1388" s="1406"/>
      <c r="AO1388" s="1405"/>
      <c r="AP1388" s="1405"/>
      <c r="AQ1388" s="1405"/>
      <c r="AR1388" s="1405"/>
      <c r="AS1388" s="1405"/>
      <c r="AT1388" s="1405"/>
      <c r="AU1388" s="1405"/>
      <c r="AV1388" s="1405"/>
    </row>
    <row r="1389" spans="1:48" s="1431" customFormat="1">
      <c r="A1389" s="1399"/>
      <c r="B1389" s="1429"/>
      <c r="C1389" s="1430"/>
      <c r="D1389" s="1400"/>
      <c r="E1389" s="1401"/>
      <c r="F1389" s="1401"/>
      <c r="G1389" s="1402"/>
      <c r="H1389" s="1403"/>
      <c r="I1389" s="1404"/>
      <c r="J1389" s="1405"/>
      <c r="K1389" s="1405"/>
      <c r="L1389" s="1405"/>
      <c r="M1389" s="1405"/>
      <c r="N1389" s="1406"/>
      <c r="O1389" s="1406"/>
      <c r="P1389" s="1406"/>
      <c r="Q1389" s="1406"/>
      <c r="R1389" s="1406"/>
      <c r="S1389" s="1406"/>
      <c r="T1389" s="1406"/>
      <c r="U1389" s="1406"/>
      <c r="V1389" s="1406"/>
      <c r="W1389" s="1406"/>
      <c r="X1389" s="1406"/>
      <c r="Y1389" s="1406"/>
      <c r="Z1389" s="1406"/>
      <c r="AA1389" s="1406"/>
      <c r="AB1389" s="1406"/>
      <c r="AC1389" s="1406"/>
      <c r="AD1389" s="1406"/>
      <c r="AE1389" s="1406"/>
      <c r="AF1389" s="1406"/>
      <c r="AG1389" s="1406"/>
      <c r="AH1389" s="1406"/>
      <c r="AI1389" s="1406"/>
      <c r="AJ1389" s="1406"/>
      <c r="AK1389" s="1406"/>
      <c r="AL1389" s="1406"/>
      <c r="AM1389" s="1406"/>
      <c r="AN1389" s="1406"/>
      <c r="AO1389" s="1405"/>
      <c r="AP1389" s="1405"/>
      <c r="AQ1389" s="1405"/>
      <c r="AR1389" s="1405"/>
      <c r="AS1389" s="1405"/>
      <c r="AT1389" s="1405"/>
      <c r="AU1389" s="1405"/>
      <c r="AV1389" s="1405"/>
    </row>
    <row r="1390" spans="1:48" s="1431" customFormat="1">
      <c r="A1390" s="1399"/>
      <c r="B1390" s="1429"/>
      <c r="C1390" s="1430"/>
      <c r="D1390" s="1400"/>
      <c r="E1390" s="1401"/>
      <c r="F1390" s="1401"/>
      <c r="G1390" s="1402"/>
      <c r="H1390" s="1403"/>
      <c r="I1390" s="1404"/>
      <c r="J1390" s="1405"/>
      <c r="K1390" s="1405"/>
      <c r="L1390" s="1405"/>
      <c r="M1390" s="1405"/>
      <c r="N1390" s="1406"/>
      <c r="O1390" s="1406"/>
      <c r="P1390" s="1406"/>
      <c r="Q1390" s="1406"/>
      <c r="R1390" s="1406"/>
      <c r="S1390" s="1406"/>
      <c r="T1390" s="1406"/>
      <c r="U1390" s="1406"/>
      <c r="V1390" s="1406"/>
      <c r="W1390" s="1406"/>
      <c r="X1390" s="1406"/>
      <c r="Y1390" s="1406"/>
      <c r="Z1390" s="1406"/>
      <c r="AA1390" s="1406"/>
      <c r="AB1390" s="1406"/>
      <c r="AC1390" s="1406"/>
      <c r="AD1390" s="1406"/>
      <c r="AE1390" s="1406"/>
      <c r="AF1390" s="1406"/>
      <c r="AG1390" s="1406"/>
      <c r="AH1390" s="1406"/>
      <c r="AI1390" s="1406"/>
      <c r="AJ1390" s="1406"/>
      <c r="AK1390" s="1406"/>
      <c r="AL1390" s="1406"/>
      <c r="AM1390" s="1406"/>
      <c r="AN1390" s="1406"/>
      <c r="AO1390" s="1405"/>
      <c r="AP1390" s="1405"/>
      <c r="AQ1390" s="1405"/>
      <c r="AR1390" s="1405"/>
      <c r="AS1390" s="1405"/>
      <c r="AT1390" s="1405"/>
      <c r="AU1390" s="1405"/>
      <c r="AV1390" s="1405"/>
    </row>
    <row r="1391" spans="1:48" s="1431" customFormat="1">
      <c r="A1391" s="1399"/>
      <c r="B1391" s="1429"/>
      <c r="C1391" s="1430"/>
      <c r="D1391" s="1400"/>
      <c r="E1391" s="1401"/>
      <c r="F1391" s="1401"/>
      <c r="G1391" s="1402"/>
      <c r="H1391" s="1403"/>
      <c r="I1391" s="1404"/>
      <c r="J1391" s="1405"/>
      <c r="K1391" s="1405"/>
      <c r="L1391" s="1405"/>
      <c r="M1391" s="1405"/>
      <c r="N1391" s="1406"/>
      <c r="O1391" s="1406"/>
      <c r="P1391" s="1406"/>
      <c r="Q1391" s="1406"/>
      <c r="R1391" s="1406"/>
      <c r="S1391" s="1406"/>
      <c r="T1391" s="1406"/>
      <c r="U1391" s="1406"/>
      <c r="V1391" s="1406"/>
      <c r="W1391" s="1406"/>
      <c r="X1391" s="1406"/>
      <c r="Y1391" s="1406"/>
      <c r="Z1391" s="1406"/>
      <c r="AA1391" s="1406"/>
      <c r="AB1391" s="1406"/>
      <c r="AC1391" s="1406"/>
      <c r="AD1391" s="1406"/>
      <c r="AE1391" s="1406"/>
      <c r="AF1391" s="1406"/>
      <c r="AG1391" s="1406"/>
      <c r="AH1391" s="1406"/>
      <c r="AI1391" s="1406"/>
      <c r="AJ1391" s="1406"/>
      <c r="AK1391" s="1406"/>
      <c r="AL1391" s="1406"/>
      <c r="AM1391" s="1406"/>
      <c r="AN1391" s="1406"/>
      <c r="AO1391" s="1405"/>
      <c r="AP1391" s="1405"/>
      <c r="AQ1391" s="1405"/>
      <c r="AR1391" s="1405"/>
      <c r="AS1391" s="1405"/>
      <c r="AT1391" s="1405"/>
      <c r="AU1391" s="1405"/>
      <c r="AV1391" s="1405"/>
    </row>
    <row r="1392" spans="1:48" s="1431" customFormat="1">
      <c r="A1392" s="1399"/>
      <c r="B1392" s="1429"/>
      <c r="C1392" s="1430"/>
      <c r="D1392" s="1400"/>
      <c r="E1392" s="1401"/>
      <c r="F1392" s="1401"/>
      <c r="G1392" s="1402"/>
      <c r="H1392" s="1403"/>
      <c r="I1392" s="1404"/>
      <c r="J1392" s="1405"/>
      <c r="K1392" s="1405"/>
      <c r="L1392" s="1405"/>
      <c r="M1392" s="1405"/>
      <c r="N1392" s="1406"/>
      <c r="O1392" s="1406"/>
      <c r="P1392" s="1406"/>
      <c r="Q1392" s="1406"/>
      <c r="R1392" s="1406"/>
      <c r="S1392" s="1406"/>
      <c r="T1392" s="1406"/>
      <c r="U1392" s="1406"/>
      <c r="V1392" s="1406"/>
      <c r="W1392" s="1406"/>
      <c r="X1392" s="1406"/>
      <c r="Y1392" s="1406"/>
      <c r="Z1392" s="1406"/>
      <c r="AA1392" s="1406"/>
      <c r="AB1392" s="1406"/>
      <c r="AC1392" s="1406"/>
      <c r="AD1392" s="1406"/>
      <c r="AE1392" s="1406"/>
      <c r="AF1392" s="1406"/>
      <c r="AG1392" s="1406"/>
      <c r="AH1392" s="1406"/>
      <c r="AI1392" s="1406"/>
      <c r="AJ1392" s="1406"/>
      <c r="AK1392" s="1406"/>
      <c r="AL1392" s="1406"/>
      <c r="AM1392" s="1406"/>
      <c r="AN1392" s="1406"/>
      <c r="AO1392" s="1405"/>
      <c r="AP1392" s="1405"/>
      <c r="AQ1392" s="1405"/>
      <c r="AR1392" s="1405"/>
      <c r="AS1392" s="1405"/>
      <c r="AT1392" s="1405"/>
      <c r="AU1392" s="1405"/>
      <c r="AV1392" s="1405"/>
    </row>
    <row r="1393" spans="1:48" s="1431" customFormat="1">
      <c r="A1393" s="1399"/>
      <c r="B1393" s="1429"/>
      <c r="C1393" s="1430"/>
      <c r="D1393" s="1400"/>
      <c r="E1393" s="1401"/>
      <c r="F1393" s="1401"/>
      <c r="G1393" s="1402"/>
      <c r="H1393" s="1403"/>
      <c r="I1393" s="1404"/>
      <c r="J1393" s="1405"/>
      <c r="K1393" s="1405"/>
      <c r="L1393" s="1405"/>
      <c r="M1393" s="1405"/>
      <c r="N1393" s="1406"/>
      <c r="O1393" s="1406"/>
      <c r="P1393" s="1406"/>
      <c r="Q1393" s="1406"/>
      <c r="R1393" s="1406"/>
      <c r="S1393" s="1406"/>
      <c r="T1393" s="1406"/>
      <c r="U1393" s="1406"/>
      <c r="V1393" s="1406"/>
      <c r="W1393" s="1406"/>
      <c r="X1393" s="1406"/>
      <c r="Y1393" s="1406"/>
      <c r="Z1393" s="1406"/>
      <c r="AA1393" s="1406"/>
      <c r="AB1393" s="1406"/>
      <c r="AC1393" s="1406"/>
      <c r="AD1393" s="1406"/>
      <c r="AE1393" s="1406"/>
      <c r="AF1393" s="1406"/>
      <c r="AG1393" s="1406"/>
      <c r="AH1393" s="1406"/>
      <c r="AI1393" s="1406"/>
      <c r="AJ1393" s="1406"/>
      <c r="AK1393" s="1406"/>
      <c r="AL1393" s="1406"/>
      <c r="AM1393" s="1406"/>
      <c r="AN1393" s="1406"/>
      <c r="AO1393" s="1405"/>
      <c r="AP1393" s="1405"/>
      <c r="AQ1393" s="1405"/>
      <c r="AR1393" s="1405"/>
      <c r="AS1393" s="1405"/>
      <c r="AT1393" s="1405"/>
      <c r="AU1393" s="1405"/>
      <c r="AV1393" s="1405"/>
    </row>
    <row r="1394" spans="1:48" s="1431" customFormat="1">
      <c r="A1394" s="1399"/>
      <c r="B1394" s="1429"/>
      <c r="C1394" s="1430"/>
      <c r="D1394" s="1400"/>
      <c r="E1394" s="1401"/>
      <c r="F1394" s="1401"/>
      <c r="G1394" s="1402"/>
      <c r="H1394" s="1403"/>
      <c r="I1394" s="1404"/>
      <c r="J1394" s="1405"/>
      <c r="K1394" s="1405"/>
      <c r="L1394" s="1405"/>
      <c r="M1394" s="1405"/>
      <c r="N1394" s="1406"/>
      <c r="O1394" s="1406"/>
      <c r="P1394" s="1406"/>
      <c r="Q1394" s="1406"/>
      <c r="R1394" s="1406"/>
      <c r="S1394" s="1406"/>
      <c r="T1394" s="1406"/>
      <c r="U1394" s="1406"/>
      <c r="V1394" s="1406"/>
      <c r="W1394" s="1406"/>
      <c r="X1394" s="1406"/>
      <c r="Y1394" s="1406"/>
      <c r="Z1394" s="1406"/>
      <c r="AA1394" s="1406"/>
      <c r="AB1394" s="1406"/>
      <c r="AC1394" s="1406"/>
      <c r="AD1394" s="1406"/>
      <c r="AE1394" s="1406"/>
      <c r="AF1394" s="1406"/>
      <c r="AG1394" s="1406"/>
      <c r="AH1394" s="1406"/>
      <c r="AI1394" s="1406"/>
      <c r="AJ1394" s="1406"/>
      <c r="AK1394" s="1406"/>
      <c r="AL1394" s="1406"/>
      <c r="AM1394" s="1406"/>
      <c r="AN1394" s="1406"/>
      <c r="AO1394" s="1405"/>
      <c r="AP1394" s="1405"/>
      <c r="AQ1394" s="1405"/>
      <c r="AR1394" s="1405"/>
      <c r="AS1394" s="1405"/>
      <c r="AT1394" s="1405"/>
      <c r="AU1394" s="1405"/>
      <c r="AV1394" s="1405"/>
    </row>
    <row r="1395" spans="1:48" s="1431" customFormat="1">
      <c r="A1395" s="1399"/>
      <c r="B1395" s="1429"/>
      <c r="C1395" s="1430"/>
      <c r="D1395" s="1400"/>
      <c r="E1395" s="1401"/>
      <c r="F1395" s="1401"/>
      <c r="G1395" s="1402"/>
      <c r="H1395" s="1403"/>
      <c r="I1395" s="1404"/>
      <c r="J1395" s="1405"/>
      <c r="K1395" s="1405"/>
      <c r="L1395" s="1405"/>
      <c r="M1395" s="1405"/>
      <c r="N1395" s="1406"/>
      <c r="O1395" s="1406"/>
      <c r="P1395" s="1406"/>
      <c r="Q1395" s="1406"/>
      <c r="R1395" s="1406"/>
      <c r="S1395" s="1406"/>
      <c r="T1395" s="1406"/>
      <c r="U1395" s="1406"/>
      <c r="V1395" s="1406"/>
      <c r="W1395" s="1406"/>
      <c r="X1395" s="1406"/>
      <c r="Y1395" s="1406"/>
      <c r="Z1395" s="1406"/>
      <c r="AA1395" s="1406"/>
      <c r="AB1395" s="1406"/>
      <c r="AC1395" s="1406"/>
      <c r="AD1395" s="1406"/>
      <c r="AE1395" s="1406"/>
      <c r="AF1395" s="1406"/>
      <c r="AG1395" s="1406"/>
      <c r="AH1395" s="1406"/>
      <c r="AI1395" s="1406"/>
      <c r="AJ1395" s="1406"/>
      <c r="AK1395" s="1406"/>
      <c r="AL1395" s="1406"/>
      <c r="AM1395" s="1406"/>
      <c r="AN1395" s="1406"/>
      <c r="AO1395" s="1405"/>
      <c r="AP1395" s="1405"/>
      <c r="AQ1395" s="1405"/>
      <c r="AR1395" s="1405"/>
      <c r="AS1395" s="1405"/>
      <c r="AT1395" s="1405"/>
      <c r="AU1395" s="1405"/>
      <c r="AV1395" s="1405"/>
    </row>
    <row r="1396" spans="1:48" s="1431" customFormat="1">
      <c r="A1396" s="1399"/>
      <c r="B1396" s="1429"/>
      <c r="C1396" s="1430"/>
      <c r="D1396" s="1400"/>
      <c r="E1396" s="1401"/>
      <c r="F1396" s="1401"/>
      <c r="G1396" s="1402"/>
      <c r="H1396" s="1403"/>
      <c r="I1396" s="1404"/>
      <c r="J1396" s="1405"/>
      <c r="K1396" s="1405"/>
      <c r="L1396" s="1405"/>
      <c r="M1396" s="1405"/>
      <c r="N1396" s="1406"/>
      <c r="O1396" s="1406"/>
      <c r="P1396" s="1406"/>
      <c r="Q1396" s="1406"/>
      <c r="R1396" s="1406"/>
      <c r="S1396" s="1406"/>
      <c r="T1396" s="1406"/>
      <c r="U1396" s="1406"/>
      <c r="V1396" s="1406"/>
      <c r="W1396" s="1406"/>
      <c r="X1396" s="1406"/>
      <c r="Y1396" s="1406"/>
      <c r="Z1396" s="1406"/>
      <c r="AA1396" s="1406"/>
      <c r="AB1396" s="1406"/>
      <c r="AC1396" s="1406"/>
      <c r="AD1396" s="1406"/>
      <c r="AE1396" s="1406"/>
      <c r="AF1396" s="1406"/>
      <c r="AG1396" s="1406"/>
      <c r="AH1396" s="1406"/>
      <c r="AI1396" s="1406"/>
      <c r="AJ1396" s="1406"/>
      <c r="AK1396" s="1406"/>
      <c r="AL1396" s="1406"/>
      <c r="AM1396" s="1406"/>
      <c r="AN1396" s="1406"/>
      <c r="AO1396" s="1405"/>
      <c r="AP1396" s="1405"/>
      <c r="AQ1396" s="1405"/>
      <c r="AR1396" s="1405"/>
      <c r="AS1396" s="1405"/>
      <c r="AT1396" s="1405"/>
      <c r="AU1396" s="1405"/>
      <c r="AV1396" s="1405"/>
    </row>
    <row r="1397" spans="1:48" s="1431" customFormat="1">
      <c r="A1397" s="1399"/>
      <c r="B1397" s="1429"/>
      <c r="C1397" s="1430"/>
      <c r="D1397" s="1400"/>
      <c r="E1397" s="1401"/>
      <c r="F1397" s="1401"/>
      <c r="G1397" s="1402"/>
      <c r="H1397" s="1403"/>
      <c r="I1397" s="1404"/>
      <c r="J1397" s="1405"/>
      <c r="K1397" s="1405"/>
      <c r="L1397" s="1405"/>
      <c r="M1397" s="1405"/>
      <c r="N1397" s="1406"/>
      <c r="O1397" s="1406"/>
      <c r="P1397" s="1406"/>
      <c r="Q1397" s="1406"/>
      <c r="R1397" s="1406"/>
      <c r="S1397" s="1406"/>
      <c r="T1397" s="1406"/>
      <c r="U1397" s="1406"/>
      <c r="V1397" s="1406"/>
      <c r="W1397" s="1406"/>
      <c r="X1397" s="1406"/>
      <c r="Y1397" s="1406"/>
      <c r="Z1397" s="1406"/>
      <c r="AA1397" s="1406"/>
      <c r="AB1397" s="1406"/>
      <c r="AC1397" s="1406"/>
      <c r="AD1397" s="1406"/>
      <c r="AE1397" s="1406"/>
      <c r="AF1397" s="1406"/>
      <c r="AG1397" s="1406"/>
      <c r="AH1397" s="1406"/>
      <c r="AI1397" s="1406"/>
      <c r="AJ1397" s="1406"/>
      <c r="AK1397" s="1406"/>
      <c r="AL1397" s="1406"/>
      <c r="AM1397" s="1406"/>
      <c r="AN1397" s="1406"/>
      <c r="AO1397" s="1405"/>
      <c r="AP1397" s="1405"/>
      <c r="AQ1397" s="1405"/>
      <c r="AR1397" s="1405"/>
      <c r="AS1397" s="1405"/>
      <c r="AT1397" s="1405"/>
      <c r="AU1397" s="1405"/>
      <c r="AV1397" s="1405"/>
    </row>
    <row r="1398" spans="1:48" s="1431" customFormat="1">
      <c r="A1398" s="1399"/>
      <c r="B1398" s="1429"/>
      <c r="C1398" s="1430"/>
      <c r="D1398" s="1400"/>
      <c r="E1398" s="1401"/>
      <c r="F1398" s="1401"/>
      <c r="G1398" s="1402"/>
      <c r="H1398" s="1403"/>
      <c r="I1398" s="1404"/>
      <c r="J1398" s="1405"/>
      <c r="K1398" s="1405"/>
      <c r="L1398" s="1405"/>
      <c r="M1398" s="1405"/>
      <c r="N1398" s="1406"/>
      <c r="O1398" s="1406"/>
      <c r="P1398" s="1406"/>
      <c r="Q1398" s="1406"/>
      <c r="R1398" s="1406"/>
      <c r="S1398" s="1406"/>
      <c r="T1398" s="1406"/>
      <c r="U1398" s="1406"/>
      <c r="V1398" s="1406"/>
      <c r="W1398" s="1406"/>
      <c r="X1398" s="1406"/>
      <c r="Y1398" s="1406"/>
      <c r="Z1398" s="1406"/>
      <c r="AA1398" s="1406"/>
      <c r="AB1398" s="1406"/>
      <c r="AC1398" s="1406"/>
      <c r="AD1398" s="1406"/>
      <c r="AE1398" s="1406"/>
      <c r="AF1398" s="1406"/>
      <c r="AG1398" s="1406"/>
      <c r="AH1398" s="1406"/>
      <c r="AI1398" s="1406"/>
      <c r="AJ1398" s="1406"/>
      <c r="AK1398" s="1406"/>
      <c r="AL1398" s="1406"/>
      <c r="AM1398" s="1406"/>
      <c r="AN1398" s="1406"/>
      <c r="AO1398" s="1405"/>
      <c r="AP1398" s="1405"/>
      <c r="AQ1398" s="1405"/>
      <c r="AR1398" s="1405"/>
      <c r="AS1398" s="1405"/>
      <c r="AT1398" s="1405"/>
      <c r="AU1398" s="1405"/>
      <c r="AV1398" s="1405"/>
    </row>
    <row r="1399" spans="1:48" s="1431" customFormat="1">
      <c r="A1399" s="1399"/>
      <c r="B1399" s="1429"/>
      <c r="C1399" s="1430"/>
      <c r="D1399" s="1400"/>
      <c r="E1399" s="1401"/>
      <c r="F1399" s="1401"/>
      <c r="G1399" s="1402"/>
      <c r="H1399" s="1403"/>
      <c r="I1399" s="1404"/>
      <c r="J1399" s="1405"/>
      <c r="K1399" s="1405"/>
      <c r="L1399" s="1405"/>
      <c r="M1399" s="1405"/>
      <c r="N1399" s="1406"/>
      <c r="O1399" s="1406"/>
      <c r="P1399" s="1406"/>
      <c r="Q1399" s="1406"/>
      <c r="R1399" s="1406"/>
      <c r="S1399" s="1406"/>
      <c r="T1399" s="1406"/>
      <c r="U1399" s="1406"/>
      <c r="V1399" s="1406"/>
      <c r="W1399" s="1406"/>
      <c r="X1399" s="1406"/>
      <c r="Y1399" s="1406"/>
      <c r="Z1399" s="1406"/>
      <c r="AA1399" s="1406"/>
      <c r="AB1399" s="1406"/>
      <c r="AC1399" s="1406"/>
      <c r="AD1399" s="1406"/>
      <c r="AE1399" s="1406"/>
      <c r="AF1399" s="1406"/>
      <c r="AG1399" s="1406"/>
      <c r="AH1399" s="1406"/>
      <c r="AI1399" s="1406"/>
      <c r="AJ1399" s="1406"/>
      <c r="AK1399" s="1406"/>
      <c r="AL1399" s="1406"/>
      <c r="AM1399" s="1406"/>
      <c r="AN1399" s="1406"/>
      <c r="AO1399" s="1405"/>
      <c r="AP1399" s="1405"/>
      <c r="AQ1399" s="1405"/>
      <c r="AR1399" s="1405"/>
      <c r="AS1399" s="1405"/>
      <c r="AT1399" s="1405"/>
      <c r="AU1399" s="1405"/>
      <c r="AV1399" s="1405"/>
    </row>
    <row r="1400" spans="1:48" s="1431" customFormat="1">
      <c r="A1400" s="1399"/>
      <c r="B1400" s="1429"/>
      <c r="C1400" s="1430"/>
      <c r="D1400" s="1400"/>
      <c r="E1400" s="1401"/>
      <c r="F1400" s="1401"/>
      <c r="G1400" s="1402"/>
      <c r="H1400" s="1403"/>
      <c r="I1400" s="1404"/>
      <c r="J1400" s="1405"/>
      <c r="K1400" s="1405"/>
      <c r="L1400" s="1405"/>
      <c r="M1400" s="1405"/>
      <c r="N1400" s="1406"/>
      <c r="O1400" s="1406"/>
      <c r="P1400" s="1406"/>
      <c r="Q1400" s="1406"/>
      <c r="R1400" s="1406"/>
      <c r="S1400" s="1406"/>
      <c r="T1400" s="1406"/>
      <c r="U1400" s="1406"/>
      <c r="V1400" s="1406"/>
      <c r="W1400" s="1406"/>
      <c r="X1400" s="1406"/>
      <c r="Y1400" s="1406"/>
      <c r="Z1400" s="1406"/>
      <c r="AA1400" s="1406"/>
      <c r="AB1400" s="1406"/>
      <c r="AC1400" s="1406"/>
      <c r="AD1400" s="1406"/>
      <c r="AE1400" s="1406"/>
      <c r="AF1400" s="1406"/>
      <c r="AG1400" s="1406"/>
      <c r="AH1400" s="1406"/>
      <c r="AI1400" s="1406"/>
      <c r="AJ1400" s="1406"/>
      <c r="AK1400" s="1406"/>
      <c r="AL1400" s="1406"/>
      <c r="AM1400" s="1406"/>
      <c r="AN1400" s="1406"/>
      <c r="AO1400" s="1405"/>
      <c r="AP1400" s="1405"/>
      <c r="AQ1400" s="1405"/>
      <c r="AR1400" s="1405"/>
      <c r="AS1400" s="1405"/>
      <c r="AT1400" s="1405"/>
      <c r="AU1400" s="1405"/>
      <c r="AV1400" s="1405"/>
    </row>
    <row r="1401" spans="1:48" s="1431" customFormat="1">
      <c r="A1401" s="1399"/>
      <c r="B1401" s="1429"/>
      <c r="C1401" s="1430"/>
      <c r="D1401" s="1400"/>
      <c r="E1401" s="1401"/>
      <c r="F1401" s="1401"/>
      <c r="G1401" s="1402"/>
      <c r="H1401" s="1403"/>
      <c r="I1401" s="1404"/>
      <c r="J1401" s="1405"/>
      <c r="K1401" s="1405"/>
      <c r="L1401" s="1405"/>
      <c r="M1401" s="1405"/>
      <c r="N1401" s="1406"/>
      <c r="O1401" s="1406"/>
      <c r="P1401" s="1406"/>
      <c r="Q1401" s="1406"/>
      <c r="R1401" s="1406"/>
      <c r="S1401" s="1406"/>
      <c r="T1401" s="1406"/>
      <c r="U1401" s="1406"/>
      <c r="V1401" s="1406"/>
      <c r="W1401" s="1406"/>
      <c r="X1401" s="1406"/>
      <c r="Y1401" s="1406"/>
      <c r="Z1401" s="1406"/>
      <c r="AA1401" s="1406"/>
      <c r="AB1401" s="1406"/>
      <c r="AC1401" s="1406"/>
      <c r="AD1401" s="1406"/>
      <c r="AE1401" s="1406"/>
      <c r="AF1401" s="1406"/>
      <c r="AG1401" s="1406"/>
      <c r="AH1401" s="1406"/>
      <c r="AI1401" s="1406"/>
      <c r="AJ1401" s="1406"/>
      <c r="AK1401" s="1406"/>
      <c r="AL1401" s="1406"/>
      <c r="AM1401" s="1406"/>
      <c r="AN1401" s="1406"/>
      <c r="AO1401" s="1405"/>
      <c r="AP1401" s="1405"/>
      <c r="AQ1401" s="1405"/>
      <c r="AR1401" s="1405"/>
      <c r="AS1401" s="1405"/>
      <c r="AT1401" s="1405"/>
      <c r="AU1401" s="1405"/>
      <c r="AV1401" s="1405"/>
    </row>
    <row r="1402" spans="1:48" s="1431" customFormat="1">
      <c r="A1402" s="1399"/>
      <c r="B1402" s="1429"/>
      <c r="C1402" s="1430"/>
      <c r="D1402" s="1400"/>
      <c r="E1402" s="1401"/>
      <c r="F1402" s="1401"/>
      <c r="G1402" s="1402"/>
      <c r="H1402" s="1403"/>
      <c r="I1402" s="1404"/>
      <c r="J1402" s="1405"/>
      <c r="K1402" s="1405"/>
      <c r="L1402" s="1405"/>
      <c r="M1402" s="1405"/>
      <c r="N1402" s="1406"/>
      <c r="O1402" s="1406"/>
      <c r="P1402" s="1406"/>
      <c r="Q1402" s="1406"/>
      <c r="R1402" s="1406"/>
      <c r="S1402" s="1406"/>
      <c r="T1402" s="1406"/>
      <c r="U1402" s="1406"/>
      <c r="V1402" s="1406"/>
      <c r="W1402" s="1406"/>
      <c r="X1402" s="1406"/>
      <c r="Y1402" s="1406"/>
      <c r="Z1402" s="1406"/>
      <c r="AA1402" s="1406"/>
      <c r="AB1402" s="1406"/>
      <c r="AC1402" s="1406"/>
      <c r="AD1402" s="1406"/>
      <c r="AE1402" s="1406"/>
      <c r="AF1402" s="1406"/>
      <c r="AG1402" s="1406"/>
      <c r="AH1402" s="1406"/>
      <c r="AI1402" s="1406"/>
      <c r="AJ1402" s="1406"/>
      <c r="AK1402" s="1406"/>
      <c r="AL1402" s="1406"/>
      <c r="AM1402" s="1406"/>
      <c r="AN1402" s="1406"/>
      <c r="AO1402" s="1405"/>
      <c r="AP1402" s="1405"/>
      <c r="AQ1402" s="1405"/>
      <c r="AR1402" s="1405"/>
      <c r="AS1402" s="1405"/>
      <c r="AT1402" s="1405"/>
      <c r="AU1402" s="1405"/>
      <c r="AV1402" s="1405"/>
    </row>
    <row r="1403" spans="1:48" s="1431" customFormat="1">
      <c r="A1403" s="1399"/>
      <c r="B1403" s="1429"/>
      <c r="C1403" s="1430"/>
      <c r="D1403" s="1400"/>
      <c r="E1403" s="1401"/>
      <c r="F1403" s="1401"/>
      <c r="G1403" s="1402"/>
      <c r="H1403" s="1403"/>
      <c r="I1403" s="1404"/>
      <c r="J1403" s="1405"/>
      <c r="K1403" s="1405"/>
      <c r="L1403" s="1405"/>
      <c r="M1403" s="1405"/>
      <c r="N1403" s="1406"/>
      <c r="O1403" s="1406"/>
      <c r="P1403" s="1406"/>
      <c r="Q1403" s="1406"/>
      <c r="R1403" s="1406"/>
      <c r="S1403" s="1406"/>
      <c r="T1403" s="1406"/>
      <c r="U1403" s="1406"/>
      <c r="V1403" s="1406"/>
      <c r="W1403" s="1406"/>
      <c r="X1403" s="1406"/>
      <c r="Y1403" s="1406"/>
      <c r="Z1403" s="1406"/>
      <c r="AA1403" s="1406"/>
      <c r="AB1403" s="1406"/>
      <c r="AC1403" s="1406"/>
      <c r="AD1403" s="1406"/>
      <c r="AE1403" s="1406"/>
      <c r="AF1403" s="1406"/>
      <c r="AG1403" s="1406"/>
      <c r="AH1403" s="1406"/>
      <c r="AI1403" s="1406"/>
      <c r="AJ1403" s="1406"/>
      <c r="AK1403" s="1406"/>
      <c r="AL1403" s="1406"/>
      <c r="AM1403" s="1406"/>
      <c r="AN1403" s="1406"/>
      <c r="AO1403" s="1405"/>
      <c r="AP1403" s="1405"/>
      <c r="AQ1403" s="1405"/>
      <c r="AR1403" s="1405"/>
      <c r="AS1403" s="1405"/>
      <c r="AT1403" s="1405"/>
      <c r="AU1403" s="1405"/>
      <c r="AV1403" s="1405"/>
    </row>
    <row r="1404" spans="1:48" s="1431" customFormat="1">
      <c r="A1404" s="1399"/>
      <c r="B1404" s="1429"/>
      <c r="C1404" s="1430"/>
      <c r="D1404" s="1400"/>
      <c r="E1404" s="1401"/>
      <c r="F1404" s="1401"/>
      <c r="G1404" s="1402"/>
      <c r="H1404" s="1403"/>
      <c r="I1404" s="1404"/>
      <c r="J1404" s="1405"/>
      <c r="K1404" s="1405"/>
      <c r="L1404" s="1405"/>
      <c r="M1404" s="1405"/>
      <c r="N1404" s="1406"/>
      <c r="O1404" s="1406"/>
      <c r="P1404" s="1406"/>
      <c r="Q1404" s="1406"/>
      <c r="R1404" s="1406"/>
      <c r="S1404" s="1406"/>
      <c r="T1404" s="1406"/>
      <c r="U1404" s="1406"/>
      <c r="V1404" s="1406"/>
      <c r="W1404" s="1406"/>
      <c r="X1404" s="1406"/>
      <c r="Y1404" s="1406"/>
      <c r="Z1404" s="1406"/>
      <c r="AA1404" s="1406"/>
      <c r="AB1404" s="1406"/>
      <c r="AC1404" s="1406"/>
      <c r="AD1404" s="1406"/>
      <c r="AE1404" s="1406"/>
      <c r="AF1404" s="1406"/>
      <c r="AG1404" s="1406"/>
      <c r="AH1404" s="1406"/>
      <c r="AI1404" s="1406"/>
      <c r="AJ1404" s="1406"/>
      <c r="AK1404" s="1406"/>
      <c r="AL1404" s="1406"/>
      <c r="AM1404" s="1406"/>
      <c r="AN1404" s="1406"/>
      <c r="AO1404" s="1405"/>
      <c r="AP1404" s="1405"/>
      <c r="AQ1404" s="1405"/>
      <c r="AR1404" s="1405"/>
      <c r="AS1404" s="1405"/>
      <c r="AT1404" s="1405"/>
      <c r="AU1404" s="1405"/>
      <c r="AV1404" s="1405"/>
    </row>
    <row r="1405" spans="1:48" s="1431" customFormat="1">
      <c r="A1405" s="1399"/>
      <c r="B1405" s="1429"/>
      <c r="C1405" s="1430"/>
      <c r="D1405" s="1400"/>
      <c r="E1405" s="1401"/>
      <c r="F1405" s="1401"/>
      <c r="G1405" s="1402"/>
      <c r="H1405" s="1403"/>
      <c r="I1405" s="1404"/>
      <c r="J1405" s="1405"/>
      <c r="K1405" s="1405"/>
      <c r="L1405" s="1405"/>
      <c r="M1405" s="1405"/>
      <c r="N1405" s="1406"/>
      <c r="O1405" s="1406"/>
      <c r="P1405" s="1406"/>
      <c r="Q1405" s="1406"/>
      <c r="R1405" s="1406"/>
      <c r="S1405" s="1406"/>
      <c r="T1405" s="1406"/>
      <c r="U1405" s="1406"/>
      <c r="V1405" s="1406"/>
      <c r="W1405" s="1406"/>
      <c r="X1405" s="1406"/>
      <c r="Y1405" s="1406"/>
      <c r="Z1405" s="1406"/>
      <c r="AA1405" s="1406"/>
      <c r="AB1405" s="1406"/>
      <c r="AC1405" s="1406"/>
      <c r="AD1405" s="1406"/>
      <c r="AE1405" s="1406"/>
      <c r="AF1405" s="1406"/>
      <c r="AG1405" s="1406"/>
      <c r="AH1405" s="1406"/>
      <c r="AI1405" s="1406"/>
      <c r="AJ1405" s="1406"/>
      <c r="AK1405" s="1406"/>
      <c r="AL1405" s="1406"/>
      <c r="AM1405" s="1406"/>
      <c r="AN1405" s="1406"/>
      <c r="AO1405" s="1405"/>
      <c r="AP1405" s="1405"/>
      <c r="AQ1405" s="1405"/>
      <c r="AR1405" s="1405"/>
      <c r="AS1405" s="1405"/>
      <c r="AT1405" s="1405"/>
      <c r="AU1405" s="1405"/>
      <c r="AV1405" s="1405"/>
    </row>
    <row r="1406" spans="1:48" s="1431" customFormat="1">
      <c r="A1406" s="1399"/>
      <c r="B1406" s="1429"/>
      <c r="C1406" s="1430"/>
      <c r="D1406" s="1400"/>
      <c r="E1406" s="1401"/>
      <c r="F1406" s="1401"/>
      <c r="G1406" s="1402"/>
      <c r="H1406" s="1403"/>
      <c r="I1406" s="1404"/>
      <c r="J1406" s="1405"/>
      <c r="K1406" s="1405"/>
      <c r="L1406" s="1405"/>
      <c r="M1406" s="1405"/>
      <c r="N1406" s="1406"/>
      <c r="O1406" s="1406"/>
      <c r="P1406" s="1406"/>
      <c r="Q1406" s="1406"/>
      <c r="R1406" s="1406"/>
      <c r="S1406" s="1406"/>
      <c r="T1406" s="1406"/>
      <c r="U1406" s="1406"/>
      <c r="V1406" s="1406"/>
      <c r="W1406" s="1406"/>
      <c r="X1406" s="1406"/>
      <c r="Y1406" s="1406"/>
      <c r="Z1406" s="1406"/>
      <c r="AA1406" s="1406"/>
      <c r="AB1406" s="1406"/>
      <c r="AC1406" s="1406"/>
      <c r="AD1406" s="1406"/>
      <c r="AE1406" s="1406"/>
      <c r="AF1406" s="1406"/>
      <c r="AG1406" s="1406"/>
      <c r="AH1406" s="1406"/>
      <c r="AI1406" s="1406"/>
      <c r="AJ1406" s="1406"/>
      <c r="AK1406" s="1406"/>
      <c r="AL1406" s="1406"/>
      <c r="AM1406" s="1406"/>
      <c r="AN1406" s="1406"/>
      <c r="AO1406" s="1405"/>
      <c r="AP1406" s="1405"/>
      <c r="AQ1406" s="1405"/>
      <c r="AR1406" s="1405"/>
      <c r="AS1406" s="1405"/>
      <c r="AT1406" s="1405"/>
      <c r="AU1406" s="1405"/>
      <c r="AV1406" s="1405"/>
    </row>
    <row r="1407" spans="1:48" s="1431" customFormat="1">
      <c r="A1407" s="1399"/>
      <c r="B1407" s="1429"/>
      <c r="C1407" s="1430"/>
      <c r="D1407" s="1400"/>
      <c r="E1407" s="1401"/>
      <c r="F1407" s="1401"/>
      <c r="G1407" s="1402"/>
      <c r="H1407" s="1403"/>
      <c r="I1407" s="1404"/>
      <c r="J1407" s="1405"/>
      <c r="K1407" s="1405"/>
      <c r="L1407" s="1405"/>
      <c r="M1407" s="1405"/>
      <c r="N1407" s="1406"/>
      <c r="O1407" s="1406"/>
      <c r="P1407" s="1406"/>
      <c r="Q1407" s="1406"/>
      <c r="R1407" s="1406"/>
      <c r="S1407" s="1406"/>
      <c r="T1407" s="1406"/>
      <c r="U1407" s="1406"/>
      <c r="V1407" s="1406"/>
      <c r="W1407" s="1406"/>
      <c r="X1407" s="1406"/>
      <c r="Y1407" s="1406"/>
      <c r="Z1407" s="1406"/>
      <c r="AA1407" s="1406"/>
      <c r="AB1407" s="1406"/>
      <c r="AC1407" s="1406"/>
      <c r="AD1407" s="1406"/>
      <c r="AE1407" s="1406"/>
      <c r="AF1407" s="1406"/>
      <c r="AG1407" s="1406"/>
      <c r="AH1407" s="1406"/>
      <c r="AI1407" s="1406"/>
      <c r="AJ1407" s="1406"/>
      <c r="AK1407" s="1406"/>
      <c r="AL1407" s="1406"/>
      <c r="AM1407" s="1406"/>
      <c r="AN1407" s="1406"/>
      <c r="AO1407" s="1405"/>
      <c r="AP1407" s="1405"/>
      <c r="AQ1407" s="1405"/>
      <c r="AR1407" s="1405"/>
      <c r="AS1407" s="1405"/>
      <c r="AT1407" s="1405"/>
      <c r="AU1407" s="1405"/>
      <c r="AV1407" s="1405"/>
    </row>
    <row r="1408" spans="1:48" s="1431" customFormat="1">
      <c r="A1408" s="1399"/>
      <c r="B1408" s="1429"/>
      <c r="C1408" s="1430"/>
      <c r="D1408" s="1400"/>
      <c r="E1408" s="1401"/>
      <c r="F1408" s="1401"/>
      <c r="G1408" s="1402"/>
      <c r="H1408" s="1403"/>
      <c r="I1408" s="1404"/>
      <c r="J1408" s="1405"/>
      <c r="K1408" s="1405"/>
      <c r="L1408" s="1405"/>
      <c r="M1408" s="1405"/>
      <c r="N1408" s="1406"/>
      <c r="O1408" s="1406"/>
      <c r="P1408" s="1406"/>
      <c r="Q1408" s="1406"/>
      <c r="R1408" s="1406"/>
      <c r="S1408" s="1406"/>
      <c r="T1408" s="1406"/>
      <c r="U1408" s="1406"/>
      <c r="V1408" s="1406"/>
      <c r="W1408" s="1406"/>
      <c r="X1408" s="1406"/>
      <c r="Y1408" s="1406"/>
      <c r="Z1408" s="1406"/>
      <c r="AA1408" s="1406"/>
      <c r="AB1408" s="1406"/>
      <c r="AC1408" s="1406"/>
      <c r="AD1408" s="1406"/>
      <c r="AE1408" s="1406"/>
      <c r="AF1408" s="1406"/>
      <c r="AG1408" s="1406"/>
      <c r="AH1408" s="1406"/>
      <c r="AI1408" s="1406"/>
      <c r="AJ1408" s="1406"/>
      <c r="AK1408" s="1406"/>
      <c r="AL1408" s="1406"/>
      <c r="AM1408" s="1406"/>
      <c r="AN1408" s="1406"/>
      <c r="AO1408" s="1405"/>
      <c r="AP1408" s="1405"/>
      <c r="AQ1408" s="1405"/>
      <c r="AR1408" s="1405"/>
      <c r="AS1408" s="1405"/>
      <c r="AT1408" s="1405"/>
      <c r="AU1408" s="1405"/>
      <c r="AV1408" s="1405"/>
    </row>
    <row r="1409" spans="1:48" s="1431" customFormat="1">
      <c r="A1409" s="1399"/>
      <c r="B1409" s="1429"/>
      <c r="C1409" s="1430"/>
      <c r="D1409" s="1400"/>
      <c r="E1409" s="1401"/>
      <c r="F1409" s="1401"/>
      <c r="G1409" s="1402"/>
      <c r="H1409" s="1403"/>
      <c r="I1409" s="1404"/>
      <c r="J1409" s="1405"/>
      <c r="K1409" s="1405"/>
      <c r="L1409" s="1405"/>
      <c r="M1409" s="1405"/>
      <c r="N1409" s="1406"/>
      <c r="O1409" s="1406"/>
      <c r="P1409" s="1406"/>
      <c r="Q1409" s="1406"/>
      <c r="R1409" s="1406"/>
      <c r="S1409" s="1406"/>
      <c r="T1409" s="1406"/>
      <c r="U1409" s="1406"/>
      <c r="V1409" s="1406"/>
      <c r="W1409" s="1406"/>
      <c r="X1409" s="1406"/>
      <c r="Y1409" s="1406"/>
      <c r="Z1409" s="1406"/>
      <c r="AA1409" s="1406"/>
      <c r="AB1409" s="1406"/>
      <c r="AC1409" s="1406"/>
      <c r="AD1409" s="1406"/>
      <c r="AE1409" s="1406"/>
      <c r="AF1409" s="1406"/>
      <c r="AG1409" s="1406"/>
      <c r="AH1409" s="1406"/>
      <c r="AI1409" s="1406"/>
      <c r="AJ1409" s="1406"/>
      <c r="AK1409" s="1406"/>
      <c r="AL1409" s="1406"/>
      <c r="AM1409" s="1406"/>
      <c r="AN1409" s="1406"/>
      <c r="AO1409" s="1405"/>
      <c r="AP1409" s="1405"/>
      <c r="AQ1409" s="1405"/>
      <c r="AR1409" s="1405"/>
      <c r="AS1409" s="1405"/>
      <c r="AT1409" s="1405"/>
      <c r="AU1409" s="1405"/>
      <c r="AV1409" s="1405"/>
    </row>
    <row r="1410" spans="1:48" s="1431" customFormat="1">
      <c r="A1410" s="1399"/>
      <c r="B1410" s="1429"/>
      <c r="C1410" s="1430"/>
      <c r="D1410" s="1400"/>
      <c r="E1410" s="1401"/>
      <c r="F1410" s="1401"/>
      <c r="G1410" s="1402"/>
      <c r="H1410" s="1403"/>
      <c r="I1410" s="1404"/>
      <c r="J1410" s="1405"/>
      <c r="K1410" s="1405"/>
      <c r="L1410" s="1405"/>
      <c r="M1410" s="1405"/>
      <c r="N1410" s="1406"/>
      <c r="O1410" s="1406"/>
      <c r="P1410" s="1406"/>
      <c r="Q1410" s="1406"/>
      <c r="R1410" s="1406"/>
      <c r="S1410" s="1406"/>
      <c r="T1410" s="1406"/>
      <c r="U1410" s="1406"/>
      <c r="V1410" s="1406"/>
      <c r="W1410" s="1406"/>
      <c r="X1410" s="1406"/>
      <c r="Y1410" s="1406"/>
      <c r="Z1410" s="1406"/>
      <c r="AA1410" s="1406"/>
      <c r="AB1410" s="1406"/>
      <c r="AC1410" s="1406"/>
      <c r="AD1410" s="1406"/>
      <c r="AE1410" s="1406"/>
      <c r="AF1410" s="1406"/>
      <c r="AG1410" s="1406"/>
      <c r="AH1410" s="1406"/>
      <c r="AI1410" s="1406"/>
      <c r="AJ1410" s="1406"/>
      <c r="AK1410" s="1406"/>
      <c r="AL1410" s="1406"/>
      <c r="AM1410" s="1406"/>
      <c r="AN1410" s="1406"/>
      <c r="AO1410" s="1405"/>
      <c r="AP1410" s="1405"/>
      <c r="AQ1410" s="1405"/>
      <c r="AR1410" s="1405"/>
      <c r="AS1410" s="1405"/>
      <c r="AT1410" s="1405"/>
      <c r="AU1410" s="1405"/>
      <c r="AV1410" s="1405"/>
    </row>
    <row r="1411" spans="1:48" s="1431" customFormat="1">
      <c r="A1411" s="1399"/>
      <c r="B1411" s="1429"/>
      <c r="C1411" s="1430"/>
      <c r="D1411" s="1400"/>
      <c r="E1411" s="1401"/>
      <c r="F1411" s="1401"/>
      <c r="G1411" s="1402"/>
      <c r="H1411" s="1403"/>
      <c r="I1411" s="1404"/>
      <c r="J1411" s="1405"/>
      <c r="K1411" s="1405"/>
      <c r="L1411" s="1405"/>
      <c r="M1411" s="1405"/>
      <c r="N1411" s="1406"/>
      <c r="O1411" s="1406"/>
      <c r="P1411" s="1406"/>
      <c r="Q1411" s="1406"/>
      <c r="R1411" s="1406"/>
      <c r="S1411" s="1406"/>
      <c r="T1411" s="1406"/>
      <c r="U1411" s="1406"/>
      <c r="V1411" s="1406"/>
      <c r="W1411" s="1406"/>
      <c r="X1411" s="1406"/>
      <c r="Y1411" s="1406"/>
      <c r="Z1411" s="1406"/>
      <c r="AA1411" s="1406"/>
      <c r="AB1411" s="1406"/>
      <c r="AC1411" s="1406"/>
      <c r="AD1411" s="1406"/>
      <c r="AE1411" s="1406"/>
      <c r="AF1411" s="1406"/>
      <c r="AG1411" s="1406"/>
      <c r="AH1411" s="1406"/>
      <c r="AI1411" s="1406"/>
      <c r="AJ1411" s="1406"/>
      <c r="AK1411" s="1406"/>
      <c r="AL1411" s="1406"/>
      <c r="AM1411" s="1406"/>
      <c r="AN1411" s="1406"/>
      <c r="AO1411" s="1405"/>
      <c r="AP1411" s="1405"/>
      <c r="AQ1411" s="1405"/>
      <c r="AR1411" s="1405"/>
      <c r="AS1411" s="1405"/>
      <c r="AT1411" s="1405"/>
      <c r="AU1411" s="1405"/>
      <c r="AV1411" s="1405"/>
    </row>
    <row r="1412" spans="1:48" s="1431" customFormat="1">
      <c r="A1412" s="1399"/>
      <c r="B1412" s="1429"/>
      <c r="C1412" s="1430"/>
      <c r="D1412" s="1400"/>
      <c r="E1412" s="1401"/>
      <c r="F1412" s="1401"/>
      <c r="G1412" s="1402"/>
      <c r="H1412" s="1403"/>
      <c r="I1412" s="1404"/>
      <c r="J1412" s="1405"/>
      <c r="K1412" s="1405"/>
      <c r="L1412" s="1405"/>
      <c r="M1412" s="1405"/>
      <c r="N1412" s="1406"/>
      <c r="O1412" s="1406"/>
      <c r="P1412" s="1406"/>
      <c r="Q1412" s="1406"/>
      <c r="R1412" s="1406"/>
      <c r="S1412" s="1406"/>
      <c r="T1412" s="1406"/>
      <c r="U1412" s="1406"/>
      <c r="V1412" s="1406"/>
      <c r="W1412" s="1406"/>
      <c r="X1412" s="1406"/>
      <c r="Y1412" s="1406"/>
      <c r="Z1412" s="1406"/>
      <c r="AA1412" s="1406"/>
      <c r="AB1412" s="1406"/>
      <c r="AC1412" s="1406"/>
      <c r="AD1412" s="1406"/>
      <c r="AE1412" s="1406"/>
      <c r="AF1412" s="1406"/>
      <c r="AG1412" s="1406"/>
      <c r="AH1412" s="1406"/>
      <c r="AI1412" s="1406"/>
      <c r="AJ1412" s="1406"/>
      <c r="AK1412" s="1406"/>
      <c r="AL1412" s="1406"/>
      <c r="AM1412" s="1406"/>
      <c r="AN1412" s="1406"/>
      <c r="AO1412" s="1405"/>
      <c r="AP1412" s="1405"/>
      <c r="AQ1412" s="1405"/>
      <c r="AR1412" s="1405"/>
      <c r="AS1412" s="1405"/>
      <c r="AT1412" s="1405"/>
      <c r="AU1412" s="1405"/>
      <c r="AV1412" s="1405"/>
    </row>
    <row r="1413" spans="1:48" s="1431" customFormat="1">
      <c r="A1413" s="1399"/>
      <c r="B1413" s="1429"/>
      <c r="C1413" s="1430"/>
      <c r="D1413" s="1400"/>
      <c r="E1413" s="1401"/>
      <c r="F1413" s="1401"/>
      <c r="G1413" s="1402"/>
      <c r="H1413" s="1403"/>
      <c r="I1413" s="1404"/>
      <c r="J1413" s="1405"/>
      <c r="K1413" s="1405"/>
      <c r="L1413" s="1405"/>
      <c r="M1413" s="1405"/>
      <c r="N1413" s="1406"/>
      <c r="O1413" s="1406"/>
      <c r="P1413" s="1406"/>
      <c r="Q1413" s="1406"/>
      <c r="R1413" s="1406"/>
      <c r="S1413" s="1406"/>
      <c r="T1413" s="1406"/>
      <c r="U1413" s="1406"/>
      <c r="V1413" s="1406"/>
      <c r="W1413" s="1406"/>
      <c r="X1413" s="1406"/>
      <c r="Y1413" s="1406"/>
      <c r="Z1413" s="1406"/>
      <c r="AA1413" s="1406"/>
      <c r="AB1413" s="1406"/>
      <c r="AC1413" s="1406"/>
      <c r="AD1413" s="1406"/>
      <c r="AE1413" s="1406"/>
      <c r="AF1413" s="1406"/>
      <c r="AG1413" s="1406"/>
      <c r="AH1413" s="1406"/>
      <c r="AI1413" s="1406"/>
      <c r="AJ1413" s="1406"/>
      <c r="AK1413" s="1406"/>
      <c r="AL1413" s="1406"/>
      <c r="AM1413" s="1406"/>
      <c r="AN1413" s="1406"/>
      <c r="AO1413" s="1405"/>
      <c r="AP1413" s="1405"/>
      <c r="AQ1413" s="1405"/>
      <c r="AR1413" s="1405"/>
      <c r="AS1413" s="1405"/>
      <c r="AT1413" s="1405"/>
      <c r="AU1413" s="1405"/>
      <c r="AV1413" s="1405"/>
    </row>
    <row r="1414" spans="1:48" s="1431" customFormat="1">
      <c r="A1414" s="1399"/>
      <c r="B1414" s="1429"/>
      <c r="C1414" s="1430"/>
      <c r="D1414" s="1400"/>
      <c r="E1414" s="1401"/>
      <c r="F1414" s="1401"/>
      <c r="G1414" s="1402"/>
      <c r="H1414" s="1403"/>
      <c r="I1414" s="1404"/>
      <c r="J1414" s="1405"/>
      <c r="K1414" s="1405"/>
      <c r="L1414" s="1405"/>
      <c r="M1414" s="1405"/>
      <c r="N1414" s="1406"/>
      <c r="O1414" s="1406"/>
      <c r="P1414" s="1406"/>
      <c r="Q1414" s="1406"/>
      <c r="R1414" s="1406"/>
      <c r="S1414" s="1406"/>
      <c r="T1414" s="1406"/>
      <c r="U1414" s="1406"/>
      <c r="V1414" s="1406"/>
      <c r="W1414" s="1406"/>
      <c r="X1414" s="1406"/>
      <c r="Y1414" s="1406"/>
      <c r="Z1414" s="1406"/>
      <c r="AA1414" s="1406"/>
      <c r="AB1414" s="1406"/>
      <c r="AC1414" s="1406"/>
      <c r="AD1414" s="1406"/>
      <c r="AE1414" s="1406"/>
      <c r="AF1414" s="1406"/>
      <c r="AG1414" s="1406"/>
      <c r="AH1414" s="1406"/>
      <c r="AI1414" s="1406"/>
      <c r="AJ1414" s="1406"/>
      <c r="AK1414" s="1406"/>
      <c r="AL1414" s="1406"/>
      <c r="AM1414" s="1406"/>
      <c r="AN1414" s="1406"/>
      <c r="AO1414" s="1405"/>
      <c r="AP1414" s="1405"/>
      <c r="AQ1414" s="1405"/>
      <c r="AR1414" s="1405"/>
      <c r="AS1414" s="1405"/>
      <c r="AT1414" s="1405"/>
      <c r="AU1414" s="1405"/>
      <c r="AV1414" s="1405"/>
    </row>
    <row r="1415" spans="1:48" s="1431" customFormat="1">
      <c r="A1415" s="1399"/>
      <c r="B1415" s="1429"/>
      <c r="C1415" s="1430"/>
      <c r="D1415" s="1400"/>
      <c r="E1415" s="1401"/>
      <c r="F1415" s="1401"/>
      <c r="G1415" s="1402"/>
      <c r="H1415" s="1403"/>
      <c r="I1415" s="1404"/>
      <c r="J1415" s="1405"/>
      <c r="K1415" s="1405"/>
      <c r="L1415" s="1405"/>
      <c r="M1415" s="1405"/>
      <c r="N1415" s="1406"/>
      <c r="O1415" s="1406"/>
      <c r="P1415" s="1406"/>
      <c r="Q1415" s="1406"/>
      <c r="R1415" s="1406"/>
      <c r="S1415" s="1406"/>
      <c r="T1415" s="1406"/>
      <c r="U1415" s="1406"/>
      <c r="V1415" s="1406"/>
      <c r="W1415" s="1406"/>
      <c r="X1415" s="1406"/>
      <c r="Y1415" s="1406"/>
      <c r="Z1415" s="1406"/>
      <c r="AA1415" s="1406"/>
      <c r="AB1415" s="1406"/>
      <c r="AC1415" s="1406"/>
      <c r="AD1415" s="1406"/>
      <c r="AE1415" s="1406"/>
      <c r="AF1415" s="1406"/>
      <c r="AG1415" s="1406"/>
      <c r="AH1415" s="1406"/>
      <c r="AI1415" s="1406"/>
      <c r="AJ1415" s="1406"/>
      <c r="AK1415" s="1406"/>
      <c r="AL1415" s="1406"/>
      <c r="AM1415" s="1406"/>
      <c r="AN1415" s="1406"/>
      <c r="AO1415" s="1405"/>
      <c r="AP1415" s="1405"/>
      <c r="AQ1415" s="1405"/>
      <c r="AR1415" s="1405"/>
      <c r="AS1415" s="1405"/>
      <c r="AT1415" s="1405"/>
      <c r="AU1415" s="1405"/>
      <c r="AV1415" s="1405"/>
    </row>
    <row r="1416" spans="1:48" s="1431" customFormat="1">
      <c r="A1416" s="1399"/>
      <c r="B1416" s="1429"/>
      <c r="C1416" s="1430"/>
      <c r="D1416" s="1400"/>
      <c r="E1416" s="1401"/>
      <c r="F1416" s="1401"/>
      <c r="G1416" s="1402"/>
      <c r="H1416" s="1403"/>
      <c r="I1416" s="1404"/>
      <c r="J1416" s="1405"/>
      <c r="K1416" s="1405"/>
      <c r="L1416" s="1405"/>
      <c r="M1416" s="1405"/>
      <c r="N1416" s="1406"/>
      <c r="O1416" s="1406"/>
      <c r="P1416" s="1406"/>
      <c r="Q1416" s="1406"/>
      <c r="R1416" s="1406"/>
      <c r="S1416" s="1406"/>
      <c r="T1416" s="1406"/>
      <c r="U1416" s="1406"/>
      <c r="V1416" s="1406"/>
      <c r="W1416" s="1406"/>
      <c r="X1416" s="1406"/>
      <c r="Y1416" s="1406"/>
      <c r="Z1416" s="1406"/>
      <c r="AA1416" s="1406"/>
      <c r="AB1416" s="1406"/>
      <c r="AC1416" s="1406"/>
      <c r="AD1416" s="1406"/>
      <c r="AE1416" s="1406"/>
      <c r="AF1416" s="1406"/>
      <c r="AG1416" s="1406"/>
      <c r="AH1416" s="1406"/>
      <c r="AI1416" s="1406"/>
      <c r="AJ1416" s="1406"/>
      <c r="AK1416" s="1406"/>
      <c r="AL1416" s="1406"/>
      <c r="AM1416" s="1406"/>
      <c r="AN1416" s="1406"/>
      <c r="AO1416" s="1405"/>
      <c r="AP1416" s="1405"/>
      <c r="AQ1416" s="1405"/>
      <c r="AR1416" s="1405"/>
      <c r="AS1416" s="1405"/>
      <c r="AT1416" s="1405"/>
      <c r="AU1416" s="1405"/>
      <c r="AV1416" s="1405"/>
    </row>
    <row r="1417" spans="1:48" s="1431" customFormat="1">
      <c r="A1417" s="1399"/>
      <c r="B1417" s="1429"/>
      <c r="C1417" s="1430"/>
      <c r="D1417" s="1400"/>
      <c r="E1417" s="1401"/>
      <c r="F1417" s="1401"/>
      <c r="G1417" s="1402"/>
      <c r="H1417" s="1403"/>
      <c r="I1417" s="1404"/>
      <c r="J1417" s="1405"/>
      <c r="K1417" s="1405"/>
      <c r="L1417" s="1405"/>
      <c r="M1417" s="1405"/>
      <c r="N1417" s="1406"/>
      <c r="O1417" s="1406"/>
      <c r="P1417" s="1406"/>
      <c r="Q1417" s="1406"/>
      <c r="R1417" s="1406"/>
      <c r="S1417" s="1406"/>
      <c r="T1417" s="1406"/>
      <c r="U1417" s="1406"/>
      <c r="V1417" s="1406"/>
      <c r="W1417" s="1406"/>
      <c r="X1417" s="1406"/>
      <c r="Y1417" s="1406"/>
      <c r="Z1417" s="1406"/>
      <c r="AA1417" s="1406"/>
      <c r="AB1417" s="1406"/>
      <c r="AC1417" s="1406"/>
      <c r="AD1417" s="1406"/>
      <c r="AE1417" s="1406"/>
      <c r="AF1417" s="1406"/>
      <c r="AG1417" s="1406"/>
      <c r="AH1417" s="1406"/>
      <c r="AI1417" s="1406"/>
      <c r="AJ1417" s="1406"/>
      <c r="AK1417" s="1406"/>
      <c r="AL1417" s="1406"/>
      <c r="AM1417" s="1406"/>
      <c r="AN1417" s="1406"/>
      <c r="AO1417" s="1405"/>
      <c r="AP1417" s="1405"/>
      <c r="AQ1417" s="1405"/>
      <c r="AR1417" s="1405"/>
      <c r="AS1417" s="1405"/>
      <c r="AT1417" s="1405"/>
      <c r="AU1417" s="1405"/>
      <c r="AV1417" s="1405"/>
    </row>
    <row r="1418" spans="1:48" s="1431" customFormat="1">
      <c r="A1418" s="1399"/>
      <c r="B1418" s="1429"/>
      <c r="C1418" s="1430"/>
      <c r="D1418" s="1400"/>
      <c r="E1418" s="1401"/>
      <c r="F1418" s="1401"/>
      <c r="G1418" s="1402"/>
      <c r="H1418" s="1403"/>
      <c r="I1418" s="1404"/>
      <c r="J1418" s="1405"/>
      <c r="K1418" s="1405"/>
      <c r="L1418" s="1405"/>
      <c r="M1418" s="1405"/>
      <c r="N1418" s="1406"/>
      <c r="O1418" s="1406"/>
      <c r="P1418" s="1406"/>
      <c r="Q1418" s="1406"/>
      <c r="R1418" s="1406"/>
      <c r="S1418" s="1406"/>
      <c r="T1418" s="1406"/>
      <c r="U1418" s="1406"/>
      <c r="V1418" s="1406"/>
      <c r="W1418" s="1406"/>
      <c r="X1418" s="1406"/>
      <c r="Y1418" s="1406"/>
      <c r="Z1418" s="1406"/>
      <c r="AA1418" s="1406"/>
      <c r="AB1418" s="1406"/>
      <c r="AC1418" s="1406"/>
      <c r="AD1418" s="1406"/>
      <c r="AE1418" s="1406"/>
      <c r="AF1418" s="1406"/>
      <c r="AG1418" s="1406"/>
      <c r="AH1418" s="1406"/>
      <c r="AI1418" s="1406"/>
      <c r="AJ1418" s="1406"/>
      <c r="AK1418" s="1406"/>
      <c r="AL1418" s="1406"/>
      <c r="AM1418" s="1406"/>
      <c r="AN1418" s="1406"/>
      <c r="AO1418" s="1405"/>
      <c r="AP1418" s="1405"/>
      <c r="AQ1418" s="1405"/>
      <c r="AR1418" s="1405"/>
      <c r="AS1418" s="1405"/>
      <c r="AT1418" s="1405"/>
      <c r="AU1418" s="1405"/>
      <c r="AV1418" s="1405"/>
    </row>
    <row r="1419" spans="1:48" s="1431" customFormat="1">
      <c r="A1419" s="1399"/>
      <c r="B1419" s="1429"/>
      <c r="C1419" s="1430"/>
      <c r="D1419" s="1400"/>
      <c r="E1419" s="1401"/>
      <c r="F1419" s="1401"/>
      <c r="G1419" s="1402"/>
      <c r="H1419" s="1403"/>
      <c r="I1419" s="1404"/>
      <c r="J1419" s="1405"/>
      <c r="K1419" s="1405"/>
      <c r="L1419" s="1405"/>
      <c r="M1419" s="1405"/>
      <c r="N1419" s="1406"/>
      <c r="O1419" s="1406"/>
      <c r="P1419" s="1406"/>
      <c r="Q1419" s="1406"/>
      <c r="R1419" s="1406"/>
      <c r="S1419" s="1406"/>
      <c r="T1419" s="1406"/>
      <c r="U1419" s="1406"/>
      <c r="V1419" s="1406"/>
      <c r="W1419" s="1406"/>
      <c r="X1419" s="1406"/>
      <c r="Y1419" s="1406"/>
      <c r="Z1419" s="1406"/>
      <c r="AA1419" s="1406"/>
      <c r="AB1419" s="1406"/>
      <c r="AC1419" s="1406"/>
      <c r="AD1419" s="1406"/>
      <c r="AE1419" s="1406"/>
      <c r="AF1419" s="1406"/>
      <c r="AG1419" s="1406"/>
      <c r="AH1419" s="1406"/>
      <c r="AI1419" s="1406"/>
      <c r="AJ1419" s="1406"/>
      <c r="AK1419" s="1406"/>
      <c r="AL1419" s="1406"/>
      <c r="AM1419" s="1406"/>
      <c r="AN1419" s="1406"/>
      <c r="AO1419" s="1405"/>
      <c r="AP1419" s="1405"/>
      <c r="AQ1419" s="1405"/>
      <c r="AR1419" s="1405"/>
      <c r="AS1419" s="1405"/>
      <c r="AT1419" s="1405"/>
      <c r="AU1419" s="1405"/>
      <c r="AV1419" s="1405"/>
    </row>
    <row r="1420" spans="1:48" s="1431" customFormat="1">
      <c r="A1420" s="1399"/>
      <c r="B1420" s="1429"/>
      <c r="C1420" s="1430"/>
      <c r="D1420" s="1400"/>
      <c r="E1420" s="1401"/>
      <c r="F1420" s="1401"/>
      <c r="G1420" s="1402"/>
      <c r="H1420" s="1403"/>
      <c r="I1420" s="1404"/>
      <c r="J1420" s="1405"/>
      <c r="K1420" s="1405"/>
      <c r="L1420" s="1405"/>
      <c r="M1420" s="1405"/>
      <c r="N1420" s="1406"/>
      <c r="O1420" s="1406"/>
      <c r="P1420" s="1406"/>
      <c r="Q1420" s="1406"/>
      <c r="R1420" s="1406"/>
      <c r="S1420" s="1406"/>
      <c r="T1420" s="1406"/>
      <c r="U1420" s="1406"/>
      <c r="V1420" s="1406"/>
      <c r="W1420" s="1406"/>
      <c r="X1420" s="1406"/>
      <c r="Y1420" s="1406"/>
      <c r="Z1420" s="1406"/>
      <c r="AA1420" s="1406"/>
      <c r="AB1420" s="1406"/>
      <c r="AC1420" s="1406"/>
      <c r="AD1420" s="1406"/>
      <c r="AE1420" s="1406"/>
      <c r="AF1420" s="1406"/>
      <c r="AG1420" s="1406"/>
      <c r="AH1420" s="1406"/>
      <c r="AI1420" s="1406"/>
      <c r="AJ1420" s="1406"/>
      <c r="AK1420" s="1406"/>
      <c r="AL1420" s="1406"/>
      <c r="AM1420" s="1406"/>
      <c r="AN1420" s="1406"/>
      <c r="AO1420" s="1405"/>
      <c r="AP1420" s="1405"/>
      <c r="AQ1420" s="1405"/>
      <c r="AR1420" s="1405"/>
      <c r="AS1420" s="1405"/>
      <c r="AT1420" s="1405"/>
      <c r="AU1420" s="1405"/>
      <c r="AV1420" s="1405"/>
    </row>
    <row r="1421" spans="1:48" s="1431" customFormat="1">
      <c r="A1421" s="1399"/>
      <c r="B1421" s="1429"/>
      <c r="C1421" s="1430"/>
      <c r="D1421" s="1400"/>
      <c r="E1421" s="1401"/>
      <c r="F1421" s="1401"/>
      <c r="G1421" s="1402"/>
      <c r="H1421" s="1403"/>
      <c r="I1421" s="1404"/>
      <c r="J1421" s="1405"/>
      <c r="K1421" s="1405"/>
      <c r="L1421" s="1405"/>
      <c r="M1421" s="1405"/>
      <c r="N1421" s="1406"/>
      <c r="O1421" s="1406"/>
      <c r="P1421" s="1406"/>
      <c r="Q1421" s="1406"/>
      <c r="R1421" s="1406"/>
      <c r="S1421" s="1406"/>
      <c r="T1421" s="1406"/>
      <c r="U1421" s="1406"/>
      <c r="V1421" s="1406"/>
      <c r="W1421" s="1406"/>
      <c r="X1421" s="1406"/>
      <c r="Y1421" s="1406"/>
      <c r="Z1421" s="1406"/>
      <c r="AA1421" s="1406"/>
      <c r="AB1421" s="1406"/>
      <c r="AC1421" s="1406"/>
      <c r="AD1421" s="1406"/>
      <c r="AE1421" s="1406"/>
      <c r="AF1421" s="1406"/>
      <c r="AG1421" s="1406"/>
      <c r="AH1421" s="1406"/>
      <c r="AI1421" s="1406"/>
      <c r="AJ1421" s="1406"/>
      <c r="AK1421" s="1406"/>
      <c r="AL1421" s="1406"/>
      <c r="AM1421" s="1406"/>
      <c r="AN1421" s="1406"/>
      <c r="AO1421" s="1405"/>
      <c r="AP1421" s="1405"/>
      <c r="AQ1421" s="1405"/>
      <c r="AR1421" s="1405"/>
      <c r="AS1421" s="1405"/>
      <c r="AT1421" s="1405"/>
      <c r="AU1421" s="1405"/>
      <c r="AV1421" s="1405"/>
    </row>
    <row r="1422" spans="1:48" s="1431" customFormat="1">
      <c r="A1422" s="1399"/>
      <c r="B1422" s="1429"/>
      <c r="C1422" s="1430"/>
      <c r="D1422" s="1400"/>
      <c r="E1422" s="1401"/>
      <c r="F1422" s="1401"/>
      <c r="G1422" s="1402"/>
      <c r="H1422" s="1403"/>
      <c r="I1422" s="1404"/>
      <c r="J1422" s="1405"/>
      <c r="K1422" s="1405"/>
      <c r="L1422" s="1405"/>
      <c r="M1422" s="1405"/>
      <c r="N1422" s="1406"/>
      <c r="O1422" s="1406"/>
      <c r="P1422" s="1406"/>
      <c r="Q1422" s="1406"/>
      <c r="R1422" s="1406"/>
      <c r="S1422" s="1406"/>
      <c r="T1422" s="1406"/>
      <c r="U1422" s="1406"/>
      <c r="V1422" s="1406"/>
      <c r="W1422" s="1406"/>
      <c r="X1422" s="1406"/>
      <c r="Y1422" s="1406"/>
      <c r="Z1422" s="1406"/>
      <c r="AA1422" s="1406"/>
      <c r="AB1422" s="1406"/>
      <c r="AC1422" s="1406"/>
      <c r="AD1422" s="1406"/>
      <c r="AE1422" s="1406"/>
      <c r="AF1422" s="1406"/>
      <c r="AG1422" s="1406"/>
      <c r="AH1422" s="1406"/>
      <c r="AI1422" s="1406"/>
      <c r="AJ1422" s="1406"/>
      <c r="AK1422" s="1406"/>
      <c r="AL1422" s="1406"/>
      <c r="AM1422" s="1406"/>
      <c r="AN1422" s="1406"/>
      <c r="AO1422" s="1405"/>
      <c r="AP1422" s="1405"/>
      <c r="AQ1422" s="1405"/>
      <c r="AR1422" s="1405"/>
      <c r="AS1422" s="1405"/>
      <c r="AT1422" s="1405"/>
      <c r="AU1422" s="1405"/>
      <c r="AV1422" s="1405"/>
    </row>
    <row r="1423" spans="1:48" s="1431" customFormat="1">
      <c r="A1423" s="1399"/>
      <c r="B1423" s="1429"/>
      <c r="C1423" s="1430"/>
      <c r="D1423" s="1400"/>
      <c r="E1423" s="1401"/>
      <c r="F1423" s="1401"/>
      <c r="G1423" s="1402"/>
      <c r="H1423" s="1403"/>
      <c r="I1423" s="1404"/>
      <c r="J1423" s="1405"/>
      <c r="K1423" s="1405"/>
      <c r="L1423" s="1405"/>
      <c r="M1423" s="1405"/>
      <c r="N1423" s="1406"/>
      <c r="O1423" s="1406"/>
      <c r="P1423" s="1406"/>
      <c r="Q1423" s="1406"/>
      <c r="R1423" s="1406"/>
      <c r="S1423" s="1406"/>
      <c r="T1423" s="1406"/>
      <c r="U1423" s="1406"/>
      <c r="V1423" s="1406"/>
      <c r="W1423" s="1406"/>
      <c r="X1423" s="1406"/>
      <c r="Y1423" s="1406"/>
      <c r="Z1423" s="1406"/>
      <c r="AA1423" s="1406"/>
      <c r="AB1423" s="1406"/>
      <c r="AC1423" s="1406"/>
      <c r="AD1423" s="1406"/>
      <c r="AE1423" s="1406"/>
      <c r="AF1423" s="1406"/>
      <c r="AG1423" s="1406"/>
      <c r="AH1423" s="1406"/>
      <c r="AI1423" s="1406"/>
      <c r="AJ1423" s="1406"/>
      <c r="AK1423" s="1406"/>
      <c r="AL1423" s="1406"/>
      <c r="AM1423" s="1406"/>
      <c r="AN1423" s="1406"/>
      <c r="AO1423" s="1405"/>
      <c r="AP1423" s="1405"/>
      <c r="AQ1423" s="1405"/>
      <c r="AR1423" s="1405"/>
      <c r="AS1423" s="1405"/>
      <c r="AT1423" s="1405"/>
      <c r="AU1423" s="1405"/>
      <c r="AV1423" s="1405"/>
    </row>
    <row r="1424" spans="1:48" s="1431" customFormat="1">
      <c r="A1424" s="1399"/>
      <c r="B1424" s="1429"/>
      <c r="C1424" s="1430"/>
      <c r="D1424" s="1400"/>
      <c r="E1424" s="1401"/>
      <c r="F1424" s="1401"/>
      <c r="G1424" s="1402"/>
      <c r="H1424" s="1403"/>
      <c r="I1424" s="1404"/>
      <c r="J1424" s="1405"/>
      <c r="K1424" s="1405"/>
      <c r="L1424" s="1405"/>
      <c r="M1424" s="1405"/>
      <c r="N1424" s="1406"/>
      <c r="O1424" s="1406"/>
      <c r="P1424" s="1406"/>
      <c r="Q1424" s="1406"/>
      <c r="R1424" s="1406"/>
      <c r="S1424" s="1406"/>
      <c r="T1424" s="1406"/>
      <c r="U1424" s="1406"/>
      <c r="V1424" s="1406"/>
      <c r="W1424" s="1406"/>
      <c r="X1424" s="1406"/>
      <c r="Y1424" s="1406"/>
      <c r="Z1424" s="1406"/>
      <c r="AA1424" s="1406"/>
      <c r="AB1424" s="1406"/>
      <c r="AC1424" s="1406"/>
      <c r="AD1424" s="1406"/>
      <c r="AE1424" s="1406"/>
      <c r="AF1424" s="1406"/>
      <c r="AG1424" s="1406"/>
      <c r="AH1424" s="1406"/>
      <c r="AI1424" s="1406"/>
      <c r="AJ1424" s="1406"/>
      <c r="AK1424" s="1406"/>
      <c r="AL1424" s="1406"/>
      <c r="AM1424" s="1406"/>
      <c r="AN1424" s="1406"/>
      <c r="AO1424" s="1405"/>
      <c r="AP1424" s="1405"/>
      <c r="AQ1424" s="1405"/>
      <c r="AR1424" s="1405"/>
      <c r="AS1424" s="1405"/>
      <c r="AT1424" s="1405"/>
      <c r="AU1424" s="1405"/>
      <c r="AV1424" s="1405"/>
    </row>
    <row r="1425" spans="1:48" s="1431" customFormat="1">
      <c r="A1425" s="1399"/>
      <c r="B1425" s="1429"/>
      <c r="C1425" s="1430"/>
      <c r="D1425" s="1400"/>
      <c r="E1425" s="1401"/>
      <c r="F1425" s="1401"/>
      <c r="G1425" s="1402"/>
      <c r="H1425" s="1403"/>
      <c r="I1425" s="1404"/>
      <c r="J1425" s="1405"/>
      <c r="K1425" s="1405"/>
      <c r="L1425" s="1405"/>
      <c r="M1425" s="1405"/>
      <c r="N1425" s="1406"/>
      <c r="O1425" s="1406"/>
      <c r="P1425" s="1406"/>
      <c r="Q1425" s="1406"/>
      <c r="R1425" s="1406"/>
      <c r="S1425" s="1406"/>
      <c r="T1425" s="1406"/>
      <c r="U1425" s="1406"/>
      <c r="V1425" s="1406"/>
      <c r="W1425" s="1406"/>
      <c r="X1425" s="1406"/>
      <c r="Y1425" s="1406"/>
      <c r="Z1425" s="1406"/>
      <c r="AA1425" s="1406"/>
      <c r="AB1425" s="1406"/>
      <c r="AC1425" s="1406"/>
      <c r="AD1425" s="1406"/>
      <c r="AE1425" s="1406"/>
      <c r="AF1425" s="1406"/>
      <c r="AG1425" s="1406"/>
      <c r="AH1425" s="1406"/>
      <c r="AI1425" s="1406"/>
      <c r="AJ1425" s="1406"/>
      <c r="AK1425" s="1406"/>
      <c r="AL1425" s="1406"/>
      <c r="AM1425" s="1406"/>
      <c r="AN1425" s="1406"/>
      <c r="AO1425" s="1405"/>
      <c r="AP1425" s="1405"/>
      <c r="AQ1425" s="1405"/>
      <c r="AR1425" s="1405"/>
      <c r="AS1425" s="1405"/>
      <c r="AT1425" s="1405"/>
      <c r="AU1425" s="1405"/>
      <c r="AV1425" s="1405"/>
    </row>
    <row r="1426" spans="1:48" s="1431" customFormat="1">
      <c r="A1426" s="1399"/>
      <c r="B1426" s="1429"/>
      <c r="C1426" s="1430"/>
      <c r="D1426" s="1400"/>
      <c r="E1426" s="1401"/>
      <c r="F1426" s="1401"/>
      <c r="G1426" s="1402"/>
      <c r="H1426" s="1403"/>
      <c r="I1426" s="1404"/>
      <c r="J1426" s="1405"/>
      <c r="K1426" s="1405"/>
      <c r="L1426" s="1405"/>
      <c r="M1426" s="1405"/>
      <c r="N1426" s="1406"/>
      <c r="O1426" s="1406"/>
      <c r="P1426" s="1406"/>
      <c r="Q1426" s="1406"/>
      <c r="R1426" s="1406"/>
      <c r="S1426" s="1406"/>
      <c r="T1426" s="1406"/>
      <c r="U1426" s="1406"/>
      <c r="V1426" s="1406"/>
      <c r="W1426" s="1406"/>
      <c r="X1426" s="1406"/>
      <c r="Y1426" s="1406"/>
      <c r="Z1426" s="1406"/>
      <c r="AA1426" s="1406"/>
      <c r="AB1426" s="1406"/>
      <c r="AC1426" s="1406"/>
      <c r="AD1426" s="1406"/>
      <c r="AE1426" s="1406"/>
      <c r="AF1426" s="1406"/>
      <c r="AG1426" s="1406"/>
      <c r="AH1426" s="1406"/>
      <c r="AI1426" s="1406"/>
      <c r="AJ1426" s="1406"/>
      <c r="AK1426" s="1406"/>
      <c r="AL1426" s="1406"/>
      <c r="AM1426" s="1406"/>
      <c r="AN1426" s="1406"/>
      <c r="AO1426" s="1405"/>
      <c r="AP1426" s="1405"/>
      <c r="AQ1426" s="1405"/>
      <c r="AR1426" s="1405"/>
      <c r="AS1426" s="1405"/>
      <c r="AT1426" s="1405"/>
      <c r="AU1426" s="1405"/>
      <c r="AV1426" s="1405"/>
    </row>
    <row r="1427" spans="1:48" s="1431" customFormat="1">
      <c r="A1427" s="1399"/>
      <c r="B1427" s="1429"/>
      <c r="C1427" s="1430"/>
      <c r="D1427" s="1400"/>
      <c r="E1427" s="1401"/>
      <c r="F1427" s="1401"/>
      <c r="G1427" s="1402"/>
      <c r="H1427" s="1403"/>
      <c r="I1427" s="1404"/>
      <c r="J1427" s="1405"/>
      <c r="K1427" s="1405"/>
      <c r="L1427" s="1405"/>
      <c r="M1427" s="1405"/>
      <c r="N1427" s="1406"/>
      <c r="O1427" s="1406"/>
      <c r="P1427" s="1406"/>
      <c r="Q1427" s="1406"/>
      <c r="R1427" s="1406"/>
      <c r="S1427" s="1406"/>
      <c r="T1427" s="1406"/>
      <c r="U1427" s="1406"/>
      <c r="V1427" s="1406"/>
      <c r="W1427" s="1406"/>
      <c r="X1427" s="1406"/>
      <c r="Y1427" s="1406"/>
      <c r="Z1427" s="1406"/>
      <c r="AA1427" s="1406"/>
      <c r="AB1427" s="1406"/>
      <c r="AC1427" s="1406"/>
      <c r="AD1427" s="1406"/>
      <c r="AE1427" s="1406"/>
      <c r="AF1427" s="1406"/>
      <c r="AG1427" s="1406"/>
      <c r="AH1427" s="1406"/>
      <c r="AI1427" s="1406"/>
      <c r="AJ1427" s="1406"/>
      <c r="AK1427" s="1406"/>
      <c r="AL1427" s="1406"/>
      <c r="AM1427" s="1406"/>
      <c r="AN1427" s="1406"/>
      <c r="AO1427" s="1405"/>
      <c r="AP1427" s="1405"/>
      <c r="AQ1427" s="1405"/>
      <c r="AR1427" s="1405"/>
      <c r="AS1427" s="1405"/>
      <c r="AT1427" s="1405"/>
      <c r="AU1427" s="1405"/>
      <c r="AV1427" s="1405"/>
    </row>
    <row r="1428" spans="1:48" s="1431" customFormat="1">
      <c r="A1428" s="1399"/>
      <c r="B1428" s="1429"/>
      <c r="C1428" s="1430"/>
      <c r="D1428" s="1400"/>
      <c r="E1428" s="1401"/>
      <c r="F1428" s="1401"/>
      <c r="G1428" s="1402"/>
      <c r="H1428" s="1403"/>
      <c r="I1428" s="1404"/>
      <c r="J1428" s="1405"/>
      <c r="K1428" s="1405"/>
      <c r="L1428" s="1405"/>
      <c r="M1428" s="1405"/>
      <c r="N1428" s="1406"/>
      <c r="O1428" s="1406"/>
      <c r="P1428" s="1406"/>
      <c r="Q1428" s="1406"/>
      <c r="R1428" s="1406"/>
      <c r="S1428" s="1406"/>
      <c r="T1428" s="1406"/>
      <c r="U1428" s="1406"/>
      <c r="V1428" s="1406"/>
      <c r="W1428" s="1406"/>
      <c r="X1428" s="1406"/>
      <c r="Y1428" s="1406"/>
      <c r="Z1428" s="1406"/>
      <c r="AA1428" s="1406"/>
      <c r="AB1428" s="1406"/>
      <c r="AC1428" s="1406"/>
      <c r="AD1428" s="1406"/>
      <c r="AE1428" s="1406"/>
      <c r="AF1428" s="1406"/>
      <c r="AG1428" s="1406"/>
      <c r="AH1428" s="1406"/>
      <c r="AI1428" s="1406"/>
      <c r="AJ1428" s="1406"/>
      <c r="AK1428" s="1406"/>
      <c r="AL1428" s="1406"/>
      <c r="AM1428" s="1406"/>
      <c r="AN1428" s="1406"/>
      <c r="AO1428" s="1405"/>
      <c r="AP1428" s="1405"/>
      <c r="AQ1428" s="1405"/>
      <c r="AR1428" s="1405"/>
      <c r="AS1428" s="1405"/>
      <c r="AT1428" s="1405"/>
      <c r="AU1428" s="1405"/>
      <c r="AV1428" s="1405"/>
    </row>
    <row r="1429" spans="1:48" s="1431" customFormat="1">
      <c r="A1429" s="1399"/>
      <c r="B1429" s="1429"/>
      <c r="C1429" s="1430"/>
      <c r="D1429" s="1400"/>
      <c r="E1429" s="1401"/>
      <c r="F1429" s="1401"/>
      <c r="G1429" s="1402"/>
      <c r="H1429" s="1403"/>
      <c r="I1429" s="1404"/>
      <c r="J1429" s="1405"/>
      <c r="K1429" s="1405"/>
      <c r="L1429" s="1405"/>
      <c r="M1429" s="1405"/>
      <c r="N1429" s="1406"/>
      <c r="O1429" s="1406"/>
      <c r="P1429" s="1406"/>
      <c r="Q1429" s="1406"/>
      <c r="R1429" s="1406"/>
      <c r="S1429" s="1406"/>
      <c r="T1429" s="1406"/>
      <c r="U1429" s="1406"/>
      <c r="V1429" s="1406"/>
      <c r="W1429" s="1406"/>
      <c r="X1429" s="1406"/>
      <c r="Y1429" s="1406"/>
      <c r="Z1429" s="1406"/>
      <c r="AA1429" s="1406"/>
      <c r="AB1429" s="1406"/>
      <c r="AC1429" s="1406"/>
      <c r="AD1429" s="1406"/>
      <c r="AE1429" s="1406"/>
      <c r="AF1429" s="1406"/>
      <c r="AG1429" s="1406"/>
      <c r="AH1429" s="1406"/>
      <c r="AI1429" s="1406"/>
      <c r="AJ1429" s="1406"/>
      <c r="AK1429" s="1406"/>
      <c r="AL1429" s="1406"/>
      <c r="AM1429" s="1406"/>
      <c r="AN1429" s="1406"/>
      <c r="AO1429" s="1405"/>
      <c r="AP1429" s="1405"/>
      <c r="AQ1429" s="1405"/>
      <c r="AR1429" s="1405"/>
      <c r="AS1429" s="1405"/>
      <c r="AT1429" s="1405"/>
      <c r="AU1429" s="1405"/>
      <c r="AV1429" s="1405"/>
    </row>
    <row r="1430" spans="1:48" s="1431" customFormat="1">
      <c r="A1430" s="1399"/>
      <c r="B1430" s="1429"/>
      <c r="C1430" s="1430"/>
      <c r="D1430" s="1400"/>
      <c r="E1430" s="1401"/>
      <c r="F1430" s="1401"/>
      <c r="G1430" s="1402"/>
      <c r="H1430" s="1403"/>
      <c r="I1430" s="1404"/>
      <c r="J1430" s="1405"/>
      <c r="K1430" s="1405"/>
      <c r="L1430" s="1405"/>
      <c r="M1430" s="1405"/>
      <c r="N1430" s="1406"/>
      <c r="O1430" s="1406"/>
      <c r="P1430" s="1406"/>
      <c r="Q1430" s="1406"/>
      <c r="R1430" s="1406"/>
      <c r="S1430" s="1406"/>
      <c r="T1430" s="1406"/>
      <c r="U1430" s="1406"/>
      <c r="V1430" s="1406"/>
      <c r="W1430" s="1406"/>
      <c r="X1430" s="1406"/>
      <c r="Y1430" s="1406"/>
      <c r="Z1430" s="1406"/>
      <c r="AA1430" s="1406"/>
      <c r="AB1430" s="1406"/>
      <c r="AC1430" s="1406"/>
      <c r="AD1430" s="1406"/>
      <c r="AE1430" s="1406"/>
      <c r="AF1430" s="1406"/>
      <c r="AG1430" s="1406"/>
      <c r="AH1430" s="1406"/>
      <c r="AI1430" s="1406"/>
      <c r="AJ1430" s="1406"/>
      <c r="AK1430" s="1406"/>
      <c r="AL1430" s="1406"/>
      <c r="AM1430" s="1406"/>
      <c r="AN1430" s="1406"/>
      <c r="AO1430" s="1405"/>
      <c r="AP1430" s="1405"/>
      <c r="AQ1430" s="1405"/>
      <c r="AR1430" s="1405"/>
      <c r="AS1430" s="1405"/>
      <c r="AT1430" s="1405"/>
      <c r="AU1430" s="1405"/>
      <c r="AV1430" s="1405"/>
    </row>
    <row r="1431" spans="1:48" s="1431" customFormat="1">
      <c r="A1431" s="1399"/>
      <c r="B1431" s="1429"/>
      <c r="C1431" s="1430"/>
      <c r="D1431" s="1400"/>
      <c r="E1431" s="1401"/>
      <c r="F1431" s="1401"/>
      <c r="G1431" s="1402"/>
      <c r="H1431" s="1403"/>
      <c r="I1431" s="1404"/>
      <c r="J1431" s="1405"/>
      <c r="K1431" s="1405"/>
      <c r="L1431" s="1405"/>
      <c r="M1431" s="1405"/>
      <c r="N1431" s="1406"/>
      <c r="O1431" s="1406"/>
      <c r="P1431" s="1406"/>
      <c r="Q1431" s="1406"/>
      <c r="R1431" s="1406"/>
      <c r="S1431" s="1406"/>
      <c r="T1431" s="1406"/>
      <c r="U1431" s="1406"/>
      <c r="V1431" s="1406"/>
      <c r="W1431" s="1406"/>
      <c r="X1431" s="1406"/>
      <c r="Y1431" s="1406"/>
      <c r="Z1431" s="1406"/>
      <c r="AA1431" s="1406"/>
      <c r="AB1431" s="1406"/>
      <c r="AC1431" s="1406"/>
      <c r="AD1431" s="1406"/>
      <c r="AE1431" s="1406"/>
      <c r="AF1431" s="1406"/>
      <c r="AG1431" s="1406"/>
      <c r="AH1431" s="1406"/>
      <c r="AI1431" s="1406"/>
      <c r="AJ1431" s="1406"/>
      <c r="AK1431" s="1406"/>
      <c r="AL1431" s="1406"/>
      <c r="AM1431" s="1406"/>
      <c r="AN1431" s="1406"/>
      <c r="AO1431" s="1405"/>
      <c r="AP1431" s="1405"/>
      <c r="AQ1431" s="1405"/>
      <c r="AR1431" s="1405"/>
      <c r="AS1431" s="1405"/>
      <c r="AT1431" s="1405"/>
      <c r="AU1431" s="1405"/>
      <c r="AV1431" s="1405"/>
    </row>
    <row r="1432" spans="1:48" s="1431" customFormat="1">
      <c r="A1432" s="1399"/>
      <c r="B1432" s="1429"/>
      <c r="C1432" s="1430"/>
      <c r="D1432" s="1400"/>
      <c r="E1432" s="1401"/>
      <c r="F1432" s="1401"/>
      <c r="G1432" s="1402"/>
      <c r="H1432" s="1403"/>
      <c r="I1432" s="1404"/>
      <c r="J1432" s="1405"/>
      <c r="K1432" s="1405"/>
      <c r="L1432" s="1405"/>
      <c r="M1432" s="1405"/>
      <c r="N1432" s="1406"/>
      <c r="O1432" s="1406"/>
      <c r="P1432" s="1406"/>
      <c r="Q1432" s="1406"/>
      <c r="R1432" s="1406"/>
      <c r="S1432" s="1406"/>
      <c r="T1432" s="1406"/>
      <c r="U1432" s="1406"/>
      <c r="V1432" s="1406"/>
      <c r="W1432" s="1406"/>
      <c r="X1432" s="1406"/>
      <c r="Y1432" s="1406"/>
      <c r="Z1432" s="1406"/>
      <c r="AA1432" s="1406"/>
      <c r="AB1432" s="1406"/>
      <c r="AC1432" s="1406"/>
      <c r="AD1432" s="1406"/>
      <c r="AE1432" s="1406"/>
      <c r="AF1432" s="1406"/>
      <c r="AG1432" s="1406"/>
      <c r="AH1432" s="1406"/>
      <c r="AI1432" s="1406"/>
      <c r="AJ1432" s="1406"/>
      <c r="AK1432" s="1406"/>
      <c r="AL1432" s="1406"/>
      <c r="AM1432" s="1406"/>
      <c r="AN1432" s="1406"/>
      <c r="AO1432" s="1405"/>
      <c r="AP1432" s="1405"/>
      <c r="AQ1432" s="1405"/>
      <c r="AR1432" s="1405"/>
      <c r="AS1432" s="1405"/>
      <c r="AT1432" s="1405"/>
      <c r="AU1432" s="1405"/>
      <c r="AV1432" s="1405"/>
    </row>
    <row r="1433" spans="1:48" s="1431" customFormat="1">
      <c r="A1433" s="1399"/>
      <c r="B1433" s="1429"/>
      <c r="C1433" s="1430"/>
      <c r="D1433" s="1400"/>
      <c r="E1433" s="1401"/>
      <c r="F1433" s="1401"/>
      <c r="G1433" s="1402"/>
      <c r="H1433" s="1403"/>
      <c r="I1433" s="1404"/>
      <c r="J1433" s="1405"/>
      <c r="K1433" s="1405"/>
      <c r="L1433" s="1405"/>
      <c r="M1433" s="1405"/>
      <c r="N1433" s="1406"/>
      <c r="O1433" s="1406"/>
      <c r="P1433" s="1406"/>
      <c r="Q1433" s="1406"/>
      <c r="R1433" s="1406"/>
      <c r="S1433" s="1406"/>
      <c r="T1433" s="1406"/>
      <c r="U1433" s="1406"/>
      <c r="V1433" s="1406"/>
      <c r="W1433" s="1406"/>
      <c r="X1433" s="1406"/>
      <c r="Y1433" s="1406"/>
      <c r="Z1433" s="1406"/>
      <c r="AA1433" s="1406"/>
      <c r="AB1433" s="1406"/>
      <c r="AC1433" s="1406"/>
      <c r="AD1433" s="1406"/>
      <c r="AE1433" s="1406"/>
      <c r="AF1433" s="1406"/>
      <c r="AG1433" s="1406"/>
      <c r="AH1433" s="1406"/>
      <c r="AI1433" s="1406"/>
      <c r="AJ1433" s="1406"/>
      <c r="AK1433" s="1406"/>
      <c r="AL1433" s="1406"/>
      <c r="AM1433" s="1406"/>
      <c r="AN1433" s="1406"/>
      <c r="AO1433" s="1405"/>
      <c r="AP1433" s="1405"/>
      <c r="AQ1433" s="1405"/>
      <c r="AR1433" s="1405"/>
      <c r="AS1433" s="1405"/>
      <c r="AT1433" s="1405"/>
      <c r="AU1433" s="1405"/>
      <c r="AV1433" s="1405"/>
    </row>
    <row r="1434" spans="1:48" s="1431" customFormat="1">
      <c r="A1434" s="1399"/>
      <c r="B1434" s="1429"/>
      <c r="C1434" s="1430"/>
      <c r="D1434" s="1400"/>
      <c r="E1434" s="1401"/>
      <c r="F1434" s="1401"/>
      <c r="G1434" s="1402"/>
      <c r="H1434" s="1403"/>
      <c r="I1434" s="1404"/>
      <c r="J1434" s="1405"/>
      <c r="K1434" s="1405"/>
      <c r="L1434" s="1405"/>
      <c r="M1434" s="1405"/>
      <c r="N1434" s="1406"/>
      <c r="O1434" s="1406"/>
      <c r="P1434" s="1406"/>
      <c r="Q1434" s="1406"/>
      <c r="R1434" s="1406"/>
      <c r="S1434" s="1406"/>
      <c r="T1434" s="1406"/>
      <c r="U1434" s="1406"/>
      <c r="V1434" s="1406"/>
      <c r="W1434" s="1406"/>
      <c r="X1434" s="1406"/>
      <c r="Y1434" s="1406"/>
      <c r="Z1434" s="1406"/>
      <c r="AA1434" s="1406"/>
      <c r="AB1434" s="1406"/>
      <c r="AC1434" s="1406"/>
      <c r="AD1434" s="1406"/>
      <c r="AE1434" s="1406"/>
      <c r="AF1434" s="1406"/>
      <c r="AG1434" s="1406"/>
      <c r="AH1434" s="1406"/>
      <c r="AI1434" s="1406"/>
      <c r="AJ1434" s="1406"/>
      <c r="AK1434" s="1406"/>
      <c r="AL1434" s="1406"/>
      <c r="AM1434" s="1406"/>
      <c r="AN1434" s="1406"/>
      <c r="AO1434" s="1405"/>
      <c r="AP1434" s="1405"/>
      <c r="AQ1434" s="1405"/>
      <c r="AR1434" s="1405"/>
      <c r="AS1434" s="1405"/>
      <c r="AT1434" s="1405"/>
      <c r="AU1434" s="1405"/>
      <c r="AV1434" s="1405"/>
    </row>
    <row r="1435" spans="1:48">
      <c r="B1435" s="1429"/>
      <c r="C1435" s="1430"/>
      <c r="G1435" s="1402"/>
      <c r="H1435" s="1403"/>
      <c r="I1435" s="1404"/>
      <c r="J1435" s="1405"/>
      <c r="K1435" s="1405"/>
      <c r="L1435" s="1405"/>
      <c r="M1435" s="1405"/>
    </row>
    <row r="1436" spans="1:48">
      <c r="B1436" s="1429"/>
      <c r="C1436" s="1430"/>
      <c r="G1436" s="1402"/>
      <c r="H1436" s="1403"/>
      <c r="I1436" s="1404"/>
      <c r="J1436" s="1405"/>
      <c r="K1436" s="1405"/>
      <c r="L1436" s="1405"/>
      <c r="M1436" s="1405"/>
    </row>
  </sheetData>
  <sheetProtection sheet="1" objects="1" scenarios="1" formatCells="0" formatColumns="0" formatRows="0"/>
  <dataConsolidate/>
  <mergeCells count="8">
    <mergeCell ref="B2:F2"/>
    <mergeCell ref="B3:F3"/>
    <mergeCell ref="B4:F4"/>
    <mergeCell ref="M6:P10"/>
    <mergeCell ref="A12:A13"/>
    <mergeCell ref="B12:B13"/>
    <mergeCell ref="C12:F12"/>
    <mergeCell ref="G12:I12"/>
  </mergeCells>
  <printOptions horizontalCentered="1"/>
  <pageMargins left="0.75" right="0.75" top="1" bottom="1" header="0.5" footer="0.5"/>
  <pageSetup scale="62" fitToHeight="2" orientation="portrait" r:id="rId1"/>
  <headerFooter alignWithMargins="0">
    <oddHeader>&amp;L&amp;"Arial,Bold"&amp;GSteven Winter Associates Inc.&amp;"Arial,Regular"
          Building Systems Consultants       &amp;C
307 7th Avenue Suite 1701
New York, NY 10001&amp;R
Telephone:  212-564-5800
Website:  www.swinter.com</oddHeader>
    <oddFooter xml:space="preserve">&amp;LConnecticut Office: 
50 Washington Street
Norwalk, CT 06854
&amp;C© 2009 Steven Winter Associates, Inc. All rights reserved.&amp;RTelephone: 212-857-0200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6600"/>
  </sheetPr>
  <dimension ref="A1:AG181"/>
  <sheetViews>
    <sheetView showGridLines="0" view="pageBreakPreview" zoomScaleNormal="55" zoomScaleSheetLayoutView="100" workbookViewId="0">
      <selection activeCell="B1" sqref="B1"/>
    </sheetView>
  </sheetViews>
  <sheetFormatPr defaultRowHeight="12.75"/>
  <cols>
    <col min="1" max="1" width="9.140625" style="953"/>
    <col min="2" max="2" width="20" style="953" customWidth="1"/>
    <col min="3" max="3" width="16.85546875" style="953" customWidth="1"/>
    <col min="4" max="5" width="15.7109375" style="953" customWidth="1"/>
    <col min="6" max="6" width="12.42578125" style="953" customWidth="1"/>
    <col min="7" max="9" width="15" style="953" customWidth="1"/>
    <col min="10" max="10" width="10" style="953" customWidth="1"/>
    <col min="11" max="11" width="23.28515625" style="953" customWidth="1"/>
    <col min="12" max="12" width="11.5703125" style="953" customWidth="1"/>
    <col min="13" max="14" width="5.7109375" style="953" customWidth="1"/>
    <col min="15" max="15" width="17.28515625" style="953" customWidth="1"/>
    <col min="16" max="16" width="20.28515625" style="953" customWidth="1"/>
    <col min="17" max="17" width="11.140625" style="953" bestFit="1" customWidth="1"/>
    <col min="18" max="19" width="9.140625" style="953"/>
    <col min="20" max="20" width="9.140625" style="953" hidden="1" customWidth="1"/>
    <col min="21" max="257" width="9.140625" style="953"/>
    <col min="258" max="258" width="20" style="953" customWidth="1"/>
    <col min="259" max="259" width="16.85546875" style="953" customWidth="1"/>
    <col min="260" max="261" width="15.7109375" style="953" customWidth="1"/>
    <col min="262" max="262" width="12.42578125" style="953" customWidth="1"/>
    <col min="263" max="265" width="15" style="953" customWidth="1"/>
    <col min="266" max="266" width="10" style="953" customWidth="1"/>
    <col min="267" max="267" width="23.28515625" style="953" customWidth="1"/>
    <col min="268" max="268" width="11.5703125" style="953" customWidth="1"/>
    <col min="269" max="270" width="5.7109375" style="953" customWidth="1"/>
    <col min="271" max="271" width="17.28515625" style="953" customWidth="1"/>
    <col min="272" max="272" width="20.28515625" style="953" customWidth="1"/>
    <col min="273" max="273" width="11.140625" style="953" bestFit="1" customWidth="1"/>
    <col min="274" max="275" width="9.140625" style="953"/>
    <col min="276" max="276" width="0" style="953" hidden="1" customWidth="1"/>
    <col min="277" max="513" width="9.140625" style="953"/>
    <col min="514" max="514" width="20" style="953" customWidth="1"/>
    <col min="515" max="515" width="16.85546875" style="953" customWidth="1"/>
    <col min="516" max="517" width="15.7109375" style="953" customWidth="1"/>
    <col min="518" max="518" width="12.42578125" style="953" customWidth="1"/>
    <col min="519" max="521" width="15" style="953" customWidth="1"/>
    <col min="522" max="522" width="10" style="953" customWidth="1"/>
    <col min="523" max="523" width="23.28515625" style="953" customWidth="1"/>
    <col min="524" max="524" width="11.5703125" style="953" customWidth="1"/>
    <col min="525" max="526" width="5.7109375" style="953" customWidth="1"/>
    <col min="527" max="527" width="17.28515625" style="953" customWidth="1"/>
    <col min="528" max="528" width="20.28515625" style="953" customWidth="1"/>
    <col min="529" max="529" width="11.140625" style="953" bestFit="1" customWidth="1"/>
    <col min="530" max="531" width="9.140625" style="953"/>
    <col min="532" max="532" width="0" style="953" hidden="1" customWidth="1"/>
    <col min="533" max="769" width="9.140625" style="953"/>
    <col min="770" max="770" width="20" style="953" customWidth="1"/>
    <col min="771" max="771" width="16.85546875" style="953" customWidth="1"/>
    <col min="772" max="773" width="15.7109375" style="953" customWidth="1"/>
    <col min="774" max="774" width="12.42578125" style="953" customWidth="1"/>
    <col min="775" max="777" width="15" style="953" customWidth="1"/>
    <col min="778" max="778" width="10" style="953" customWidth="1"/>
    <col min="779" max="779" width="23.28515625" style="953" customWidth="1"/>
    <col min="780" max="780" width="11.5703125" style="953" customWidth="1"/>
    <col min="781" max="782" width="5.7109375" style="953" customWidth="1"/>
    <col min="783" max="783" width="17.28515625" style="953" customWidth="1"/>
    <col min="784" max="784" width="20.28515625" style="953" customWidth="1"/>
    <col min="785" max="785" width="11.140625" style="953" bestFit="1" customWidth="1"/>
    <col min="786" max="787" width="9.140625" style="953"/>
    <col min="788" max="788" width="0" style="953" hidden="1" customWidth="1"/>
    <col min="789" max="1025" width="9.140625" style="953"/>
    <col min="1026" max="1026" width="20" style="953" customWidth="1"/>
    <col min="1027" max="1027" width="16.85546875" style="953" customWidth="1"/>
    <col min="1028" max="1029" width="15.7109375" style="953" customWidth="1"/>
    <col min="1030" max="1030" width="12.42578125" style="953" customWidth="1"/>
    <col min="1031" max="1033" width="15" style="953" customWidth="1"/>
    <col min="1034" max="1034" width="10" style="953" customWidth="1"/>
    <col min="1035" max="1035" width="23.28515625" style="953" customWidth="1"/>
    <col min="1036" max="1036" width="11.5703125" style="953" customWidth="1"/>
    <col min="1037" max="1038" width="5.7109375" style="953" customWidth="1"/>
    <col min="1039" max="1039" width="17.28515625" style="953" customWidth="1"/>
    <col min="1040" max="1040" width="20.28515625" style="953" customWidth="1"/>
    <col min="1041" max="1041" width="11.140625" style="953" bestFit="1" customWidth="1"/>
    <col min="1042" max="1043" width="9.140625" style="953"/>
    <col min="1044" max="1044" width="0" style="953" hidden="1" customWidth="1"/>
    <col min="1045" max="1281" width="9.140625" style="953"/>
    <col min="1282" max="1282" width="20" style="953" customWidth="1"/>
    <col min="1283" max="1283" width="16.85546875" style="953" customWidth="1"/>
    <col min="1284" max="1285" width="15.7109375" style="953" customWidth="1"/>
    <col min="1286" max="1286" width="12.42578125" style="953" customWidth="1"/>
    <col min="1287" max="1289" width="15" style="953" customWidth="1"/>
    <col min="1290" max="1290" width="10" style="953" customWidth="1"/>
    <col min="1291" max="1291" width="23.28515625" style="953" customWidth="1"/>
    <col min="1292" max="1292" width="11.5703125" style="953" customWidth="1"/>
    <col min="1293" max="1294" width="5.7109375" style="953" customWidth="1"/>
    <col min="1295" max="1295" width="17.28515625" style="953" customWidth="1"/>
    <col min="1296" max="1296" width="20.28515625" style="953" customWidth="1"/>
    <col min="1297" max="1297" width="11.140625" style="953" bestFit="1" customWidth="1"/>
    <col min="1298" max="1299" width="9.140625" style="953"/>
    <col min="1300" max="1300" width="0" style="953" hidden="1" customWidth="1"/>
    <col min="1301" max="1537" width="9.140625" style="953"/>
    <col min="1538" max="1538" width="20" style="953" customWidth="1"/>
    <col min="1539" max="1539" width="16.85546875" style="953" customWidth="1"/>
    <col min="1540" max="1541" width="15.7109375" style="953" customWidth="1"/>
    <col min="1542" max="1542" width="12.42578125" style="953" customWidth="1"/>
    <col min="1543" max="1545" width="15" style="953" customWidth="1"/>
    <col min="1546" max="1546" width="10" style="953" customWidth="1"/>
    <col min="1547" max="1547" width="23.28515625" style="953" customWidth="1"/>
    <col min="1548" max="1548" width="11.5703125" style="953" customWidth="1"/>
    <col min="1549" max="1550" width="5.7109375" style="953" customWidth="1"/>
    <col min="1551" max="1551" width="17.28515625" style="953" customWidth="1"/>
    <col min="1552" max="1552" width="20.28515625" style="953" customWidth="1"/>
    <col min="1553" max="1553" width="11.140625" style="953" bestFit="1" customWidth="1"/>
    <col min="1554" max="1555" width="9.140625" style="953"/>
    <col min="1556" max="1556" width="0" style="953" hidden="1" customWidth="1"/>
    <col min="1557" max="1793" width="9.140625" style="953"/>
    <col min="1794" max="1794" width="20" style="953" customWidth="1"/>
    <col min="1795" max="1795" width="16.85546875" style="953" customWidth="1"/>
    <col min="1796" max="1797" width="15.7109375" style="953" customWidth="1"/>
    <col min="1798" max="1798" width="12.42578125" style="953" customWidth="1"/>
    <col min="1799" max="1801" width="15" style="953" customWidth="1"/>
    <col min="1802" max="1802" width="10" style="953" customWidth="1"/>
    <col min="1803" max="1803" width="23.28515625" style="953" customWidth="1"/>
    <col min="1804" max="1804" width="11.5703125" style="953" customWidth="1"/>
    <col min="1805" max="1806" width="5.7109375" style="953" customWidth="1"/>
    <col min="1807" max="1807" width="17.28515625" style="953" customWidth="1"/>
    <col min="1808" max="1808" width="20.28515625" style="953" customWidth="1"/>
    <col min="1809" max="1809" width="11.140625" style="953" bestFit="1" customWidth="1"/>
    <col min="1810" max="1811" width="9.140625" style="953"/>
    <col min="1812" max="1812" width="0" style="953" hidden="1" customWidth="1"/>
    <col min="1813" max="2049" width="9.140625" style="953"/>
    <col min="2050" max="2050" width="20" style="953" customWidth="1"/>
    <col min="2051" max="2051" width="16.85546875" style="953" customWidth="1"/>
    <col min="2052" max="2053" width="15.7109375" style="953" customWidth="1"/>
    <col min="2054" max="2054" width="12.42578125" style="953" customWidth="1"/>
    <col min="2055" max="2057" width="15" style="953" customWidth="1"/>
    <col min="2058" max="2058" width="10" style="953" customWidth="1"/>
    <col min="2059" max="2059" width="23.28515625" style="953" customWidth="1"/>
    <col min="2060" max="2060" width="11.5703125" style="953" customWidth="1"/>
    <col min="2061" max="2062" width="5.7109375" style="953" customWidth="1"/>
    <col min="2063" max="2063" width="17.28515625" style="953" customWidth="1"/>
    <col min="2064" max="2064" width="20.28515625" style="953" customWidth="1"/>
    <col min="2065" max="2065" width="11.140625" style="953" bestFit="1" customWidth="1"/>
    <col min="2066" max="2067" width="9.140625" style="953"/>
    <col min="2068" max="2068" width="0" style="953" hidden="1" customWidth="1"/>
    <col min="2069" max="2305" width="9.140625" style="953"/>
    <col min="2306" max="2306" width="20" style="953" customWidth="1"/>
    <col min="2307" max="2307" width="16.85546875" style="953" customWidth="1"/>
    <col min="2308" max="2309" width="15.7109375" style="953" customWidth="1"/>
    <col min="2310" max="2310" width="12.42578125" style="953" customWidth="1"/>
    <col min="2311" max="2313" width="15" style="953" customWidth="1"/>
    <col min="2314" max="2314" width="10" style="953" customWidth="1"/>
    <col min="2315" max="2315" width="23.28515625" style="953" customWidth="1"/>
    <col min="2316" max="2316" width="11.5703125" style="953" customWidth="1"/>
    <col min="2317" max="2318" width="5.7109375" style="953" customWidth="1"/>
    <col min="2319" max="2319" width="17.28515625" style="953" customWidth="1"/>
    <col min="2320" max="2320" width="20.28515625" style="953" customWidth="1"/>
    <col min="2321" max="2321" width="11.140625" style="953" bestFit="1" customWidth="1"/>
    <col min="2322" max="2323" width="9.140625" style="953"/>
    <col min="2324" max="2324" width="0" style="953" hidden="1" customWidth="1"/>
    <col min="2325" max="2561" width="9.140625" style="953"/>
    <col min="2562" max="2562" width="20" style="953" customWidth="1"/>
    <col min="2563" max="2563" width="16.85546875" style="953" customWidth="1"/>
    <col min="2564" max="2565" width="15.7109375" style="953" customWidth="1"/>
    <col min="2566" max="2566" width="12.42578125" style="953" customWidth="1"/>
    <col min="2567" max="2569" width="15" style="953" customWidth="1"/>
    <col min="2570" max="2570" width="10" style="953" customWidth="1"/>
    <col min="2571" max="2571" width="23.28515625" style="953" customWidth="1"/>
    <col min="2572" max="2572" width="11.5703125" style="953" customWidth="1"/>
    <col min="2573" max="2574" width="5.7109375" style="953" customWidth="1"/>
    <col min="2575" max="2575" width="17.28515625" style="953" customWidth="1"/>
    <col min="2576" max="2576" width="20.28515625" style="953" customWidth="1"/>
    <col min="2577" max="2577" width="11.140625" style="953" bestFit="1" customWidth="1"/>
    <col min="2578" max="2579" width="9.140625" style="953"/>
    <col min="2580" max="2580" width="0" style="953" hidden="1" customWidth="1"/>
    <col min="2581" max="2817" width="9.140625" style="953"/>
    <col min="2818" max="2818" width="20" style="953" customWidth="1"/>
    <col min="2819" max="2819" width="16.85546875" style="953" customWidth="1"/>
    <col min="2820" max="2821" width="15.7109375" style="953" customWidth="1"/>
    <col min="2822" max="2822" width="12.42578125" style="953" customWidth="1"/>
    <col min="2823" max="2825" width="15" style="953" customWidth="1"/>
    <col min="2826" max="2826" width="10" style="953" customWidth="1"/>
    <col min="2827" max="2827" width="23.28515625" style="953" customWidth="1"/>
    <col min="2828" max="2828" width="11.5703125" style="953" customWidth="1"/>
    <col min="2829" max="2830" width="5.7109375" style="953" customWidth="1"/>
    <col min="2831" max="2831" width="17.28515625" style="953" customWidth="1"/>
    <col min="2832" max="2832" width="20.28515625" style="953" customWidth="1"/>
    <col min="2833" max="2833" width="11.140625" style="953" bestFit="1" customWidth="1"/>
    <col min="2834" max="2835" width="9.140625" style="953"/>
    <col min="2836" max="2836" width="0" style="953" hidden="1" customWidth="1"/>
    <col min="2837" max="3073" width="9.140625" style="953"/>
    <col min="3074" max="3074" width="20" style="953" customWidth="1"/>
    <col min="3075" max="3075" width="16.85546875" style="953" customWidth="1"/>
    <col min="3076" max="3077" width="15.7109375" style="953" customWidth="1"/>
    <col min="3078" max="3078" width="12.42578125" style="953" customWidth="1"/>
    <col min="3079" max="3081" width="15" style="953" customWidth="1"/>
    <col min="3082" max="3082" width="10" style="953" customWidth="1"/>
    <col min="3083" max="3083" width="23.28515625" style="953" customWidth="1"/>
    <col min="3084" max="3084" width="11.5703125" style="953" customWidth="1"/>
    <col min="3085" max="3086" width="5.7109375" style="953" customWidth="1"/>
    <col min="3087" max="3087" width="17.28515625" style="953" customWidth="1"/>
    <col min="3088" max="3088" width="20.28515625" style="953" customWidth="1"/>
    <col min="3089" max="3089" width="11.140625" style="953" bestFit="1" customWidth="1"/>
    <col min="3090" max="3091" width="9.140625" style="953"/>
    <col min="3092" max="3092" width="0" style="953" hidden="1" customWidth="1"/>
    <col min="3093" max="3329" width="9.140625" style="953"/>
    <col min="3330" max="3330" width="20" style="953" customWidth="1"/>
    <col min="3331" max="3331" width="16.85546875" style="953" customWidth="1"/>
    <col min="3332" max="3333" width="15.7109375" style="953" customWidth="1"/>
    <col min="3334" max="3334" width="12.42578125" style="953" customWidth="1"/>
    <col min="3335" max="3337" width="15" style="953" customWidth="1"/>
    <col min="3338" max="3338" width="10" style="953" customWidth="1"/>
    <col min="3339" max="3339" width="23.28515625" style="953" customWidth="1"/>
    <col min="3340" max="3340" width="11.5703125" style="953" customWidth="1"/>
    <col min="3341" max="3342" width="5.7109375" style="953" customWidth="1"/>
    <col min="3343" max="3343" width="17.28515625" style="953" customWidth="1"/>
    <col min="3344" max="3344" width="20.28515625" style="953" customWidth="1"/>
    <col min="3345" max="3345" width="11.140625" style="953" bestFit="1" customWidth="1"/>
    <col min="3346" max="3347" width="9.140625" style="953"/>
    <col min="3348" max="3348" width="0" style="953" hidden="1" customWidth="1"/>
    <col min="3349" max="3585" width="9.140625" style="953"/>
    <col min="3586" max="3586" width="20" style="953" customWidth="1"/>
    <col min="3587" max="3587" width="16.85546875" style="953" customWidth="1"/>
    <col min="3588" max="3589" width="15.7109375" style="953" customWidth="1"/>
    <col min="3590" max="3590" width="12.42578125" style="953" customWidth="1"/>
    <col min="3591" max="3593" width="15" style="953" customWidth="1"/>
    <col min="3594" max="3594" width="10" style="953" customWidth="1"/>
    <col min="3595" max="3595" width="23.28515625" style="953" customWidth="1"/>
    <col min="3596" max="3596" width="11.5703125" style="953" customWidth="1"/>
    <col min="3597" max="3598" width="5.7109375" style="953" customWidth="1"/>
    <col min="3599" max="3599" width="17.28515625" style="953" customWidth="1"/>
    <col min="3600" max="3600" width="20.28515625" style="953" customWidth="1"/>
    <col min="3601" max="3601" width="11.140625" style="953" bestFit="1" customWidth="1"/>
    <col min="3602" max="3603" width="9.140625" style="953"/>
    <col min="3604" max="3604" width="0" style="953" hidden="1" customWidth="1"/>
    <col min="3605" max="3841" width="9.140625" style="953"/>
    <col min="3842" max="3842" width="20" style="953" customWidth="1"/>
    <col min="3843" max="3843" width="16.85546875" style="953" customWidth="1"/>
    <col min="3844" max="3845" width="15.7109375" style="953" customWidth="1"/>
    <col min="3846" max="3846" width="12.42578125" style="953" customWidth="1"/>
    <col min="3847" max="3849" width="15" style="953" customWidth="1"/>
    <col min="3850" max="3850" width="10" style="953" customWidth="1"/>
    <col min="3851" max="3851" width="23.28515625" style="953" customWidth="1"/>
    <col min="3852" max="3852" width="11.5703125" style="953" customWidth="1"/>
    <col min="3853" max="3854" width="5.7109375" style="953" customWidth="1"/>
    <col min="3855" max="3855" width="17.28515625" style="953" customWidth="1"/>
    <col min="3856" max="3856" width="20.28515625" style="953" customWidth="1"/>
    <col min="3857" max="3857" width="11.140625" style="953" bestFit="1" customWidth="1"/>
    <col min="3858" max="3859" width="9.140625" style="953"/>
    <col min="3860" max="3860" width="0" style="953" hidden="1" customWidth="1"/>
    <col min="3861" max="4097" width="9.140625" style="953"/>
    <col min="4098" max="4098" width="20" style="953" customWidth="1"/>
    <col min="4099" max="4099" width="16.85546875" style="953" customWidth="1"/>
    <col min="4100" max="4101" width="15.7109375" style="953" customWidth="1"/>
    <col min="4102" max="4102" width="12.42578125" style="953" customWidth="1"/>
    <col min="4103" max="4105" width="15" style="953" customWidth="1"/>
    <col min="4106" max="4106" width="10" style="953" customWidth="1"/>
    <col min="4107" max="4107" width="23.28515625" style="953" customWidth="1"/>
    <col min="4108" max="4108" width="11.5703125" style="953" customWidth="1"/>
    <col min="4109" max="4110" width="5.7109375" style="953" customWidth="1"/>
    <col min="4111" max="4111" width="17.28515625" style="953" customWidth="1"/>
    <col min="4112" max="4112" width="20.28515625" style="953" customWidth="1"/>
    <col min="4113" max="4113" width="11.140625" style="953" bestFit="1" customWidth="1"/>
    <col min="4114" max="4115" width="9.140625" style="953"/>
    <col min="4116" max="4116" width="0" style="953" hidden="1" customWidth="1"/>
    <col min="4117" max="4353" width="9.140625" style="953"/>
    <col min="4354" max="4354" width="20" style="953" customWidth="1"/>
    <col min="4355" max="4355" width="16.85546875" style="953" customWidth="1"/>
    <col min="4356" max="4357" width="15.7109375" style="953" customWidth="1"/>
    <col min="4358" max="4358" width="12.42578125" style="953" customWidth="1"/>
    <col min="4359" max="4361" width="15" style="953" customWidth="1"/>
    <col min="4362" max="4362" width="10" style="953" customWidth="1"/>
    <col min="4363" max="4363" width="23.28515625" style="953" customWidth="1"/>
    <col min="4364" max="4364" width="11.5703125" style="953" customWidth="1"/>
    <col min="4365" max="4366" width="5.7109375" style="953" customWidth="1"/>
    <col min="4367" max="4367" width="17.28515625" style="953" customWidth="1"/>
    <col min="4368" max="4368" width="20.28515625" style="953" customWidth="1"/>
    <col min="4369" max="4369" width="11.140625" style="953" bestFit="1" customWidth="1"/>
    <col min="4370" max="4371" width="9.140625" style="953"/>
    <col min="4372" max="4372" width="0" style="953" hidden="1" customWidth="1"/>
    <col min="4373" max="4609" width="9.140625" style="953"/>
    <col min="4610" max="4610" width="20" style="953" customWidth="1"/>
    <col min="4611" max="4611" width="16.85546875" style="953" customWidth="1"/>
    <col min="4612" max="4613" width="15.7109375" style="953" customWidth="1"/>
    <col min="4614" max="4614" width="12.42578125" style="953" customWidth="1"/>
    <col min="4615" max="4617" width="15" style="953" customWidth="1"/>
    <col min="4618" max="4618" width="10" style="953" customWidth="1"/>
    <col min="4619" max="4619" width="23.28515625" style="953" customWidth="1"/>
    <col min="4620" max="4620" width="11.5703125" style="953" customWidth="1"/>
    <col min="4621" max="4622" width="5.7109375" style="953" customWidth="1"/>
    <col min="4623" max="4623" width="17.28515625" style="953" customWidth="1"/>
    <col min="4624" max="4624" width="20.28515625" style="953" customWidth="1"/>
    <col min="4625" max="4625" width="11.140625" style="953" bestFit="1" customWidth="1"/>
    <col min="4626" max="4627" width="9.140625" style="953"/>
    <col min="4628" max="4628" width="0" style="953" hidden="1" customWidth="1"/>
    <col min="4629" max="4865" width="9.140625" style="953"/>
    <col min="4866" max="4866" width="20" style="953" customWidth="1"/>
    <col min="4867" max="4867" width="16.85546875" style="953" customWidth="1"/>
    <col min="4868" max="4869" width="15.7109375" style="953" customWidth="1"/>
    <col min="4870" max="4870" width="12.42578125" style="953" customWidth="1"/>
    <col min="4871" max="4873" width="15" style="953" customWidth="1"/>
    <col min="4874" max="4874" width="10" style="953" customWidth="1"/>
    <col min="4875" max="4875" width="23.28515625" style="953" customWidth="1"/>
    <col min="4876" max="4876" width="11.5703125" style="953" customWidth="1"/>
    <col min="4877" max="4878" width="5.7109375" style="953" customWidth="1"/>
    <col min="4879" max="4879" width="17.28515625" style="953" customWidth="1"/>
    <col min="4880" max="4880" width="20.28515625" style="953" customWidth="1"/>
    <col min="4881" max="4881" width="11.140625" style="953" bestFit="1" customWidth="1"/>
    <col min="4882" max="4883" width="9.140625" style="953"/>
    <col min="4884" max="4884" width="0" style="953" hidden="1" customWidth="1"/>
    <col min="4885" max="5121" width="9.140625" style="953"/>
    <col min="5122" max="5122" width="20" style="953" customWidth="1"/>
    <col min="5123" max="5123" width="16.85546875" style="953" customWidth="1"/>
    <col min="5124" max="5125" width="15.7109375" style="953" customWidth="1"/>
    <col min="5126" max="5126" width="12.42578125" style="953" customWidth="1"/>
    <col min="5127" max="5129" width="15" style="953" customWidth="1"/>
    <col min="5130" max="5130" width="10" style="953" customWidth="1"/>
    <col min="5131" max="5131" width="23.28515625" style="953" customWidth="1"/>
    <col min="5132" max="5132" width="11.5703125" style="953" customWidth="1"/>
    <col min="5133" max="5134" width="5.7109375" style="953" customWidth="1"/>
    <col min="5135" max="5135" width="17.28515625" style="953" customWidth="1"/>
    <col min="5136" max="5136" width="20.28515625" style="953" customWidth="1"/>
    <col min="5137" max="5137" width="11.140625" style="953" bestFit="1" customWidth="1"/>
    <col min="5138" max="5139" width="9.140625" style="953"/>
    <col min="5140" max="5140" width="0" style="953" hidden="1" customWidth="1"/>
    <col min="5141" max="5377" width="9.140625" style="953"/>
    <col min="5378" max="5378" width="20" style="953" customWidth="1"/>
    <col min="5379" max="5379" width="16.85546875" style="953" customWidth="1"/>
    <col min="5380" max="5381" width="15.7109375" style="953" customWidth="1"/>
    <col min="5382" max="5382" width="12.42578125" style="953" customWidth="1"/>
    <col min="5383" max="5385" width="15" style="953" customWidth="1"/>
    <col min="5386" max="5386" width="10" style="953" customWidth="1"/>
    <col min="5387" max="5387" width="23.28515625" style="953" customWidth="1"/>
    <col min="5388" max="5388" width="11.5703125" style="953" customWidth="1"/>
    <col min="5389" max="5390" width="5.7109375" style="953" customWidth="1"/>
    <col min="5391" max="5391" width="17.28515625" style="953" customWidth="1"/>
    <col min="5392" max="5392" width="20.28515625" style="953" customWidth="1"/>
    <col min="5393" max="5393" width="11.140625" style="953" bestFit="1" customWidth="1"/>
    <col min="5394" max="5395" width="9.140625" style="953"/>
    <col min="5396" max="5396" width="0" style="953" hidden="1" customWidth="1"/>
    <col min="5397" max="5633" width="9.140625" style="953"/>
    <col min="5634" max="5634" width="20" style="953" customWidth="1"/>
    <col min="5635" max="5635" width="16.85546875" style="953" customWidth="1"/>
    <col min="5636" max="5637" width="15.7109375" style="953" customWidth="1"/>
    <col min="5638" max="5638" width="12.42578125" style="953" customWidth="1"/>
    <col min="5639" max="5641" width="15" style="953" customWidth="1"/>
    <col min="5642" max="5642" width="10" style="953" customWidth="1"/>
    <col min="5643" max="5643" width="23.28515625" style="953" customWidth="1"/>
    <col min="5644" max="5644" width="11.5703125" style="953" customWidth="1"/>
    <col min="5645" max="5646" width="5.7109375" style="953" customWidth="1"/>
    <col min="5647" max="5647" width="17.28515625" style="953" customWidth="1"/>
    <col min="5648" max="5648" width="20.28515625" style="953" customWidth="1"/>
    <col min="5649" max="5649" width="11.140625" style="953" bestFit="1" customWidth="1"/>
    <col min="5650" max="5651" width="9.140625" style="953"/>
    <col min="5652" max="5652" width="0" style="953" hidden="1" customWidth="1"/>
    <col min="5653" max="5889" width="9.140625" style="953"/>
    <col min="5890" max="5890" width="20" style="953" customWidth="1"/>
    <col min="5891" max="5891" width="16.85546875" style="953" customWidth="1"/>
    <col min="5892" max="5893" width="15.7109375" style="953" customWidth="1"/>
    <col min="5894" max="5894" width="12.42578125" style="953" customWidth="1"/>
    <col min="5895" max="5897" width="15" style="953" customWidth="1"/>
    <col min="5898" max="5898" width="10" style="953" customWidth="1"/>
    <col min="5899" max="5899" width="23.28515625" style="953" customWidth="1"/>
    <col min="5900" max="5900" width="11.5703125" style="953" customWidth="1"/>
    <col min="5901" max="5902" width="5.7109375" style="953" customWidth="1"/>
    <col min="5903" max="5903" width="17.28515625" style="953" customWidth="1"/>
    <col min="5904" max="5904" width="20.28515625" style="953" customWidth="1"/>
    <col min="5905" max="5905" width="11.140625" style="953" bestFit="1" customWidth="1"/>
    <col min="5906" max="5907" width="9.140625" style="953"/>
    <col min="5908" max="5908" width="0" style="953" hidden="1" customWidth="1"/>
    <col min="5909" max="6145" width="9.140625" style="953"/>
    <col min="6146" max="6146" width="20" style="953" customWidth="1"/>
    <col min="6147" max="6147" width="16.85546875" style="953" customWidth="1"/>
    <col min="6148" max="6149" width="15.7109375" style="953" customWidth="1"/>
    <col min="6150" max="6150" width="12.42578125" style="953" customWidth="1"/>
    <col min="6151" max="6153" width="15" style="953" customWidth="1"/>
    <col min="6154" max="6154" width="10" style="953" customWidth="1"/>
    <col min="6155" max="6155" width="23.28515625" style="953" customWidth="1"/>
    <col min="6156" max="6156" width="11.5703125" style="953" customWidth="1"/>
    <col min="6157" max="6158" width="5.7109375" style="953" customWidth="1"/>
    <col min="6159" max="6159" width="17.28515625" style="953" customWidth="1"/>
    <col min="6160" max="6160" width="20.28515625" style="953" customWidth="1"/>
    <col min="6161" max="6161" width="11.140625" style="953" bestFit="1" customWidth="1"/>
    <col min="6162" max="6163" width="9.140625" style="953"/>
    <col min="6164" max="6164" width="0" style="953" hidden="1" customWidth="1"/>
    <col min="6165" max="6401" width="9.140625" style="953"/>
    <col min="6402" max="6402" width="20" style="953" customWidth="1"/>
    <col min="6403" max="6403" width="16.85546875" style="953" customWidth="1"/>
    <col min="6404" max="6405" width="15.7109375" style="953" customWidth="1"/>
    <col min="6406" max="6406" width="12.42578125" style="953" customWidth="1"/>
    <col min="6407" max="6409" width="15" style="953" customWidth="1"/>
    <col min="6410" max="6410" width="10" style="953" customWidth="1"/>
    <col min="6411" max="6411" width="23.28515625" style="953" customWidth="1"/>
    <col min="6412" max="6412" width="11.5703125" style="953" customWidth="1"/>
    <col min="6413" max="6414" width="5.7109375" style="953" customWidth="1"/>
    <col min="6415" max="6415" width="17.28515625" style="953" customWidth="1"/>
    <col min="6416" max="6416" width="20.28515625" style="953" customWidth="1"/>
    <col min="6417" max="6417" width="11.140625" style="953" bestFit="1" customWidth="1"/>
    <col min="6418" max="6419" width="9.140625" style="953"/>
    <col min="6420" max="6420" width="0" style="953" hidden="1" customWidth="1"/>
    <col min="6421" max="6657" width="9.140625" style="953"/>
    <col min="6658" max="6658" width="20" style="953" customWidth="1"/>
    <col min="6659" max="6659" width="16.85546875" style="953" customWidth="1"/>
    <col min="6660" max="6661" width="15.7109375" style="953" customWidth="1"/>
    <col min="6662" max="6662" width="12.42578125" style="953" customWidth="1"/>
    <col min="6663" max="6665" width="15" style="953" customWidth="1"/>
    <col min="6666" max="6666" width="10" style="953" customWidth="1"/>
    <col min="6667" max="6667" width="23.28515625" style="953" customWidth="1"/>
    <col min="6668" max="6668" width="11.5703125" style="953" customWidth="1"/>
    <col min="6669" max="6670" width="5.7109375" style="953" customWidth="1"/>
    <col min="6671" max="6671" width="17.28515625" style="953" customWidth="1"/>
    <col min="6672" max="6672" width="20.28515625" style="953" customWidth="1"/>
    <col min="6673" max="6673" width="11.140625" style="953" bestFit="1" customWidth="1"/>
    <col min="6674" max="6675" width="9.140625" style="953"/>
    <col min="6676" max="6676" width="0" style="953" hidden="1" customWidth="1"/>
    <col min="6677" max="6913" width="9.140625" style="953"/>
    <col min="6914" max="6914" width="20" style="953" customWidth="1"/>
    <col min="6915" max="6915" width="16.85546875" style="953" customWidth="1"/>
    <col min="6916" max="6917" width="15.7109375" style="953" customWidth="1"/>
    <col min="6918" max="6918" width="12.42578125" style="953" customWidth="1"/>
    <col min="6919" max="6921" width="15" style="953" customWidth="1"/>
    <col min="6922" max="6922" width="10" style="953" customWidth="1"/>
    <col min="6923" max="6923" width="23.28515625" style="953" customWidth="1"/>
    <col min="6924" max="6924" width="11.5703125" style="953" customWidth="1"/>
    <col min="6925" max="6926" width="5.7109375" style="953" customWidth="1"/>
    <col min="6927" max="6927" width="17.28515625" style="953" customWidth="1"/>
    <col min="6928" max="6928" width="20.28515625" style="953" customWidth="1"/>
    <col min="6929" max="6929" width="11.140625" style="953" bestFit="1" customWidth="1"/>
    <col min="6930" max="6931" width="9.140625" style="953"/>
    <col min="6932" max="6932" width="0" style="953" hidden="1" customWidth="1"/>
    <col min="6933" max="7169" width="9.140625" style="953"/>
    <col min="7170" max="7170" width="20" style="953" customWidth="1"/>
    <col min="7171" max="7171" width="16.85546875" style="953" customWidth="1"/>
    <col min="7172" max="7173" width="15.7109375" style="953" customWidth="1"/>
    <col min="7174" max="7174" width="12.42578125" style="953" customWidth="1"/>
    <col min="7175" max="7177" width="15" style="953" customWidth="1"/>
    <col min="7178" max="7178" width="10" style="953" customWidth="1"/>
    <col min="7179" max="7179" width="23.28515625" style="953" customWidth="1"/>
    <col min="7180" max="7180" width="11.5703125" style="953" customWidth="1"/>
    <col min="7181" max="7182" width="5.7109375" style="953" customWidth="1"/>
    <col min="7183" max="7183" width="17.28515625" style="953" customWidth="1"/>
    <col min="7184" max="7184" width="20.28515625" style="953" customWidth="1"/>
    <col min="7185" max="7185" width="11.140625" style="953" bestFit="1" customWidth="1"/>
    <col min="7186" max="7187" width="9.140625" style="953"/>
    <col min="7188" max="7188" width="0" style="953" hidden="1" customWidth="1"/>
    <col min="7189" max="7425" width="9.140625" style="953"/>
    <col min="7426" max="7426" width="20" style="953" customWidth="1"/>
    <col min="7427" max="7427" width="16.85546875" style="953" customWidth="1"/>
    <col min="7428" max="7429" width="15.7109375" style="953" customWidth="1"/>
    <col min="7430" max="7430" width="12.42578125" style="953" customWidth="1"/>
    <col min="7431" max="7433" width="15" style="953" customWidth="1"/>
    <col min="7434" max="7434" width="10" style="953" customWidth="1"/>
    <col min="7435" max="7435" width="23.28515625" style="953" customWidth="1"/>
    <col min="7436" max="7436" width="11.5703125" style="953" customWidth="1"/>
    <col min="7437" max="7438" width="5.7109375" style="953" customWidth="1"/>
    <col min="7439" max="7439" width="17.28515625" style="953" customWidth="1"/>
    <col min="7440" max="7440" width="20.28515625" style="953" customWidth="1"/>
    <col min="7441" max="7441" width="11.140625" style="953" bestFit="1" customWidth="1"/>
    <col min="7442" max="7443" width="9.140625" style="953"/>
    <col min="7444" max="7444" width="0" style="953" hidden="1" customWidth="1"/>
    <col min="7445" max="7681" width="9.140625" style="953"/>
    <col min="7682" max="7682" width="20" style="953" customWidth="1"/>
    <col min="7683" max="7683" width="16.85546875" style="953" customWidth="1"/>
    <col min="7684" max="7685" width="15.7109375" style="953" customWidth="1"/>
    <col min="7686" max="7686" width="12.42578125" style="953" customWidth="1"/>
    <col min="7687" max="7689" width="15" style="953" customWidth="1"/>
    <col min="7690" max="7690" width="10" style="953" customWidth="1"/>
    <col min="7691" max="7691" width="23.28515625" style="953" customWidth="1"/>
    <col min="7692" max="7692" width="11.5703125" style="953" customWidth="1"/>
    <col min="7693" max="7694" width="5.7109375" style="953" customWidth="1"/>
    <col min="7695" max="7695" width="17.28515625" style="953" customWidth="1"/>
    <col min="7696" max="7696" width="20.28515625" style="953" customWidth="1"/>
    <col min="7697" max="7697" width="11.140625" style="953" bestFit="1" customWidth="1"/>
    <col min="7698" max="7699" width="9.140625" style="953"/>
    <col min="7700" max="7700" width="0" style="953" hidden="1" customWidth="1"/>
    <col min="7701" max="7937" width="9.140625" style="953"/>
    <col min="7938" max="7938" width="20" style="953" customWidth="1"/>
    <col min="7939" max="7939" width="16.85546875" style="953" customWidth="1"/>
    <col min="7940" max="7941" width="15.7109375" style="953" customWidth="1"/>
    <col min="7942" max="7942" width="12.42578125" style="953" customWidth="1"/>
    <col min="7943" max="7945" width="15" style="953" customWidth="1"/>
    <col min="7946" max="7946" width="10" style="953" customWidth="1"/>
    <col min="7947" max="7947" width="23.28515625" style="953" customWidth="1"/>
    <col min="7948" max="7948" width="11.5703125" style="953" customWidth="1"/>
    <col min="7949" max="7950" width="5.7109375" style="953" customWidth="1"/>
    <col min="7951" max="7951" width="17.28515625" style="953" customWidth="1"/>
    <col min="7952" max="7952" width="20.28515625" style="953" customWidth="1"/>
    <col min="7953" max="7953" width="11.140625" style="953" bestFit="1" customWidth="1"/>
    <col min="7954" max="7955" width="9.140625" style="953"/>
    <col min="7956" max="7956" width="0" style="953" hidden="1" customWidth="1"/>
    <col min="7957" max="8193" width="9.140625" style="953"/>
    <col min="8194" max="8194" width="20" style="953" customWidth="1"/>
    <col min="8195" max="8195" width="16.85546875" style="953" customWidth="1"/>
    <col min="8196" max="8197" width="15.7109375" style="953" customWidth="1"/>
    <col min="8198" max="8198" width="12.42578125" style="953" customWidth="1"/>
    <col min="8199" max="8201" width="15" style="953" customWidth="1"/>
    <col min="8202" max="8202" width="10" style="953" customWidth="1"/>
    <col min="8203" max="8203" width="23.28515625" style="953" customWidth="1"/>
    <col min="8204" max="8204" width="11.5703125" style="953" customWidth="1"/>
    <col min="8205" max="8206" width="5.7109375" style="953" customWidth="1"/>
    <col min="8207" max="8207" width="17.28515625" style="953" customWidth="1"/>
    <col min="8208" max="8208" width="20.28515625" style="953" customWidth="1"/>
    <col min="8209" max="8209" width="11.140625" style="953" bestFit="1" customWidth="1"/>
    <col min="8210" max="8211" width="9.140625" style="953"/>
    <col min="8212" max="8212" width="0" style="953" hidden="1" customWidth="1"/>
    <col min="8213" max="8449" width="9.140625" style="953"/>
    <col min="8450" max="8450" width="20" style="953" customWidth="1"/>
    <col min="8451" max="8451" width="16.85546875" style="953" customWidth="1"/>
    <col min="8452" max="8453" width="15.7109375" style="953" customWidth="1"/>
    <col min="8454" max="8454" width="12.42578125" style="953" customWidth="1"/>
    <col min="8455" max="8457" width="15" style="953" customWidth="1"/>
    <col min="8458" max="8458" width="10" style="953" customWidth="1"/>
    <col min="8459" max="8459" width="23.28515625" style="953" customWidth="1"/>
    <col min="8460" max="8460" width="11.5703125" style="953" customWidth="1"/>
    <col min="8461" max="8462" width="5.7109375" style="953" customWidth="1"/>
    <col min="8463" max="8463" width="17.28515625" style="953" customWidth="1"/>
    <col min="8464" max="8464" width="20.28515625" style="953" customWidth="1"/>
    <col min="8465" max="8465" width="11.140625" style="953" bestFit="1" customWidth="1"/>
    <col min="8466" max="8467" width="9.140625" style="953"/>
    <col min="8468" max="8468" width="0" style="953" hidden="1" customWidth="1"/>
    <col min="8469" max="8705" width="9.140625" style="953"/>
    <col min="8706" max="8706" width="20" style="953" customWidth="1"/>
    <col min="8707" max="8707" width="16.85546875" style="953" customWidth="1"/>
    <col min="8708" max="8709" width="15.7109375" style="953" customWidth="1"/>
    <col min="8710" max="8710" width="12.42578125" style="953" customWidth="1"/>
    <col min="8711" max="8713" width="15" style="953" customWidth="1"/>
    <col min="8714" max="8714" width="10" style="953" customWidth="1"/>
    <col min="8715" max="8715" width="23.28515625" style="953" customWidth="1"/>
    <col min="8716" max="8716" width="11.5703125" style="953" customWidth="1"/>
    <col min="8717" max="8718" width="5.7109375" style="953" customWidth="1"/>
    <col min="8719" max="8719" width="17.28515625" style="953" customWidth="1"/>
    <col min="8720" max="8720" width="20.28515625" style="953" customWidth="1"/>
    <col min="8721" max="8721" width="11.140625" style="953" bestFit="1" customWidth="1"/>
    <col min="8722" max="8723" width="9.140625" style="953"/>
    <col min="8724" max="8724" width="0" style="953" hidden="1" customWidth="1"/>
    <col min="8725" max="8961" width="9.140625" style="953"/>
    <col min="8962" max="8962" width="20" style="953" customWidth="1"/>
    <col min="8963" max="8963" width="16.85546875" style="953" customWidth="1"/>
    <col min="8964" max="8965" width="15.7109375" style="953" customWidth="1"/>
    <col min="8966" max="8966" width="12.42578125" style="953" customWidth="1"/>
    <col min="8967" max="8969" width="15" style="953" customWidth="1"/>
    <col min="8970" max="8970" width="10" style="953" customWidth="1"/>
    <col min="8971" max="8971" width="23.28515625" style="953" customWidth="1"/>
    <col min="8972" max="8972" width="11.5703125" style="953" customWidth="1"/>
    <col min="8973" max="8974" width="5.7109375" style="953" customWidth="1"/>
    <col min="8975" max="8975" width="17.28515625" style="953" customWidth="1"/>
    <col min="8976" max="8976" width="20.28515625" style="953" customWidth="1"/>
    <col min="8977" max="8977" width="11.140625" style="953" bestFit="1" customWidth="1"/>
    <col min="8978" max="8979" width="9.140625" style="953"/>
    <col min="8980" max="8980" width="0" style="953" hidden="1" customWidth="1"/>
    <col min="8981" max="9217" width="9.140625" style="953"/>
    <col min="9218" max="9218" width="20" style="953" customWidth="1"/>
    <col min="9219" max="9219" width="16.85546875" style="953" customWidth="1"/>
    <col min="9220" max="9221" width="15.7109375" style="953" customWidth="1"/>
    <col min="9222" max="9222" width="12.42578125" style="953" customWidth="1"/>
    <col min="9223" max="9225" width="15" style="953" customWidth="1"/>
    <col min="9226" max="9226" width="10" style="953" customWidth="1"/>
    <col min="9227" max="9227" width="23.28515625" style="953" customWidth="1"/>
    <col min="9228" max="9228" width="11.5703125" style="953" customWidth="1"/>
    <col min="9229" max="9230" width="5.7109375" style="953" customWidth="1"/>
    <col min="9231" max="9231" width="17.28515625" style="953" customWidth="1"/>
    <col min="9232" max="9232" width="20.28515625" style="953" customWidth="1"/>
    <col min="9233" max="9233" width="11.140625" style="953" bestFit="1" customWidth="1"/>
    <col min="9234" max="9235" width="9.140625" style="953"/>
    <col min="9236" max="9236" width="0" style="953" hidden="1" customWidth="1"/>
    <col min="9237" max="9473" width="9.140625" style="953"/>
    <col min="9474" max="9474" width="20" style="953" customWidth="1"/>
    <col min="9475" max="9475" width="16.85546875" style="953" customWidth="1"/>
    <col min="9476" max="9477" width="15.7109375" style="953" customWidth="1"/>
    <col min="9478" max="9478" width="12.42578125" style="953" customWidth="1"/>
    <col min="9479" max="9481" width="15" style="953" customWidth="1"/>
    <col min="9482" max="9482" width="10" style="953" customWidth="1"/>
    <col min="9483" max="9483" width="23.28515625" style="953" customWidth="1"/>
    <col min="9484" max="9484" width="11.5703125" style="953" customWidth="1"/>
    <col min="9485" max="9486" width="5.7109375" style="953" customWidth="1"/>
    <col min="9487" max="9487" width="17.28515625" style="953" customWidth="1"/>
    <col min="9488" max="9488" width="20.28515625" style="953" customWidth="1"/>
    <col min="9489" max="9489" width="11.140625" style="953" bestFit="1" customWidth="1"/>
    <col min="9490" max="9491" width="9.140625" style="953"/>
    <col min="9492" max="9492" width="0" style="953" hidden="1" customWidth="1"/>
    <col min="9493" max="9729" width="9.140625" style="953"/>
    <col min="9730" max="9730" width="20" style="953" customWidth="1"/>
    <col min="9731" max="9731" width="16.85546875" style="953" customWidth="1"/>
    <col min="9732" max="9733" width="15.7109375" style="953" customWidth="1"/>
    <col min="9734" max="9734" width="12.42578125" style="953" customWidth="1"/>
    <col min="9735" max="9737" width="15" style="953" customWidth="1"/>
    <col min="9738" max="9738" width="10" style="953" customWidth="1"/>
    <col min="9739" max="9739" width="23.28515625" style="953" customWidth="1"/>
    <col min="9740" max="9740" width="11.5703125" style="953" customWidth="1"/>
    <col min="9741" max="9742" width="5.7109375" style="953" customWidth="1"/>
    <col min="9743" max="9743" width="17.28515625" style="953" customWidth="1"/>
    <col min="9744" max="9744" width="20.28515625" style="953" customWidth="1"/>
    <col min="9745" max="9745" width="11.140625" style="953" bestFit="1" customWidth="1"/>
    <col min="9746" max="9747" width="9.140625" style="953"/>
    <col min="9748" max="9748" width="0" style="953" hidden="1" customWidth="1"/>
    <col min="9749" max="9985" width="9.140625" style="953"/>
    <col min="9986" max="9986" width="20" style="953" customWidth="1"/>
    <col min="9987" max="9987" width="16.85546875" style="953" customWidth="1"/>
    <col min="9988" max="9989" width="15.7109375" style="953" customWidth="1"/>
    <col min="9990" max="9990" width="12.42578125" style="953" customWidth="1"/>
    <col min="9991" max="9993" width="15" style="953" customWidth="1"/>
    <col min="9994" max="9994" width="10" style="953" customWidth="1"/>
    <col min="9995" max="9995" width="23.28515625" style="953" customWidth="1"/>
    <col min="9996" max="9996" width="11.5703125" style="953" customWidth="1"/>
    <col min="9997" max="9998" width="5.7109375" style="953" customWidth="1"/>
    <col min="9999" max="9999" width="17.28515625" style="953" customWidth="1"/>
    <col min="10000" max="10000" width="20.28515625" style="953" customWidth="1"/>
    <col min="10001" max="10001" width="11.140625" style="953" bestFit="1" customWidth="1"/>
    <col min="10002" max="10003" width="9.140625" style="953"/>
    <col min="10004" max="10004" width="0" style="953" hidden="1" customWidth="1"/>
    <col min="10005" max="10241" width="9.140625" style="953"/>
    <col min="10242" max="10242" width="20" style="953" customWidth="1"/>
    <col min="10243" max="10243" width="16.85546875" style="953" customWidth="1"/>
    <col min="10244" max="10245" width="15.7109375" style="953" customWidth="1"/>
    <col min="10246" max="10246" width="12.42578125" style="953" customWidth="1"/>
    <col min="10247" max="10249" width="15" style="953" customWidth="1"/>
    <col min="10250" max="10250" width="10" style="953" customWidth="1"/>
    <col min="10251" max="10251" width="23.28515625" style="953" customWidth="1"/>
    <col min="10252" max="10252" width="11.5703125" style="953" customWidth="1"/>
    <col min="10253" max="10254" width="5.7109375" style="953" customWidth="1"/>
    <col min="10255" max="10255" width="17.28515625" style="953" customWidth="1"/>
    <col min="10256" max="10256" width="20.28515625" style="953" customWidth="1"/>
    <col min="10257" max="10257" width="11.140625" style="953" bestFit="1" customWidth="1"/>
    <col min="10258" max="10259" width="9.140625" style="953"/>
    <col min="10260" max="10260" width="0" style="953" hidden="1" customWidth="1"/>
    <col min="10261" max="10497" width="9.140625" style="953"/>
    <col min="10498" max="10498" width="20" style="953" customWidth="1"/>
    <col min="10499" max="10499" width="16.85546875" style="953" customWidth="1"/>
    <col min="10500" max="10501" width="15.7109375" style="953" customWidth="1"/>
    <col min="10502" max="10502" width="12.42578125" style="953" customWidth="1"/>
    <col min="10503" max="10505" width="15" style="953" customWidth="1"/>
    <col min="10506" max="10506" width="10" style="953" customWidth="1"/>
    <col min="10507" max="10507" width="23.28515625" style="953" customWidth="1"/>
    <col min="10508" max="10508" width="11.5703125" style="953" customWidth="1"/>
    <col min="10509" max="10510" width="5.7109375" style="953" customWidth="1"/>
    <col min="10511" max="10511" width="17.28515625" style="953" customWidth="1"/>
    <col min="10512" max="10512" width="20.28515625" style="953" customWidth="1"/>
    <col min="10513" max="10513" width="11.140625" style="953" bestFit="1" customWidth="1"/>
    <col min="10514" max="10515" width="9.140625" style="953"/>
    <col min="10516" max="10516" width="0" style="953" hidden="1" customWidth="1"/>
    <col min="10517" max="10753" width="9.140625" style="953"/>
    <col min="10754" max="10754" width="20" style="953" customWidth="1"/>
    <col min="10755" max="10755" width="16.85546875" style="953" customWidth="1"/>
    <col min="10756" max="10757" width="15.7109375" style="953" customWidth="1"/>
    <col min="10758" max="10758" width="12.42578125" style="953" customWidth="1"/>
    <col min="10759" max="10761" width="15" style="953" customWidth="1"/>
    <col min="10762" max="10762" width="10" style="953" customWidth="1"/>
    <col min="10763" max="10763" width="23.28515625" style="953" customWidth="1"/>
    <col min="10764" max="10764" width="11.5703125" style="953" customWidth="1"/>
    <col min="10765" max="10766" width="5.7109375" style="953" customWidth="1"/>
    <col min="10767" max="10767" width="17.28515625" style="953" customWidth="1"/>
    <col min="10768" max="10768" width="20.28515625" style="953" customWidth="1"/>
    <col min="10769" max="10769" width="11.140625" style="953" bestFit="1" customWidth="1"/>
    <col min="10770" max="10771" width="9.140625" style="953"/>
    <col min="10772" max="10772" width="0" style="953" hidden="1" customWidth="1"/>
    <col min="10773" max="11009" width="9.140625" style="953"/>
    <col min="11010" max="11010" width="20" style="953" customWidth="1"/>
    <col min="11011" max="11011" width="16.85546875" style="953" customWidth="1"/>
    <col min="11012" max="11013" width="15.7109375" style="953" customWidth="1"/>
    <col min="11014" max="11014" width="12.42578125" style="953" customWidth="1"/>
    <col min="11015" max="11017" width="15" style="953" customWidth="1"/>
    <col min="11018" max="11018" width="10" style="953" customWidth="1"/>
    <col min="11019" max="11019" width="23.28515625" style="953" customWidth="1"/>
    <col min="11020" max="11020" width="11.5703125" style="953" customWidth="1"/>
    <col min="11021" max="11022" width="5.7109375" style="953" customWidth="1"/>
    <col min="11023" max="11023" width="17.28515625" style="953" customWidth="1"/>
    <col min="11024" max="11024" width="20.28515625" style="953" customWidth="1"/>
    <col min="11025" max="11025" width="11.140625" style="953" bestFit="1" customWidth="1"/>
    <col min="11026" max="11027" width="9.140625" style="953"/>
    <col min="11028" max="11028" width="0" style="953" hidden="1" customWidth="1"/>
    <col min="11029" max="11265" width="9.140625" style="953"/>
    <col min="11266" max="11266" width="20" style="953" customWidth="1"/>
    <col min="11267" max="11267" width="16.85546875" style="953" customWidth="1"/>
    <col min="11268" max="11269" width="15.7109375" style="953" customWidth="1"/>
    <col min="11270" max="11270" width="12.42578125" style="953" customWidth="1"/>
    <col min="11271" max="11273" width="15" style="953" customWidth="1"/>
    <col min="11274" max="11274" width="10" style="953" customWidth="1"/>
    <col min="11275" max="11275" width="23.28515625" style="953" customWidth="1"/>
    <col min="11276" max="11276" width="11.5703125" style="953" customWidth="1"/>
    <col min="11277" max="11278" width="5.7109375" style="953" customWidth="1"/>
    <col min="11279" max="11279" width="17.28515625" style="953" customWidth="1"/>
    <col min="11280" max="11280" width="20.28515625" style="953" customWidth="1"/>
    <col min="11281" max="11281" width="11.140625" style="953" bestFit="1" customWidth="1"/>
    <col min="11282" max="11283" width="9.140625" style="953"/>
    <col min="11284" max="11284" width="0" style="953" hidden="1" customWidth="1"/>
    <col min="11285" max="11521" width="9.140625" style="953"/>
    <col min="11522" max="11522" width="20" style="953" customWidth="1"/>
    <col min="11523" max="11523" width="16.85546875" style="953" customWidth="1"/>
    <col min="11524" max="11525" width="15.7109375" style="953" customWidth="1"/>
    <col min="11526" max="11526" width="12.42578125" style="953" customWidth="1"/>
    <col min="11527" max="11529" width="15" style="953" customWidth="1"/>
    <col min="11530" max="11530" width="10" style="953" customWidth="1"/>
    <col min="11531" max="11531" width="23.28515625" style="953" customWidth="1"/>
    <col min="11532" max="11532" width="11.5703125" style="953" customWidth="1"/>
    <col min="11533" max="11534" width="5.7109375" style="953" customWidth="1"/>
    <col min="11535" max="11535" width="17.28515625" style="953" customWidth="1"/>
    <col min="11536" max="11536" width="20.28515625" style="953" customWidth="1"/>
    <col min="11537" max="11537" width="11.140625" style="953" bestFit="1" customWidth="1"/>
    <col min="11538" max="11539" width="9.140625" style="953"/>
    <col min="11540" max="11540" width="0" style="953" hidden="1" customWidth="1"/>
    <col min="11541" max="11777" width="9.140625" style="953"/>
    <col min="11778" max="11778" width="20" style="953" customWidth="1"/>
    <col min="11779" max="11779" width="16.85546875" style="953" customWidth="1"/>
    <col min="11780" max="11781" width="15.7109375" style="953" customWidth="1"/>
    <col min="11782" max="11782" width="12.42578125" style="953" customWidth="1"/>
    <col min="11783" max="11785" width="15" style="953" customWidth="1"/>
    <col min="11786" max="11786" width="10" style="953" customWidth="1"/>
    <col min="11787" max="11787" width="23.28515625" style="953" customWidth="1"/>
    <col min="11788" max="11788" width="11.5703125" style="953" customWidth="1"/>
    <col min="11789" max="11790" width="5.7109375" style="953" customWidth="1"/>
    <col min="11791" max="11791" width="17.28515625" style="953" customWidth="1"/>
    <col min="11792" max="11792" width="20.28515625" style="953" customWidth="1"/>
    <col min="11793" max="11793" width="11.140625" style="953" bestFit="1" customWidth="1"/>
    <col min="11794" max="11795" width="9.140625" style="953"/>
    <col min="11796" max="11796" width="0" style="953" hidden="1" customWidth="1"/>
    <col min="11797" max="12033" width="9.140625" style="953"/>
    <col min="12034" max="12034" width="20" style="953" customWidth="1"/>
    <col min="12035" max="12035" width="16.85546875" style="953" customWidth="1"/>
    <col min="12036" max="12037" width="15.7109375" style="953" customWidth="1"/>
    <col min="12038" max="12038" width="12.42578125" style="953" customWidth="1"/>
    <col min="12039" max="12041" width="15" style="953" customWidth="1"/>
    <col min="12042" max="12042" width="10" style="953" customWidth="1"/>
    <col min="12043" max="12043" width="23.28515625" style="953" customWidth="1"/>
    <col min="12044" max="12044" width="11.5703125" style="953" customWidth="1"/>
    <col min="12045" max="12046" width="5.7109375" style="953" customWidth="1"/>
    <col min="12047" max="12047" width="17.28515625" style="953" customWidth="1"/>
    <col min="12048" max="12048" width="20.28515625" style="953" customWidth="1"/>
    <col min="12049" max="12049" width="11.140625" style="953" bestFit="1" customWidth="1"/>
    <col min="12050" max="12051" width="9.140625" style="953"/>
    <col min="12052" max="12052" width="0" style="953" hidden="1" customWidth="1"/>
    <col min="12053" max="12289" width="9.140625" style="953"/>
    <col min="12290" max="12290" width="20" style="953" customWidth="1"/>
    <col min="12291" max="12291" width="16.85546875" style="953" customWidth="1"/>
    <col min="12292" max="12293" width="15.7109375" style="953" customWidth="1"/>
    <col min="12294" max="12294" width="12.42578125" style="953" customWidth="1"/>
    <col min="12295" max="12297" width="15" style="953" customWidth="1"/>
    <col min="12298" max="12298" width="10" style="953" customWidth="1"/>
    <col min="12299" max="12299" width="23.28515625" style="953" customWidth="1"/>
    <col min="12300" max="12300" width="11.5703125" style="953" customWidth="1"/>
    <col min="12301" max="12302" width="5.7109375" style="953" customWidth="1"/>
    <col min="12303" max="12303" width="17.28515625" style="953" customWidth="1"/>
    <col min="12304" max="12304" width="20.28515625" style="953" customWidth="1"/>
    <col min="12305" max="12305" width="11.140625" style="953" bestFit="1" customWidth="1"/>
    <col min="12306" max="12307" width="9.140625" style="953"/>
    <col min="12308" max="12308" width="0" style="953" hidden="1" customWidth="1"/>
    <col min="12309" max="12545" width="9.140625" style="953"/>
    <col min="12546" max="12546" width="20" style="953" customWidth="1"/>
    <col min="12547" max="12547" width="16.85546875" style="953" customWidth="1"/>
    <col min="12548" max="12549" width="15.7109375" style="953" customWidth="1"/>
    <col min="12550" max="12550" width="12.42578125" style="953" customWidth="1"/>
    <col min="12551" max="12553" width="15" style="953" customWidth="1"/>
    <col min="12554" max="12554" width="10" style="953" customWidth="1"/>
    <col min="12555" max="12555" width="23.28515625" style="953" customWidth="1"/>
    <col min="12556" max="12556" width="11.5703125" style="953" customWidth="1"/>
    <col min="12557" max="12558" width="5.7109375" style="953" customWidth="1"/>
    <col min="12559" max="12559" width="17.28515625" style="953" customWidth="1"/>
    <col min="12560" max="12560" width="20.28515625" style="953" customWidth="1"/>
    <col min="12561" max="12561" width="11.140625" style="953" bestFit="1" customWidth="1"/>
    <col min="12562" max="12563" width="9.140625" style="953"/>
    <col min="12564" max="12564" width="0" style="953" hidden="1" customWidth="1"/>
    <col min="12565" max="12801" width="9.140625" style="953"/>
    <col min="12802" max="12802" width="20" style="953" customWidth="1"/>
    <col min="12803" max="12803" width="16.85546875" style="953" customWidth="1"/>
    <col min="12804" max="12805" width="15.7109375" style="953" customWidth="1"/>
    <col min="12806" max="12806" width="12.42578125" style="953" customWidth="1"/>
    <col min="12807" max="12809" width="15" style="953" customWidth="1"/>
    <col min="12810" max="12810" width="10" style="953" customWidth="1"/>
    <col min="12811" max="12811" width="23.28515625" style="953" customWidth="1"/>
    <col min="12812" max="12812" width="11.5703125" style="953" customWidth="1"/>
    <col min="12813" max="12814" width="5.7109375" style="953" customWidth="1"/>
    <col min="12815" max="12815" width="17.28515625" style="953" customWidth="1"/>
    <col min="12816" max="12816" width="20.28515625" style="953" customWidth="1"/>
    <col min="12817" max="12817" width="11.140625" style="953" bestFit="1" customWidth="1"/>
    <col min="12818" max="12819" width="9.140625" style="953"/>
    <col min="12820" max="12820" width="0" style="953" hidden="1" customWidth="1"/>
    <col min="12821" max="13057" width="9.140625" style="953"/>
    <col min="13058" max="13058" width="20" style="953" customWidth="1"/>
    <col min="13059" max="13059" width="16.85546875" style="953" customWidth="1"/>
    <col min="13060" max="13061" width="15.7109375" style="953" customWidth="1"/>
    <col min="13062" max="13062" width="12.42578125" style="953" customWidth="1"/>
    <col min="13063" max="13065" width="15" style="953" customWidth="1"/>
    <col min="13066" max="13066" width="10" style="953" customWidth="1"/>
    <col min="13067" max="13067" width="23.28515625" style="953" customWidth="1"/>
    <col min="13068" max="13068" width="11.5703125" style="953" customWidth="1"/>
    <col min="13069" max="13070" width="5.7109375" style="953" customWidth="1"/>
    <col min="13071" max="13071" width="17.28515625" style="953" customWidth="1"/>
    <col min="13072" max="13072" width="20.28515625" style="953" customWidth="1"/>
    <col min="13073" max="13073" width="11.140625" style="953" bestFit="1" customWidth="1"/>
    <col min="13074" max="13075" width="9.140625" style="953"/>
    <col min="13076" max="13076" width="0" style="953" hidden="1" customWidth="1"/>
    <col min="13077" max="13313" width="9.140625" style="953"/>
    <col min="13314" max="13314" width="20" style="953" customWidth="1"/>
    <col min="13315" max="13315" width="16.85546875" style="953" customWidth="1"/>
    <col min="13316" max="13317" width="15.7109375" style="953" customWidth="1"/>
    <col min="13318" max="13318" width="12.42578125" style="953" customWidth="1"/>
    <col min="13319" max="13321" width="15" style="953" customWidth="1"/>
    <col min="13322" max="13322" width="10" style="953" customWidth="1"/>
    <col min="13323" max="13323" width="23.28515625" style="953" customWidth="1"/>
    <col min="13324" max="13324" width="11.5703125" style="953" customWidth="1"/>
    <col min="13325" max="13326" width="5.7109375" style="953" customWidth="1"/>
    <col min="13327" max="13327" width="17.28515625" style="953" customWidth="1"/>
    <col min="13328" max="13328" width="20.28515625" style="953" customWidth="1"/>
    <col min="13329" max="13329" width="11.140625" style="953" bestFit="1" customWidth="1"/>
    <col min="13330" max="13331" width="9.140625" style="953"/>
    <col min="13332" max="13332" width="0" style="953" hidden="1" customWidth="1"/>
    <col min="13333" max="13569" width="9.140625" style="953"/>
    <col min="13570" max="13570" width="20" style="953" customWidth="1"/>
    <col min="13571" max="13571" width="16.85546875" style="953" customWidth="1"/>
    <col min="13572" max="13573" width="15.7109375" style="953" customWidth="1"/>
    <col min="13574" max="13574" width="12.42578125" style="953" customWidth="1"/>
    <col min="13575" max="13577" width="15" style="953" customWidth="1"/>
    <col min="13578" max="13578" width="10" style="953" customWidth="1"/>
    <col min="13579" max="13579" width="23.28515625" style="953" customWidth="1"/>
    <col min="13580" max="13580" width="11.5703125" style="953" customWidth="1"/>
    <col min="13581" max="13582" width="5.7109375" style="953" customWidth="1"/>
    <col min="13583" max="13583" width="17.28515625" style="953" customWidth="1"/>
    <col min="13584" max="13584" width="20.28515625" style="953" customWidth="1"/>
    <col min="13585" max="13585" width="11.140625" style="953" bestFit="1" customWidth="1"/>
    <col min="13586" max="13587" width="9.140625" style="953"/>
    <col min="13588" max="13588" width="0" style="953" hidden="1" customWidth="1"/>
    <col min="13589" max="13825" width="9.140625" style="953"/>
    <col min="13826" max="13826" width="20" style="953" customWidth="1"/>
    <col min="13827" max="13827" width="16.85546875" style="953" customWidth="1"/>
    <col min="13828" max="13829" width="15.7109375" style="953" customWidth="1"/>
    <col min="13830" max="13830" width="12.42578125" style="953" customWidth="1"/>
    <col min="13831" max="13833" width="15" style="953" customWidth="1"/>
    <col min="13834" max="13834" width="10" style="953" customWidth="1"/>
    <col min="13835" max="13835" width="23.28515625" style="953" customWidth="1"/>
    <col min="13836" max="13836" width="11.5703125" style="953" customWidth="1"/>
    <col min="13837" max="13838" width="5.7109375" style="953" customWidth="1"/>
    <col min="13839" max="13839" width="17.28515625" style="953" customWidth="1"/>
    <col min="13840" max="13840" width="20.28515625" style="953" customWidth="1"/>
    <col min="13841" max="13841" width="11.140625" style="953" bestFit="1" customWidth="1"/>
    <col min="13842" max="13843" width="9.140625" style="953"/>
    <col min="13844" max="13844" width="0" style="953" hidden="1" customWidth="1"/>
    <col min="13845" max="14081" width="9.140625" style="953"/>
    <col min="14082" max="14082" width="20" style="953" customWidth="1"/>
    <col min="14083" max="14083" width="16.85546875" style="953" customWidth="1"/>
    <col min="14084" max="14085" width="15.7109375" style="953" customWidth="1"/>
    <col min="14086" max="14086" width="12.42578125" style="953" customWidth="1"/>
    <col min="14087" max="14089" width="15" style="953" customWidth="1"/>
    <col min="14090" max="14090" width="10" style="953" customWidth="1"/>
    <col min="14091" max="14091" width="23.28515625" style="953" customWidth="1"/>
    <col min="14092" max="14092" width="11.5703125" style="953" customWidth="1"/>
    <col min="14093" max="14094" width="5.7109375" style="953" customWidth="1"/>
    <col min="14095" max="14095" width="17.28515625" style="953" customWidth="1"/>
    <col min="14096" max="14096" width="20.28515625" style="953" customWidth="1"/>
    <col min="14097" max="14097" width="11.140625" style="953" bestFit="1" customWidth="1"/>
    <col min="14098" max="14099" width="9.140625" style="953"/>
    <col min="14100" max="14100" width="0" style="953" hidden="1" customWidth="1"/>
    <col min="14101" max="14337" width="9.140625" style="953"/>
    <col min="14338" max="14338" width="20" style="953" customWidth="1"/>
    <col min="14339" max="14339" width="16.85546875" style="953" customWidth="1"/>
    <col min="14340" max="14341" width="15.7109375" style="953" customWidth="1"/>
    <col min="14342" max="14342" width="12.42578125" style="953" customWidth="1"/>
    <col min="14343" max="14345" width="15" style="953" customWidth="1"/>
    <col min="14346" max="14346" width="10" style="953" customWidth="1"/>
    <col min="14347" max="14347" width="23.28515625" style="953" customWidth="1"/>
    <col min="14348" max="14348" width="11.5703125" style="953" customWidth="1"/>
    <col min="14349" max="14350" width="5.7109375" style="953" customWidth="1"/>
    <col min="14351" max="14351" width="17.28515625" style="953" customWidth="1"/>
    <col min="14352" max="14352" width="20.28515625" style="953" customWidth="1"/>
    <col min="14353" max="14353" width="11.140625" style="953" bestFit="1" customWidth="1"/>
    <col min="14354" max="14355" width="9.140625" style="953"/>
    <col min="14356" max="14356" width="0" style="953" hidden="1" customWidth="1"/>
    <col min="14357" max="14593" width="9.140625" style="953"/>
    <col min="14594" max="14594" width="20" style="953" customWidth="1"/>
    <col min="14595" max="14595" width="16.85546875" style="953" customWidth="1"/>
    <col min="14596" max="14597" width="15.7109375" style="953" customWidth="1"/>
    <col min="14598" max="14598" width="12.42578125" style="953" customWidth="1"/>
    <col min="14599" max="14601" width="15" style="953" customWidth="1"/>
    <col min="14602" max="14602" width="10" style="953" customWidth="1"/>
    <col min="14603" max="14603" width="23.28515625" style="953" customWidth="1"/>
    <col min="14604" max="14604" width="11.5703125" style="953" customWidth="1"/>
    <col min="14605" max="14606" width="5.7109375" style="953" customWidth="1"/>
    <col min="14607" max="14607" width="17.28515625" style="953" customWidth="1"/>
    <col min="14608" max="14608" width="20.28515625" style="953" customWidth="1"/>
    <col min="14609" max="14609" width="11.140625" style="953" bestFit="1" customWidth="1"/>
    <col min="14610" max="14611" width="9.140625" style="953"/>
    <col min="14612" max="14612" width="0" style="953" hidden="1" customWidth="1"/>
    <col min="14613" max="14849" width="9.140625" style="953"/>
    <col min="14850" max="14850" width="20" style="953" customWidth="1"/>
    <col min="14851" max="14851" width="16.85546875" style="953" customWidth="1"/>
    <col min="14852" max="14853" width="15.7109375" style="953" customWidth="1"/>
    <col min="14854" max="14854" width="12.42578125" style="953" customWidth="1"/>
    <col min="14855" max="14857" width="15" style="953" customWidth="1"/>
    <col min="14858" max="14858" width="10" style="953" customWidth="1"/>
    <col min="14859" max="14859" width="23.28515625" style="953" customWidth="1"/>
    <col min="14860" max="14860" width="11.5703125" style="953" customWidth="1"/>
    <col min="14861" max="14862" width="5.7109375" style="953" customWidth="1"/>
    <col min="14863" max="14863" width="17.28515625" style="953" customWidth="1"/>
    <col min="14864" max="14864" width="20.28515625" style="953" customWidth="1"/>
    <col min="14865" max="14865" width="11.140625" style="953" bestFit="1" customWidth="1"/>
    <col min="14866" max="14867" width="9.140625" style="953"/>
    <col min="14868" max="14868" width="0" style="953" hidden="1" customWidth="1"/>
    <col min="14869" max="15105" width="9.140625" style="953"/>
    <col min="15106" max="15106" width="20" style="953" customWidth="1"/>
    <col min="15107" max="15107" width="16.85546875" style="953" customWidth="1"/>
    <col min="15108" max="15109" width="15.7109375" style="953" customWidth="1"/>
    <col min="15110" max="15110" width="12.42578125" style="953" customWidth="1"/>
    <col min="15111" max="15113" width="15" style="953" customWidth="1"/>
    <col min="15114" max="15114" width="10" style="953" customWidth="1"/>
    <col min="15115" max="15115" width="23.28515625" style="953" customWidth="1"/>
    <col min="15116" max="15116" width="11.5703125" style="953" customWidth="1"/>
    <col min="15117" max="15118" width="5.7109375" style="953" customWidth="1"/>
    <col min="15119" max="15119" width="17.28515625" style="953" customWidth="1"/>
    <col min="15120" max="15120" width="20.28515625" style="953" customWidth="1"/>
    <col min="15121" max="15121" width="11.140625" style="953" bestFit="1" customWidth="1"/>
    <col min="15122" max="15123" width="9.140625" style="953"/>
    <col min="15124" max="15124" width="0" style="953" hidden="1" customWidth="1"/>
    <col min="15125" max="15361" width="9.140625" style="953"/>
    <col min="15362" max="15362" width="20" style="953" customWidth="1"/>
    <col min="15363" max="15363" width="16.85546875" style="953" customWidth="1"/>
    <col min="15364" max="15365" width="15.7109375" style="953" customWidth="1"/>
    <col min="15366" max="15366" width="12.42578125" style="953" customWidth="1"/>
    <col min="15367" max="15369" width="15" style="953" customWidth="1"/>
    <col min="15370" max="15370" width="10" style="953" customWidth="1"/>
    <col min="15371" max="15371" width="23.28515625" style="953" customWidth="1"/>
    <col min="15372" max="15372" width="11.5703125" style="953" customWidth="1"/>
    <col min="15373" max="15374" width="5.7109375" style="953" customWidth="1"/>
    <col min="15375" max="15375" width="17.28515625" style="953" customWidth="1"/>
    <col min="15376" max="15376" width="20.28515625" style="953" customWidth="1"/>
    <col min="15377" max="15377" width="11.140625" style="953" bestFit="1" customWidth="1"/>
    <col min="15378" max="15379" width="9.140625" style="953"/>
    <col min="15380" max="15380" width="0" style="953" hidden="1" customWidth="1"/>
    <col min="15381" max="15617" width="9.140625" style="953"/>
    <col min="15618" max="15618" width="20" style="953" customWidth="1"/>
    <col min="15619" max="15619" width="16.85546875" style="953" customWidth="1"/>
    <col min="15620" max="15621" width="15.7109375" style="953" customWidth="1"/>
    <col min="15622" max="15622" width="12.42578125" style="953" customWidth="1"/>
    <col min="15623" max="15625" width="15" style="953" customWidth="1"/>
    <col min="15626" max="15626" width="10" style="953" customWidth="1"/>
    <col min="15627" max="15627" width="23.28515625" style="953" customWidth="1"/>
    <col min="15628" max="15628" width="11.5703125" style="953" customWidth="1"/>
    <col min="15629" max="15630" width="5.7109375" style="953" customWidth="1"/>
    <col min="15631" max="15631" width="17.28515625" style="953" customWidth="1"/>
    <col min="15632" max="15632" width="20.28515625" style="953" customWidth="1"/>
    <col min="15633" max="15633" width="11.140625" style="953" bestFit="1" customWidth="1"/>
    <col min="15634" max="15635" width="9.140625" style="953"/>
    <col min="15636" max="15636" width="0" style="953" hidden="1" customWidth="1"/>
    <col min="15637" max="15873" width="9.140625" style="953"/>
    <col min="15874" max="15874" width="20" style="953" customWidth="1"/>
    <col min="15875" max="15875" width="16.85546875" style="953" customWidth="1"/>
    <col min="15876" max="15877" width="15.7109375" style="953" customWidth="1"/>
    <col min="15878" max="15878" width="12.42578125" style="953" customWidth="1"/>
    <col min="15879" max="15881" width="15" style="953" customWidth="1"/>
    <col min="15882" max="15882" width="10" style="953" customWidth="1"/>
    <col min="15883" max="15883" width="23.28515625" style="953" customWidth="1"/>
    <col min="15884" max="15884" width="11.5703125" style="953" customWidth="1"/>
    <col min="15885" max="15886" width="5.7109375" style="953" customWidth="1"/>
    <col min="15887" max="15887" width="17.28515625" style="953" customWidth="1"/>
    <col min="15888" max="15888" width="20.28515625" style="953" customWidth="1"/>
    <col min="15889" max="15889" width="11.140625" style="953" bestFit="1" customWidth="1"/>
    <col min="15890" max="15891" width="9.140625" style="953"/>
    <col min="15892" max="15892" width="0" style="953" hidden="1" customWidth="1"/>
    <col min="15893" max="16129" width="9.140625" style="953"/>
    <col min="16130" max="16130" width="20" style="953" customWidth="1"/>
    <col min="16131" max="16131" width="16.85546875" style="953" customWidth="1"/>
    <col min="16132" max="16133" width="15.7109375" style="953" customWidth="1"/>
    <col min="16134" max="16134" width="12.42578125" style="953" customWidth="1"/>
    <col min="16135" max="16137" width="15" style="953" customWidth="1"/>
    <col min="16138" max="16138" width="10" style="953" customWidth="1"/>
    <col min="16139" max="16139" width="23.28515625" style="953" customWidth="1"/>
    <col min="16140" max="16140" width="11.5703125" style="953" customWidth="1"/>
    <col min="16141" max="16142" width="5.7109375" style="953" customWidth="1"/>
    <col min="16143" max="16143" width="17.28515625" style="953" customWidth="1"/>
    <col min="16144" max="16144" width="20.28515625" style="953" customWidth="1"/>
    <col min="16145" max="16145" width="11.140625" style="953" bestFit="1" customWidth="1"/>
    <col min="16146" max="16147" width="9.140625" style="953"/>
    <col min="16148" max="16148" width="0" style="953" hidden="1" customWidth="1"/>
    <col min="16149" max="16384" width="9.140625" style="953"/>
  </cols>
  <sheetData>
    <row r="1" spans="1:33" ht="26.25" customHeight="1">
      <c r="A1" s="1437" t="s">
        <v>1597</v>
      </c>
      <c r="B1" s="1438" t="s">
        <v>1598</v>
      </c>
      <c r="C1" s="1439"/>
      <c r="E1" s="1439"/>
      <c r="F1" s="1439"/>
      <c r="G1" s="1439"/>
      <c r="H1" s="1439"/>
      <c r="I1" s="1439"/>
    </row>
    <row r="2" spans="1:33" ht="26.25" customHeight="1">
      <c r="B2" s="1438" t="s">
        <v>1599</v>
      </c>
      <c r="C2" s="1439"/>
      <c r="E2" s="1439"/>
      <c r="F2" s="1439"/>
      <c r="G2" s="1439"/>
      <c r="H2" s="1439"/>
      <c r="I2" s="1439"/>
    </row>
    <row r="3" spans="1:33" ht="26.25" customHeight="1">
      <c r="B3" s="1440" t="s">
        <v>409</v>
      </c>
      <c r="C3" s="1440">
        <f>'Project Info'!$C$3</f>
        <v>0</v>
      </c>
      <c r="E3" s="1439"/>
      <c r="F3" s="1439"/>
      <c r="G3" s="1439"/>
      <c r="H3" s="1439"/>
      <c r="I3" s="1439"/>
    </row>
    <row r="4" spans="1:33" ht="26.25" customHeight="1">
      <c r="A4" s="1313"/>
      <c r="B4" s="1439"/>
      <c r="C4" s="1439"/>
      <c r="D4" s="1439"/>
      <c r="E4" s="1440"/>
      <c r="F4" s="1441"/>
      <c r="G4" s="1439"/>
      <c r="H4" s="1439"/>
      <c r="I4" s="1439"/>
      <c r="J4" s="1439"/>
      <c r="K4" s="1439"/>
      <c r="L4" s="1439"/>
      <c r="M4" s="1439"/>
      <c r="N4" s="1439"/>
      <c r="O4" s="1439"/>
      <c r="P4" s="1439"/>
      <c r="Q4" s="1313"/>
    </row>
    <row r="5" spans="1:33" s="1448" customFormat="1" ht="15.75">
      <c r="A5" s="1442"/>
      <c r="B5" s="1443" t="s">
        <v>1600</v>
      </c>
      <c r="C5" s="1444"/>
      <c r="D5" s="1445"/>
      <c r="E5" s="1444"/>
      <c r="F5" s="2583"/>
      <c r="G5" s="2583"/>
      <c r="H5" s="2583"/>
      <c r="I5" s="2583"/>
      <c r="J5" s="2583"/>
      <c r="K5" s="2583"/>
      <c r="L5" s="2583"/>
      <c r="M5" s="1446"/>
      <c r="N5" s="1446"/>
      <c r="O5" s="1447" t="s">
        <v>1601</v>
      </c>
      <c r="P5" s="1447" t="s">
        <v>1602</v>
      </c>
      <c r="Q5" s="1442"/>
      <c r="R5" s="1442"/>
      <c r="S5" s="1442"/>
      <c r="T5" s="1442"/>
      <c r="U5" s="1442"/>
      <c r="V5" s="1442"/>
      <c r="W5" s="1442"/>
      <c r="X5" s="1442"/>
      <c r="Y5" s="1442"/>
      <c r="Z5" s="1442"/>
      <c r="AA5" s="1442"/>
      <c r="AB5" s="1442"/>
      <c r="AC5" s="1442"/>
      <c r="AD5" s="1442"/>
      <c r="AE5" s="1442"/>
      <c r="AF5" s="1442"/>
      <c r="AG5" s="1442"/>
    </row>
    <row r="6" spans="1:33">
      <c r="A6" s="1313"/>
      <c r="B6" s="1449"/>
      <c r="C6" s="1449"/>
      <c r="D6" s="1449"/>
      <c r="E6" s="1449"/>
      <c r="F6" s="1449"/>
      <c r="G6" s="1449"/>
      <c r="H6" s="1449"/>
      <c r="I6" s="1449"/>
      <c r="J6" s="1449"/>
      <c r="K6" s="1449"/>
      <c r="L6" s="1449"/>
      <c r="M6" s="1450"/>
      <c r="N6" s="1450"/>
      <c r="O6" s="1258" t="s">
        <v>1603</v>
      </c>
      <c r="P6" s="1111"/>
      <c r="Q6" s="1313"/>
    </row>
    <row r="7" spans="1:33">
      <c r="A7" s="1313"/>
      <c r="B7" s="1451" t="s">
        <v>1604</v>
      </c>
      <c r="C7" s="1451"/>
      <c r="D7" s="1451"/>
      <c r="E7" s="1449"/>
      <c r="F7" s="1449"/>
      <c r="G7" s="1449"/>
      <c r="H7" s="1449"/>
      <c r="I7" s="1449"/>
      <c r="J7" s="1449"/>
      <c r="K7" s="1449"/>
      <c r="L7" s="1449"/>
      <c r="M7" s="1450"/>
      <c r="N7" s="1450"/>
      <c r="O7" s="1258"/>
      <c r="P7" s="1111"/>
      <c r="Q7" s="1313"/>
    </row>
    <row r="8" spans="1:33" ht="23.25" customHeight="1">
      <c r="A8" s="1313"/>
      <c r="B8" s="2584" t="s">
        <v>1605</v>
      </c>
      <c r="C8" s="2584"/>
      <c r="D8" s="2584"/>
      <c r="E8" s="2584"/>
      <c r="F8" s="2584"/>
      <c r="G8" s="2584"/>
      <c r="H8" s="2584"/>
      <c r="I8" s="2584"/>
      <c r="J8" s="2584"/>
      <c r="K8" s="2584"/>
      <c r="L8" s="1449"/>
      <c r="M8" s="1450"/>
      <c r="N8" s="1450"/>
      <c r="O8" s="1258"/>
      <c r="P8" s="1111"/>
      <c r="Q8" s="1313"/>
    </row>
    <row r="9" spans="1:33" ht="30.75" customHeight="1">
      <c r="A9" s="1313"/>
      <c r="B9" s="2585" t="s">
        <v>1606</v>
      </c>
      <c r="C9" s="2585"/>
      <c r="D9" s="2585"/>
      <c r="E9" s="2585"/>
      <c r="F9" s="2585"/>
      <c r="G9" s="2585"/>
      <c r="H9" s="2585"/>
      <c r="I9" s="2585"/>
      <c r="J9" s="2585"/>
      <c r="K9" s="2585"/>
      <c r="L9" s="1449"/>
      <c r="M9" s="1450"/>
      <c r="N9" s="1450"/>
      <c r="O9" s="1452"/>
      <c r="P9" s="1449"/>
      <c r="Q9" s="1313"/>
    </row>
    <row r="10" spans="1:33" ht="6.75" customHeight="1">
      <c r="B10" s="1453"/>
      <c r="C10" s="1453"/>
      <c r="D10" s="1449"/>
      <c r="E10" s="1449"/>
      <c r="F10" s="1449"/>
      <c r="G10" s="1449"/>
      <c r="H10" s="1449"/>
      <c r="I10" s="1449"/>
      <c r="J10" s="1449"/>
      <c r="K10" s="1449"/>
      <c r="L10" s="1452"/>
      <c r="M10" s="1449"/>
      <c r="N10" s="1449"/>
      <c r="O10" s="1452"/>
      <c r="P10" s="1449"/>
    </row>
    <row r="11" spans="1:33">
      <c r="B11" s="1451" t="s">
        <v>1607</v>
      </c>
      <c r="C11" s="1451"/>
      <c r="D11" s="1451"/>
      <c r="E11" s="1449"/>
      <c r="F11" s="1449"/>
      <c r="G11" s="1449"/>
      <c r="H11" s="1449"/>
      <c r="I11" s="1449"/>
      <c r="J11" s="1449"/>
      <c r="K11" s="1449"/>
      <c r="L11" s="1452"/>
      <c r="M11" s="1449"/>
      <c r="N11" s="1449"/>
      <c r="O11" s="1452"/>
      <c r="P11" s="1449"/>
    </row>
    <row r="12" spans="1:33">
      <c r="B12" s="1449" t="s">
        <v>1608</v>
      </c>
      <c r="C12" s="1449"/>
      <c r="D12" s="1449"/>
      <c r="E12" s="1449"/>
      <c r="F12" s="1449"/>
      <c r="G12" s="1449"/>
      <c r="H12" s="1449"/>
      <c r="I12" s="1449"/>
      <c r="J12" s="1449"/>
      <c r="K12" s="1449"/>
      <c r="L12" s="1449"/>
      <c r="M12" s="1449"/>
      <c r="N12" s="1449"/>
      <c r="O12" s="1452"/>
      <c r="P12" s="1449"/>
    </row>
    <row r="13" spans="1:33">
      <c r="B13" s="1449" t="s">
        <v>1609</v>
      </c>
      <c r="C13" s="1449"/>
      <c r="D13" s="1449"/>
      <c r="E13" s="1449"/>
      <c r="F13" s="1449"/>
      <c r="G13" s="1449"/>
      <c r="H13" s="1449"/>
      <c r="I13" s="1449"/>
      <c r="J13" s="1449"/>
      <c r="K13" s="1449"/>
      <c r="L13" s="1449"/>
      <c r="M13" s="1449"/>
      <c r="N13" s="1449"/>
      <c r="O13" s="1449"/>
      <c r="P13" s="1449"/>
    </row>
    <row r="14" spans="1:33">
      <c r="B14" s="1449" t="s">
        <v>1610</v>
      </c>
      <c r="C14" s="1449"/>
      <c r="D14" s="1449"/>
      <c r="E14" s="1449"/>
      <c r="F14" s="1449"/>
      <c r="G14" s="1449"/>
      <c r="H14" s="1449"/>
      <c r="I14" s="1449"/>
      <c r="J14" s="1449"/>
      <c r="K14" s="1449"/>
      <c r="L14" s="1449"/>
      <c r="M14" s="1449"/>
      <c r="N14" s="1449"/>
      <c r="O14" s="1449"/>
      <c r="P14" s="1449"/>
    </row>
    <row r="15" spans="1:33">
      <c r="B15" s="1449"/>
      <c r="C15" s="1449"/>
      <c r="D15" s="1449"/>
      <c r="E15" s="1449"/>
      <c r="F15" s="1449"/>
      <c r="G15" s="1449"/>
      <c r="H15" s="1449"/>
      <c r="I15" s="1449"/>
      <c r="J15" s="1449"/>
      <c r="K15" s="1449"/>
      <c r="L15" s="1449"/>
      <c r="M15" s="1449"/>
      <c r="N15" s="1449"/>
      <c r="O15" s="1449"/>
      <c r="P15" s="1449"/>
    </row>
    <row r="16" spans="1:33">
      <c r="B16" s="1454" t="s">
        <v>1611</v>
      </c>
      <c r="C16" s="1454"/>
      <c r="D16" s="1451"/>
      <c r="E16" s="1449"/>
      <c r="F16" s="1449"/>
      <c r="G16" s="1449"/>
      <c r="H16" s="1449"/>
      <c r="I16" s="1449"/>
      <c r="J16" s="1449"/>
      <c r="K16" s="1449"/>
      <c r="L16" s="1449"/>
      <c r="M16" s="1449"/>
      <c r="N16" s="1449"/>
      <c r="O16" s="1449"/>
      <c r="P16" s="1449"/>
    </row>
    <row r="17" spans="1:18" ht="15">
      <c r="B17" s="1455" t="s">
        <v>1612</v>
      </c>
      <c r="C17" s="1455"/>
      <c r="D17" s="1449"/>
      <c r="E17" s="1449"/>
      <c r="F17" s="1449"/>
      <c r="G17" s="1449"/>
      <c r="H17" s="1449"/>
      <c r="I17" s="1449"/>
      <c r="J17" s="1449"/>
      <c r="K17" s="1449"/>
      <c r="L17" s="1449"/>
      <c r="M17" s="1449"/>
      <c r="N17" s="1449"/>
      <c r="O17" s="1449"/>
      <c r="P17" s="1449"/>
    </row>
    <row r="18" spans="1:18">
      <c r="B18" s="1455" t="s">
        <v>1613</v>
      </c>
      <c r="C18" s="1455"/>
      <c r="D18" s="1449"/>
      <c r="E18" s="1449"/>
      <c r="F18" s="1449"/>
      <c r="G18" s="1449"/>
      <c r="H18" s="1449"/>
      <c r="I18" s="1449"/>
      <c r="J18" s="1449"/>
      <c r="K18" s="1449"/>
      <c r="L18" s="1449"/>
      <c r="M18" s="1449"/>
      <c r="N18" s="1449"/>
      <c r="O18" s="1449"/>
      <c r="P18" s="1449"/>
    </row>
    <row r="19" spans="1:18">
      <c r="B19" s="1456" t="s">
        <v>1614</v>
      </c>
      <c r="C19" s="1456"/>
      <c r="D19" s="1456"/>
      <c r="E19" s="1449"/>
      <c r="F19" s="1449"/>
      <c r="G19" s="1449"/>
      <c r="H19" s="1449"/>
      <c r="I19" s="1449"/>
      <c r="J19" s="1449"/>
      <c r="K19" s="1449"/>
      <c r="L19" s="1449"/>
      <c r="M19" s="1449"/>
      <c r="N19" s="1449"/>
      <c r="O19" s="1449"/>
      <c r="P19" s="1449"/>
      <c r="Q19" s="1457"/>
      <c r="R19" s="1457"/>
    </row>
    <row r="20" spans="1:18">
      <c r="B20" s="1458" t="s">
        <v>1615</v>
      </c>
      <c r="C20" s="1458"/>
      <c r="D20" s="1456"/>
      <c r="E20" s="1449"/>
      <c r="F20" s="1449"/>
      <c r="G20" s="1449"/>
      <c r="H20" s="1449"/>
      <c r="I20" s="1449"/>
      <c r="J20" s="1449"/>
      <c r="K20" s="1449"/>
      <c r="L20" s="1449"/>
      <c r="M20" s="1449"/>
      <c r="N20" s="1449"/>
      <c r="O20" s="1449"/>
      <c r="P20" s="1449"/>
      <c r="Q20" s="1457"/>
      <c r="R20" s="1457"/>
    </row>
    <row r="21" spans="1:18">
      <c r="B21" s="1458" t="s">
        <v>1616</v>
      </c>
      <c r="C21" s="1458"/>
      <c r="D21" s="1456"/>
      <c r="E21" s="1449"/>
      <c r="F21" s="1449"/>
      <c r="G21" s="1449"/>
      <c r="H21" s="1449"/>
      <c r="I21" s="1449"/>
      <c r="J21" s="1449"/>
      <c r="K21" s="1449"/>
      <c r="L21" s="1449"/>
      <c r="M21" s="1449"/>
      <c r="N21" s="1449"/>
      <c r="O21" s="1449"/>
      <c r="P21" s="1449"/>
      <c r="Q21" s="1457"/>
      <c r="R21" s="1457"/>
    </row>
    <row r="22" spans="1:18">
      <c r="B22" s="1456"/>
      <c r="C22" s="1456"/>
      <c r="D22" s="1456"/>
      <c r="E22" s="1449"/>
      <c r="F22" s="1449"/>
      <c r="G22" s="1449"/>
      <c r="H22" s="1449"/>
      <c r="I22" s="1449"/>
      <c r="J22" s="1449"/>
      <c r="K22" s="1449"/>
      <c r="L22" s="1449"/>
      <c r="M22" s="1449"/>
      <c r="N22" s="1449"/>
      <c r="O22" s="1449"/>
      <c r="P22" s="1449"/>
      <c r="Q22" s="1457"/>
      <c r="R22" s="1457"/>
    </row>
    <row r="23" spans="1:18" ht="17.25" customHeight="1">
      <c r="A23" s="1313"/>
      <c r="B23" s="1456" t="s">
        <v>1617</v>
      </c>
      <c r="C23" s="1456"/>
      <c r="D23" s="1459"/>
      <c r="E23" s="1459"/>
      <c r="F23" s="1460"/>
      <c r="G23" s="1461"/>
      <c r="H23" s="1457"/>
    </row>
    <row r="24" spans="1:18" ht="28.5" customHeight="1">
      <c r="B24" s="2586" t="s">
        <v>1618</v>
      </c>
      <c r="C24" s="2586"/>
      <c r="D24" s="2587"/>
      <c r="E24" s="2587"/>
    </row>
    <row r="25" spans="1:18" s="1466" customFormat="1" ht="78" customHeight="1">
      <c r="A25" s="1462"/>
      <c r="B25" s="1453"/>
      <c r="C25" s="1459" t="s">
        <v>1619</v>
      </c>
      <c r="D25" s="1463"/>
      <c r="E25" s="1463" t="s">
        <v>1620</v>
      </c>
      <c r="F25" s="1463" t="s">
        <v>1621</v>
      </c>
      <c r="G25" s="1464" t="s">
        <v>1622</v>
      </c>
      <c r="H25" s="1459" t="s">
        <v>1623</v>
      </c>
      <c r="I25" s="1459" t="s">
        <v>1624</v>
      </c>
      <c r="J25" s="1459" t="s">
        <v>1625</v>
      </c>
      <c r="K25" s="1463" t="s">
        <v>1626</v>
      </c>
      <c r="L25" s="1463" t="s">
        <v>1627</v>
      </c>
      <c r="M25" s="1465" t="s">
        <v>1628</v>
      </c>
      <c r="N25" s="1465" t="s">
        <v>1629</v>
      </c>
      <c r="O25" s="2573" t="s">
        <v>1630</v>
      </c>
      <c r="P25" s="2574"/>
    </row>
    <row r="26" spans="1:18" ht="70.5" customHeight="1">
      <c r="B26" s="2579" t="s">
        <v>1631</v>
      </c>
      <c r="C26" s="2580" t="str">
        <f>IF('Project Info'!C4='Project Info'!P32,'Mod Prescriptive Path Checklist'!C12,IF('Project Info'!C4='Project Info'!P33,#REF!,"&lt;Select compliance path on the 'Project Info' tab&gt;"))</f>
        <v xml:space="preserve">When provided in common areas and/or apartments, refrigerators, dishwashers, clothes washers, ceiling fans and vending machines must be ENERGY STAR qualified.
</v>
      </c>
      <c r="D26" s="1112" t="s">
        <v>424</v>
      </c>
      <c r="E26" s="1279">
        <f>ERMs!C10</f>
        <v>0</v>
      </c>
      <c r="F26" s="1113"/>
      <c r="G26" s="1274"/>
      <c r="H26" s="1275"/>
      <c r="I26" s="1274"/>
      <c r="J26" s="1276"/>
      <c r="K26" s="1284"/>
      <c r="L26" s="1263"/>
      <c r="M26" s="1284"/>
      <c r="N26" s="1257"/>
      <c r="O26" s="2581"/>
      <c r="P26" s="2582"/>
    </row>
    <row r="27" spans="1:18" ht="52.5" customHeight="1">
      <c r="B27" s="2579"/>
      <c r="C27" s="2580"/>
      <c r="D27" s="1112" t="s">
        <v>506</v>
      </c>
      <c r="E27" s="1279">
        <f>ERMs!C11</f>
        <v>0</v>
      </c>
      <c r="F27" s="1113"/>
      <c r="G27" s="1274"/>
      <c r="H27" s="1275"/>
      <c r="I27" s="1274"/>
      <c r="J27" s="1276"/>
      <c r="K27" s="1284"/>
      <c r="L27" s="1263"/>
      <c r="M27" s="1284"/>
      <c r="N27" s="1257"/>
      <c r="O27" s="2581"/>
      <c r="P27" s="2582"/>
    </row>
    <row r="28" spans="1:18" ht="66.75" customHeight="1">
      <c r="B28" s="2579"/>
      <c r="C28" s="2580"/>
      <c r="D28" s="1112" t="s">
        <v>1632</v>
      </c>
      <c r="E28" s="1279">
        <f>ERMs!C12</f>
        <v>0</v>
      </c>
      <c r="F28" s="1113"/>
      <c r="G28" s="1274"/>
      <c r="H28" s="1275"/>
      <c r="I28" s="1274"/>
      <c r="J28" s="1276"/>
      <c r="K28" s="1284"/>
      <c r="L28" s="1263"/>
      <c r="M28" s="1284"/>
      <c r="N28" s="1257"/>
      <c r="O28" s="2570"/>
      <c r="P28" s="2571"/>
    </row>
    <row r="29" spans="1:18" ht="66.75" customHeight="1">
      <c r="B29" s="2579"/>
      <c r="C29" s="2580"/>
      <c r="D29" s="1112" t="s">
        <v>507</v>
      </c>
      <c r="E29" s="1279">
        <f>ERMs!C13</f>
        <v>0</v>
      </c>
      <c r="F29" s="1113"/>
      <c r="G29" s="1274"/>
      <c r="H29" s="1275"/>
      <c r="I29" s="1274"/>
      <c r="J29" s="1276"/>
      <c r="K29" s="1284"/>
      <c r="L29" s="1263"/>
      <c r="M29" s="1284"/>
      <c r="N29" s="1257"/>
      <c r="O29" s="2570"/>
      <c r="P29" s="2571"/>
    </row>
    <row r="30" spans="1:18" ht="66.75" customHeight="1">
      <c r="B30" s="2579"/>
      <c r="C30" s="2580"/>
      <c r="D30" s="1112" t="s">
        <v>406</v>
      </c>
      <c r="E30" s="1279">
        <f>ERMs!C14</f>
        <v>0</v>
      </c>
      <c r="F30" s="1113"/>
      <c r="G30" s="1274"/>
      <c r="H30" s="1275"/>
      <c r="I30" s="1274"/>
      <c r="J30" s="1276"/>
      <c r="K30" s="1284"/>
      <c r="L30" s="1263"/>
      <c r="M30" s="1284"/>
      <c r="N30" s="1257"/>
      <c r="O30" s="2570"/>
      <c r="P30" s="2571"/>
    </row>
    <row r="31" spans="1:18" s="1466" customFormat="1" ht="78" customHeight="1">
      <c r="A31" s="1462"/>
      <c r="B31" s="1463" t="s">
        <v>1633</v>
      </c>
      <c r="C31" s="1463"/>
      <c r="D31" s="1463"/>
      <c r="E31" s="1463" t="s">
        <v>1620</v>
      </c>
      <c r="F31" s="2572" t="s">
        <v>1626</v>
      </c>
      <c r="G31" s="2572"/>
      <c r="H31" s="2572"/>
      <c r="I31" s="2572"/>
      <c r="J31" s="2572"/>
      <c r="K31" s="2572"/>
      <c r="L31" s="1463" t="s">
        <v>1627</v>
      </c>
      <c r="M31" s="1465" t="s">
        <v>1628</v>
      </c>
      <c r="N31" s="1465" t="s">
        <v>1629</v>
      </c>
      <c r="O31" s="2573" t="s">
        <v>1630</v>
      </c>
      <c r="P31" s="2574"/>
    </row>
    <row r="32" spans="1:18" ht="33.75" customHeight="1">
      <c r="A32" s="1467"/>
      <c r="B32" s="2575" t="s">
        <v>1634</v>
      </c>
      <c r="C32" s="2576"/>
      <c r="D32" s="2576"/>
      <c r="E32" s="1279">
        <f>ERMs!C15</f>
        <v>0</v>
      </c>
      <c r="F32" s="2577"/>
      <c r="G32" s="2578"/>
      <c r="H32" s="2578"/>
      <c r="I32" s="2578"/>
      <c r="J32" s="2578"/>
      <c r="K32" s="2578"/>
      <c r="L32" s="1263"/>
      <c r="M32" s="1284"/>
      <c r="N32" s="1257"/>
      <c r="O32" s="2570"/>
      <c r="P32" s="2571"/>
    </row>
    <row r="33" spans="1:20" ht="44.25" customHeight="1">
      <c r="A33" s="1467"/>
      <c r="B33" s="2568" t="s">
        <v>1635</v>
      </c>
      <c r="C33" s="2569"/>
      <c r="D33" s="2569"/>
      <c r="E33" s="2569"/>
      <c r="F33" s="2569"/>
      <c r="G33" s="2569"/>
      <c r="H33" s="2569"/>
      <c r="I33" s="2569"/>
      <c r="J33" s="2569"/>
      <c r="K33" s="2569"/>
      <c r="L33" s="2569"/>
      <c r="M33" s="2569"/>
      <c r="N33" s="1252"/>
      <c r="O33" s="2570"/>
      <c r="P33" s="2571"/>
    </row>
    <row r="34" spans="1:20" ht="25.5">
      <c r="D34" s="1468"/>
      <c r="E34" s="1321"/>
    </row>
    <row r="35" spans="1:20" ht="25.5">
      <c r="D35" s="1468"/>
      <c r="E35" s="1321"/>
      <c r="T35" s="1321" t="s">
        <v>403</v>
      </c>
    </row>
    <row r="36" spans="1:20">
      <c r="T36" s="1321" t="s">
        <v>405</v>
      </c>
    </row>
    <row r="37" spans="1:20">
      <c r="T37" s="1321" t="s">
        <v>404</v>
      </c>
    </row>
    <row r="181" spans="2:2" ht="18">
      <c r="B181" s="1323"/>
    </row>
  </sheetData>
  <sheetProtection sheet="1" objects="1" scenarios="1" formatCells="0" formatColumns="0" formatRows="0" insertColumns="0" insertRows="0"/>
  <mergeCells count="19">
    <mergeCell ref="F5:L5"/>
    <mergeCell ref="B8:K8"/>
    <mergeCell ref="B9:K9"/>
    <mergeCell ref="B24:E24"/>
    <mergeCell ref="O25:P25"/>
    <mergeCell ref="B33:M33"/>
    <mergeCell ref="O33:P33"/>
    <mergeCell ref="O29:P29"/>
    <mergeCell ref="O30:P30"/>
    <mergeCell ref="F31:K31"/>
    <mergeCell ref="O31:P31"/>
    <mergeCell ref="B32:D32"/>
    <mergeCell ref="F32:K32"/>
    <mergeCell ref="O32:P32"/>
    <mergeCell ref="B26:B30"/>
    <mergeCell ref="C26:C30"/>
    <mergeCell ref="O26:P26"/>
    <mergeCell ref="O27:P27"/>
    <mergeCell ref="O28:P28"/>
  </mergeCells>
  <dataValidations count="2">
    <dataValidation type="list" allowBlank="1" showInputMessage="1" showErrorMessage="1" sqref="M26:N30 JI26:JJ30 TE26:TF30 ADA26:ADB30 AMW26:AMX30 AWS26:AWT30 BGO26:BGP30 BQK26:BQL30 CAG26:CAH30 CKC26:CKD30 CTY26:CTZ30 DDU26:DDV30 DNQ26:DNR30 DXM26:DXN30 EHI26:EHJ30 ERE26:ERF30 FBA26:FBB30 FKW26:FKX30 FUS26:FUT30 GEO26:GEP30 GOK26:GOL30 GYG26:GYH30 HIC26:HID30 HRY26:HRZ30 IBU26:IBV30 ILQ26:ILR30 IVM26:IVN30 JFI26:JFJ30 JPE26:JPF30 JZA26:JZB30 KIW26:KIX30 KSS26:KST30 LCO26:LCP30 LMK26:LML30 LWG26:LWH30 MGC26:MGD30 MPY26:MPZ30 MZU26:MZV30 NJQ26:NJR30 NTM26:NTN30 ODI26:ODJ30 ONE26:ONF30 OXA26:OXB30 PGW26:PGX30 PQS26:PQT30 QAO26:QAP30 QKK26:QKL30 QUG26:QUH30 REC26:RED30 RNY26:RNZ30 RXU26:RXV30 SHQ26:SHR30 SRM26:SRN30 TBI26:TBJ30 TLE26:TLF30 TVA26:TVB30 UEW26:UEX30 UOS26:UOT30 UYO26:UYP30 VIK26:VIL30 VSG26:VSH30 WCC26:WCD30 WLY26:WLZ30 WVU26:WVV30 M65562:N65566 JI65562:JJ65566 TE65562:TF65566 ADA65562:ADB65566 AMW65562:AMX65566 AWS65562:AWT65566 BGO65562:BGP65566 BQK65562:BQL65566 CAG65562:CAH65566 CKC65562:CKD65566 CTY65562:CTZ65566 DDU65562:DDV65566 DNQ65562:DNR65566 DXM65562:DXN65566 EHI65562:EHJ65566 ERE65562:ERF65566 FBA65562:FBB65566 FKW65562:FKX65566 FUS65562:FUT65566 GEO65562:GEP65566 GOK65562:GOL65566 GYG65562:GYH65566 HIC65562:HID65566 HRY65562:HRZ65566 IBU65562:IBV65566 ILQ65562:ILR65566 IVM65562:IVN65566 JFI65562:JFJ65566 JPE65562:JPF65566 JZA65562:JZB65566 KIW65562:KIX65566 KSS65562:KST65566 LCO65562:LCP65566 LMK65562:LML65566 LWG65562:LWH65566 MGC65562:MGD65566 MPY65562:MPZ65566 MZU65562:MZV65566 NJQ65562:NJR65566 NTM65562:NTN65566 ODI65562:ODJ65566 ONE65562:ONF65566 OXA65562:OXB65566 PGW65562:PGX65566 PQS65562:PQT65566 QAO65562:QAP65566 QKK65562:QKL65566 QUG65562:QUH65566 REC65562:RED65566 RNY65562:RNZ65566 RXU65562:RXV65566 SHQ65562:SHR65566 SRM65562:SRN65566 TBI65562:TBJ65566 TLE65562:TLF65566 TVA65562:TVB65566 UEW65562:UEX65566 UOS65562:UOT65566 UYO65562:UYP65566 VIK65562:VIL65566 VSG65562:VSH65566 WCC65562:WCD65566 WLY65562:WLZ65566 WVU65562:WVV65566 M131098:N131102 JI131098:JJ131102 TE131098:TF131102 ADA131098:ADB131102 AMW131098:AMX131102 AWS131098:AWT131102 BGO131098:BGP131102 BQK131098:BQL131102 CAG131098:CAH131102 CKC131098:CKD131102 CTY131098:CTZ131102 DDU131098:DDV131102 DNQ131098:DNR131102 DXM131098:DXN131102 EHI131098:EHJ131102 ERE131098:ERF131102 FBA131098:FBB131102 FKW131098:FKX131102 FUS131098:FUT131102 GEO131098:GEP131102 GOK131098:GOL131102 GYG131098:GYH131102 HIC131098:HID131102 HRY131098:HRZ131102 IBU131098:IBV131102 ILQ131098:ILR131102 IVM131098:IVN131102 JFI131098:JFJ131102 JPE131098:JPF131102 JZA131098:JZB131102 KIW131098:KIX131102 KSS131098:KST131102 LCO131098:LCP131102 LMK131098:LML131102 LWG131098:LWH131102 MGC131098:MGD131102 MPY131098:MPZ131102 MZU131098:MZV131102 NJQ131098:NJR131102 NTM131098:NTN131102 ODI131098:ODJ131102 ONE131098:ONF131102 OXA131098:OXB131102 PGW131098:PGX131102 PQS131098:PQT131102 QAO131098:QAP131102 QKK131098:QKL131102 QUG131098:QUH131102 REC131098:RED131102 RNY131098:RNZ131102 RXU131098:RXV131102 SHQ131098:SHR131102 SRM131098:SRN131102 TBI131098:TBJ131102 TLE131098:TLF131102 TVA131098:TVB131102 UEW131098:UEX131102 UOS131098:UOT131102 UYO131098:UYP131102 VIK131098:VIL131102 VSG131098:VSH131102 WCC131098:WCD131102 WLY131098:WLZ131102 WVU131098:WVV131102 M196634:N196638 JI196634:JJ196638 TE196634:TF196638 ADA196634:ADB196638 AMW196634:AMX196638 AWS196634:AWT196638 BGO196634:BGP196638 BQK196634:BQL196638 CAG196634:CAH196638 CKC196634:CKD196638 CTY196634:CTZ196638 DDU196634:DDV196638 DNQ196634:DNR196638 DXM196634:DXN196638 EHI196634:EHJ196638 ERE196634:ERF196638 FBA196634:FBB196638 FKW196634:FKX196638 FUS196634:FUT196638 GEO196634:GEP196638 GOK196634:GOL196638 GYG196634:GYH196638 HIC196634:HID196638 HRY196634:HRZ196638 IBU196634:IBV196638 ILQ196634:ILR196638 IVM196634:IVN196638 JFI196634:JFJ196638 JPE196634:JPF196638 JZA196634:JZB196638 KIW196634:KIX196638 KSS196634:KST196638 LCO196634:LCP196638 LMK196634:LML196638 LWG196634:LWH196638 MGC196634:MGD196638 MPY196634:MPZ196638 MZU196634:MZV196638 NJQ196634:NJR196638 NTM196634:NTN196638 ODI196634:ODJ196638 ONE196634:ONF196638 OXA196634:OXB196638 PGW196634:PGX196638 PQS196634:PQT196638 QAO196634:QAP196638 QKK196634:QKL196638 QUG196634:QUH196638 REC196634:RED196638 RNY196634:RNZ196638 RXU196634:RXV196638 SHQ196634:SHR196638 SRM196634:SRN196638 TBI196634:TBJ196638 TLE196634:TLF196638 TVA196634:TVB196638 UEW196634:UEX196638 UOS196634:UOT196638 UYO196634:UYP196638 VIK196634:VIL196638 VSG196634:VSH196638 WCC196634:WCD196638 WLY196634:WLZ196638 WVU196634:WVV196638 M262170:N262174 JI262170:JJ262174 TE262170:TF262174 ADA262170:ADB262174 AMW262170:AMX262174 AWS262170:AWT262174 BGO262170:BGP262174 BQK262170:BQL262174 CAG262170:CAH262174 CKC262170:CKD262174 CTY262170:CTZ262174 DDU262170:DDV262174 DNQ262170:DNR262174 DXM262170:DXN262174 EHI262170:EHJ262174 ERE262170:ERF262174 FBA262170:FBB262174 FKW262170:FKX262174 FUS262170:FUT262174 GEO262170:GEP262174 GOK262170:GOL262174 GYG262170:GYH262174 HIC262170:HID262174 HRY262170:HRZ262174 IBU262170:IBV262174 ILQ262170:ILR262174 IVM262170:IVN262174 JFI262170:JFJ262174 JPE262170:JPF262174 JZA262170:JZB262174 KIW262170:KIX262174 KSS262170:KST262174 LCO262170:LCP262174 LMK262170:LML262174 LWG262170:LWH262174 MGC262170:MGD262174 MPY262170:MPZ262174 MZU262170:MZV262174 NJQ262170:NJR262174 NTM262170:NTN262174 ODI262170:ODJ262174 ONE262170:ONF262174 OXA262170:OXB262174 PGW262170:PGX262174 PQS262170:PQT262174 QAO262170:QAP262174 QKK262170:QKL262174 QUG262170:QUH262174 REC262170:RED262174 RNY262170:RNZ262174 RXU262170:RXV262174 SHQ262170:SHR262174 SRM262170:SRN262174 TBI262170:TBJ262174 TLE262170:TLF262174 TVA262170:TVB262174 UEW262170:UEX262174 UOS262170:UOT262174 UYO262170:UYP262174 VIK262170:VIL262174 VSG262170:VSH262174 WCC262170:WCD262174 WLY262170:WLZ262174 WVU262170:WVV262174 M327706:N327710 JI327706:JJ327710 TE327706:TF327710 ADA327706:ADB327710 AMW327706:AMX327710 AWS327706:AWT327710 BGO327706:BGP327710 BQK327706:BQL327710 CAG327706:CAH327710 CKC327706:CKD327710 CTY327706:CTZ327710 DDU327706:DDV327710 DNQ327706:DNR327710 DXM327706:DXN327710 EHI327706:EHJ327710 ERE327706:ERF327710 FBA327706:FBB327710 FKW327706:FKX327710 FUS327706:FUT327710 GEO327706:GEP327710 GOK327706:GOL327710 GYG327706:GYH327710 HIC327706:HID327710 HRY327706:HRZ327710 IBU327706:IBV327710 ILQ327706:ILR327710 IVM327706:IVN327710 JFI327706:JFJ327710 JPE327706:JPF327710 JZA327706:JZB327710 KIW327706:KIX327710 KSS327706:KST327710 LCO327706:LCP327710 LMK327706:LML327710 LWG327706:LWH327710 MGC327706:MGD327710 MPY327706:MPZ327710 MZU327706:MZV327710 NJQ327706:NJR327710 NTM327706:NTN327710 ODI327706:ODJ327710 ONE327706:ONF327710 OXA327706:OXB327710 PGW327706:PGX327710 PQS327706:PQT327710 QAO327706:QAP327710 QKK327706:QKL327710 QUG327706:QUH327710 REC327706:RED327710 RNY327706:RNZ327710 RXU327706:RXV327710 SHQ327706:SHR327710 SRM327706:SRN327710 TBI327706:TBJ327710 TLE327706:TLF327710 TVA327706:TVB327710 UEW327706:UEX327710 UOS327706:UOT327710 UYO327706:UYP327710 VIK327706:VIL327710 VSG327706:VSH327710 WCC327706:WCD327710 WLY327706:WLZ327710 WVU327706:WVV327710 M393242:N393246 JI393242:JJ393246 TE393242:TF393246 ADA393242:ADB393246 AMW393242:AMX393246 AWS393242:AWT393246 BGO393242:BGP393246 BQK393242:BQL393246 CAG393242:CAH393246 CKC393242:CKD393246 CTY393242:CTZ393246 DDU393242:DDV393246 DNQ393242:DNR393246 DXM393242:DXN393246 EHI393242:EHJ393246 ERE393242:ERF393246 FBA393242:FBB393246 FKW393242:FKX393246 FUS393242:FUT393246 GEO393242:GEP393246 GOK393242:GOL393246 GYG393242:GYH393246 HIC393242:HID393246 HRY393242:HRZ393246 IBU393242:IBV393246 ILQ393242:ILR393246 IVM393242:IVN393246 JFI393242:JFJ393246 JPE393242:JPF393246 JZA393242:JZB393246 KIW393242:KIX393246 KSS393242:KST393246 LCO393242:LCP393246 LMK393242:LML393246 LWG393242:LWH393246 MGC393242:MGD393246 MPY393242:MPZ393246 MZU393242:MZV393246 NJQ393242:NJR393246 NTM393242:NTN393246 ODI393242:ODJ393246 ONE393242:ONF393246 OXA393242:OXB393246 PGW393242:PGX393246 PQS393242:PQT393246 QAO393242:QAP393246 QKK393242:QKL393246 QUG393242:QUH393246 REC393242:RED393246 RNY393242:RNZ393246 RXU393242:RXV393246 SHQ393242:SHR393246 SRM393242:SRN393246 TBI393242:TBJ393246 TLE393242:TLF393246 TVA393242:TVB393246 UEW393242:UEX393246 UOS393242:UOT393246 UYO393242:UYP393246 VIK393242:VIL393246 VSG393242:VSH393246 WCC393242:WCD393246 WLY393242:WLZ393246 WVU393242:WVV393246 M458778:N458782 JI458778:JJ458782 TE458778:TF458782 ADA458778:ADB458782 AMW458778:AMX458782 AWS458778:AWT458782 BGO458778:BGP458782 BQK458778:BQL458782 CAG458778:CAH458782 CKC458778:CKD458782 CTY458778:CTZ458782 DDU458778:DDV458782 DNQ458778:DNR458782 DXM458778:DXN458782 EHI458778:EHJ458782 ERE458778:ERF458782 FBA458778:FBB458782 FKW458778:FKX458782 FUS458778:FUT458782 GEO458778:GEP458782 GOK458778:GOL458782 GYG458778:GYH458782 HIC458778:HID458782 HRY458778:HRZ458782 IBU458778:IBV458782 ILQ458778:ILR458782 IVM458778:IVN458782 JFI458778:JFJ458782 JPE458778:JPF458782 JZA458778:JZB458782 KIW458778:KIX458782 KSS458778:KST458782 LCO458778:LCP458782 LMK458778:LML458782 LWG458778:LWH458782 MGC458778:MGD458782 MPY458778:MPZ458782 MZU458778:MZV458782 NJQ458778:NJR458782 NTM458778:NTN458782 ODI458778:ODJ458782 ONE458778:ONF458782 OXA458778:OXB458782 PGW458778:PGX458782 PQS458778:PQT458782 QAO458778:QAP458782 QKK458778:QKL458782 QUG458778:QUH458782 REC458778:RED458782 RNY458778:RNZ458782 RXU458778:RXV458782 SHQ458778:SHR458782 SRM458778:SRN458782 TBI458778:TBJ458782 TLE458778:TLF458782 TVA458778:TVB458782 UEW458778:UEX458782 UOS458778:UOT458782 UYO458778:UYP458782 VIK458778:VIL458782 VSG458778:VSH458782 WCC458778:WCD458782 WLY458778:WLZ458782 WVU458778:WVV458782 M524314:N524318 JI524314:JJ524318 TE524314:TF524318 ADA524314:ADB524318 AMW524314:AMX524318 AWS524314:AWT524318 BGO524314:BGP524318 BQK524314:BQL524318 CAG524314:CAH524318 CKC524314:CKD524318 CTY524314:CTZ524318 DDU524314:DDV524318 DNQ524314:DNR524318 DXM524314:DXN524318 EHI524314:EHJ524318 ERE524314:ERF524318 FBA524314:FBB524318 FKW524314:FKX524318 FUS524314:FUT524318 GEO524314:GEP524318 GOK524314:GOL524318 GYG524314:GYH524318 HIC524314:HID524318 HRY524314:HRZ524318 IBU524314:IBV524318 ILQ524314:ILR524318 IVM524314:IVN524318 JFI524314:JFJ524318 JPE524314:JPF524318 JZA524314:JZB524318 KIW524314:KIX524318 KSS524314:KST524318 LCO524314:LCP524318 LMK524314:LML524318 LWG524314:LWH524318 MGC524314:MGD524318 MPY524314:MPZ524318 MZU524314:MZV524318 NJQ524314:NJR524318 NTM524314:NTN524318 ODI524314:ODJ524318 ONE524314:ONF524318 OXA524314:OXB524318 PGW524314:PGX524318 PQS524314:PQT524318 QAO524314:QAP524318 QKK524314:QKL524318 QUG524314:QUH524318 REC524314:RED524318 RNY524314:RNZ524318 RXU524314:RXV524318 SHQ524314:SHR524318 SRM524314:SRN524318 TBI524314:TBJ524318 TLE524314:TLF524318 TVA524314:TVB524318 UEW524314:UEX524318 UOS524314:UOT524318 UYO524314:UYP524318 VIK524314:VIL524318 VSG524314:VSH524318 WCC524314:WCD524318 WLY524314:WLZ524318 WVU524314:WVV524318 M589850:N589854 JI589850:JJ589854 TE589850:TF589854 ADA589850:ADB589854 AMW589850:AMX589854 AWS589850:AWT589854 BGO589850:BGP589854 BQK589850:BQL589854 CAG589850:CAH589854 CKC589850:CKD589854 CTY589850:CTZ589854 DDU589850:DDV589854 DNQ589850:DNR589854 DXM589850:DXN589854 EHI589850:EHJ589854 ERE589850:ERF589854 FBA589850:FBB589854 FKW589850:FKX589854 FUS589850:FUT589854 GEO589850:GEP589854 GOK589850:GOL589854 GYG589850:GYH589854 HIC589850:HID589854 HRY589850:HRZ589854 IBU589850:IBV589854 ILQ589850:ILR589854 IVM589850:IVN589854 JFI589850:JFJ589854 JPE589850:JPF589854 JZA589850:JZB589854 KIW589850:KIX589854 KSS589850:KST589854 LCO589850:LCP589854 LMK589850:LML589854 LWG589850:LWH589854 MGC589850:MGD589854 MPY589850:MPZ589854 MZU589850:MZV589854 NJQ589850:NJR589854 NTM589850:NTN589854 ODI589850:ODJ589854 ONE589850:ONF589854 OXA589850:OXB589854 PGW589850:PGX589854 PQS589850:PQT589854 QAO589850:QAP589854 QKK589850:QKL589854 QUG589850:QUH589854 REC589850:RED589854 RNY589850:RNZ589854 RXU589850:RXV589854 SHQ589850:SHR589854 SRM589850:SRN589854 TBI589850:TBJ589854 TLE589850:TLF589854 TVA589850:TVB589854 UEW589850:UEX589854 UOS589850:UOT589854 UYO589850:UYP589854 VIK589850:VIL589854 VSG589850:VSH589854 WCC589850:WCD589854 WLY589850:WLZ589854 WVU589850:WVV589854 M655386:N655390 JI655386:JJ655390 TE655386:TF655390 ADA655386:ADB655390 AMW655386:AMX655390 AWS655386:AWT655390 BGO655386:BGP655390 BQK655386:BQL655390 CAG655386:CAH655390 CKC655386:CKD655390 CTY655386:CTZ655390 DDU655386:DDV655390 DNQ655386:DNR655390 DXM655386:DXN655390 EHI655386:EHJ655390 ERE655386:ERF655390 FBA655386:FBB655390 FKW655386:FKX655390 FUS655386:FUT655390 GEO655386:GEP655390 GOK655386:GOL655390 GYG655386:GYH655390 HIC655386:HID655390 HRY655386:HRZ655390 IBU655386:IBV655390 ILQ655386:ILR655390 IVM655386:IVN655390 JFI655386:JFJ655390 JPE655386:JPF655390 JZA655386:JZB655390 KIW655386:KIX655390 KSS655386:KST655390 LCO655386:LCP655390 LMK655386:LML655390 LWG655386:LWH655390 MGC655386:MGD655390 MPY655386:MPZ655390 MZU655386:MZV655390 NJQ655386:NJR655390 NTM655386:NTN655390 ODI655386:ODJ655390 ONE655386:ONF655390 OXA655386:OXB655390 PGW655386:PGX655390 PQS655386:PQT655390 QAO655386:QAP655390 QKK655386:QKL655390 QUG655386:QUH655390 REC655386:RED655390 RNY655386:RNZ655390 RXU655386:RXV655390 SHQ655386:SHR655390 SRM655386:SRN655390 TBI655386:TBJ655390 TLE655386:TLF655390 TVA655386:TVB655390 UEW655386:UEX655390 UOS655386:UOT655390 UYO655386:UYP655390 VIK655386:VIL655390 VSG655386:VSH655390 WCC655386:WCD655390 WLY655386:WLZ655390 WVU655386:WVV655390 M720922:N720926 JI720922:JJ720926 TE720922:TF720926 ADA720922:ADB720926 AMW720922:AMX720926 AWS720922:AWT720926 BGO720922:BGP720926 BQK720922:BQL720926 CAG720922:CAH720926 CKC720922:CKD720926 CTY720922:CTZ720926 DDU720922:DDV720926 DNQ720922:DNR720926 DXM720922:DXN720926 EHI720922:EHJ720926 ERE720922:ERF720926 FBA720922:FBB720926 FKW720922:FKX720926 FUS720922:FUT720926 GEO720922:GEP720926 GOK720922:GOL720926 GYG720922:GYH720926 HIC720922:HID720926 HRY720922:HRZ720926 IBU720922:IBV720926 ILQ720922:ILR720926 IVM720922:IVN720926 JFI720922:JFJ720926 JPE720922:JPF720926 JZA720922:JZB720926 KIW720922:KIX720926 KSS720922:KST720926 LCO720922:LCP720926 LMK720922:LML720926 LWG720922:LWH720926 MGC720922:MGD720926 MPY720922:MPZ720926 MZU720922:MZV720926 NJQ720922:NJR720926 NTM720922:NTN720926 ODI720922:ODJ720926 ONE720922:ONF720926 OXA720922:OXB720926 PGW720922:PGX720926 PQS720922:PQT720926 QAO720922:QAP720926 QKK720922:QKL720926 QUG720922:QUH720926 REC720922:RED720926 RNY720922:RNZ720926 RXU720922:RXV720926 SHQ720922:SHR720926 SRM720922:SRN720926 TBI720922:TBJ720926 TLE720922:TLF720926 TVA720922:TVB720926 UEW720922:UEX720926 UOS720922:UOT720926 UYO720922:UYP720926 VIK720922:VIL720926 VSG720922:VSH720926 WCC720922:WCD720926 WLY720922:WLZ720926 WVU720922:WVV720926 M786458:N786462 JI786458:JJ786462 TE786458:TF786462 ADA786458:ADB786462 AMW786458:AMX786462 AWS786458:AWT786462 BGO786458:BGP786462 BQK786458:BQL786462 CAG786458:CAH786462 CKC786458:CKD786462 CTY786458:CTZ786462 DDU786458:DDV786462 DNQ786458:DNR786462 DXM786458:DXN786462 EHI786458:EHJ786462 ERE786458:ERF786462 FBA786458:FBB786462 FKW786458:FKX786462 FUS786458:FUT786462 GEO786458:GEP786462 GOK786458:GOL786462 GYG786458:GYH786462 HIC786458:HID786462 HRY786458:HRZ786462 IBU786458:IBV786462 ILQ786458:ILR786462 IVM786458:IVN786462 JFI786458:JFJ786462 JPE786458:JPF786462 JZA786458:JZB786462 KIW786458:KIX786462 KSS786458:KST786462 LCO786458:LCP786462 LMK786458:LML786462 LWG786458:LWH786462 MGC786458:MGD786462 MPY786458:MPZ786462 MZU786458:MZV786462 NJQ786458:NJR786462 NTM786458:NTN786462 ODI786458:ODJ786462 ONE786458:ONF786462 OXA786458:OXB786462 PGW786458:PGX786462 PQS786458:PQT786462 QAO786458:QAP786462 QKK786458:QKL786462 QUG786458:QUH786462 REC786458:RED786462 RNY786458:RNZ786462 RXU786458:RXV786462 SHQ786458:SHR786462 SRM786458:SRN786462 TBI786458:TBJ786462 TLE786458:TLF786462 TVA786458:TVB786462 UEW786458:UEX786462 UOS786458:UOT786462 UYO786458:UYP786462 VIK786458:VIL786462 VSG786458:VSH786462 WCC786458:WCD786462 WLY786458:WLZ786462 WVU786458:WVV786462 M851994:N851998 JI851994:JJ851998 TE851994:TF851998 ADA851994:ADB851998 AMW851994:AMX851998 AWS851994:AWT851998 BGO851994:BGP851998 BQK851994:BQL851998 CAG851994:CAH851998 CKC851994:CKD851998 CTY851994:CTZ851998 DDU851994:DDV851998 DNQ851994:DNR851998 DXM851994:DXN851998 EHI851994:EHJ851998 ERE851994:ERF851998 FBA851994:FBB851998 FKW851994:FKX851998 FUS851994:FUT851998 GEO851994:GEP851998 GOK851994:GOL851998 GYG851994:GYH851998 HIC851994:HID851998 HRY851994:HRZ851998 IBU851994:IBV851998 ILQ851994:ILR851998 IVM851994:IVN851998 JFI851994:JFJ851998 JPE851994:JPF851998 JZA851994:JZB851998 KIW851994:KIX851998 KSS851994:KST851998 LCO851994:LCP851998 LMK851994:LML851998 LWG851994:LWH851998 MGC851994:MGD851998 MPY851994:MPZ851998 MZU851994:MZV851998 NJQ851994:NJR851998 NTM851994:NTN851998 ODI851994:ODJ851998 ONE851994:ONF851998 OXA851994:OXB851998 PGW851994:PGX851998 PQS851994:PQT851998 QAO851994:QAP851998 QKK851994:QKL851998 QUG851994:QUH851998 REC851994:RED851998 RNY851994:RNZ851998 RXU851994:RXV851998 SHQ851994:SHR851998 SRM851994:SRN851998 TBI851994:TBJ851998 TLE851994:TLF851998 TVA851994:TVB851998 UEW851994:UEX851998 UOS851994:UOT851998 UYO851994:UYP851998 VIK851994:VIL851998 VSG851994:VSH851998 WCC851994:WCD851998 WLY851994:WLZ851998 WVU851994:WVV851998 M917530:N917534 JI917530:JJ917534 TE917530:TF917534 ADA917530:ADB917534 AMW917530:AMX917534 AWS917530:AWT917534 BGO917530:BGP917534 BQK917530:BQL917534 CAG917530:CAH917534 CKC917530:CKD917534 CTY917530:CTZ917534 DDU917530:DDV917534 DNQ917530:DNR917534 DXM917530:DXN917534 EHI917530:EHJ917534 ERE917530:ERF917534 FBA917530:FBB917534 FKW917530:FKX917534 FUS917530:FUT917534 GEO917530:GEP917534 GOK917530:GOL917534 GYG917530:GYH917534 HIC917530:HID917534 HRY917530:HRZ917534 IBU917530:IBV917534 ILQ917530:ILR917534 IVM917530:IVN917534 JFI917530:JFJ917534 JPE917530:JPF917534 JZA917530:JZB917534 KIW917530:KIX917534 KSS917530:KST917534 LCO917530:LCP917534 LMK917530:LML917534 LWG917530:LWH917534 MGC917530:MGD917534 MPY917530:MPZ917534 MZU917530:MZV917534 NJQ917530:NJR917534 NTM917530:NTN917534 ODI917530:ODJ917534 ONE917530:ONF917534 OXA917530:OXB917534 PGW917530:PGX917534 PQS917530:PQT917534 QAO917530:QAP917534 QKK917530:QKL917534 QUG917530:QUH917534 REC917530:RED917534 RNY917530:RNZ917534 RXU917530:RXV917534 SHQ917530:SHR917534 SRM917530:SRN917534 TBI917530:TBJ917534 TLE917530:TLF917534 TVA917530:TVB917534 UEW917530:UEX917534 UOS917530:UOT917534 UYO917530:UYP917534 VIK917530:VIL917534 VSG917530:VSH917534 WCC917530:WCD917534 WLY917530:WLZ917534 WVU917530:WVV917534 M983066:N983070 JI983066:JJ983070 TE983066:TF983070 ADA983066:ADB983070 AMW983066:AMX983070 AWS983066:AWT983070 BGO983066:BGP983070 BQK983066:BQL983070 CAG983066:CAH983070 CKC983066:CKD983070 CTY983066:CTZ983070 DDU983066:DDV983070 DNQ983066:DNR983070 DXM983066:DXN983070 EHI983066:EHJ983070 ERE983066:ERF983070 FBA983066:FBB983070 FKW983066:FKX983070 FUS983066:FUT983070 GEO983066:GEP983070 GOK983066:GOL983070 GYG983066:GYH983070 HIC983066:HID983070 HRY983066:HRZ983070 IBU983066:IBV983070 ILQ983066:ILR983070 IVM983066:IVN983070 JFI983066:JFJ983070 JPE983066:JPF983070 JZA983066:JZB983070 KIW983066:KIX983070 KSS983066:KST983070 LCO983066:LCP983070 LMK983066:LML983070 LWG983066:LWH983070 MGC983066:MGD983070 MPY983066:MPZ983070 MZU983066:MZV983070 NJQ983066:NJR983070 NTM983066:NTN983070 ODI983066:ODJ983070 ONE983066:ONF983070 OXA983066:OXB983070 PGW983066:PGX983070 PQS983066:PQT983070 QAO983066:QAP983070 QKK983066:QKL983070 QUG983066:QUH983070 REC983066:RED983070 RNY983066:RNZ983070 RXU983066:RXV983070 SHQ983066:SHR983070 SRM983066:SRN983070 TBI983066:TBJ983070 TLE983066:TLF983070 TVA983066:TVB983070 UEW983066:UEX983070 UOS983066:UOT983070 UYO983066:UYP983070 VIK983066:VIL983070 VSG983066:VSH983070 WCC983066:WCD983070 WLY983066:WLZ983070 WVU983066:WVV983070 M32:N32 JI32:JJ32 TE32:TF32 ADA32:ADB32 AMW32:AMX32 AWS32:AWT32 BGO32:BGP32 BQK32:BQL32 CAG32:CAH32 CKC32:CKD32 CTY32:CTZ32 DDU32:DDV32 DNQ32:DNR32 DXM32:DXN32 EHI32:EHJ32 ERE32:ERF32 FBA32:FBB32 FKW32:FKX32 FUS32:FUT32 GEO32:GEP32 GOK32:GOL32 GYG32:GYH32 HIC32:HID32 HRY32:HRZ32 IBU32:IBV32 ILQ32:ILR32 IVM32:IVN32 JFI32:JFJ32 JPE32:JPF32 JZA32:JZB32 KIW32:KIX32 KSS32:KST32 LCO32:LCP32 LMK32:LML32 LWG32:LWH32 MGC32:MGD32 MPY32:MPZ32 MZU32:MZV32 NJQ32:NJR32 NTM32:NTN32 ODI32:ODJ32 ONE32:ONF32 OXA32:OXB32 PGW32:PGX32 PQS32:PQT32 QAO32:QAP32 QKK32:QKL32 QUG32:QUH32 REC32:RED32 RNY32:RNZ32 RXU32:RXV32 SHQ32:SHR32 SRM32:SRN32 TBI32:TBJ32 TLE32:TLF32 TVA32:TVB32 UEW32:UEX32 UOS32:UOT32 UYO32:UYP32 VIK32:VIL32 VSG32:VSH32 WCC32:WCD32 WLY32:WLZ32 WVU32:WVV32 M65568:N65568 JI65568:JJ65568 TE65568:TF65568 ADA65568:ADB65568 AMW65568:AMX65568 AWS65568:AWT65568 BGO65568:BGP65568 BQK65568:BQL65568 CAG65568:CAH65568 CKC65568:CKD65568 CTY65568:CTZ65568 DDU65568:DDV65568 DNQ65568:DNR65568 DXM65568:DXN65568 EHI65568:EHJ65568 ERE65568:ERF65568 FBA65568:FBB65568 FKW65568:FKX65568 FUS65568:FUT65568 GEO65568:GEP65568 GOK65568:GOL65568 GYG65568:GYH65568 HIC65568:HID65568 HRY65568:HRZ65568 IBU65568:IBV65568 ILQ65568:ILR65568 IVM65568:IVN65568 JFI65568:JFJ65568 JPE65568:JPF65568 JZA65568:JZB65568 KIW65568:KIX65568 KSS65568:KST65568 LCO65568:LCP65568 LMK65568:LML65568 LWG65568:LWH65568 MGC65568:MGD65568 MPY65568:MPZ65568 MZU65568:MZV65568 NJQ65568:NJR65568 NTM65568:NTN65568 ODI65568:ODJ65568 ONE65568:ONF65568 OXA65568:OXB65568 PGW65568:PGX65568 PQS65568:PQT65568 QAO65568:QAP65568 QKK65568:QKL65568 QUG65568:QUH65568 REC65568:RED65568 RNY65568:RNZ65568 RXU65568:RXV65568 SHQ65568:SHR65568 SRM65568:SRN65568 TBI65568:TBJ65568 TLE65568:TLF65568 TVA65568:TVB65568 UEW65568:UEX65568 UOS65568:UOT65568 UYO65568:UYP65568 VIK65568:VIL65568 VSG65568:VSH65568 WCC65568:WCD65568 WLY65568:WLZ65568 WVU65568:WVV65568 M131104:N131104 JI131104:JJ131104 TE131104:TF131104 ADA131104:ADB131104 AMW131104:AMX131104 AWS131104:AWT131104 BGO131104:BGP131104 BQK131104:BQL131104 CAG131104:CAH131104 CKC131104:CKD131104 CTY131104:CTZ131104 DDU131104:DDV131104 DNQ131104:DNR131104 DXM131104:DXN131104 EHI131104:EHJ131104 ERE131104:ERF131104 FBA131104:FBB131104 FKW131104:FKX131104 FUS131104:FUT131104 GEO131104:GEP131104 GOK131104:GOL131104 GYG131104:GYH131104 HIC131104:HID131104 HRY131104:HRZ131104 IBU131104:IBV131104 ILQ131104:ILR131104 IVM131104:IVN131104 JFI131104:JFJ131104 JPE131104:JPF131104 JZA131104:JZB131104 KIW131104:KIX131104 KSS131104:KST131104 LCO131104:LCP131104 LMK131104:LML131104 LWG131104:LWH131104 MGC131104:MGD131104 MPY131104:MPZ131104 MZU131104:MZV131104 NJQ131104:NJR131104 NTM131104:NTN131104 ODI131104:ODJ131104 ONE131104:ONF131104 OXA131104:OXB131104 PGW131104:PGX131104 PQS131104:PQT131104 QAO131104:QAP131104 QKK131104:QKL131104 QUG131104:QUH131104 REC131104:RED131104 RNY131104:RNZ131104 RXU131104:RXV131104 SHQ131104:SHR131104 SRM131104:SRN131104 TBI131104:TBJ131104 TLE131104:TLF131104 TVA131104:TVB131104 UEW131104:UEX131104 UOS131104:UOT131104 UYO131104:UYP131104 VIK131104:VIL131104 VSG131104:VSH131104 WCC131104:WCD131104 WLY131104:WLZ131104 WVU131104:WVV131104 M196640:N196640 JI196640:JJ196640 TE196640:TF196640 ADA196640:ADB196640 AMW196640:AMX196640 AWS196640:AWT196640 BGO196640:BGP196640 BQK196640:BQL196640 CAG196640:CAH196640 CKC196640:CKD196640 CTY196640:CTZ196640 DDU196640:DDV196640 DNQ196640:DNR196640 DXM196640:DXN196640 EHI196640:EHJ196640 ERE196640:ERF196640 FBA196640:FBB196640 FKW196640:FKX196640 FUS196640:FUT196640 GEO196640:GEP196640 GOK196640:GOL196640 GYG196640:GYH196640 HIC196640:HID196640 HRY196640:HRZ196640 IBU196640:IBV196640 ILQ196640:ILR196640 IVM196640:IVN196640 JFI196640:JFJ196640 JPE196640:JPF196640 JZA196640:JZB196640 KIW196640:KIX196640 KSS196640:KST196640 LCO196640:LCP196640 LMK196640:LML196640 LWG196640:LWH196640 MGC196640:MGD196640 MPY196640:MPZ196640 MZU196640:MZV196640 NJQ196640:NJR196640 NTM196640:NTN196640 ODI196640:ODJ196640 ONE196640:ONF196640 OXA196640:OXB196640 PGW196640:PGX196640 PQS196640:PQT196640 QAO196640:QAP196640 QKK196640:QKL196640 QUG196640:QUH196640 REC196640:RED196640 RNY196640:RNZ196640 RXU196640:RXV196640 SHQ196640:SHR196640 SRM196640:SRN196640 TBI196640:TBJ196640 TLE196640:TLF196640 TVA196640:TVB196640 UEW196640:UEX196640 UOS196640:UOT196640 UYO196640:UYP196640 VIK196640:VIL196640 VSG196640:VSH196640 WCC196640:WCD196640 WLY196640:WLZ196640 WVU196640:WVV196640 M262176:N262176 JI262176:JJ262176 TE262176:TF262176 ADA262176:ADB262176 AMW262176:AMX262176 AWS262176:AWT262176 BGO262176:BGP262176 BQK262176:BQL262176 CAG262176:CAH262176 CKC262176:CKD262176 CTY262176:CTZ262176 DDU262176:DDV262176 DNQ262176:DNR262176 DXM262176:DXN262176 EHI262176:EHJ262176 ERE262176:ERF262176 FBA262176:FBB262176 FKW262176:FKX262176 FUS262176:FUT262176 GEO262176:GEP262176 GOK262176:GOL262176 GYG262176:GYH262176 HIC262176:HID262176 HRY262176:HRZ262176 IBU262176:IBV262176 ILQ262176:ILR262176 IVM262176:IVN262176 JFI262176:JFJ262176 JPE262176:JPF262176 JZA262176:JZB262176 KIW262176:KIX262176 KSS262176:KST262176 LCO262176:LCP262176 LMK262176:LML262176 LWG262176:LWH262176 MGC262176:MGD262176 MPY262176:MPZ262176 MZU262176:MZV262176 NJQ262176:NJR262176 NTM262176:NTN262176 ODI262176:ODJ262176 ONE262176:ONF262176 OXA262176:OXB262176 PGW262176:PGX262176 PQS262176:PQT262176 QAO262176:QAP262176 QKK262176:QKL262176 QUG262176:QUH262176 REC262176:RED262176 RNY262176:RNZ262176 RXU262176:RXV262176 SHQ262176:SHR262176 SRM262176:SRN262176 TBI262176:TBJ262176 TLE262176:TLF262176 TVA262176:TVB262176 UEW262176:UEX262176 UOS262176:UOT262176 UYO262176:UYP262176 VIK262176:VIL262176 VSG262176:VSH262176 WCC262176:WCD262176 WLY262176:WLZ262176 WVU262176:WVV262176 M327712:N327712 JI327712:JJ327712 TE327712:TF327712 ADA327712:ADB327712 AMW327712:AMX327712 AWS327712:AWT327712 BGO327712:BGP327712 BQK327712:BQL327712 CAG327712:CAH327712 CKC327712:CKD327712 CTY327712:CTZ327712 DDU327712:DDV327712 DNQ327712:DNR327712 DXM327712:DXN327712 EHI327712:EHJ327712 ERE327712:ERF327712 FBA327712:FBB327712 FKW327712:FKX327712 FUS327712:FUT327712 GEO327712:GEP327712 GOK327712:GOL327712 GYG327712:GYH327712 HIC327712:HID327712 HRY327712:HRZ327712 IBU327712:IBV327712 ILQ327712:ILR327712 IVM327712:IVN327712 JFI327712:JFJ327712 JPE327712:JPF327712 JZA327712:JZB327712 KIW327712:KIX327712 KSS327712:KST327712 LCO327712:LCP327712 LMK327712:LML327712 LWG327712:LWH327712 MGC327712:MGD327712 MPY327712:MPZ327712 MZU327712:MZV327712 NJQ327712:NJR327712 NTM327712:NTN327712 ODI327712:ODJ327712 ONE327712:ONF327712 OXA327712:OXB327712 PGW327712:PGX327712 PQS327712:PQT327712 QAO327712:QAP327712 QKK327712:QKL327712 QUG327712:QUH327712 REC327712:RED327712 RNY327712:RNZ327712 RXU327712:RXV327712 SHQ327712:SHR327712 SRM327712:SRN327712 TBI327712:TBJ327712 TLE327712:TLF327712 TVA327712:TVB327712 UEW327712:UEX327712 UOS327712:UOT327712 UYO327712:UYP327712 VIK327712:VIL327712 VSG327712:VSH327712 WCC327712:WCD327712 WLY327712:WLZ327712 WVU327712:WVV327712 M393248:N393248 JI393248:JJ393248 TE393248:TF393248 ADA393248:ADB393248 AMW393248:AMX393248 AWS393248:AWT393248 BGO393248:BGP393248 BQK393248:BQL393248 CAG393248:CAH393248 CKC393248:CKD393248 CTY393248:CTZ393248 DDU393248:DDV393248 DNQ393248:DNR393248 DXM393248:DXN393248 EHI393248:EHJ393248 ERE393248:ERF393248 FBA393248:FBB393248 FKW393248:FKX393248 FUS393248:FUT393248 GEO393248:GEP393248 GOK393248:GOL393248 GYG393248:GYH393248 HIC393248:HID393248 HRY393248:HRZ393248 IBU393248:IBV393248 ILQ393248:ILR393248 IVM393248:IVN393248 JFI393248:JFJ393248 JPE393248:JPF393248 JZA393248:JZB393248 KIW393248:KIX393248 KSS393248:KST393248 LCO393248:LCP393248 LMK393248:LML393248 LWG393248:LWH393248 MGC393248:MGD393248 MPY393248:MPZ393248 MZU393248:MZV393248 NJQ393248:NJR393248 NTM393248:NTN393248 ODI393248:ODJ393248 ONE393248:ONF393248 OXA393248:OXB393248 PGW393248:PGX393248 PQS393248:PQT393248 QAO393248:QAP393248 QKK393248:QKL393248 QUG393248:QUH393248 REC393248:RED393248 RNY393248:RNZ393248 RXU393248:RXV393248 SHQ393248:SHR393248 SRM393248:SRN393248 TBI393248:TBJ393248 TLE393248:TLF393248 TVA393248:TVB393248 UEW393248:UEX393248 UOS393248:UOT393248 UYO393248:UYP393248 VIK393248:VIL393248 VSG393248:VSH393248 WCC393248:WCD393248 WLY393248:WLZ393248 WVU393248:WVV393248 M458784:N458784 JI458784:JJ458784 TE458784:TF458784 ADA458784:ADB458784 AMW458784:AMX458784 AWS458784:AWT458784 BGO458784:BGP458784 BQK458784:BQL458784 CAG458784:CAH458784 CKC458784:CKD458784 CTY458784:CTZ458784 DDU458784:DDV458784 DNQ458784:DNR458784 DXM458784:DXN458784 EHI458784:EHJ458784 ERE458784:ERF458784 FBA458784:FBB458784 FKW458784:FKX458784 FUS458784:FUT458784 GEO458784:GEP458784 GOK458784:GOL458784 GYG458784:GYH458784 HIC458784:HID458784 HRY458784:HRZ458784 IBU458784:IBV458784 ILQ458784:ILR458784 IVM458784:IVN458784 JFI458784:JFJ458784 JPE458784:JPF458784 JZA458784:JZB458784 KIW458784:KIX458784 KSS458784:KST458784 LCO458784:LCP458784 LMK458784:LML458784 LWG458784:LWH458784 MGC458784:MGD458784 MPY458784:MPZ458784 MZU458784:MZV458784 NJQ458784:NJR458784 NTM458784:NTN458784 ODI458784:ODJ458784 ONE458784:ONF458784 OXA458784:OXB458784 PGW458784:PGX458784 PQS458784:PQT458784 QAO458784:QAP458784 QKK458784:QKL458784 QUG458784:QUH458784 REC458784:RED458784 RNY458784:RNZ458784 RXU458784:RXV458784 SHQ458784:SHR458784 SRM458784:SRN458784 TBI458784:TBJ458784 TLE458784:TLF458784 TVA458784:TVB458784 UEW458784:UEX458784 UOS458784:UOT458784 UYO458784:UYP458784 VIK458784:VIL458784 VSG458784:VSH458784 WCC458784:WCD458784 WLY458784:WLZ458784 WVU458784:WVV458784 M524320:N524320 JI524320:JJ524320 TE524320:TF524320 ADA524320:ADB524320 AMW524320:AMX524320 AWS524320:AWT524320 BGO524320:BGP524320 BQK524320:BQL524320 CAG524320:CAH524320 CKC524320:CKD524320 CTY524320:CTZ524320 DDU524320:DDV524320 DNQ524320:DNR524320 DXM524320:DXN524320 EHI524320:EHJ524320 ERE524320:ERF524320 FBA524320:FBB524320 FKW524320:FKX524320 FUS524320:FUT524320 GEO524320:GEP524320 GOK524320:GOL524320 GYG524320:GYH524320 HIC524320:HID524320 HRY524320:HRZ524320 IBU524320:IBV524320 ILQ524320:ILR524320 IVM524320:IVN524320 JFI524320:JFJ524320 JPE524320:JPF524320 JZA524320:JZB524320 KIW524320:KIX524320 KSS524320:KST524320 LCO524320:LCP524320 LMK524320:LML524320 LWG524320:LWH524320 MGC524320:MGD524320 MPY524320:MPZ524320 MZU524320:MZV524320 NJQ524320:NJR524320 NTM524320:NTN524320 ODI524320:ODJ524320 ONE524320:ONF524320 OXA524320:OXB524320 PGW524320:PGX524320 PQS524320:PQT524320 QAO524320:QAP524320 QKK524320:QKL524320 QUG524320:QUH524320 REC524320:RED524320 RNY524320:RNZ524320 RXU524320:RXV524320 SHQ524320:SHR524320 SRM524320:SRN524320 TBI524320:TBJ524320 TLE524320:TLF524320 TVA524320:TVB524320 UEW524320:UEX524320 UOS524320:UOT524320 UYO524320:UYP524320 VIK524320:VIL524320 VSG524320:VSH524320 WCC524320:WCD524320 WLY524320:WLZ524320 WVU524320:WVV524320 M589856:N589856 JI589856:JJ589856 TE589856:TF589856 ADA589856:ADB589856 AMW589856:AMX589856 AWS589856:AWT589856 BGO589856:BGP589856 BQK589856:BQL589856 CAG589856:CAH589856 CKC589856:CKD589856 CTY589856:CTZ589856 DDU589856:DDV589856 DNQ589856:DNR589856 DXM589856:DXN589856 EHI589856:EHJ589856 ERE589856:ERF589856 FBA589856:FBB589856 FKW589856:FKX589856 FUS589856:FUT589856 GEO589856:GEP589856 GOK589856:GOL589856 GYG589856:GYH589856 HIC589856:HID589856 HRY589856:HRZ589856 IBU589856:IBV589856 ILQ589856:ILR589856 IVM589856:IVN589856 JFI589856:JFJ589856 JPE589856:JPF589856 JZA589856:JZB589856 KIW589856:KIX589856 KSS589856:KST589856 LCO589856:LCP589856 LMK589856:LML589856 LWG589856:LWH589856 MGC589856:MGD589856 MPY589856:MPZ589856 MZU589856:MZV589856 NJQ589856:NJR589856 NTM589856:NTN589856 ODI589856:ODJ589856 ONE589856:ONF589856 OXA589856:OXB589856 PGW589856:PGX589856 PQS589856:PQT589856 QAO589856:QAP589856 QKK589856:QKL589856 QUG589856:QUH589856 REC589856:RED589856 RNY589856:RNZ589856 RXU589856:RXV589856 SHQ589856:SHR589856 SRM589856:SRN589856 TBI589856:TBJ589856 TLE589856:TLF589856 TVA589856:TVB589856 UEW589856:UEX589856 UOS589856:UOT589856 UYO589856:UYP589856 VIK589856:VIL589856 VSG589856:VSH589856 WCC589856:WCD589856 WLY589856:WLZ589856 WVU589856:WVV589856 M655392:N655392 JI655392:JJ655392 TE655392:TF655392 ADA655392:ADB655392 AMW655392:AMX655392 AWS655392:AWT655392 BGO655392:BGP655392 BQK655392:BQL655392 CAG655392:CAH655392 CKC655392:CKD655392 CTY655392:CTZ655392 DDU655392:DDV655392 DNQ655392:DNR655392 DXM655392:DXN655392 EHI655392:EHJ655392 ERE655392:ERF655392 FBA655392:FBB655392 FKW655392:FKX655392 FUS655392:FUT655392 GEO655392:GEP655392 GOK655392:GOL655392 GYG655392:GYH655392 HIC655392:HID655392 HRY655392:HRZ655392 IBU655392:IBV655392 ILQ655392:ILR655392 IVM655392:IVN655392 JFI655392:JFJ655392 JPE655392:JPF655392 JZA655392:JZB655392 KIW655392:KIX655392 KSS655392:KST655392 LCO655392:LCP655392 LMK655392:LML655392 LWG655392:LWH655392 MGC655392:MGD655392 MPY655392:MPZ655392 MZU655392:MZV655392 NJQ655392:NJR655392 NTM655392:NTN655392 ODI655392:ODJ655392 ONE655392:ONF655392 OXA655392:OXB655392 PGW655392:PGX655392 PQS655392:PQT655392 QAO655392:QAP655392 QKK655392:QKL655392 QUG655392:QUH655392 REC655392:RED655392 RNY655392:RNZ655392 RXU655392:RXV655392 SHQ655392:SHR655392 SRM655392:SRN655392 TBI655392:TBJ655392 TLE655392:TLF655392 TVA655392:TVB655392 UEW655392:UEX655392 UOS655392:UOT655392 UYO655392:UYP655392 VIK655392:VIL655392 VSG655392:VSH655392 WCC655392:WCD655392 WLY655392:WLZ655392 WVU655392:WVV655392 M720928:N720928 JI720928:JJ720928 TE720928:TF720928 ADA720928:ADB720928 AMW720928:AMX720928 AWS720928:AWT720928 BGO720928:BGP720928 BQK720928:BQL720928 CAG720928:CAH720928 CKC720928:CKD720928 CTY720928:CTZ720928 DDU720928:DDV720928 DNQ720928:DNR720928 DXM720928:DXN720928 EHI720928:EHJ720928 ERE720928:ERF720928 FBA720928:FBB720928 FKW720928:FKX720928 FUS720928:FUT720928 GEO720928:GEP720928 GOK720928:GOL720928 GYG720928:GYH720928 HIC720928:HID720928 HRY720928:HRZ720928 IBU720928:IBV720928 ILQ720928:ILR720928 IVM720928:IVN720928 JFI720928:JFJ720928 JPE720928:JPF720928 JZA720928:JZB720928 KIW720928:KIX720928 KSS720928:KST720928 LCO720928:LCP720928 LMK720928:LML720928 LWG720928:LWH720928 MGC720928:MGD720928 MPY720928:MPZ720928 MZU720928:MZV720928 NJQ720928:NJR720928 NTM720928:NTN720928 ODI720928:ODJ720928 ONE720928:ONF720928 OXA720928:OXB720928 PGW720928:PGX720928 PQS720928:PQT720928 QAO720928:QAP720928 QKK720928:QKL720928 QUG720928:QUH720928 REC720928:RED720928 RNY720928:RNZ720928 RXU720928:RXV720928 SHQ720928:SHR720928 SRM720928:SRN720928 TBI720928:TBJ720928 TLE720928:TLF720928 TVA720928:TVB720928 UEW720928:UEX720928 UOS720928:UOT720928 UYO720928:UYP720928 VIK720928:VIL720928 VSG720928:VSH720928 WCC720928:WCD720928 WLY720928:WLZ720928 WVU720928:WVV720928 M786464:N786464 JI786464:JJ786464 TE786464:TF786464 ADA786464:ADB786464 AMW786464:AMX786464 AWS786464:AWT786464 BGO786464:BGP786464 BQK786464:BQL786464 CAG786464:CAH786464 CKC786464:CKD786464 CTY786464:CTZ786464 DDU786464:DDV786464 DNQ786464:DNR786464 DXM786464:DXN786464 EHI786464:EHJ786464 ERE786464:ERF786464 FBA786464:FBB786464 FKW786464:FKX786464 FUS786464:FUT786464 GEO786464:GEP786464 GOK786464:GOL786464 GYG786464:GYH786464 HIC786464:HID786464 HRY786464:HRZ786464 IBU786464:IBV786464 ILQ786464:ILR786464 IVM786464:IVN786464 JFI786464:JFJ786464 JPE786464:JPF786464 JZA786464:JZB786464 KIW786464:KIX786464 KSS786464:KST786464 LCO786464:LCP786464 LMK786464:LML786464 LWG786464:LWH786464 MGC786464:MGD786464 MPY786464:MPZ786464 MZU786464:MZV786464 NJQ786464:NJR786464 NTM786464:NTN786464 ODI786464:ODJ786464 ONE786464:ONF786464 OXA786464:OXB786464 PGW786464:PGX786464 PQS786464:PQT786464 QAO786464:QAP786464 QKK786464:QKL786464 QUG786464:QUH786464 REC786464:RED786464 RNY786464:RNZ786464 RXU786464:RXV786464 SHQ786464:SHR786464 SRM786464:SRN786464 TBI786464:TBJ786464 TLE786464:TLF786464 TVA786464:TVB786464 UEW786464:UEX786464 UOS786464:UOT786464 UYO786464:UYP786464 VIK786464:VIL786464 VSG786464:VSH786464 WCC786464:WCD786464 WLY786464:WLZ786464 WVU786464:WVV786464 M852000:N852000 JI852000:JJ852000 TE852000:TF852000 ADA852000:ADB852000 AMW852000:AMX852000 AWS852000:AWT852000 BGO852000:BGP852000 BQK852000:BQL852000 CAG852000:CAH852000 CKC852000:CKD852000 CTY852000:CTZ852000 DDU852000:DDV852000 DNQ852000:DNR852000 DXM852000:DXN852000 EHI852000:EHJ852000 ERE852000:ERF852000 FBA852000:FBB852000 FKW852000:FKX852000 FUS852000:FUT852000 GEO852000:GEP852000 GOK852000:GOL852000 GYG852000:GYH852000 HIC852000:HID852000 HRY852000:HRZ852000 IBU852000:IBV852000 ILQ852000:ILR852000 IVM852000:IVN852000 JFI852000:JFJ852000 JPE852000:JPF852000 JZA852000:JZB852000 KIW852000:KIX852000 KSS852000:KST852000 LCO852000:LCP852000 LMK852000:LML852000 LWG852000:LWH852000 MGC852000:MGD852000 MPY852000:MPZ852000 MZU852000:MZV852000 NJQ852000:NJR852000 NTM852000:NTN852000 ODI852000:ODJ852000 ONE852000:ONF852000 OXA852000:OXB852000 PGW852000:PGX852000 PQS852000:PQT852000 QAO852000:QAP852000 QKK852000:QKL852000 QUG852000:QUH852000 REC852000:RED852000 RNY852000:RNZ852000 RXU852000:RXV852000 SHQ852000:SHR852000 SRM852000:SRN852000 TBI852000:TBJ852000 TLE852000:TLF852000 TVA852000:TVB852000 UEW852000:UEX852000 UOS852000:UOT852000 UYO852000:UYP852000 VIK852000:VIL852000 VSG852000:VSH852000 WCC852000:WCD852000 WLY852000:WLZ852000 WVU852000:WVV852000 M917536:N917536 JI917536:JJ917536 TE917536:TF917536 ADA917536:ADB917536 AMW917536:AMX917536 AWS917536:AWT917536 BGO917536:BGP917536 BQK917536:BQL917536 CAG917536:CAH917536 CKC917536:CKD917536 CTY917536:CTZ917536 DDU917536:DDV917536 DNQ917536:DNR917536 DXM917536:DXN917536 EHI917536:EHJ917536 ERE917536:ERF917536 FBA917536:FBB917536 FKW917536:FKX917536 FUS917536:FUT917536 GEO917536:GEP917536 GOK917536:GOL917536 GYG917536:GYH917536 HIC917536:HID917536 HRY917536:HRZ917536 IBU917536:IBV917536 ILQ917536:ILR917536 IVM917536:IVN917536 JFI917536:JFJ917536 JPE917536:JPF917536 JZA917536:JZB917536 KIW917536:KIX917536 KSS917536:KST917536 LCO917536:LCP917536 LMK917536:LML917536 LWG917536:LWH917536 MGC917536:MGD917536 MPY917536:MPZ917536 MZU917536:MZV917536 NJQ917536:NJR917536 NTM917536:NTN917536 ODI917536:ODJ917536 ONE917536:ONF917536 OXA917536:OXB917536 PGW917536:PGX917536 PQS917536:PQT917536 QAO917536:QAP917536 QKK917536:QKL917536 QUG917536:QUH917536 REC917536:RED917536 RNY917536:RNZ917536 RXU917536:RXV917536 SHQ917536:SHR917536 SRM917536:SRN917536 TBI917536:TBJ917536 TLE917536:TLF917536 TVA917536:TVB917536 UEW917536:UEX917536 UOS917536:UOT917536 UYO917536:UYP917536 VIK917536:VIL917536 VSG917536:VSH917536 WCC917536:WCD917536 WLY917536:WLZ917536 WVU917536:WVV917536 M983072:N983072 JI983072:JJ983072 TE983072:TF983072 ADA983072:ADB983072 AMW983072:AMX983072 AWS983072:AWT983072 BGO983072:BGP983072 BQK983072:BQL983072 CAG983072:CAH983072 CKC983072:CKD983072 CTY983072:CTZ983072 DDU983072:DDV983072 DNQ983072:DNR983072 DXM983072:DXN983072 EHI983072:EHJ983072 ERE983072:ERF983072 FBA983072:FBB983072 FKW983072:FKX983072 FUS983072:FUT983072 GEO983072:GEP983072 GOK983072:GOL983072 GYG983072:GYH983072 HIC983072:HID983072 HRY983072:HRZ983072 IBU983072:IBV983072 ILQ983072:ILR983072 IVM983072:IVN983072 JFI983072:JFJ983072 JPE983072:JPF983072 JZA983072:JZB983072 KIW983072:KIX983072 KSS983072:KST983072 LCO983072:LCP983072 LMK983072:LML983072 LWG983072:LWH983072 MGC983072:MGD983072 MPY983072:MPZ983072 MZU983072:MZV983072 NJQ983072:NJR983072 NTM983072:NTN983072 ODI983072:ODJ983072 ONE983072:ONF983072 OXA983072:OXB983072 PGW983072:PGX983072 PQS983072:PQT983072 QAO983072:QAP983072 QKK983072:QKL983072 QUG983072:QUH983072 REC983072:RED983072 RNY983072:RNZ983072 RXU983072:RXV983072 SHQ983072:SHR983072 SRM983072:SRN983072 TBI983072:TBJ983072 TLE983072:TLF983072 TVA983072:TVB983072 UEW983072:UEX983072 UOS983072:UOT983072 UYO983072:UYP983072 VIK983072:VIL983072 VSG983072:VSH983072 WCC983072:WCD983072 WLY983072:WLZ983072 WVU983072:WVV983072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formula1>"Yes,No,NA"</formula1>
    </dataValidation>
    <dataValidation type="list" allowBlank="1" showInputMessage="1" showErrorMessage="1" sqref="J26:J30 JF26:JF30 TB26:TB30 ACX26:ACX30 AMT26:AMT30 AWP26:AWP30 BGL26:BGL30 BQH26:BQH30 CAD26:CAD30 CJZ26:CJZ30 CTV26:CTV30 DDR26:DDR30 DNN26:DNN30 DXJ26:DXJ30 EHF26:EHF30 ERB26:ERB30 FAX26:FAX30 FKT26:FKT30 FUP26:FUP30 GEL26:GEL30 GOH26:GOH30 GYD26:GYD30 HHZ26:HHZ30 HRV26:HRV30 IBR26:IBR30 ILN26:ILN30 IVJ26:IVJ30 JFF26:JFF30 JPB26:JPB30 JYX26:JYX30 KIT26:KIT30 KSP26:KSP30 LCL26:LCL30 LMH26:LMH30 LWD26:LWD30 MFZ26:MFZ30 MPV26:MPV30 MZR26:MZR30 NJN26:NJN30 NTJ26:NTJ30 ODF26:ODF30 ONB26:ONB30 OWX26:OWX30 PGT26:PGT30 PQP26:PQP30 QAL26:QAL30 QKH26:QKH30 QUD26:QUD30 RDZ26:RDZ30 RNV26:RNV30 RXR26:RXR30 SHN26:SHN30 SRJ26:SRJ30 TBF26:TBF30 TLB26:TLB30 TUX26:TUX30 UET26:UET30 UOP26:UOP30 UYL26:UYL30 VIH26:VIH30 VSD26:VSD30 WBZ26:WBZ30 WLV26:WLV30 WVR26:WVR30 J65562:J65566 JF65562:JF65566 TB65562:TB65566 ACX65562:ACX65566 AMT65562:AMT65566 AWP65562:AWP65566 BGL65562:BGL65566 BQH65562:BQH65566 CAD65562:CAD65566 CJZ65562:CJZ65566 CTV65562:CTV65566 DDR65562:DDR65566 DNN65562:DNN65566 DXJ65562:DXJ65566 EHF65562:EHF65566 ERB65562:ERB65566 FAX65562:FAX65566 FKT65562:FKT65566 FUP65562:FUP65566 GEL65562:GEL65566 GOH65562:GOH65566 GYD65562:GYD65566 HHZ65562:HHZ65566 HRV65562:HRV65566 IBR65562:IBR65566 ILN65562:ILN65566 IVJ65562:IVJ65566 JFF65562:JFF65566 JPB65562:JPB65566 JYX65562:JYX65566 KIT65562:KIT65566 KSP65562:KSP65566 LCL65562:LCL65566 LMH65562:LMH65566 LWD65562:LWD65566 MFZ65562:MFZ65566 MPV65562:MPV65566 MZR65562:MZR65566 NJN65562:NJN65566 NTJ65562:NTJ65566 ODF65562:ODF65566 ONB65562:ONB65566 OWX65562:OWX65566 PGT65562:PGT65566 PQP65562:PQP65566 QAL65562:QAL65566 QKH65562:QKH65566 QUD65562:QUD65566 RDZ65562:RDZ65566 RNV65562:RNV65566 RXR65562:RXR65566 SHN65562:SHN65566 SRJ65562:SRJ65566 TBF65562:TBF65566 TLB65562:TLB65566 TUX65562:TUX65566 UET65562:UET65566 UOP65562:UOP65566 UYL65562:UYL65566 VIH65562:VIH65566 VSD65562:VSD65566 WBZ65562:WBZ65566 WLV65562:WLV65566 WVR65562:WVR65566 J131098:J131102 JF131098:JF131102 TB131098:TB131102 ACX131098:ACX131102 AMT131098:AMT131102 AWP131098:AWP131102 BGL131098:BGL131102 BQH131098:BQH131102 CAD131098:CAD131102 CJZ131098:CJZ131102 CTV131098:CTV131102 DDR131098:DDR131102 DNN131098:DNN131102 DXJ131098:DXJ131102 EHF131098:EHF131102 ERB131098:ERB131102 FAX131098:FAX131102 FKT131098:FKT131102 FUP131098:FUP131102 GEL131098:GEL131102 GOH131098:GOH131102 GYD131098:GYD131102 HHZ131098:HHZ131102 HRV131098:HRV131102 IBR131098:IBR131102 ILN131098:ILN131102 IVJ131098:IVJ131102 JFF131098:JFF131102 JPB131098:JPB131102 JYX131098:JYX131102 KIT131098:KIT131102 KSP131098:KSP131102 LCL131098:LCL131102 LMH131098:LMH131102 LWD131098:LWD131102 MFZ131098:MFZ131102 MPV131098:MPV131102 MZR131098:MZR131102 NJN131098:NJN131102 NTJ131098:NTJ131102 ODF131098:ODF131102 ONB131098:ONB131102 OWX131098:OWX131102 PGT131098:PGT131102 PQP131098:PQP131102 QAL131098:QAL131102 QKH131098:QKH131102 QUD131098:QUD131102 RDZ131098:RDZ131102 RNV131098:RNV131102 RXR131098:RXR131102 SHN131098:SHN131102 SRJ131098:SRJ131102 TBF131098:TBF131102 TLB131098:TLB131102 TUX131098:TUX131102 UET131098:UET131102 UOP131098:UOP131102 UYL131098:UYL131102 VIH131098:VIH131102 VSD131098:VSD131102 WBZ131098:WBZ131102 WLV131098:WLV131102 WVR131098:WVR131102 J196634:J196638 JF196634:JF196638 TB196634:TB196638 ACX196634:ACX196638 AMT196634:AMT196638 AWP196634:AWP196638 BGL196634:BGL196638 BQH196634:BQH196638 CAD196634:CAD196638 CJZ196634:CJZ196638 CTV196634:CTV196638 DDR196634:DDR196638 DNN196634:DNN196638 DXJ196634:DXJ196638 EHF196634:EHF196638 ERB196634:ERB196638 FAX196634:FAX196638 FKT196634:FKT196638 FUP196634:FUP196638 GEL196634:GEL196638 GOH196634:GOH196638 GYD196634:GYD196638 HHZ196634:HHZ196638 HRV196634:HRV196638 IBR196634:IBR196638 ILN196634:ILN196638 IVJ196634:IVJ196638 JFF196634:JFF196638 JPB196634:JPB196638 JYX196634:JYX196638 KIT196634:KIT196638 KSP196634:KSP196638 LCL196634:LCL196638 LMH196634:LMH196638 LWD196634:LWD196638 MFZ196634:MFZ196638 MPV196634:MPV196638 MZR196634:MZR196638 NJN196634:NJN196638 NTJ196634:NTJ196638 ODF196634:ODF196638 ONB196634:ONB196638 OWX196634:OWX196638 PGT196634:PGT196638 PQP196634:PQP196638 QAL196634:QAL196638 QKH196634:QKH196638 QUD196634:QUD196638 RDZ196634:RDZ196638 RNV196634:RNV196638 RXR196634:RXR196638 SHN196634:SHN196638 SRJ196634:SRJ196638 TBF196634:TBF196638 TLB196634:TLB196638 TUX196634:TUX196638 UET196634:UET196638 UOP196634:UOP196638 UYL196634:UYL196638 VIH196634:VIH196638 VSD196634:VSD196638 WBZ196634:WBZ196638 WLV196634:WLV196638 WVR196634:WVR196638 J262170:J262174 JF262170:JF262174 TB262170:TB262174 ACX262170:ACX262174 AMT262170:AMT262174 AWP262170:AWP262174 BGL262170:BGL262174 BQH262170:BQH262174 CAD262170:CAD262174 CJZ262170:CJZ262174 CTV262170:CTV262174 DDR262170:DDR262174 DNN262170:DNN262174 DXJ262170:DXJ262174 EHF262170:EHF262174 ERB262170:ERB262174 FAX262170:FAX262174 FKT262170:FKT262174 FUP262170:FUP262174 GEL262170:GEL262174 GOH262170:GOH262174 GYD262170:GYD262174 HHZ262170:HHZ262174 HRV262170:HRV262174 IBR262170:IBR262174 ILN262170:ILN262174 IVJ262170:IVJ262174 JFF262170:JFF262174 JPB262170:JPB262174 JYX262170:JYX262174 KIT262170:KIT262174 KSP262170:KSP262174 LCL262170:LCL262174 LMH262170:LMH262174 LWD262170:LWD262174 MFZ262170:MFZ262174 MPV262170:MPV262174 MZR262170:MZR262174 NJN262170:NJN262174 NTJ262170:NTJ262174 ODF262170:ODF262174 ONB262170:ONB262174 OWX262170:OWX262174 PGT262170:PGT262174 PQP262170:PQP262174 QAL262170:QAL262174 QKH262170:QKH262174 QUD262170:QUD262174 RDZ262170:RDZ262174 RNV262170:RNV262174 RXR262170:RXR262174 SHN262170:SHN262174 SRJ262170:SRJ262174 TBF262170:TBF262174 TLB262170:TLB262174 TUX262170:TUX262174 UET262170:UET262174 UOP262170:UOP262174 UYL262170:UYL262174 VIH262170:VIH262174 VSD262170:VSD262174 WBZ262170:WBZ262174 WLV262170:WLV262174 WVR262170:WVR262174 J327706:J327710 JF327706:JF327710 TB327706:TB327710 ACX327706:ACX327710 AMT327706:AMT327710 AWP327706:AWP327710 BGL327706:BGL327710 BQH327706:BQH327710 CAD327706:CAD327710 CJZ327706:CJZ327710 CTV327706:CTV327710 DDR327706:DDR327710 DNN327706:DNN327710 DXJ327706:DXJ327710 EHF327706:EHF327710 ERB327706:ERB327710 FAX327706:FAX327710 FKT327706:FKT327710 FUP327706:FUP327710 GEL327706:GEL327710 GOH327706:GOH327710 GYD327706:GYD327710 HHZ327706:HHZ327710 HRV327706:HRV327710 IBR327706:IBR327710 ILN327706:ILN327710 IVJ327706:IVJ327710 JFF327706:JFF327710 JPB327706:JPB327710 JYX327706:JYX327710 KIT327706:KIT327710 KSP327706:KSP327710 LCL327706:LCL327710 LMH327706:LMH327710 LWD327706:LWD327710 MFZ327706:MFZ327710 MPV327706:MPV327710 MZR327706:MZR327710 NJN327706:NJN327710 NTJ327706:NTJ327710 ODF327706:ODF327710 ONB327706:ONB327710 OWX327706:OWX327710 PGT327706:PGT327710 PQP327706:PQP327710 QAL327706:QAL327710 QKH327706:QKH327710 QUD327706:QUD327710 RDZ327706:RDZ327710 RNV327706:RNV327710 RXR327706:RXR327710 SHN327706:SHN327710 SRJ327706:SRJ327710 TBF327706:TBF327710 TLB327706:TLB327710 TUX327706:TUX327710 UET327706:UET327710 UOP327706:UOP327710 UYL327706:UYL327710 VIH327706:VIH327710 VSD327706:VSD327710 WBZ327706:WBZ327710 WLV327706:WLV327710 WVR327706:WVR327710 J393242:J393246 JF393242:JF393246 TB393242:TB393246 ACX393242:ACX393246 AMT393242:AMT393246 AWP393242:AWP393246 BGL393242:BGL393246 BQH393242:BQH393246 CAD393242:CAD393246 CJZ393242:CJZ393246 CTV393242:CTV393246 DDR393242:DDR393246 DNN393242:DNN393246 DXJ393242:DXJ393246 EHF393242:EHF393246 ERB393242:ERB393246 FAX393242:FAX393246 FKT393242:FKT393246 FUP393242:FUP393246 GEL393242:GEL393246 GOH393242:GOH393246 GYD393242:GYD393246 HHZ393242:HHZ393246 HRV393242:HRV393246 IBR393242:IBR393246 ILN393242:ILN393246 IVJ393242:IVJ393246 JFF393242:JFF393246 JPB393242:JPB393246 JYX393242:JYX393246 KIT393242:KIT393246 KSP393242:KSP393246 LCL393242:LCL393246 LMH393242:LMH393246 LWD393242:LWD393246 MFZ393242:MFZ393246 MPV393242:MPV393246 MZR393242:MZR393246 NJN393242:NJN393246 NTJ393242:NTJ393246 ODF393242:ODF393246 ONB393242:ONB393246 OWX393242:OWX393246 PGT393242:PGT393246 PQP393242:PQP393246 QAL393242:QAL393246 QKH393242:QKH393246 QUD393242:QUD393246 RDZ393242:RDZ393246 RNV393242:RNV393246 RXR393242:RXR393246 SHN393242:SHN393246 SRJ393242:SRJ393246 TBF393242:TBF393246 TLB393242:TLB393246 TUX393242:TUX393246 UET393242:UET393246 UOP393242:UOP393246 UYL393242:UYL393246 VIH393242:VIH393246 VSD393242:VSD393246 WBZ393242:WBZ393246 WLV393242:WLV393246 WVR393242:WVR393246 J458778:J458782 JF458778:JF458782 TB458778:TB458782 ACX458778:ACX458782 AMT458778:AMT458782 AWP458778:AWP458782 BGL458778:BGL458782 BQH458778:BQH458782 CAD458778:CAD458782 CJZ458778:CJZ458782 CTV458778:CTV458782 DDR458778:DDR458782 DNN458778:DNN458782 DXJ458778:DXJ458782 EHF458778:EHF458782 ERB458778:ERB458782 FAX458778:FAX458782 FKT458778:FKT458782 FUP458778:FUP458782 GEL458778:GEL458782 GOH458778:GOH458782 GYD458778:GYD458782 HHZ458778:HHZ458782 HRV458778:HRV458782 IBR458778:IBR458782 ILN458778:ILN458782 IVJ458778:IVJ458782 JFF458778:JFF458782 JPB458778:JPB458782 JYX458778:JYX458782 KIT458778:KIT458782 KSP458778:KSP458782 LCL458778:LCL458782 LMH458778:LMH458782 LWD458778:LWD458782 MFZ458778:MFZ458782 MPV458778:MPV458782 MZR458778:MZR458782 NJN458778:NJN458782 NTJ458778:NTJ458782 ODF458778:ODF458782 ONB458778:ONB458782 OWX458778:OWX458782 PGT458778:PGT458782 PQP458778:PQP458782 QAL458778:QAL458782 QKH458778:QKH458782 QUD458778:QUD458782 RDZ458778:RDZ458782 RNV458778:RNV458782 RXR458778:RXR458782 SHN458778:SHN458782 SRJ458778:SRJ458782 TBF458778:TBF458782 TLB458778:TLB458782 TUX458778:TUX458782 UET458778:UET458782 UOP458778:UOP458782 UYL458778:UYL458782 VIH458778:VIH458782 VSD458778:VSD458782 WBZ458778:WBZ458782 WLV458778:WLV458782 WVR458778:WVR458782 J524314:J524318 JF524314:JF524318 TB524314:TB524318 ACX524314:ACX524318 AMT524314:AMT524318 AWP524314:AWP524318 BGL524314:BGL524318 BQH524314:BQH524318 CAD524314:CAD524318 CJZ524314:CJZ524318 CTV524314:CTV524318 DDR524314:DDR524318 DNN524314:DNN524318 DXJ524314:DXJ524318 EHF524314:EHF524318 ERB524314:ERB524318 FAX524314:FAX524318 FKT524314:FKT524318 FUP524314:FUP524318 GEL524314:GEL524318 GOH524314:GOH524318 GYD524314:GYD524318 HHZ524314:HHZ524318 HRV524314:HRV524318 IBR524314:IBR524318 ILN524314:ILN524318 IVJ524314:IVJ524318 JFF524314:JFF524318 JPB524314:JPB524318 JYX524314:JYX524318 KIT524314:KIT524318 KSP524314:KSP524318 LCL524314:LCL524318 LMH524314:LMH524318 LWD524314:LWD524318 MFZ524314:MFZ524318 MPV524314:MPV524318 MZR524314:MZR524318 NJN524314:NJN524318 NTJ524314:NTJ524318 ODF524314:ODF524318 ONB524314:ONB524318 OWX524314:OWX524318 PGT524314:PGT524318 PQP524314:PQP524318 QAL524314:QAL524318 QKH524314:QKH524318 QUD524314:QUD524318 RDZ524314:RDZ524318 RNV524314:RNV524318 RXR524314:RXR524318 SHN524314:SHN524318 SRJ524314:SRJ524318 TBF524314:TBF524318 TLB524314:TLB524318 TUX524314:TUX524318 UET524314:UET524318 UOP524314:UOP524318 UYL524314:UYL524318 VIH524314:VIH524318 VSD524314:VSD524318 WBZ524314:WBZ524318 WLV524314:WLV524318 WVR524314:WVR524318 J589850:J589854 JF589850:JF589854 TB589850:TB589854 ACX589850:ACX589854 AMT589850:AMT589854 AWP589850:AWP589854 BGL589850:BGL589854 BQH589850:BQH589854 CAD589850:CAD589854 CJZ589850:CJZ589854 CTV589850:CTV589854 DDR589850:DDR589854 DNN589850:DNN589854 DXJ589850:DXJ589854 EHF589850:EHF589854 ERB589850:ERB589854 FAX589850:FAX589854 FKT589850:FKT589854 FUP589850:FUP589854 GEL589850:GEL589854 GOH589850:GOH589854 GYD589850:GYD589854 HHZ589850:HHZ589854 HRV589850:HRV589854 IBR589850:IBR589854 ILN589850:ILN589854 IVJ589850:IVJ589854 JFF589850:JFF589854 JPB589850:JPB589854 JYX589850:JYX589854 KIT589850:KIT589854 KSP589850:KSP589854 LCL589850:LCL589854 LMH589850:LMH589854 LWD589850:LWD589854 MFZ589850:MFZ589854 MPV589850:MPV589854 MZR589850:MZR589854 NJN589850:NJN589854 NTJ589850:NTJ589854 ODF589850:ODF589854 ONB589850:ONB589854 OWX589850:OWX589854 PGT589850:PGT589854 PQP589850:PQP589854 QAL589850:QAL589854 QKH589850:QKH589854 QUD589850:QUD589854 RDZ589850:RDZ589854 RNV589850:RNV589854 RXR589850:RXR589854 SHN589850:SHN589854 SRJ589850:SRJ589854 TBF589850:TBF589854 TLB589850:TLB589854 TUX589850:TUX589854 UET589850:UET589854 UOP589850:UOP589854 UYL589850:UYL589854 VIH589850:VIH589854 VSD589850:VSD589854 WBZ589850:WBZ589854 WLV589850:WLV589854 WVR589850:WVR589854 J655386:J655390 JF655386:JF655390 TB655386:TB655390 ACX655386:ACX655390 AMT655386:AMT655390 AWP655386:AWP655390 BGL655386:BGL655390 BQH655386:BQH655390 CAD655386:CAD655390 CJZ655386:CJZ655390 CTV655386:CTV655390 DDR655386:DDR655390 DNN655386:DNN655390 DXJ655386:DXJ655390 EHF655386:EHF655390 ERB655386:ERB655390 FAX655386:FAX655390 FKT655386:FKT655390 FUP655386:FUP655390 GEL655386:GEL655390 GOH655386:GOH655390 GYD655386:GYD655390 HHZ655386:HHZ655390 HRV655386:HRV655390 IBR655386:IBR655390 ILN655386:ILN655390 IVJ655386:IVJ655390 JFF655386:JFF655390 JPB655386:JPB655390 JYX655386:JYX655390 KIT655386:KIT655390 KSP655386:KSP655390 LCL655386:LCL655390 LMH655386:LMH655390 LWD655386:LWD655390 MFZ655386:MFZ655390 MPV655386:MPV655390 MZR655386:MZR655390 NJN655386:NJN655390 NTJ655386:NTJ655390 ODF655386:ODF655390 ONB655386:ONB655390 OWX655386:OWX655390 PGT655386:PGT655390 PQP655386:PQP655390 QAL655386:QAL655390 QKH655386:QKH655390 QUD655386:QUD655390 RDZ655386:RDZ655390 RNV655386:RNV655390 RXR655386:RXR655390 SHN655386:SHN655390 SRJ655386:SRJ655390 TBF655386:TBF655390 TLB655386:TLB655390 TUX655386:TUX655390 UET655386:UET655390 UOP655386:UOP655390 UYL655386:UYL655390 VIH655386:VIH655390 VSD655386:VSD655390 WBZ655386:WBZ655390 WLV655386:WLV655390 WVR655386:WVR655390 J720922:J720926 JF720922:JF720926 TB720922:TB720926 ACX720922:ACX720926 AMT720922:AMT720926 AWP720922:AWP720926 BGL720922:BGL720926 BQH720922:BQH720926 CAD720922:CAD720926 CJZ720922:CJZ720926 CTV720922:CTV720926 DDR720922:DDR720926 DNN720922:DNN720926 DXJ720922:DXJ720926 EHF720922:EHF720926 ERB720922:ERB720926 FAX720922:FAX720926 FKT720922:FKT720926 FUP720922:FUP720926 GEL720922:GEL720926 GOH720922:GOH720926 GYD720922:GYD720926 HHZ720922:HHZ720926 HRV720922:HRV720926 IBR720922:IBR720926 ILN720922:ILN720926 IVJ720922:IVJ720926 JFF720922:JFF720926 JPB720922:JPB720926 JYX720922:JYX720926 KIT720922:KIT720926 KSP720922:KSP720926 LCL720922:LCL720926 LMH720922:LMH720926 LWD720922:LWD720926 MFZ720922:MFZ720926 MPV720922:MPV720926 MZR720922:MZR720926 NJN720922:NJN720926 NTJ720922:NTJ720926 ODF720922:ODF720926 ONB720922:ONB720926 OWX720922:OWX720926 PGT720922:PGT720926 PQP720922:PQP720926 QAL720922:QAL720926 QKH720922:QKH720926 QUD720922:QUD720926 RDZ720922:RDZ720926 RNV720922:RNV720926 RXR720922:RXR720926 SHN720922:SHN720926 SRJ720922:SRJ720926 TBF720922:TBF720926 TLB720922:TLB720926 TUX720922:TUX720926 UET720922:UET720926 UOP720922:UOP720926 UYL720922:UYL720926 VIH720922:VIH720926 VSD720922:VSD720926 WBZ720922:WBZ720926 WLV720922:WLV720926 WVR720922:WVR720926 J786458:J786462 JF786458:JF786462 TB786458:TB786462 ACX786458:ACX786462 AMT786458:AMT786462 AWP786458:AWP786462 BGL786458:BGL786462 BQH786458:BQH786462 CAD786458:CAD786462 CJZ786458:CJZ786462 CTV786458:CTV786462 DDR786458:DDR786462 DNN786458:DNN786462 DXJ786458:DXJ786462 EHF786458:EHF786462 ERB786458:ERB786462 FAX786458:FAX786462 FKT786458:FKT786462 FUP786458:FUP786462 GEL786458:GEL786462 GOH786458:GOH786462 GYD786458:GYD786462 HHZ786458:HHZ786462 HRV786458:HRV786462 IBR786458:IBR786462 ILN786458:ILN786462 IVJ786458:IVJ786462 JFF786458:JFF786462 JPB786458:JPB786462 JYX786458:JYX786462 KIT786458:KIT786462 KSP786458:KSP786462 LCL786458:LCL786462 LMH786458:LMH786462 LWD786458:LWD786462 MFZ786458:MFZ786462 MPV786458:MPV786462 MZR786458:MZR786462 NJN786458:NJN786462 NTJ786458:NTJ786462 ODF786458:ODF786462 ONB786458:ONB786462 OWX786458:OWX786462 PGT786458:PGT786462 PQP786458:PQP786462 QAL786458:QAL786462 QKH786458:QKH786462 QUD786458:QUD786462 RDZ786458:RDZ786462 RNV786458:RNV786462 RXR786458:RXR786462 SHN786458:SHN786462 SRJ786458:SRJ786462 TBF786458:TBF786462 TLB786458:TLB786462 TUX786458:TUX786462 UET786458:UET786462 UOP786458:UOP786462 UYL786458:UYL786462 VIH786458:VIH786462 VSD786458:VSD786462 WBZ786458:WBZ786462 WLV786458:WLV786462 WVR786458:WVR786462 J851994:J851998 JF851994:JF851998 TB851994:TB851998 ACX851994:ACX851998 AMT851994:AMT851998 AWP851994:AWP851998 BGL851994:BGL851998 BQH851994:BQH851998 CAD851994:CAD851998 CJZ851994:CJZ851998 CTV851994:CTV851998 DDR851994:DDR851998 DNN851994:DNN851998 DXJ851994:DXJ851998 EHF851994:EHF851998 ERB851994:ERB851998 FAX851994:FAX851998 FKT851994:FKT851998 FUP851994:FUP851998 GEL851994:GEL851998 GOH851994:GOH851998 GYD851994:GYD851998 HHZ851994:HHZ851998 HRV851994:HRV851998 IBR851994:IBR851998 ILN851994:ILN851998 IVJ851994:IVJ851998 JFF851994:JFF851998 JPB851994:JPB851998 JYX851994:JYX851998 KIT851994:KIT851998 KSP851994:KSP851998 LCL851994:LCL851998 LMH851994:LMH851998 LWD851994:LWD851998 MFZ851994:MFZ851998 MPV851994:MPV851998 MZR851994:MZR851998 NJN851994:NJN851998 NTJ851994:NTJ851998 ODF851994:ODF851998 ONB851994:ONB851998 OWX851994:OWX851998 PGT851994:PGT851998 PQP851994:PQP851998 QAL851994:QAL851998 QKH851994:QKH851998 QUD851994:QUD851998 RDZ851994:RDZ851998 RNV851994:RNV851998 RXR851994:RXR851998 SHN851994:SHN851998 SRJ851994:SRJ851998 TBF851994:TBF851998 TLB851994:TLB851998 TUX851994:TUX851998 UET851994:UET851998 UOP851994:UOP851998 UYL851994:UYL851998 VIH851994:VIH851998 VSD851994:VSD851998 WBZ851994:WBZ851998 WLV851994:WLV851998 WVR851994:WVR851998 J917530:J917534 JF917530:JF917534 TB917530:TB917534 ACX917530:ACX917534 AMT917530:AMT917534 AWP917530:AWP917534 BGL917530:BGL917534 BQH917530:BQH917534 CAD917530:CAD917534 CJZ917530:CJZ917534 CTV917530:CTV917534 DDR917530:DDR917534 DNN917530:DNN917534 DXJ917530:DXJ917534 EHF917530:EHF917534 ERB917530:ERB917534 FAX917530:FAX917534 FKT917530:FKT917534 FUP917530:FUP917534 GEL917530:GEL917534 GOH917530:GOH917534 GYD917530:GYD917534 HHZ917530:HHZ917534 HRV917530:HRV917534 IBR917530:IBR917534 ILN917530:ILN917534 IVJ917530:IVJ917534 JFF917530:JFF917534 JPB917530:JPB917534 JYX917530:JYX917534 KIT917530:KIT917534 KSP917530:KSP917534 LCL917530:LCL917534 LMH917530:LMH917534 LWD917530:LWD917534 MFZ917530:MFZ917534 MPV917530:MPV917534 MZR917530:MZR917534 NJN917530:NJN917534 NTJ917530:NTJ917534 ODF917530:ODF917534 ONB917530:ONB917534 OWX917530:OWX917534 PGT917530:PGT917534 PQP917530:PQP917534 QAL917530:QAL917534 QKH917530:QKH917534 QUD917530:QUD917534 RDZ917530:RDZ917534 RNV917530:RNV917534 RXR917530:RXR917534 SHN917530:SHN917534 SRJ917530:SRJ917534 TBF917530:TBF917534 TLB917530:TLB917534 TUX917530:TUX917534 UET917530:UET917534 UOP917530:UOP917534 UYL917530:UYL917534 VIH917530:VIH917534 VSD917530:VSD917534 WBZ917530:WBZ917534 WLV917530:WLV917534 WVR917530:WVR917534 J983066:J983070 JF983066:JF983070 TB983066:TB983070 ACX983066:ACX983070 AMT983066:AMT983070 AWP983066:AWP983070 BGL983066:BGL983070 BQH983066:BQH983070 CAD983066:CAD983070 CJZ983066:CJZ983070 CTV983066:CTV983070 DDR983066:DDR983070 DNN983066:DNN983070 DXJ983066:DXJ983070 EHF983066:EHF983070 ERB983066:ERB983070 FAX983066:FAX983070 FKT983066:FKT983070 FUP983066:FUP983070 GEL983066:GEL983070 GOH983066:GOH983070 GYD983066:GYD983070 HHZ983066:HHZ983070 HRV983066:HRV983070 IBR983066:IBR983070 ILN983066:ILN983070 IVJ983066:IVJ983070 JFF983066:JFF983070 JPB983066:JPB983070 JYX983066:JYX983070 KIT983066:KIT983070 KSP983066:KSP983070 LCL983066:LCL983070 LMH983066:LMH983070 LWD983066:LWD983070 MFZ983066:MFZ983070 MPV983066:MPV983070 MZR983066:MZR983070 NJN983066:NJN983070 NTJ983066:NTJ983070 ODF983066:ODF983070 ONB983066:ONB983070 OWX983066:OWX983070 PGT983066:PGT983070 PQP983066:PQP983070 QAL983066:QAL983070 QKH983066:QKH983070 QUD983066:QUD983070 RDZ983066:RDZ983070 RNV983066:RNV983070 RXR983066:RXR983070 SHN983066:SHN983070 SRJ983066:SRJ983070 TBF983066:TBF983070 TLB983066:TLB983070 TUX983066:TUX983070 UET983066:UET983070 UOP983066:UOP983070 UYL983066:UYL983070 VIH983066:VIH983070 VSD983066:VSD983070 WBZ983066:WBZ983070 WLV983066:WLV983070 WVR983066:WVR983070">
      <formula1>"Yes,No"</formula1>
    </dataValidation>
  </dataValidations>
  <hyperlinks>
    <hyperlink ref="A1" location="'Table Of Contents'!A1" display="TOC"/>
  </hyperlinks>
  <pageMargins left="0.25" right="0.25" top="0.75" bottom="0.75" header="0.3" footer="0.3"/>
  <pageSetup scale="47" orientation="landscape" r:id="rId1"/>
  <headerFooter alignWithMargins="0"/>
  <colBreaks count="1" manualBreakCount="1">
    <brk id="16" max="4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66FF33"/>
  </sheetPr>
  <dimension ref="A1:BT142"/>
  <sheetViews>
    <sheetView showGridLines="0" view="pageBreakPreview" zoomScaleNormal="75" zoomScaleSheetLayoutView="100" workbookViewId="0">
      <selection activeCell="B1" sqref="B1"/>
    </sheetView>
  </sheetViews>
  <sheetFormatPr defaultRowHeight="12.75"/>
  <cols>
    <col min="1" max="1" width="9.28515625" style="953" customWidth="1"/>
    <col min="2" max="2" width="20" style="953" customWidth="1"/>
    <col min="3" max="3" width="20.42578125" style="953" customWidth="1"/>
    <col min="4" max="4" width="20.28515625" style="953" customWidth="1"/>
    <col min="5" max="5" width="12.42578125" style="953" customWidth="1"/>
    <col min="6" max="6" width="13.140625" style="953" customWidth="1"/>
    <col min="7" max="7" width="10.140625" style="953" customWidth="1"/>
    <col min="8" max="8" width="7.7109375" style="953" customWidth="1"/>
    <col min="9" max="9" width="11" style="953" customWidth="1"/>
    <col min="10" max="10" width="14.5703125" style="953" customWidth="1"/>
    <col min="11" max="11" width="7.7109375" style="953" customWidth="1"/>
    <col min="12" max="12" width="11.42578125" style="953" customWidth="1"/>
    <col min="13" max="13" width="10.42578125" style="953" customWidth="1"/>
    <col min="14" max="14" width="5.7109375" style="953" customWidth="1"/>
    <col min="15" max="15" width="7" style="953" customWidth="1"/>
    <col min="16" max="16" width="29.140625" style="953" customWidth="1"/>
    <col min="17" max="21" width="9.140625" style="953"/>
    <col min="22" max="22" width="9.140625" style="953" hidden="1" customWidth="1"/>
    <col min="23" max="256" width="9.140625" style="953"/>
    <col min="257" max="257" width="9.28515625" style="953" customWidth="1"/>
    <col min="258" max="258" width="20" style="953" customWidth="1"/>
    <col min="259" max="259" width="20.42578125" style="953" customWidth="1"/>
    <col min="260" max="260" width="20.28515625" style="953" customWidth="1"/>
    <col min="261" max="261" width="12.42578125" style="953" customWidth="1"/>
    <col min="262" max="262" width="13.140625" style="953" customWidth="1"/>
    <col min="263" max="263" width="10.140625" style="953" customWidth="1"/>
    <col min="264" max="264" width="7.7109375" style="953" customWidth="1"/>
    <col min="265" max="265" width="11" style="953" customWidth="1"/>
    <col min="266" max="266" width="14.5703125" style="953" customWidth="1"/>
    <col min="267" max="267" width="7.7109375" style="953" customWidth="1"/>
    <col min="268" max="268" width="11.42578125" style="953" customWidth="1"/>
    <col min="269" max="269" width="10.42578125" style="953" customWidth="1"/>
    <col min="270" max="270" width="5.7109375" style="953" customWidth="1"/>
    <col min="271" max="271" width="7" style="953" customWidth="1"/>
    <col min="272" max="272" width="29.140625" style="953" customWidth="1"/>
    <col min="273" max="277" width="9.140625" style="953"/>
    <col min="278" max="278" width="0" style="953" hidden="1" customWidth="1"/>
    <col min="279" max="512" width="9.140625" style="953"/>
    <col min="513" max="513" width="9.28515625" style="953" customWidth="1"/>
    <col min="514" max="514" width="20" style="953" customWidth="1"/>
    <col min="515" max="515" width="20.42578125" style="953" customWidth="1"/>
    <col min="516" max="516" width="20.28515625" style="953" customWidth="1"/>
    <col min="517" max="517" width="12.42578125" style="953" customWidth="1"/>
    <col min="518" max="518" width="13.140625" style="953" customWidth="1"/>
    <col min="519" max="519" width="10.140625" style="953" customWidth="1"/>
    <col min="520" max="520" width="7.7109375" style="953" customWidth="1"/>
    <col min="521" max="521" width="11" style="953" customWidth="1"/>
    <col min="522" max="522" width="14.5703125" style="953" customWidth="1"/>
    <col min="523" max="523" width="7.7109375" style="953" customWidth="1"/>
    <col min="524" max="524" width="11.42578125" style="953" customWidth="1"/>
    <col min="525" max="525" width="10.42578125" style="953" customWidth="1"/>
    <col min="526" max="526" width="5.7109375" style="953" customWidth="1"/>
    <col min="527" max="527" width="7" style="953" customWidth="1"/>
    <col min="528" max="528" width="29.140625" style="953" customWidth="1"/>
    <col min="529" max="533" width="9.140625" style="953"/>
    <col min="534" max="534" width="0" style="953" hidden="1" customWidth="1"/>
    <col min="535" max="768" width="9.140625" style="953"/>
    <col min="769" max="769" width="9.28515625" style="953" customWidth="1"/>
    <col min="770" max="770" width="20" style="953" customWidth="1"/>
    <col min="771" max="771" width="20.42578125" style="953" customWidth="1"/>
    <col min="772" max="772" width="20.28515625" style="953" customWidth="1"/>
    <col min="773" max="773" width="12.42578125" style="953" customWidth="1"/>
    <col min="774" max="774" width="13.140625" style="953" customWidth="1"/>
    <col min="775" max="775" width="10.140625" style="953" customWidth="1"/>
    <col min="776" max="776" width="7.7109375" style="953" customWidth="1"/>
    <col min="777" max="777" width="11" style="953" customWidth="1"/>
    <col min="778" max="778" width="14.5703125" style="953" customWidth="1"/>
    <col min="779" max="779" width="7.7109375" style="953" customWidth="1"/>
    <col min="780" max="780" width="11.42578125" style="953" customWidth="1"/>
    <col min="781" max="781" width="10.42578125" style="953" customWidth="1"/>
    <col min="782" max="782" width="5.7109375" style="953" customWidth="1"/>
    <col min="783" max="783" width="7" style="953" customWidth="1"/>
    <col min="784" max="784" width="29.140625" style="953" customWidth="1"/>
    <col min="785" max="789" width="9.140625" style="953"/>
    <col min="790" max="790" width="0" style="953" hidden="1" customWidth="1"/>
    <col min="791" max="1024" width="9.140625" style="953"/>
    <col min="1025" max="1025" width="9.28515625" style="953" customWidth="1"/>
    <col min="1026" max="1026" width="20" style="953" customWidth="1"/>
    <col min="1027" max="1027" width="20.42578125" style="953" customWidth="1"/>
    <col min="1028" max="1028" width="20.28515625" style="953" customWidth="1"/>
    <col min="1029" max="1029" width="12.42578125" style="953" customWidth="1"/>
    <col min="1030" max="1030" width="13.140625" style="953" customWidth="1"/>
    <col min="1031" max="1031" width="10.140625" style="953" customWidth="1"/>
    <col min="1032" max="1032" width="7.7109375" style="953" customWidth="1"/>
    <col min="1033" max="1033" width="11" style="953" customWidth="1"/>
    <col min="1034" max="1034" width="14.5703125" style="953" customWidth="1"/>
    <col min="1035" max="1035" width="7.7109375" style="953" customWidth="1"/>
    <col min="1036" max="1036" width="11.42578125" style="953" customWidth="1"/>
    <col min="1037" max="1037" width="10.42578125" style="953" customWidth="1"/>
    <col min="1038" max="1038" width="5.7109375" style="953" customWidth="1"/>
    <col min="1039" max="1039" width="7" style="953" customWidth="1"/>
    <col min="1040" max="1040" width="29.140625" style="953" customWidth="1"/>
    <col min="1041" max="1045" width="9.140625" style="953"/>
    <col min="1046" max="1046" width="0" style="953" hidden="1" customWidth="1"/>
    <col min="1047" max="1280" width="9.140625" style="953"/>
    <col min="1281" max="1281" width="9.28515625" style="953" customWidth="1"/>
    <col min="1282" max="1282" width="20" style="953" customWidth="1"/>
    <col min="1283" max="1283" width="20.42578125" style="953" customWidth="1"/>
    <col min="1284" max="1284" width="20.28515625" style="953" customWidth="1"/>
    <col min="1285" max="1285" width="12.42578125" style="953" customWidth="1"/>
    <col min="1286" max="1286" width="13.140625" style="953" customWidth="1"/>
    <col min="1287" max="1287" width="10.140625" style="953" customWidth="1"/>
    <col min="1288" max="1288" width="7.7109375" style="953" customWidth="1"/>
    <col min="1289" max="1289" width="11" style="953" customWidth="1"/>
    <col min="1290" max="1290" width="14.5703125" style="953" customWidth="1"/>
    <col min="1291" max="1291" width="7.7109375" style="953" customWidth="1"/>
    <col min="1292" max="1292" width="11.42578125" style="953" customWidth="1"/>
    <col min="1293" max="1293" width="10.42578125" style="953" customWidth="1"/>
    <col min="1294" max="1294" width="5.7109375" style="953" customWidth="1"/>
    <col min="1295" max="1295" width="7" style="953" customWidth="1"/>
    <col min="1296" max="1296" width="29.140625" style="953" customWidth="1"/>
    <col min="1297" max="1301" width="9.140625" style="953"/>
    <col min="1302" max="1302" width="0" style="953" hidden="1" customWidth="1"/>
    <col min="1303" max="1536" width="9.140625" style="953"/>
    <col min="1537" max="1537" width="9.28515625" style="953" customWidth="1"/>
    <col min="1538" max="1538" width="20" style="953" customWidth="1"/>
    <col min="1539" max="1539" width="20.42578125" style="953" customWidth="1"/>
    <col min="1540" max="1540" width="20.28515625" style="953" customWidth="1"/>
    <col min="1541" max="1541" width="12.42578125" style="953" customWidth="1"/>
    <col min="1542" max="1542" width="13.140625" style="953" customWidth="1"/>
    <col min="1543" max="1543" width="10.140625" style="953" customWidth="1"/>
    <col min="1544" max="1544" width="7.7109375" style="953" customWidth="1"/>
    <col min="1545" max="1545" width="11" style="953" customWidth="1"/>
    <col min="1546" max="1546" width="14.5703125" style="953" customWidth="1"/>
    <col min="1547" max="1547" width="7.7109375" style="953" customWidth="1"/>
    <col min="1548" max="1548" width="11.42578125" style="953" customWidth="1"/>
    <col min="1549" max="1549" width="10.42578125" style="953" customWidth="1"/>
    <col min="1550" max="1550" width="5.7109375" style="953" customWidth="1"/>
    <col min="1551" max="1551" width="7" style="953" customWidth="1"/>
    <col min="1552" max="1552" width="29.140625" style="953" customWidth="1"/>
    <col min="1553" max="1557" width="9.140625" style="953"/>
    <col min="1558" max="1558" width="0" style="953" hidden="1" customWidth="1"/>
    <col min="1559" max="1792" width="9.140625" style="953"/>
    <col min="1793" max="1793" width="9.28515625" style="953" customWidth="1"/>
    <col min="1794" max="1794" width="20" style="953" customWidth="1"/>
    <col min="1795" max="1795" width="20.42578125" style="953" customWidth="1"/>
    <col min="1796" max="1796" width="20.28515625" style="953" customWidth="1"/>
    <col min="1797" max="1797" width="12.42578125" style="953" customWidth="1"/>
    <col min="1798" max="1798" width="13.140625" style="953" customWidth="1"/>
    <col min="1799" max="1799" width="10.140625" style="953" customWidth="1"/>
    <col min="1800" max="1800" width="7.7109375" style="953" customWidth="1"/>
    <col min="1801" max="1801" width="11" style="953" customWidth="1"/>
    <col min="1802" max="1802" width="14.5703125" style="953" customWidth="1"/>
    <col min="1803" max="1803" width="7.7109375" style="953" customWidth="1"/>
    <col min="1804" max="1804" width="11.42578125" style="953" customWidth="1"/>
    <col min="1805" max="1805" width="10.42578125" style="953" customWidth="1"/>
    <col min="1806" max="1806" width="5.7109375" style="953" customWidth="1"/>
    <col min="1807" max="1807" width="7" style="953" customWidth="1"/>
    <col min="1808" max="1808" width="29.140625" style="953" customWidth="1"/>
    <col min="1809" max="1813" width="9.140625" style="953"/>
    <col min="1814" max="1814" width="0" style="953" hidden="1" customWidth="1"/>
    <col min="1815" max="2048" width="9.140625" style="953"/>
    <col min="2049" max="2049" width="9.28515625" style="953" customWidth="1"/>
    <col min="2050" max="2050" width="20" style="953" customWidth="1"/>
    <col min="2051" max="2051" width="20.42578125" style="953" customWidth="1"/>
    <col min="2052" max="2052" width="20.28515625" style="953" customWidth="1"/>
    <col min="2053" max="2053" width="12.42578125" style="953" customWidth="1"/>
    <col min="2054" max="2054" width="13.140625" style="953" customWidth="1"/>
    <col min="2055" max="2055" width="10.140625" style="953" customWidth="1"/>
    <col min="2056" max="2056" width="7.7109375" style="953" customWidth="1"/>
    <col min="2057" max="2057" width="11" style="953" customWidth="1"/>
    <col min="2058" max="2058" width="14.5703125" style="953" customWidth="1"/>
    <col min="2059" max="2059" width="7.7109375" style="953" customWidth="1"/>
    <col min="2060" max="2060" width="11.42578125" style="953" customWidth="1"/>
    <col min="2061" max="2061" width="10.42578125" style="953" customWidth="1"/>
    <col min="2062" max="2062" width="5.7109375" style="953" customWidth="1"/>
    <col min="2063" max="2063" width="7" style="953" customWidth="1"/>
    <col min="2064" max="2064" width="29.140625" style="953" customWidth="1"/>
    <col min="2065" max="2069" width="9.140625" style="953"/>
    <col min="2070" max="2070" width="0" style="953" hidden="1" customWidth="1"/>
    <col min="2071" max="2304" width="9.140625" style="953"/>
    <col min="2305" max="2305" width="9.28515625" style="953" customWidth="1"/>
    <col min="2306" max="2306" width="20" style="953" customWidth="1"/>
    <col min="2307" max="2307" width="20.42578125" style="953" customWidth="1"/>
    <col min="2308" max="2308" width="20.28515625" style="953" customWidth="1"/>
    <col min="2309" max="2309" width="12.42578125" style="953" customWidth="1"/>
    <col min="2310" max="2310" width="13.140625" style="953" customWidth="1"/>
    <col min="2311" max="2311" width="10.140625" style="953" customWidth="1"/>
    <col min="2312" max="2312" width="7.7109375" style="953" customWidth="1"/>
    <col min="2313" max="2313" width="11" style="953" customWidth="1"/>
    <col min="2314" max="2314" width="14.5703125" style="953" customWidth="1"/>
    <col min="2315" max="2315" width="7.7109375" style="953" customWidth="1"/>
    <col min="2316" max="2316" width="11.42578125" style="953" customWidth="1"/>
    <col min="2317" max="2317" width="10.42578125" style="953" customWidth="1"/>
    <col min="2318" max="2318" width="5.7109375" style="953" customWidth="1"/>
    <col min="2319" max="2319" width="7" style="953" customWidth="1"/>
    <col min="2320" max="2320" width="29.140625" style="953" customWidth="1"/>
    <col min="2321" max="2325" width="9.140625" style="953"/>
    <col min="2326" max="2326" width="0" style="953" hidden="1" customWidth="1"/>
    <col min="2327" max="2560" width="9.140625" style="953"/>
    <col min="2561" max="2561" width="9.28515625" style="953" customWidth="1"/>
    <col min="2562" max="2562" width="20" style="953" customWidth="1"/>
    <col min="2563" max="2563" width="20.42578125" style="953" customWidth="1"/>
    <col min="2564" max="2564" width="20.28515625" style="953" customWidth="1"/>
    <col min="2565" max="2565" width="12.42578125" style="953" customWidth="1"/>
    <col min="2566" max="2566" width="13.140625" style="953" customWidth="1"/>
    <col min="2567" max="2567" width="10.140625" style="953" customWidth="1"/>
    <col min="2568" max="2568" width="7.7109375" style="953" customWidth="1"/>
    <col min="2569" max="2569" width="11" style="953" customWidth="1"/>
    <col min="2570" max="2570" width="14.5703125" style="953" customWidth="1"/>
    <col min="2571" max="2571" width="7.7109375" style="953" customWidth="1"/>
    <col min="2572" max="2572" width="11.42578125" style="953" customWidth="1"/>
    <col min="2573" max="2573" width="10.42578125" style="953" customWidth="1"/>
    <col min="2574" max="2574" width="5.7109375" style="953" customWidth="1"/>
    <col min="2575" max="2575" width="7" style="953" customWidth="1"/>
    <col min="2576" max="2576" width="29.140625" style="953" customWidth="1"/>
    <col min="2577" max="2581" width="9.140625" style="953"/>
    <col min="2582" max="2582" width="0" style="953" hidden="1" customWidth="1"/>
    <col min="2583" max="2816" width="9.140625" style="953"/>
    <col min="2817" max="2817" width="9.28515625" style="953" customWidth="1"/>
    <col min="2818" max="2818" width="20" style="953" customWidth="1"/>
    <col min="2819" max="2819" width="20.42578125" style="953" customWidth="1"/>
    <col min="2820" max="2820" width="20.28515625" style="953" customWidth="1"/>
    <col min="2821" max="2821" width="12.42578125" style="953" customWidth="1"/>
    <col min="2822" max="2822" width="13.140625" style="953" customWidth="1"/>
    <col min="2823" max="2823" width="10.140625" style="953" customWidth="1"/>
    <col min="2824" max="2824" width="7.7109375" style="953" customWidth="1"/>
    <col min="2825" max="2825" width="11" style="953" customWidth="1"/>
    <col min="2826" max="2826" width="14.5703125" style="953" customWidth="1"/>
    <col min="2827" max="2827" width="7.7109375" style="953" customWidth="1"/>
    <col min="2828" max="2828" width="11.42578125" style="953" customWidth="1"/>
    <col min="2829" max="2829" width="10.42578125" style="953" customWidth="1"/>
    <col min="2830" max="2830" width="5.7109375" style="953" customWidth="1"/>
    <col min="2831" max="2831" width="7" style="953" customWidth="1"/>
    <col min="2832" max="2832" width="29.140625" style="953" customWidth="1"/>
    <col min="2833" max="2837" width="9.140625" style="953"/>
    <col min="2838" max="2838" width="0" style="953" hidden="1" customWidth="1"/>
    <col min="2839" max="3072" width="9.140625" style="953"/>
    <col min="3073" max="3073" width="9.28515625" style="953" customWidth="1"/>
    <col min="3074" max="3074" width="20" style="953" customWidth="1"/>
    <col min="3075" max="3075" width="20.42578125" style="953" customWidth="1"/>
    <col min="3076" max="3076" width="20.28515625" style="953" customWidth="1"/>
    <col min="3077" max="3077" width="12.42578125" style="953" customWidth="1"/>
    <col min="3078" max="3078" width="13.140625" style="953" customWidth="1"/>
    <col min="3079" max="3079" width="10.140625" style="953" customWidth="1"/>
    <col min="3080" max="3080" width="7.7109375" style="953" customWidth="1"/>
    <col min="3081" max="3081" width="11" style="953" customWidth="1"/>
    <col min="3082" max="3082" width="14.5703125" style="953" customWidth="1"/>
    <col min="3083" max="3083" width="7.7109375" style="953" customWidth="1"/>
    <col min="3084" max="3084" width="11.42578125" style="953" customWidth="1"/>
    <col min="3085" max="3085" width="10.42578125" style="953" customWidth="1"/>
    <col min="3086" max="3086" width="5.7109375" style="953" customWidth="1"/>
    <col min="3087" max="3087" width="7" style="953" customWidth="1"/>
    <col min="3088" max="3088" width="29.140625" style="953" customWidth="1"/>
    <col min="3089" max="3093" width="9.140625" style="953"/>
    <col min="3094" max="3094" width="0" style="953" hidden="1" customWidth="1"/>
    <col min="3095" max="3328" width="9.140625" style="953"/>
    <col min="3329" max="3329" width="9.28515625" style="953" customWidth="1"/>
    <col min="3330" max="3330" width="20" style="953" customWidth="1"/>
    <col min="3331" max="3331" width="20.42578125" style="953" customWidth="1"/>
    <col min="3332" max="3332" width="20.28515625" style="953" customWidth="1"/>
    <col min="3333" max="3333" width="12.42578125" style="953" customWidth="1"/>
    <col min="3334" max="3334" width="13.140625" style="953" customWidth="1"/>
    <col min="3335" max="3335" width="10.140625" style="953" customWidth="1"/>
    <col min="3336" max="3336" width="7.7109375" style="953" customWidth="1"/>
    <col min="3337" max="3337" width="11" style="953" customWidth="1"/>
    <col min="3338" max="3338" width="14.5703125" style="953" customWidth="1"/>
    <col min="3339" max="3339" width="7.7109375" style="953" customWidth="1"/>
    <col min="3340" max="3340" width="11.42578125" style="953" customWidth="1"/>
    <col min="3341" max="3341" width="10.42578125" style="953" customWidth="1"/>
    <col min="3342" max="3342" width="5.7109375" style="953" customWidth="1"/>
    <col min="3343" max="3343" width="7" style="953" customWidth="1"/>
    <col min="3344" max="3344" width="29.140625" style="953" customWidth="1"/>
    <col min="3345" max="3349" width="9.140625" style="953"/>
    <col min="3350" max="3350" width="0" style="953" hidden="1" customWidth="1"/>
    <col min="3351" max="3584" width="9.140625" style="953"/>
    <col min="3585" max="3585" width="9.28515625" style="953" customWidth="1"/>
    <col min="3586" max="3586" width="20" style="953" customWidth="1"/>
    <col min="3587" max="3587" width="20.42578125" style="953" customWidth="1"/>
    <col min="3588" max="3588" width="20.28515625" style="953" customWidth="1"/>
    <col min="3589" max="3589" width="12.42578125" style="953" customWidth="1"/>
    <col min="3590" max="3590" width="13.140625" style="953" customWidth="1"/>
    <col min="3591" max="3591" width="10.140625" style="953" customWidth="1"/>
    <col min="3592" max="3592" width="7.7109375" style="953" customWidth="1"/>
    <col min="3593" max="3593" width="11" style="953" customWidth="1"/>
    <col min="3594" max="3594" width="14.5703125" style="953" customWidth="1"/>
    <col min="3595" max="3595" width="7.7109375" style="953" customWidth="1"/>
    <col min="3596" max="3596" width="11.42578125" style="953" customWidth="1"/>
    <col min="3597" max="3597" width="10.42578125" style="953" customWidth="1"/>
    <col min="3598" max="3598" width="5.7109375" style="953" customWidth="1"/>
    <col min="3599" max="3599" width="7" style="953" customWidth="1"/>
    <col min="3600" max="3600" width="29.140625" style="953" customWidth="1"/>
    <col min="3601" max="3605" width="9.140625" style="953"/>
    <col min="3606" max="3606" width="0" style="953" hidden="1" customWidth="1"/>
    <col min="3607" max="3840" width="9.140625" style="953"/>
    <col min="3841" max="3841" width="9.28515625" style="953" customWidth="1"/>
    <col min="3842" max="3842" width="20" style="953" customWidth="1"/>
    <col min="3843" max="3843" width="20.42578125" style="953" customWidth="1"/>
    <col min="3844" max="3844" width="20.28515625" style="953" customWidth="1"/>
    <col min="3845" max="3845" width="12.42578125" style="953" customWidth="1"/>
    <col min="3846" max="3846" width="13.140625" style="953" customWidth="1"/>
    <col min="3847" max="3847" width="10.140625" style="953" customWidth="1"/>
    <col min="3848" max="3848" width="7.7109375" style="953" customWidth="1"/>
    <col min="3849" max="3849" width="11" style="953" customWidth="1"/>
    <col min="3850" max="3850" width="14.5703125" style="953" customWidth="1"/>
    <col min="3851" max="3851" width="7.7109375" style="953" customWidth="1"/>
    <col min="3852" max="3852" width="11.42578125" style="953" customWidth="1"/>
    <col min="3853" max="3853" width="10.42578125" style="953" customWidth="1"/>
    <col min="3854" max="3854" width="5.7109375" style="953" customWidth="1"/>
    <col min="3855" max="3855" width="7" style="953" customWidth="1"/>
    <col min="3856" max="3856" width="29.140625" style="953" customWidth="1"/>
    <col min="3857" max="3861" width="9.140625" style="953"/>
    <col min="3862" max="3862" width="0" style="953" hidden="1" customWidth="1"/>
    <col min="3863" max="4096" width="9.140625" style="953"/>
    <col min="4097" max="4097" width="9.28515625" style="953" customWidth="1"/>
    <col min="4098" max="4098" width="20" style="953" customWidth="1"/>
    <col min="4099" max="4099" width="20.42578125" style="953" customWidth="1"/>
    <col min="4100" max="4100" width="20.28515625" style="953" customWidth="1"/>
    <col min="4101" max="4101" width="12.42578125" style="953" customWidth="1"/>
    <col min="4102" max="4102" width="13.140625" style="953" customWidth="1"/>
    <col min="4103" max="4103" width="10.140625" style="953" customWidth="1"/>
    <col min="4104" max="4104" width="7.7109375" style="953" customWidth="1"/>
    <col min="4105" max="4105" width="11" style="953" customWidth="1"/>
    <col min="4106" max="4106" width="14.5703125" style="953" customWidth="1"/>
    <col min="4107" max="4107" width="7.7109375" style="953" customWidth="1"/>
    <col min="4108" max="4108" width="11.42578125" style="953" customWidth="1"/>
    <col min="4109" max="4109" width="10.42578125" style="953" customWidth="1"/>
    <col min="4110" max="4110" width="5.7109375" style="953" customWidth="1"/>
    <col min="4111" max="4111" width="7" style="953" customWidth="1"/>
    <col min="4112" max="4112" width="29.140625" style="953" customWidth="1"/>
    <col min="4113" max="4117" width="9.140625" style="953"/>
    <col min="4118" max="4118" width="0" style="953" hidden="1" customWidth="1"/>
    <col min="4119" max="4352" width="9.140625" style="953"/>
    <col min="4353" max="4353" width="9.28515625" style="953" customWidth="1"/>
    <col min="4354" max="4354" width="20" style="953" customWidth="1"/>
    <col min="4355" max="4355" width="20.42578125" style="953" customWidth="1"/>
    <col min="4356" max="4356" width="20.28515625" style="953" customWidth="1"/>
    <col min="4357" max="4357" width="12.42578125" style="953" customWidth="1"/>
    <col min="4358" max="4358" width="13.140625" style="953" customWidth="1"/>
    <col min="4359" max="4359" width="10.140625" style="953" customWidth="1"/>
    <col min="4360" max="4360" width="7.7109375" style="953" customWidth="1"/>
    <col min="4361" max="4361" width="11" style="953" customWidth="1"/>
    <col min="4362" max="4362" width="14.5703125" style="953" customWidth="1"/>
    <col min="4363" max="4363" width="7.7109375" style="953" customWidth="1"/>
    <col min="4364" max="4364" width="11.42578125" style="953" customWidth="1"/>
    <col min="4365" max="4365" width="10.42578125" style="953" customWidth="1"/>
    <col min="4366" max="4366" width="5.7109375" style="953" customWidth="1"/>
    <col min="4367" max="4367" width="7" style="953" customWidth="1"/>
    <col min="4368" max="4368" width="29.140625" style="953" customWidth="1"/>
    <col min="4369" max="4373" width="9.140625" style="953"/>
    <col min="4374" max="4374" width="0" style="953" hidden="1" customWidth="1"/>
    <col min="4375" max="4608" width="9.140625" style="953"/>
    <col min="4609" max="4609" width="9.28515625" style="953" customWidth="1"/>
    <col min="4610" max="4610" width="20" style="953" customWidth="1"/>
    <col min="4611" max="4611" width="20.42578125" style="953" customWidth="1"/>
    <col min="4612" max="4612" width="20.28515625" style="953" customWidth="1"/>
    <col min="4613" max="4613" width="12.42578125" style="953" customWidth="1"/>
    <col min="4614" max="4614" width="13.140625" style="953" customWidth="1"/>
    <col min="4615" max="4615" width="10.140625" style="953" customWidth="1"/>
    <col min="4616" max="4616" width="7.7109375" style="953" customWidth="1"/>
    <col min="4617" max="4617" width="11" style="953" customWidth="1"/>
    <col min="4618" max="4618" width="14.5703125" style="953" customWidth="1"/>
    <col min="4619" max="4619" width="7.7109375" style="953" customWidth="1"/>
    <col min="4620" max="4620" width="11.42578125" style="953" customWidth="1"/>
    <col min="4621" max="4621" width="10.42578125" style="953" customWidth="1"/>
    <col min="4622" max="4622" width="5.7109375" style="953" customWidth="1"/>
    <col min="4623" max="4623" width="7" style="953" customWidth="1"/>
    <col min="4624" max="4624" width="29.140625" style="953" customWidth="1"/>
    <col min="4625" max="4629" width="9.140625" style="953"/>
    <col min="4630" max="4630" width="0" style="953" hidden="1" customWidth="1"/>
    <col min="4631" max="4864" width="9.140625" style="953"/>
    <col min="4865" max="4865" width="9.28515625" style="953" customWidth="1"/>
    <col min="4866" max="4866" width="20" style="953" customWidth="1"/>
    <col min="4867" max="4867" width="20.42578125" style="953" customWidth="1"/>
    <col min="4868" max="4868" width="20.28515625" style="953" customWidth="1"/>
    <col min="4869" max="4869" width="12.42578125" style="953" customWidth="1"/>
    <col min="4870" max="4870" width="13.140625" style="953" customWidth="1"/>
    <col min="4871" max="4871" width="10.140625" style="953" customWidth="1"/>
    <col min="4872" max="4872" width="7.7109375" style="953" customWidth="1"/>
    <col min="4873" max="4873" width="11" style="953" customWidth="1"/>
    <col min="4874" max="4874" width="14.5703125" style="953" customWidth="1"/>
    <col min="4875" max="4875" width="7.7109375" style="953" customWidth="1"/>
    <col min="4876" max="4876" width="11.42578125" style="953" customWidth="1"/>
    <col min="4877" max="4877" width="10.42578125" style="953" customWidth="1"/>
    <col min="4878" max="4878" width="5.7109375" style="953" customWidth="1"/>
    <col min="4879" max="4879" width="7" style="953" customWidth="1"/>
    <col min="4880" max="4880" width="29.140625" style="953" customWidth="1"/>
    <col min="4881" max="4885" width="9.140625" style="953"/>
    <col min="4886" max="4886" width="0" style="953" hidden="1" customWidth="1"/>
    <col min="4887" max="5120" width="9.140625" style="953"/>
    <col min="5121" max="5121" width="9.28515625" style="953" customWidth="1"/>
    <col min="5122" max="5122" width="20" style="953" customWidth="1"/>
    <col min="5123" max="5123" width="20.42578125" style="953" customWidth="1"/>
    <col min="5124" max="5124" width="20.28515625" style="953" customWidth="1"/>
    <col min="5125" max="5125" width="12.42578125" style="953" customWidth="1"/>
    <col min="5126" max="5126" width="13.140625" style="953" customWidth="1"/>
    <col min="5127" max="5127" width="10.140625" style="953" customWidth="1"/>
    <col min="5128" max="5128" width="7.7109375" style="953" customWidth="1"/>
    <col min="5129" max="5129" width="11" style="953" customWidth="1"/>
    <col min="5130" max="5130" width="14.5703125" style="953" customWidth="1"/>
    <col min="5131" max="5131" width="7.7109375" style="953" customWidth="1"/>
    <col min="5132" max="5132" width="11.42578125" style="953" customWidth="1"/>
    <col min="5133" max="5133" width="10.42578125" style="953" customWidth="1"/>
    <col min="5134" max="5134" width="5.7109375" style="953" customWidth="1"/>
    <col min="5135" max="5135" width="7" style="953" customWidth="1"/>
    <col min="5136" max="5136" width="29.140625" style="953" customWidth="1"/>
    <col min="5137" max="5141" width="9.140625" style="953"/>
    <col min="5142" max="5142" width="0" style="953" hidden="1" customWidth="1"/>
    <col min="5143" max="5376" width="9.140625" style="953"/>
    <col min="5377" max="5377" width="9.28515625" style="953" customWidth="1"/>
    <col min="5378" max="5378" width="20" style="953" customWidth="1"/>
    <col min="5379" max="5379" width="20.42578125" style="953" customWidth="1"/>
    <col min="5380" max="5380" width="20.28515625" style="953" customWidth="1"/>
    <col min="5381" max="5381" width="12.42578125" style="953" customWidth="1"/>
    <col min="5382" max="5382" width="13.140625" style="953" customWidth="1"/>
    <col min="5383" max="5383" width="10.140625" style="953" customWidth="1"/>
    <col min="5384" max="5384" width="7.7109375" style="953" customWidth="1"/>
    <col min="5385" max="5385" width="11" style="953" customWidth="1"/>
    <col min="5386" max="5386" width="14.5703125" style="953" customWidth="1"/>
    <col min="5387" max="5387" width="7.7109375" style="953" customWidth="1"/>
    <col min="5388" max="5388" width="11.42578125" style="953" customWidth="1"/>
    <col min="5389" max="5389" width="10.42578125" style="953" customWidth="1"/>
    <col min="5390" max="5390" width="5.7109375" style="953" customWidth="1"/>
    <col min="5391" max="5391" width="7" style="953" customWidth="1"/>
    <col min="5392" max="5392" width="29.140625" style="953" customWidth="1"/>
    <col min="5393" max="5397" width="9.140625" style="953"/>
    <col min="5398" max="5398" width="0" style="953" hidden="1" customWidth="1"/>
    <col min="5399" max="5632" width="9.140625" style="953"/>
    <col min="5633" max="5633" width="9.28515625" style="953" customWidth="1"/>
    <col min="5634" max="5634" width="20" style="953" customWidth="1"/>
    <col min="5635" max="5635" width="20.42578125" style="953" customWidth="1"/>
    <col min="5636" max="5636" width="20.28515625" style="953" customWidth="1"/>
    <col min="5637" max="5637" width="12.42578125" style="953" customWidth="1"/>
    <col min="5638" max="5638" width="13.140625" style="953" customWidth="1"/>
    <col min="5639" max="5639" width="10.140625" style="953" customWidth="1"/>
    <col min="5640" max="5640" width="7.7109375" style="953" customWidth="1"/>
    <col min="5641" max="5641" width="11" style="953" customWidth="1"/>
    <col min="5642" max="5642" width="14.5703125" style="953" customWidth="1"/>
    <col min="5643" max="5643" width="7.7109375" style="953" customWidth="1"/>
    <col min="5644" max="5644" width="11.42578125" style="953" customWidth="1"/>
    <col min="5645" max="5645" width="10.42578125" style="953" customWidth="1"/>
    <col min="5646" max="5646" width="5.7109375" style="953" customWidth="1"/>
    <col min="5647" max="5647" width="7" style="953" customWidth="1"/>
    <col min="5648" max="5648" width="29.140625" style="953" customWidth="1"/>
    <col min="5649" max="5653" width="9.140625" style="953"/>
    <col min="5654" max="5654" width="0" style="953" hidden="1" customWidth="1"/>
    <col min="5655" max="5888" width="9.140625" style="953"/>
    <col min="5889" max="5889" width="9.28515625" style="953" customWidth="1"/>
    <col min="5890" max="5890" width="20" style="953" customWidth="1"/>
    <col min="5891" max="5891" width="20.42578125" style="953" customWidth="1"/>
    <col min="5892" max="5892" width="20.28515625" style="953" customWidth="1"/>
    <col min="5893" max="5893" width="12.42578125" style="953" customWidth="1"/>
    <col min="5894" max="5894" width="13.140625" style="953" customWidth="1"/>
    <col min="5895" max="5895" width="10.140625" style="953" customWidth="1"/>
    <col min="5896" max="5896" width="7.7109375" style="953" customWidth="1"/>
    <col min="5897" max="5897" width="11" style="953" customWidth="1"/>
    <col min="5898" max="5898" width="14.5703125" style="953" customWidth="1"/>
    <col min="5899" max="5899" width="7.7109375" style="953" customWidth="1"/>
    <col min="5900" max="5900" width="11.42578125" style="953" customWidth="1"/>
    <col min="5901" max="5901" width="10.42578125" style="953" customWidth="1"/>
    <col min="5902" max="5902" width="5.7109375" style="953" customWidth="1"/>
    <col min="5903" max="5903" width="7" style="953" customWidth="1"/>
    <col min="5904" max="5904" width="29.140625" style="953" customWidth="1"/>
    <col min="5905" max="5909" width="9.140625" style="953"/>
    <col min="5910" max="5910" width="0" style="953" hidden="1" customWidth="1"/>
    <col min="5911" max="6144" width="9.140625" style="953"/>
    <col min="6145" max="6145" width="9.28515625" style="953" customWidth="1"/>
    <col min="6146" max="6146" width="20" style="953" customWidth="1"/>
    <col min="6147" max="6147" width="20.42578125" style="953" customWidth="1"/>
    <col min="6148" max="6148" width="20.28515625" style="953" customWidth="1"/>
    <col min="6149" max="6149" width="12.42578125" style="953" customWidth="1"/>
    <col min="6150" max="6150" width="13.140625" style="953" customWidth="1"/>
    <col min="6151" max="6151" width="10.140625" style="953" customWidth="1"/>
    <col min="6152" max="6152" width="7.7109375" style="953" customWidth="1"/>
    <col min="6153" max="6153" width="11" style="953" customWidth="1"/>
    <col min="6154" max="6154" width="14.5703125" style="953" customWidth="1"/>
    <col min="6155" max="6155" width="7.7109375" style="953" customWidth="1"/>
    <col min="6156" max="6156" width="11.42578125" style="953" customWidth="1"/>
    <col min="6157" max="6157" width="10.42578125" style="953" customWidth="1"/>
    <col min="6158" max="6158" width="5.7109375" style="953" customWidth="1"/>
    <col min="6159" max="6159" width="7" style="953" customWidth="1"/>
    <col min="6160" max="6160" width="29.140625" style="953" customWidth="1"/>
    <col min="6161" max="6165" width="9.140625" style="953"/>
    <col min="6166" max="6166" width="0" style="953" hidden="1" customWidth="1"/>
    <col min="6167" max="6400" width="9.140625" style="953"/>
    <col min="6401" max="6401" width="9.28515625" style="953" customWidth="1"/>
    <col min="6402" max="6402" width="20" style="953" customWidth="1"/>
    <col min="6403" max="6403" width="20.42578125" style="953" customWidth="1"/>
    <col min="6404" max="6404" width="20.28515625" style="953" customWidth="1"/>
    <col min="6405" max="6405" width="12.42578125" style="953" customWidth="1"/>
    <col min="6406" max="6406" width="13.140625" style="953" customWidth="1"/>
    <col min="6407" max="6407" width="10.140625" style="953" customWidth="1"/>
    <col min="6408" max="6408" width="7.7109375" style="953" customWidth="1"/>
    <col min="6409" max="6409" width="11" style="953" customWidth="1"/>
    <col min="6410" max="6410" width="14.5703125" style="953" customWidth="1"/>
    <col min="6411" max="6411" width="7.7109375" style="953" customWidth="1"/>
    <col min="6412" max="6412" width="11.42578125" style="953" customWidth="1"/>
    <col min="6413" max="6413" width="10.42578125" style="953" customWidth="1"/>
    <col min="6414" max="6414" width="5.7109375" style="953" customWidth="1"/>
    <col min="6415" max="6415" width="7" style="953" customWidth="1"/>
    <col min="6416" max="6416" width="29.140625" style="953" customWidth="1"/>
    <col min="6417" max="6421" width="9.140625" style="953"/>
    <col min="6422" max="6422" width="0" style="953" hidden="1" customWidth="1"/>
    <col min="6423" max="6656" width="9.140625" style="953"/>
    <col min="6657" max="6657" width="9.28515625" style="953" customWidth="1"/>
    <col min="6658" max="6658" width="20" style="953" customWidth="1"/>
    <col min="6659" max="6659" width="20.42578125" style="953" customWidth="1"/>
    <col min="6660" max="6660" width="20.28515625" style="953" customWidth="1"/>
    <col min="6661" max="6661" width="12.42578125" style="953" customWidth="1"/>
    <col min="6662" max="6662" width="13.140625" style="953" customWidth="1"/>
    <col min="6663" max="6663" width="10.140625" style="953" customWidth="1"/>
    <col min="6664" max="6664" width="7.7109375" style="953" customWidth="1"/>
    <col min="6665" max="6665" width="11" style="953" customWidth="1"/>
    <col min="6666" max="6666" width="14.5703125" style="953" customWidth="1"/>
    <col min="6667" max="6667" width="7.7109375" style="953" customWidth="1"/>
    <col min="6668" max="6668" width="11.42578125" style="953" customWidth="1"/>
    <col min="6669" max="6669" width="10.42578125" style="953" customWidth="1"/>
    <col min="6670" max="6670" width="5.7109375" style="953" customWidth="1"/>
    <col min="6671" max="6671" width="7" style="953" customWidth="1"/>
    <col min="6672" max="6672" width="29.140625" style="953" customWidth="1"/>
    <col min="6673" max="6677" width="9.140625" style="953"/>
    <col min="6678" max="6678" width="0" style="953" hidden="1" customWidth="1"/>
    <col min="6679" max="6912" width="9.140625" style="953"/>
    <col min="6913" max="6913" width="9.28515625" style="953" customWidth="1"/>
    <col min="6914" max="6914" width="20" style="953" customWidth="1"/>
    <col min="6915" max="6915" width="20.42578125" style="953" customWidth="1"/>
    <col min="6916" max="6916" width="20.28515625" style="953" customWidth="1"/>
    <col min="6917" max="6917" width="12.42578125" style="953" customWidth="1"/>
    <col min="6918" max="6918" width="13.140625" style="953" customWidth="1"/>
    <col min="6919" max="6919" width="10.140625" style="953" customWidth="1"/>
    <col min="6920" max="6920" width="7.7109375" style="953" customWidth="1"/>
    <col min="6921" max="6921" width="11" style="953" customWidth="1"/>
    <col min="6922" max="6922" width="14.5703125" style="953" customWidth="1"/>
    <col min="6923" max="6923" width="7.7109375" style="953" customWidth="1"/>
    <col min="6924" max="6924" width="11.42578125" style="953" customWidth="1"/>
    <col min="6925" max="6925" width="10.42578125" style="953" customWidth="1"/>
    <col min="6926" max="6926" width="5.7109375" style="953" customWidth="1"/>
    <col min="6927" max="6927" width="7" style="953" customWidth="1"/>
    <col min="6928" max="6928" width="29.140625" style="953" customWidth="1"/>
    <col min="6929" max="6933" width="9.140625" style="953"/>
    <col min="6934" max="6934" width="0" style="953" hidden="1" customWidth="1"/>
    <col min="6935" max="7168" width="9.140625" style="953"/>
    <col min="7169" max="7169" width="9.28515625" style="953" customWidth="1"/>
    <col min="7170" max="7170" width="20" style="953" customWidth="1"/>
    <col min="7171" max="7171" width="20.42578125" style="953" customWidth="1"/>
    <col min="7172" max="7172" width="20.28515625" style="953" customWidth="1"/>
    <col min="7173" max="7173" width="12.42578125" style="953" customWidth="1"/>
    <col min="7174" max="7174" width="13.140625" style="953" customWidth="1"/>
    <col min="7175" max="7175" width="10.140625" style="953" customWidth="1"/>
    <col min="7176" max="7176" width="7.7109375" style="953" customWidth="1"/>
    <col min="7177" max="7177" width="11" style="953" customWidth="1"/>
    <col min="7178" max="7178" width="14.5703125" style="953" customWidth="1"/>
    <col min="7179" max="7179" width="7.7109375" style="953" customWidth="1"/>
    <col min="7180" max="7180" width="11.42578125" style="953" customWidth="1"/>
    <col min="7181" max="7181" width="10.42578125" style="953" customWidth="1"/>
    <col min="7182" max="7182" width="5.7109375" style="953" customWidth="1"/>
    <col min="7183" max="7183" width="7" style="953" customWidth="1"/>
    <col min="7184" max="7184" width="29.140625" style="953" customWidth="1"/>
    <col min="7185" max="7189" width="9.140625" style="953"/>
    <col min="7190" max="7190" width="0" style="953" hidden="1" customWidth="1"/>
    <col min="7191" max="7424" width="9.140625" style="953"/>
    <col min="7425" max="7425" width="9.28515625" style="953" customWidth="1"/>
    <col min="7426" max="7426" width="20" style="953" customWidth="1"/>
    <col min="7427" max="7427" width="20.42578125" style="953" customWidth="1"/>
    <col min="7428" max="7428" width="20.28515625" style="953" customWidth="1"/>
    <col min="7429" max="7429" width="12.42578125" style="953" customWidth="1"/>
    <col min="7430" max="7430" width="13.140625" style="953" customWidth="1"/>
    <col min="7431" max="7431" width="10.140625" style="953" customWidth="1"/>
    <col min="7432" max="7432" width="7.7109375" style="953" customWidth="1"/>
    <col min="7433" max="7433" width="11" style="953" customWidth="1"/>
    <col min="7434" max="7434" width="14.5703125" style="953" customWidth="1"/>
    <col min="7435" max="7435" width="7.7109375" style="953" customWidth="1"/>
    <col min="7436" max="7436" width="11.42578125" style="953" customWidth="1"/>
    <col min="7437" max="7437" width="10.42578125" style="953" customWidth="1"/>
    <col min="7438" max="7438" width="5.7109375" style="953" customWidth="1"/>
    <col min="7439" max="7439" width="7" style="953" customWidth="1"/>
    <col min="7440" max="7440" width="29.140625" style="953" customWidth="1"/>
    <col min="7441" max="7445" width="9.140625" style="953"/>
    <col min="7446" max="7446" width="0" style="953" hidden="1" customWidth="1"/>
    <col min="7447" max="7680" width="9.140625" style="953"/>
    <col min="7681" max="7681" width="9.28515625" style="953" customWidth="1"/>
    <col min="7682" max="7682" width="20" style="953" customWidth="1"/>
    <col min="7683" max="7683" width="20.42578125" style="953" customWidth="1"/>
    <col min="7684" max="7684" width="20.28515625" style="953" customWidth="1"/>
    <col min="7685" max="7685" width="12.42578125" style="953" customWidth="1"/>
    <col min="7686" max="7686" width="13.140625" style="953" customWidth="1"/>
    <col min="7687" max="7687" width="10.140625" style="953" customWidth="1"/>
    <col min="7688" max="7688" width="7.7109375" style="953" customWidth="1"/>
    <col min="7689" max="7689" width="11" style="953" customWidth="1"/>
    <col min="7690" max="7690" width="14.5703125" style="953" customWidth="1"/>
    <col min="7691" max="7691" width="7.7109375" style="953" customWidth="1"/>
    <col min="7692" max="7692" width="11.42578125" style="953" customWidth="1"/>
    <col min="7693" max="7693" width="10.42578125" style="953" customWidth="1"/>
    <col min="7694" max="7694" width="5.7109375" style="953" customWidth="1"/>
    <col min="7695" max="7695" width="7" style="953" customWidth="1"/>
    <col min="7696" max="7696" width="29.140625" style="953" customWidth="1"/>
    <col min="7697" max="7701" width="9.140625" style="953"/>
    <col min="7702" max="7702" width="0" style="953" hidden="1" customWidth="1"/>
    <col min="7703" max="7936" width="9.140625" style="953"/>
    <col min="7937" max="7937" width="9.28515625" style="953" customWidth="1"/>
    <col min="7938" max="7938" width="20" style="953" customWidth="1"/>
    <col min="7939" max="7939" width="20.42578125" style="953" customWidth="1"/>
    <col min="7940" max="7940" width="20.28515625" style="953" customWidth="1"/>
    <col min="7941" max="7941" width="12.42578125" style="953" customWidth="1"/>
    <col min="7942" max="7942" width="13.140625" style="953" customWidth="1"/>
    <col min="7943" max="7943" width="10.140625" style="953" customWidth="1"/>
    <col min="7944" max="7944" width="7.7109375" style="953" customWidth="1"/>
    <col min="7945" max="7945" width="11" style="953" customWidth="1"/>
    <col min="7946" max="7946" width="14.5703125" style="953" customWidth="1"/>
    <col min="7947" max="7947" width="7.7109375" style="953" customWidth="1"/>
    <col min="7948" max="7948" width="11.42578125" style="953" customWidth="1"/>
    <col min="7949" max="7949" width="10.42578125" style="953" customWidth="1"/>
    <col min="7950" max="7950" width="5.7109375" style="953" customWidth="1"/>
    <col min="7951" max="7951" width="7" style="953" customWidth="1"/>
    <col min="7952" max="7952" width="29.140625" style="953" customWidth="1"/>
    <col min="7953" max="7957" width="9.140625" style="953"/>
    <col min="7958" max="7958" width="0" style="953" hidden="1" customWidth="1"/>
    <col min="7959" max="8192" width="9.140625" style="953"/>
    <col min="8193" max="8193" width="9.28515625" style="953" customWidth="1"/>
    <col min="8194" max="8194" width="20" style="953" customWidth="1"/>
    <col min="8195" max="8195" width="20.42578125" style="953" customWidth="1"/>
    <col min="8196" max="8196" width="20.28515625" style="953" customWidth="1"/>
    <col min="8197" max="8197" width="12.42578125" style="953" customWidth="1"/>
    <col min="8198" max="8198" width="13.140625" style="953" customWidth="1"/>
    <col min="8199" max="8199" width="10.140625" style="953" customWidth="1"/>
    <col min="8200" max="8200" width="7.7109375" style="953" customWidth="1"/>
    <col min="8201" max="8201" width="11" style="953" customWidth="1"/>
    <col min="8202" max="8202" width="14.5703125" style="953" customWidth="1"/>
    <col min="8203" max="8203" width="7.7109375" style="953" customWidth="1"/>
    <col min="8204" max="8204" width="11.42578125" style="953" customWidth="1"/>
    <col min="8205" max="8205" width="10.42578125" style="953" customWidth="1"/>
    <col min="8206" max="8206" width="5.7109375" style="953" customWidth="1"/>
    <col min="8207" max="8207" width="7" style="953" customWidth="1"/>
    <col min="8208" max="8208" width="29.140625" style="953" customWidth="1"/>
    <col min="8209" max="8213" width="9.140625" style="953"/>
    <col min="8214" max="8214" width="0" style="953" hidden="1" customWidth="1"/>
    <col min="8215" max="8448" width="9.140625" style="953"/>
    <col min="8449" max="8449" width="9.28515625" style="953" customWidth="1"/>
    <col min="8450" max="8450" width="20" style="953" customWidth="1"/>
    <col min="8451" max="8451" width="20.42578125" style="953" customWidth="1"/>
    <col min="8452" max="8452" width="20.28515625" style="953" customWidth="1"/>
    <col min="8453" max="8453" width="12.42578125" style="953" customWidth="1"/>
    <col min="8454" max="8454" width="13.140625" style="953" customWidth="1"/>
    <col min="8455" max="8455" width="10.140625" style="953" customWidth="1"/>
    <col min="8456" max="8456" width="7.7109375" style="953" customWidth="1"/>
    <col min="8457" max="8457" width="11" style="953" customWidth="1"/>
    <col min="8458" max="8458" width="14.5703125" style="953" customWidth="1"/>
    <col min="8459" max="8459" width="7.7109375" style="953" customWidth="1"/>
    <col min="8460" max="8460" width="11.42578125" style="953" customWidth="1"/>
    <col min="8461" max="8461" width="10.42578125" style="953" customWidth="1"/>
    <col min="8462" max="8462" width="5.7109375" style="953" customWidth="1"/>
    <col min="8463" max="8463" width="7" style="953" customWidth="1"/>
    <col min="8464" max="8464" width="29.140625" style="953" customWidth="1"/>
    <col min="8465" max="8469" width="9.140625" style="953"/>
    <col min="8470" max="8470" width="0" style="953" hidden="1" customWidth="1"/>
    <col min="8471" max="8704" width="9.140625" style="953"/>
    <col min="8705" max="8705" width="9.28515625" style="953" customWidth="1"/>
    <col min="8706" max="8706" width="20" style="953" customWidth="1"/>
    <col min="8707" max="8707" width="20.42578125" style="953" customWidth="1"/>
    <col min="8708" max="8708" width="20.28515625" style="953" customWidth="1"/>
    <col min="8709" max="8709" width="12.42578125" style="953" customWidth="1"/>
    <col min="8710" max="8710" width="13.140625" style="953" customWidth="1"/>
    <col min="8711" max="8711" width="10.140625" style="953" customWidth="1"/>
    <col min="8712" max="8712" width="7.7109375" style="953" customWidth="1"/>
    <col min="8713" max="8713" width="11" style="953" customWidth="1"/>
    <col min="8714" max="8714" width="14.5703125" style="953" customWidth="1"/>
    <col min="8715" max="8715" width="7.7109375" style="953" customWidth="1"/>
    <col min="8716" max="8716" width="11.42578125" style="953" customWidth="1"/>
    <col min="8717" max="8717" width="10.42578125" style="953" customWidth="1"/>
    <col min="8718" max="8718" width="5.7109375" style="953" customWidth="1"/>
    <col min="8719" max="8719" width="7" style="953" customWidth="1"/>
    <col min="8720" max="8720" width="29.140625" style="953" customWidth="1"/>
    <col min="8721" max="8725" width="9.140625" style="953"/>
    <col min="8726" max="8726" width="0" style="953" hidden="1" customWidth="1"/>
    <col min="8727" max="8960" width="9.140625" style="953"/>
    <col min="8961" max="8961" width="9.28515625" style="953" customWidth="1"/>
    <col min="8962" max="8962" width="20" style="953" customWidth="1"/>
    <col min="8963" max="8963" width="20.42578125" style="953" customWidth="1"/>
    <col min="8964" max="8964" width="20.28515625" style="953" customWidth="1"/>
    <col min="8965" max="8965" width="12.42578125" style="953" customWidth="1"/>
    <col min="8966" max="8966" width="13.140625" style="953" customWidth="1"/>
    <col min="8967" max="8967" width="10.140625" style="953" customWidth="1"/>
    <col min="8968" max="8968" width="7.7109375" style="953" customWidth="1"/>
    <col min="8969" max="8969" width="11" style="953" customWidth="1"/>
    <col min="8970" max="8970" width="14.5703125" style="953" customWidth="1"/>
    <col min="8971" max="8971" width="7.7109375" style="953" customWidth="1"/>
    <col min="8972" max="8972" width="11.42578125" style="953" customWidth="1"/>
    <col min="8973" max="8973" width="10.42578125" style="953" customWidth="1"/>
    <col min="8974" max="8974" width="5.7109375" style="953" customWidth="1"/>
    <col min="8975" max="8975" width="7" style="953" customWidth="1"/>
    <col min="8976" max="8976" width="29.140625" style="953" customWidth="1"/>
    <col min="8977" max="8981" width="9.140625" style="953"/>
    <col min="8982" max="8982" width="0" style="953" hidden="1" customWidth="1"/>
    <col min="8983" max="9216" width="9.140625" style="953"/>
    <col min="9217" max="9217" width="9.28515625" style="953" customWidth="1"/>
    <col min="9218" max="9218" width="20" style="953" customWidth="1"/>
    <col min="9219" max="9219" width="20.42578125" style="953" customWidth="1"/>
    <col min="9220" max="9220" width="20.28515625" style="953" customWidth="1"/>
    <col min="9221" max="9221" width="12.42578125" style="953" customWidth="1"/>
    <col min="9222" max="9222" width="13.140625" style="953" customWidth="1"/>
    <col min="9223" max="9223" width="10.140625" style="953" customWidth="1"/>
    <col min="9224" max="9224" width="7.7109375" style="953" customWidth="1"/>
    <col min="9225" max="9225" width="11" style="953" customWidth="1"/>
    <col min="9226" max="9226" width="14.5703125" style="953" customWidth="1"/>
    <col min="9227" max="9227" width="7.7109375" style="953" customWidth="1"/>
    <col min="9228" max="9228" width="11.42578125" style="953" customWidth="1"/>
    <col min="9229" max="9229" width="10.42578125" style="953" customWidth="1"/>
    <col min="9230" max="9230" width="5.7109375" style="953" customWidth="1"/>
    <col min="9231" max="9231" width="7" style="953" customWidth="1"/>
    <col min="9232" max="9232" width="29.140625" style="953" customWidth="1"/>
    <col min="9233" max="9237" width="9.140625" style="953"/>
    <col min="9238" max="9238" width="0" style="953" hidden="1" customWidth="1"/>
    <col min="9239" max="9472" width="9.140625" style="953"/>
    <col min="9473" max="9473" width="9.28515625" style="953" customWidth="1"/>
    <col min="9474" max="9474" width="20" style="953" customWidth="1"/>
    <col min="9475" max="9475" width="20.42578125" style="953" customWidth="1"/>
    <col min="9476" max="9476" width="20.28515625" style="953" customWidth="1"/>
    <col min="9477" max="9477" width="12.42578125" style="953" customWidth="1"/>
    <col min="9478" max="9478" width="13.140625" style="953" customWidth="1"/>
    <col min="9479" max="9479" width="10.140625" style="953" customWidth="1"/>
    <col min="9480" max="9480" width="7.7109375" style="953" customWidth="1"/>
    <col min="9481" max="9481" width="11" style="953" customWidth="1"/>
    <col min="9482" max="9482" width="14.5703125" style="953" customWidth="1"/>
    <col min="9483" max="9483" width="7.7109375" style="953" customWidth="1"/>
    <col min="9484" max="9484" width="11.42578125" style="953" customWidth="1"/>
    <col min="9485" max="9485" width="10.42578125" style="953" customWidth="1"/>
    <col min="9486" max="9486" width="5.7109375" style="953" customWidth="1"/>
    <col min="9487" max="9487" width="7" style="953" customWidth="1"/>
    <col min="9488" max="9488" width="29.140625" style="953" customWidth="1"/>
    <col min="9489" max="9493" width="9.140625" style="953"/>
    <col min="9494" max="9494" width="0" style="953" hidden="1" customWidth="1"/>
    <col min="9495" max="9728" width="9.140625" style="953"/>
    <col min="9729" max="9729" width="9.28515625" style="953" customWidth="1"/>
    <col min="9730" max="9730" width="20" style="953" customWidth="1"/>
    <col min="9731" max="9731" width="20.42578125" style="953" customWidth="1"/>
    <col min="9732" max="9732" width="20.28515625" style="953" customWidth="1"/>
    <col min="9733" max="9733" width="12.42578125" style="953" customWidth="1"/>
    <col min="9734" max="9734" width="13.140625" style="953" customWidth="1"/>
    <col min="9735" max="9735" width="10.140625" style="953" customWidth="1"/>
    <col min="9736" max="9736" width="7.7109375" style="953" customWidth="1"/>
    <col min="9737" max="9737" width="11" style="953" customWidth="1"/>
    <col min="9738" max="9738" width="14.5703125" style="953" customWidth="1"/>
    <col min="9739" max="9739" width="7.7109375" style="953" customWidth="1"/>
    <col min="9740" max="9740" width="11.42578125" style="953" customWidth="1"/>
    <col min="9741" max="9741" width="10.42578125" style="953" customWidth="1"/>
    <col min="9742" max="9742" width="5.7109375" style="953" customWidth="1"/>
    <col min="9743" max="9743" width="7" style="953" customWidth="1"/>
    <col min="9744" max="9744" width="29.140625" style="953" customWidth="1"/>
    <col min="9745" max="9749" width="9.140625" style="953"/>
    <col min="9750" max="9750" width="0" style="953" hidden="1" customWidth="1"/>
    <col min="9751" max="9984" width="9.140625" style="953"/>
    <col min="9985" max="9985" width="9.28515625" style="953" customWidth="1"/>
    <col min="9986" max="9986" width="20" style="953" customWidth="1"/>
    <col min="9987" max="9987" width="20.42578125" style="953" customWidth="1"/>
    <col min="9988" max="9988" width="20.28515625" style="953" customWidth="1"/>
    <col min="9989" max="9989" width="12.42578125" style="953" customWidth="1"/>
    <col min="9990" max="9990" width="13.140625" style="953" customWidth="1"/>
    <col min="9991" max="9991" width="10.140625" style="953" customWidth="1"/>
    <col min="9992" max="9992" width="7.7109375" style="953" customWidth="1"/>
    <col min="9993" max="9993" width="11" style="953" customWidth="1"/>
    <col min="9994" max="9994" width="14.5703125" style="953" customWidth="1"/>
    <col min="9995" max="9995" width="7.7109375" style="953" customWidth="1"/>
    <col min="9996" max="9996" width="11.42578125" style="953" customWidth="1"/>
    <col min="9997" max="9997" width="10.42578125" style="953" customWidth="1"/>
    <col min="9998" max="9998" width="5.7109375" style="953" customWidth="1"/>
    <col min="9999" max="9999" width="7" style="953" customWidth="1"/>
    <col min="10000" max="10000" width="29.140625" style="953" customWidth="1"/>
    <col min="10001" max="10005" width="9.140625" style="953"/>
    <col min="10006" max="10006" width="0" style="953" hidden="1" customWidth="1"/>
    <col min="10007" max="10240" width="9.140625" style="953"/>
    <col min="10241" max="10241" width="9.28515625" style="953" customWidth="1"/>
    <col min="10242" max="10242" width="20" style="953" customWidth="1"/>
    <col min="10243" max="10243" width="20.42578125" style="953" customWidth="1"/>
    <col min="10244" max="10244" width="20.28515625" style="953" customWidth="1"/>
    <col min="10245" max="10245" width="12.42578125" style="953" customWidth="1"/>
    <col min="10246" max="10246" width="13.140625" style="953" customWidth="1"/>
    <col min="10247" max="10247" width="10.140625" style="953" customWidth="1"/>
    <col min="10248" max="10248" width="7.7109375" style="953" customWidth="1"/>
    <col min="10249" max="10249" width="11" style="953" customWidth="1"/>
    <col min="10250" max="10250" width="14.5703125" style="953" customWidth="1"/>
    <col min="10251" max="10251" width="7.7109375" style="953" customWidth="1"/>
    <col min="10252" max="10252" width="11.42578125" style="953" customWidth="1"/>
    <col min="10253" max="10253" width="10.42578125" style="953" customWidth="1"/>
    <col min="10254" max="10254" width="5.7109375" style="953" customWidth="1"/>
    <col min="10255" max="10255" width="7" style="953" customWidth="1"/>
    <col min="10256" max="10256" width="29.140625" style="953" customWidth="1"/>
    <col min="10257" max="10261" width="9.140625" style="953"/>
    <col min="10262" max="10262" width="0" style="953" hidden="1" customWidth="1"/>
    <col min="10263" max="10496" width="9.140625" style="953"/>
    <col min="10497" max="10497" width="9.28515625" style="953" customWidth="1"/>
    <col min="10498" max="10498" width="20" style="953" customWidth="1"/>
    <col min="10499" max="10499" width="20.42578125" style="953" customWidth="1"/>
    <col min="10500" max="10500" width="20.28515625" style="953" customWidth="1"/>
    <col min="10501" max="10501" width="12.42578125" style="953" customWidth="1"/>
    <col min="10502" max="10502" width="13.140625" style="953" customWidth="1"/>
    <col min="10503" max="10503" width="10.140625" style="953" customWidth="1"/>
    <col min="10504" max="10504" width="7.7109375" style="953" customWidth="1"/>
    <col min="10505" max="10505" width="11" style="953" customWidth="1"/>
    <col min="10506" max="10506" width="14.5703125" style="953" customWidth="1"/>
    <col min="10507" max="10507" width="7.7109375" style="953" customWidth="1"/>
    <col min="10508" max="10508" width="11.42578125" style="953" customWidth="1"/>
    <col min="10509" max="10509" width="10.42578125" style="953" customWidth="1"/>
    <col min="10510" max="10510" width="5.7109375" style="953" customWidth="1"/>
    <col min="10511" max="10511" width="7" style="953" customWidth="1"/>
    <col min="10512" max="10512" width="29.140625" style="953" customWidth="1"/>
    <col min="10513" max="10517" width="9.140625" style="953"/>
    <col min="10518" max="10518" width="0" style="953" hidden="1" customWidth="1"/>
    <col min="10519" max="10752" width="9.140625" style="953"/>
    <col min="10753" max="10753" width="9.28515625" style="953" customWidth="1"/>
    <col min="10754" max="10754" width="20" style="953" customWidth="1"/>
    <col min="10755" max="10755" width="20.42578125" style="953" customWidth="1"/>
    <col min="10756" max="10756" width="20.28515625" style="953" customWidth="1"/>
    <col min="10757" max="10757" width="12.42578125" style="953" customWidth="1"/>
    <col min="10758" max="10758" width="13.140625" style="953" customWidth="1"/>
    <col min="10759" max="10759" width="10.140625" style="953" customWidth="1"/>
    <col min="10760" max="10760" width="7.7109375" style="953" customWidth="1"/>
    <col min="10761" max="10761" width="11" style="953" customWidth="1"/>
    <col min="10762" max="10762" width="14.5703125" style="953" customWidth="1"/>
    <col min="10763" max="10763" width="7.7109375" style="953" customWidth="1"/>
    <col min="10764" max="10764" width="11.42578125" style="953" customWidth="1"/>
    <col min="10765" max="10765" width="10.42578125" style="953" customWidth="1"/>
    <col min="10766" max="10766" width="5.7109375" style="953" customWidth="1"/>
    <col min="10767" max="10767" width="7" style="953" customWidth="1"/>
    <col min="10768" max="10768" width="29.140625" style="953" customWidth="1"/>
    <col min="10769" max="10773" width="9.140625" style="953"/>
    <col min="10774" max="10774" width="0" style="953" hidden="1" customWidth="1"/>
    <col min="10775" max="11008" width="9.140625" style="953"/>
    <col min="11009" max="11009" width="9.28515625" style="953" customWidth="1"/>
    <col min="11010" max="11010" width="20" style="953" customWidth="1"/>
    <col min="11011" max="11011" width="20.42578125" style="953" customWidth="1"/>
    <col min="11012" max="11012" width="20.28515625" style="953" customWidth="1"/>
    <col min="11013" max="11013" width="12.42578125" style="953" customWidth="1"/>
    <col min="11014" max="11014" width="13.140625" style="953" customWidth="1"/>
    <col min="11015" max="11015" width="10.140625" style="953" customWidth="1"/>
    <col min="11016" max="11016" width="7.7109375" style="953" customWidth="1"/>
    <col min="11017" max="11017" width="11" style="953" customWidth="1"/>
    <col min="11018" max="11018" width="14.5703125" style="953" customWidth="1"/>
    <col min="11019" max="11019" width="7.7109375" style="953" customWidth="1"/>
    <col min="11020" max="11020" width="11.42578125" style="953" customWidth="1"/>
    <col min="11021" max="11021" width="10.42578125" style="953" customWidth="1"/>
    <col min="11022" max="11022" width="5.7109375" style="953" customWidth="1"/>
    <col min="11023" max="11023" width="7" style="953" customWidth="1"/>
    <col min="11024" max="11024" width="29.140625" style="953" customWidth="1"/>
    <col min="11025" max="11029" width="9.140625" style="953"/>
    <col min="11030" max="11030" width="0" style="953" hidden="1" customWidth="1"/>
    <col min="11031" max="11264" width="9.140625" style="953"/>
    <col min="11265" max="11265" width="9.28515625" style="953" customWidth="1"/>
    <col min="11266" max="11266" width="20" style="953" customWidth="1"/>
    <col min="11267" max="11267" width="20.42578125" style="953" customWidth="1"/>
    <col min="11268" max="11268" width="20.28515625" style="953" customWidth="1"/>
    <col min="11269" max="11269" width="12.42578125" style="953" customWidth="1"/>
    <col min="11270" max="11270" width="13.140625" style="953" customWidth="1"/>
    <col min="11271" max="11271" width="10.140625" style="953" customWidth="1"/>
    <col min="11272" max="11272" width="7.7109375" style="953" customWidth="1"/>
    <col min="11273" max="11273" width="11" style="953" customWidth="1"/>
    <col min="11274" max="11274" width="14.5703125" style="953" customWidth="1"/>
    <col min="11275" max="11275" width="7.7109375" style="953" customWidth="1"/>
    <col min="11276" max="11276" width="11.42578125" style="953" customWidth="1"/>
    <col min="11277" max="11277" width="10.42578125" style="953" customWidth="1"/>
    <col min="11278" max="11278" width="5.7109375" style="953" customWidth="1"/>
    <col min="11279" max="11279" width="7" style="953" customWidth="1"/>
    <col min="11280" max="11280" width="29.140625" style="953" customWidth="1"/>
    <col min="11281" max="11285" width="9.140625" style="953"/>
    <col min="11286" max="11286" width="0" style="953" hidden="1" customWidth="1"/>
    <col min="11287" max="11520" width="9.140625" style="953"/>
    <col min="11521" max="11521" width="9.28515625" style="953" customWidth="1"/>
    <col min="11522" max="11522" width="20" style="953" customWidth="1"/>
    <col min="11523" max="11523" width="20.42578125" style="953" customWidth="1"/>
    <col min="11524" max="11524" width="20.28515625" style="953" customWidth="1"/>
    <col min="11525" max="11525" width="12.42578125" style="953" customWidth="1"/>
    <col min="11526" max="11526" width="13.140625" style="953" customWidth="1"/>
    <col min="11527" max="11527" width="10.140625" style="953" customWidth="1"/>
    <col min="11528" max="11528" width="7.7109375" style="953" customWidth="1"/>
    <col min="11529" max="11529" width="11" style="953" customWidth="1"/>
    <col min="11530" max="11530" width="14.5703125" style="953" customWidth="1"/>
    <col min="11531" max="11531" width="7.7109375" style="953" customWidth="1"/>
    <col min="11532" max="11532" width="11.42578125" style="953" customWidth="1"/>
    <col min="11533" max="11533" width="10.42578125" style="953" customWidth="1"/>
    <col min="11534" max="11534" width="5.7109375" style="953" customWidth="1"/>
    <col min="11535" max="11535" width="7" style="953" customWidth="1"/>
    <col min="11536" max="11536" width="29.140625" style="953" customWidth="1"/>
    <col min="11537" max="11541" width="9.140625" style="953"/>
    <col min="11542" max="11542" width="0" style="953" hidden="1" customWidth="1"/>
    <col min="11543" max="11776" width="9.140625" style="953"/>
    <col min="11777" max="11777" width="9.28515625" style="953" customWidth="1"/>
    <col min="11778" max="11778" width="20" style="953" customWidth="1"/>
    <col min="11779" max="11779" width="20.42578125" style="953" customWidth="1"/>
    <col min="11780" max="11780" width="20.28515625" style="953" customWidth="1"/>
    <col min="11781" max="11781" width="12.42578125" style="953" customWidth="1"/>
    <col min="11782" max="11782" width="13.140625" style="953" customWidth="1"/>
    <col min="11783" max="11783" width="10.140625" style="953" customWidth="1"/>
    <col min="11784" max="11784" width="7.7109375" style="953" customWidth="1"/>
    <col min="11785" max="11785" width="11" style="953" customWidth="1"/>
    <col min="11786" max="11786" width="14.5703125" style="953" customWidth="1"/>
    <col min="11787" max="11787" width="7.7109375" style="953" customWidth="1"/>
    <col min="11788" max="11788" width="11.42578125" style="953" customWidth="1"/>
    <col min="11789" max="11789" width="10.42578125" style="953" customWidth="1"/>
    <col min="11790" max="11790" width="5.7109375" style="953" customWidth="1"/>
    <col min="11791" max="11791" width="7" style="953" customWidth="1"/>
    <col min="11792" max="11792" width="29.140625" style="953" customWidth="1"/>
    <col min="11793" max="11797" width="9.140625" style="953"/>
    <col min="11798" max="11798" width="0" style="953" hidden="1" customWidth="1"/>
    <col min="11799" max="12032" width="9.140625" style="953"/>
    <col min="12033" max="12033" width="9.28515625" style="953" customWidth="1"/>
    <col min="12034" max="12034" width="20" style="953" customWidth="1"/>
    <col min="12035" max="12035" width="20.42578125" style="953" customWidth="1"/>
    <col min="12036" max="12036" width="20.28515625" style="953" customWidth="1"/>
    <col min="12037" max="12037" width="12.42578125" style="953" customWidth="1"/>
    <col min="12038" max="12038" width="13.140625" style="953" customWidth="1"/>
    <col min="12039" max="12039" width="10.140625" style="953" customWidth="1"/>
    <col min="12040" max="12040" width="7.7109375" style="953" customWidth="1"/>
    <col min="12041" max="12041" width="11" style="953" customWidth="1"/>
    <col min="12042" max="12042" width="14.5703125" style="953" customWidth="1"/>
    <col min="12043" max="12043" width="7.7109375" style="953" customWidth="1"/>
    <col min="12044" max="12044" width="11.42578125" style="953" customWidth="1"/>
    <col min="12045" max="12045" width="10.42578125" style="953" customWidth="1"/>
    <col min="12046" max="12046" width="5.7109375" style="953" customWidth="1"/>
    <col min="12047" max="12047" width="7" style="953" customWidth="1"/>
    <col min="12048" max="12048" width="29.140625" style="953" customWidth="1"/>
    <col min="12049" max="12053" width="9.140625" style="953"/>
    <col min="12054" max="12054" width="0" style="953" hidden="1" customWidth="1"/>
    <col min="12055" max="12288" width="9.140625" style="953"/>
    <col min="12289" max="12289" width="9.28515625" style="953" customWidth="1"/>
    <col min="12290" max="12290" width="20" style="953" customWidth="1"/>
    <col min="12291" max="12291" width="20.42578125" style="953" customWidth="1"/>
    <col min="12292" max="12292" width="20.28515625" style="953" customWidth="1"/>
    <col min="12293" max="12293" width="12.42578125" style="953" customWidth="1"/>
    <col min="12294" max="12294" width="13.140625" style="953" customWidth="1"/>
    <col min="12295" max="12295" width="10.140625" style="953" customWidth="1"/>
    <col min="12296" max="12296" width="7.7109375" style="953" customWidth="1"/>
    <col min="12297" max="12297" width="11" style="953" customWidth="1"/>
    <col min="12298" max="12298" width="14.5703125" style="953" customWidth="1"/>
    <col min="12299" max="12299" width="7.7109375" style="953" customWidth="1"/>
    <col min="12300" max="12300" width="11.42578125" style="953" customWidth="1"/>
    <col min="12301" max="12301" width="10.42578125" style="953" customWidth="1"/>
    <col min="12302" max="12302" width="5.7109375" style="953" customWidth="1"/>
    <col min="12303" max="12303" width="7" style="953" customWidth="1"/>
    <col min="12304" max="12304" width="29.140625" style="953" customWidth="1"/>
    <col min="12305" max="12309" width="9.140625" style="953"/>
    <col min="12310" max="12310" width="0" style="953" hidden="1" customWidth="1"/>
    <col min="12311" max="12544" width="9.140625" style="953"/>
    <col min="12545" max="12545" width="9.28515625" style="953" customWidth="1"/>
    <col min="12546" max="12546" width="20" style="953" customWidth="1"/>
    <col min="12547" max="12547" width="20.42578125" style="953" customWidth="1"/>
    <col min="12548" max="12548" width="20.28515625" style="953" customWidth="1"/>
    <col min="12549" max="12549" width="12.42578125" style="953" customWidth="1"/>
    <col min="12550" max="12550" width="13.140625" style="953" customWidth="1"/>
    <col min="12551" max="12551" width="10.140625" style="953" customWidth="1"/>
    <col min="12552" max="12552" width="7.7109375" style="953" customWidth="1"/>
    <col min="12553" max="12553" width="11" style="953" customWidth="1"/>
    <col min="12554" max="12554" width="14.5703125" style="953" customWidth="1"/>
    <col min="12555" max="12555" width="7.7109375" style="953" customWidth="1"/>
    <col min="12556" max="12556" width="11.42578125" style="953" customWidth="1"/>
    <col min="12557" max="12557" width="10.42578125" style="953" customWidth="1"/>
    <col min="12558" max="12558" width="5.7109375" style="953" customWidth="1"/>
    <col min="12559" max="12559" width="7" style="953" customWidth="1"/>
    <col min="12560" max="12560" width="29.140625" style="953" customWidth="1"/>
    <col min="12561" max="12565" width="9.140625" style="953"/>
    <col min="12566" max="12566" width="0" style="953" hidden="1" customWidth="1"/>
    <col min="12567" max="12800" width="9.140625" style="953"/>
    <col min="12801" max="12801" width="9.28515625" style="953" customWidth="1"/>
    <col min="12802" max="12802" width="20" style="953" customWidth="1"/>
    <col min="12803" max="12803" width="20.42578125" style="953" customWidth="1"/>
    <col min="12804" max="12804" width="20.28515625" style="953" customWidth="1"/>
    <col min="12805" max="12805" width="12.42578125" style="953" customWidth="1"/>
    <col min="12806" max="12806" width="13.140625" style="953" customWidth="1"/>
    <col min="12807" max="12807" width="10.140625" style="953" customWidth="1"/>
    <col min="12808" max="12808" width="7.7109375" style="953" customWidth="1"/>
    <col min="12809" max="12809" width="11" style="953" customWidth="1"/>
    <col min="12810" max="12810" width="14.5703125" style="953" customWidth="1"/>
    <col min="12811" max="12811" width="7.7109375" style="953" customWidth="1"/>
    <col min="12812" max="12812" width="11.42578125" style="953" customWidth="1"/>
    <col min="12813" max="12813" width="10.42578125" style="953" customWidth="1"/>
    <col min="12814" max="12814" width="5.7109375" style="953" customWidth="1"/>
    <col min="12815" max="12815" width="7" style="953" customWidth="1"/>
    <col min="12816" max="12816" width="29.140625" style="953" customWidth="1"/>
    <col min="12817" max="12821" width="9.140625" style="953"/>
    <col min="12822" max="12822" width="0" style="953" hidden="1" customWidth="1"/>
    <col min="12823" max="13056" width="9.140625" style="953"/>
    <col min="13057" max="13057" width="9.28515625" style="953" customWidth="1"/>
    <col min="13058" max="13058" width="20" style="953" customWidth="1"/>
    <col min="13059" max="13059" width="20.42578125" style="953" customWidth="1"/>
    <col min="13060" max="13060" width="20.28515625" style="953" customWidth="1"/>
    <col min="13061" max="13061" width="12.42578125" style="953" customWidth="1"/>
    <col min="13062" max="13062" width="13.140625" style="953" customWidth="1"/>
    <col min="13063" max="13063" width="10.140625" style="953" customWidth="1"/>
    <col min="13064" max="13064" width="7.7109375" style="953" customWidth="1"/>
    <col min="13065" max="13065" width="11" style="953" customWidth="1"/>
    <col min="13066" max="13066" width="14.5703125" style="953" customWidth="1"/>
    <col min="13067" max="13067" width="7.7109375" style="953" customWidth="1"/>
    <col min="13068" max="13068" width="11.42578125" style="953" customWidth="1"/>
    <col min="13069" max="13069" width="10.42578125" style="953" customWidth="1"/>
    <col min="13070" max="13070" width="5.7109375" style="953" customWidth="1"/>
    <col min="13071" max="13071" width="7" style="953" customWidth="1"/>
    <col min="13072" max="13072" width="29.140625" style="953" customWidth="1"/>
    <col min="13073" max="13077" width="9.140625" style="953"/>
    <col min="13078" max="13078" width="0" style="953" hidden="1" customWidth="1"/>
    <col min="13079" max="13312" width="9.140625" style="953"/>
    <col min="13313" max="13313" width="9.28515625" style="953" customWidth="1"/>
    <col min="13314" max="13314" width="20" style="953" customWidth="1"/>
    <col min="13315" max="13315" width="20.42578125" style="953" customWidth="1"/>
    <col min="13316" max="13316" width="20.28515625" style="953" customWidth="1"/>
    <col min="13317" max="13317" width="12.42578125" style="953" customWidth="1"/>
    <col min="13318" max="13318" width="13.140625" style="953" customWidth="1"/>
    <col min="13319" max="13319" width="10.140625" style="953" customWidth="1"/>
    <col min="13320" max="13320" width="7.7109375" style="953" customWidth="1"/>
    <col min="13321" max="13321" width="11" style="953" customWidth="1"/>
    <col min="13322" max="13322" width="14.5703125" style="953" customWidth="1"/>
    <col min="13323" max="13323" width="7.7109375" style="953" customWidth="1"/>
    <col min="13324" max="13324" width="11.42578125" style="953" customWidth="1"/>
    <col min="13325" max="13325" width="10.42578125" style="953" customWidth="1"/>
    <col min="13326" max="13326" width="5.7109375" style="953" customWidth="1"/>
    <col min="13327" max="13327" width="7" style="953" customWidth="1"/>
    <col min="13328" max="13328" width="29.140625" style="953" customWidth="1"/>
    <col min="13329" max="13333" width="9.140625" style="953"/>
    <col min="13334" max="13334" width="0" style="953" hidden="1" customWidth="1"/>
    <col min="13335" max="13568" width="9.140625" style="953"/>
    <col min="13569" max="13569" width="9.28515625" style="953" customWidth="1"/>
    <col min="13570" max="13570" width="20" style="953" customWidth="1"/>
    <col min="13571" max="13571" width="20.42578125" style="953" customWidth="1"/>
    <col min="13572" max="13572" width="20.28515625" style="953" customWidth="1"/>
    <col min="13573" max="13573" width="12.42578125" style="953" customWidth="1"/>
    <col min="13574" max="13574" width="13.140625" style="953" customWidth="1"/>
    <col min="13575" max="13575" width="10.140625" style="953" customWidth="1"/>
    <col min="13576" max="13576" width="7.7109375" style="953" customWidth="1"/>
    <col min="13577" max="13577" width="11" style="953" customWidth="1"/>
    <col min="13578" max="13578" width="14.5703125" style="953" customWidth="1"/>
    <col min="13579" max="13579" width="7.7109375" style="953" customWidth="1"/>
    <col min="13580" max="13580" width="11.42578125" style="953" customWidth="1"/>
    <col min="13581" max="13581" width="10.42578125" style="953" customWidth="1"/>
    <col min="13582" max="13582" width="5.7109375" style="953" customWidth="1"/>
    <col min="13583" max="13583" width="7" style="953" customWidth="1"/>
    <col min="13584" max="13584" width="29.140625" style="953" customWidth="1"/>
    <col min="13585" max="13589" width="9.140625" style="953"/>
    <col min="13590" max="13590" width="0" style="953" hidden="1" customWidth="1"/>
    <col min="13591" max="13824" width="9.140625" style="953"/>
    <col min="13825" max="13825" width="9.28515625" style="953" customWidth="1"/>
    <col min="13826" max="13826" width="20" style="953" customWidth="1"/>
    <col min="13827" max="13827" width="20.42578125" style="953" customWidth="1"/>
    <col min="13828" max="13828" width="20.28515625" style="953" customWidth="1"/>
    <col min="13829" max="13829" width="12.42578125" style="953" customWidth="1"/>
    <col min="13830" max="13830" width="13.140625" style="953" customWidth="1"/>
    <col min="13831" max="13831" width="10.140625" style="953" customWidth="1"/>
    <col min="13832" max="13832" width="7.7109375" style="953" customWidth="1"/>
    <col min="13833" max="13833" width="11" style="953" customWidth="1"/>
    <col min="13834" max="13834" width="14.5703125" style="953" customWidth="1"/>
    <col min="13835" max="13835" width="7.7109375" style="953" customWidth="1"/>
    <col min="13836" max="13836" width="11.42578125" style="953" customWidth="1"/>
    <col min="13837" max="13837" width="10.42578125" style="953" customWidth="1"/>
    <col min="13838" max="13838" width="5.7109375" style="953" customWidth="1"/>
    <col min="13839" max="13839" width="7" style="953" customWidth="1"/>
    <col min="13840" max="13840" width="29.140625" style="953" customWidth="1"/>
    <col min="13841" max="13845" width="9.140625" style="953"/>
    <col min="13846" max="13846" width="0" style="953" hidden="1" customWidth="1"/>
    <col min="13847" max="14080" width="9.140625" style="953"/>
    <col min="14081" max="14081" width="9.28515625" style="953" customWidth="1"/>
    <col min="14082" max="14082" width="20" style="953" customWidth="1"/>
    <col min="14083" max="14083" width="20.42578125" style="953" customWidth="1"/>
    <col min="14084" max="14084" width="20.28515625" style="953" customWidth="1"/>
    <col min="14085" max="14085" width="12.42578125" style="953" customWidth="1"/>
    <col min="14086" max="14086" width="13.140625" style="953" customWidth="1"/>
    <col min="14087" max="14087" width="10.140625" style="953" customWidth="1"/>
    <col min="14088" max="14088" width="7.7109375" style="953" customWidth="1"/>
    <col min="14089" max="14089" width="11" style="953" customWidth="1"/>
    <col min="14090" max="14090" width="14.5703125" style="953" customWidth="1"/>
    <col min="14091" max="14091" width="7.7109375" style="953" customWidth="1"/>
    <col min="14092" max="14092" width="11.42578125" style="953" customWidth="1"/>
    <col min="14093" max="14093" width="10.42578125" style="953" customWidth="1"/>
    <col min="14094" max="14094" width="5.7109375" style="953" customWidth="1"/>
    <col min="14095" max="14095" width="7" style="953" customWidth="1"/>
    <col min="14096" max="14096" width="29.140625" style="953" customWidth="1"/>
    <col min="14097" max="14101" width="9.140625" style="953"/>
    <col min="14102" max="14102" width="0" style="953" hidden="1" customWidth="1"/>
    <col min="14103" max="14336" width="9.140625" style="953"/>
    <col min="14337" max="14337" width="9.28515625" style="953" customWidth="1"/>
    <col min="14338" max="14338" width="20" style="953" customWidth="1"/>
    <col min="14339" max="14339" width="20.42578125" style="953" customWidth="1"/>
    <col min="14340" max="14340" width="20.28515625" style="953" customWidth="1"/>
    <col min="14341" max="14341" width="12.42578125" style="953" customWidth="1"/>
    <col min="14342" max="14342" width="13.140625" style="953" customWidth="1"/>
    <col min="14343" max="14343" width="10.140625" style="953" customWidth="1"/>
    <col min="14344" max="14344" width="7.7109375" style="953" customWidth="1"/>
    <col min="14345" max="14345" width="11" style="953" customWidth="1"/>
    <col min="14346" max="14346" width="14.5703125" style="953" customWidth="1"/>
    <col min="14347" max="14347" width="7.7109375" style="953" customWidth="1"/>
    <col min="14348" max="14348" width="11.42578125" style="953" customWidth="1"/>
    <col min="14349" max="14349" width="10.42578125" style="953" customWidth="1"/>
    <col min="14350" max="14350" width="5.7109375" style="953" customWidth="1"/>
    <col min="14351" max="14351" width="7" style="953" customWidth="1"/>
    <col min="14352" max="14352" width="29.140625" style="953" customWidth="1"/>
    <col min="14353" max="14357" width="9.140625" style="953"/>
    <col min="14358" max="14358" width="0" style="953" hidden="1" customWidth="1"/>
    <col min="14359" max="14592" width="9.140625" style="953"/>
    <col min="14593" max="14593" width="9.28515625" style="953" customWidth="1"/>
    <col min="14594" max="14594" width="20" style="953" customWidth="1"/>
    <col min="14595" max="14595" width="20.42578125" style="953" customWidth="1"/>
    <col min="14596" max="14596" width="20.28515625" style="953" customWidth="1"/>
    <col min="14597" max="14597" width="12.42578125" style="953" customWidth="1"/>
    <col min="14598" max="14598" width="13.140625" style="953" customWidth="1"/>
    <col min="14599" max="14599" width="10.140625" style="953" customWidth="1"/>
    <col min="14600" max="14600" width="7.7109375" style="953" customWidth="1"/>
    <col min="14601" max="14601" width="11" style="953" customWidth="1"/>
    <col min="14602" max="14602" width="14.5703125" style="953" customWidth="1"/>
    <col min="14603" max="14603" width="7.7109375" style="953" customWidth="1"/>
    <col min="14604" max="14604" width="11.42578125" style="953" customWidth="1"/>
    <col min="14605" max="14605" width="10.42578125" style="953" customWidth="1"/>
    <col min="14606" max="14606" width="5.7109375" style="953" customWidth="1"/>
    <col min="14607" max="14607" width="7" style="953" customWidth="1"/>
    <col min="14608" max="14608" width="29.140625" style="953" customWidth="1"/>
    <col min="14609" max="14613" width="9.140625" style="953"/>
    <col min="14614" max="14614" width="0" style="953" hidden="1" customWidth="1"/>
    <col min="14615" max="14848" width="9.140625" style="953"/>
    <col min="14849" max="14849" width="9.28515625" style="953" customWidth="1"/>
    <col min="14850" max="14850" width="20" style="953" customWidth="1"/>
    <col min="14851" max="14851" width="20.42578125" style="953" customWidth="1"/>
    <col min="14852" max="14852" width="20.28515625" style="953" customWidth="1"/>
    <col min="14853" max="14853" width="12.42578125" style="953" customWidth="1"/>
    <col min="14854" max="14854" width="13.140625" style="953" customWidth="1"/>
    <col min="14855" max="14855" width="10.140625" style="953" customWidth="1"/>
    <col min="14856" max="14856" width="7.7109375" style="953" customWidth="1"/>
    <col min="14857" max="14857" width="11" style="953" customWidth="1"/>
    <col min="14858" max="14858" width="14.5703125" style="953" customWidth="1"/>
    <col min="14859" max="14859" width="7.7109375" style="953" customWidth="1"/>
    <col min="14860" max="14860" width="11.42578125" style="953" customWidth="1"/>
    <col min="14861" max="14861" width="10.42578125" style="953" customWidth="1"/>
    <col min="14862" max="14862" width="5.7109375" style="953" customWidth="1"/>
    <col min="14863" max="14863" width="7" style="953" customWidth="1"/>
    <col min="14864" max="14864" width="29.140625" style="953" customWidth="1"/>
    <col min="14865" max="14869" width="9.140625" style="953"/>
    <col min="14870" max="14870" width="0" style="953" hidden="1" customWidth="1"/>
    <col min="14871" max="15104" width="9.140625" style="953"/>
    <col min="15105" max="15105" width="9.28515625" style="953" customWidth="1"/>
    <col min="15106" max="15106" width="20" style="953" customWidth="1"/>
    <col min="15107" max="15107" width="20.42578125" style="953" customWidth="1"/>
    <col min="15108" max="15108" width="20.28515625" style="953" customWidth="1"/>
    <col min="15109" max="15109" width="12.42578125" style="953" customWidth="1"/>
    <col min="15110" max="15110" width="13.140625" style="953" customWidth="1"/>
    <col min="15111" max="15111" width="10.140625" style="953" customWidth="1"/>
    <col min="15112" max="15112" width="7.7109375" style="953" customWidth="1"/>
    <col min="15113" max="15113" width="11" style="953" customWidth="1"/>
    <col min="15114" max="15114" width="14.5703125" style="953" customWidth="1"/>
    <col min="15115" max="15115" width="7.7109375" style="953" customWidth="1"/>
    <col min="15116" max="15116" width="11.42578125" style="953" customWidth="1"/>
    <col min="15117" max="15117" width="10.42578125" style="953" customWidth="1"/>
    <col min="15118" max="15118" width="5.7109375" style="953" customWidth="1"/>
    <col min="15119" max="15119" width="7" style="953" customWidth="1"/>
    <col min="15120" max="15120" width="29.140625" style="953" customWidth="1"/>
    <col min="15121" max="15125" width="9.140625" style="953"/>
    <col min="15126" max="15126" width="0" style="953" hidden="1" customWidth="1"/>
    <col min="15127" max="15360" width="9.140625" style="953"/>
    <col min="15361" max="15361" width="9.28515625" style="953" customWidth="1"/>
    <col min="15362" max="15362" width="20" style="953" customWidth="1"/>
    <col min="15363" max="15363" width="20.42578125" style="953" customWidth="1"/>
    <col min="15364" max="15364" width="20.28515625" style="953" customWidth="1"/>
    <col min="15365" max="15365" width="12.42578125" style="953" customWidth="1"/>
    <col min="15366" max="15366" width="13.140625" style="953" customWidth="1"/>
    <col min="15367" max="15367" width="10.140625" style="953" customWidth="1"/>
    <col min="15368" max="15368" width="7.7109375" style="953" customWidth="1"/>
    <col min="15369" max="15369" width="11" style="953" customWidth="1"/>
    <col min="15370" max="15370" width="14.5703125" style="953" customWidth="1"/>
    <col min="15371" max="15371" width="7.7109375" style="953" customWidth="1"/>
    <col min="15372" max="15372" width="11.42578125" style="953" customWidth="1"/>
    <col min="15373" max="15373" width="10.42578125" style="953" customWidth="1"/>
    <col min="15374" max="15374" width="5.7109375" style="953" customWidth="1"/>
    <col min="15375" max="15375" width="7" style="953" customWidth="1"/>
    <col min="15376" max="15376" width="29.140625" style="953" customWidth="1"/>
    <col min="15377" max="15381" width="9.140625" style="953"/>
    <col min="15382" max="15382" width="0" style="953" hidden="1" customWidth="1"/>
    <col min="15383" max="15616" width="9.140625" style="953"/>
    <col min="15617" max="15617" width="9.28515625" style="953" customWidth="1"/>
    <col min="15618" max="15618" width="20" style="953" customWidth="1"/>
    <col min="15619" max="15619" width="20.42578125" style="953" customWidth="1"/>
    <col min="15620" max="15620" width="20.28515625" style="953" customWidth="1"/>
    <col min="15621" max="15621" width="12.42578125" style="953" customWidth="1"/>
    <col min="15622" max="15622" width="13.140625" style="953" customWidth="1"/>
    <col min="15623" max="15623" width="10.140625" style="953" customWidth="1"/>
    <col min="15624" max="15624" width="7.7109375" style="953" customWidth="1"/>
    <col min="15625" max="15625" width="11" style="953" customWidth="1"/>
    <col min="15626" max="15626" width="14.5703125" style="953" customWidth="1"/>
    <col min="15627" max="15627" width="7.7109375" style="953" customWidth="1"/>
    <col min="15628" max="15628" width="11.42578125" style="953" customWidth="1"/>
    <col min="15629" max="15629" width="10.42578125" style="953" customWidth="1"/>
    <col min="15630" max="15630" width="5.7109375" style="953" customWidth="1"/>
    <col min="15631" max="15631" width="7" style="953" customWidth="1"/>
    <col min="15632" max="15632" width="29.140625" style="953" customWidth="1"/>
    <col min="15633" max="15637" width="9.140625" style="953"/>
    <col min="15638" max="15638" width="0" style="953" hidden="1" customWidth="1"/>
    <col min="15639" max="15872" width="9.140625" style="953"/>
    <col min="15873" max="15873" width="9.28515625" style="953" customWidth="1"/>
    <col min="15874" max="15874" width="20" style="953" customWidth="1"/>
    <col min="15875" max="15875" width="20.42578125" style="953" customWidth="1"/>
    <col min="15876" max="15876" width="20.28515625" style="953" customWidth="1"/>
    <col min="15877" max="15877" width="12.42578125" style="953" customWidth="1"/>
    <col min="15878" max="15878" width="13.140625" style="953" customWidth="1"/>
    <col min="15879" max="15879" width="10.140625" style="953" customWidth="1"/>
    <col min="15880" max="15880" width="7.7109375" style="953" customWidth="1"/>
    <col min="15881" max="15881" width="11" style="953" customWidth="1"/>
    <col min="15882" max="15882" width="14.5703125" style="953" customWidth="1"/>
    <col min="15883" max="15883" width="7.7109375" style="953" customWidth="1"/>
    <col min="15884" max="15884" width="11.42578125" style="953" customWidth="1"/>
    <col min="15885" max="15885" width="10.42578125" style="953" customWidth="1"/>
    <col min="15886" max="15886" width="5.7109375" style="953" customWidth="1"/>
    <col min="15887" max="15887" width="7" style="953" customWidth="1"/>
    <col min="15888" max="15888" width="29.140625" style="953" customWidth="1"/>
    <col min="15889" max="15893" width="9.140625" style="953"/>
    <col min="15894" max="15894" width="0" style="953" hidden="1" customWidth="1"/>
    <col min="15895" max="16128" width="9.140625" style="953"/>
    <col min="16129" max="16129" width="9.28515625" style="953" customWidth="1"/>
    <col min="16130" max="16130" width="20" style="953" customWidth="1"/>
    <col min="16131" max="16131" width="20.42578125" style="953" customWidth="1"/>
    <col min="16132" max="16132" width="20.28515625" style="953" customWidth="1"/>
    <col min="16133" max="16133" width="12.42578125" style="953" customWidth="1"/>
    <col min="16134" max="16134" width="13.140625" style="953" customWidth="1"/>
    <col min="16135" max="16135" width="10.140625" style="953" customWidth="1"/>
    <col min="16136" max="16136" width="7.7109375" style="953" customWidth="1"/>
    <col min="16137" max="16137" width="11" style="953" customWidth="1"/>
    <col min="16138" max="16138" width="14.5703125" style="953" customWidth="1"/>
    <col min="16139" max="16139" width="7.7109375" style="953" customWidth="1"/>
    <col min="16140" max="16140" width="11.42578125" style="953" customWidth="1"/>
    <col min="16141" max="16141" width="10.42578125" style="953" customWidth="1"/>
    <col min="16142" max="16142" width="5.7109375" style="953" customWidth="1"/>
    <col min="16143" max="16143" width="7" style="953" customWidth="1"/>
    <col min="16144" max="16144" width="29.140625" style="953" customWidth="1"/>
    <col min="16145" max="16149" width="9.140625" style="953"/>
    <col min="16150" max="16150" width="0" style="953" hidden="1" customWidth="1"/>
    <col min="16151" max="16384" width="9.140625" style="953"/>
  </cols>
  <sheetData>
    <row r="1" spans="1:72" ht="26.25" customHeight="1">
      <c r="A1" s="1437" t="s">
        <v>1597</v>
      </c>
      <c r="B1" s="1438" t="s">
        <v>1598</v>
      </c>
      <c r="C1" s="1439"/>
      <c r="D1" s="1439"/>
      <c r="E1" s="1439"/>
      <c r="F1" s="1441"/>
      <c r="G1" s="1439"/>
      <c r="H1" s="1439"/>
      <c r="I1" s="1439"/>
      <c r="J1" s="1439"/>
    </row>
    <row r="2" spans="1:72" ht="26.25" customHeight="1">
      <c r="B2" s="1438" t="s">
        <v>1599</v>
      </c>
      <c r="C2" s="1439"/>
      <c r="D2" s="1439"/>
      <c r="E2" s="1439"/>
      <c r="F2" s="1441"/>
      <c r="G2" s="1439"/>
      <c r="H2" s="1439"/>
      <c r="I2" s="1439"/>
      <c r="J2" s="1439"/>
    </row>
    <row r="3" spans="1:72" ht="26.25" customHeight="1">
      <c r="B3" s="1440" t="s">
        <v>409</v>
      </c>
      <c r="C3" s="1440">
        <f>'Project Info'!$C$3</f>
        <v>0</v>
      </c>
      <c r="D3" s="1440"/>
      <c r="E3" s="1439"/>
      <c r="F3" s="1441"/>
      <c r="G3" s="1439"/>
      <c r="H3" s="1439"/>
      <c r="I3" s="1439"/>
      <c r="J3" s="1439"/>
    </row>
    <row r="4" spans="1:72" ht="26.25" customHeight="1">
      <c r="A4" s="1469"/>
      <c r="C4" s="1439"/>
      <c r="D4" s="1439"/>
      <c r="E4" s="1439"/>
      <c r="F4" s="1439"/>
      <c r="G4" s="1439"/>
      <c r="H4" s="1439"/>
      <c r="I4" s="1439"/>
      <c r="J4" s="1470"/>
      <c r="K4" s="1439"/>
      <c r="L4" s="1449"/>
      <c r="M4" s="1449"/>
      <c r="N4" s="1449"/>
      <c r="O4" s="1439"/>
    </row>
    <row r="5" spans="1:72" s="1476" customFormat="1" ht="15.75">
      <c r="A5" s="1442"/>
      <c r="B5" s="1471" t="s">
        <v>1636</v>
      </c>
      <c r="C5" s="1472"/>
      <c r="D5" s="1473"/>
      <c r="E5" s="1472"/>
      <c r="F5" s="1472"/>
      <c r="G5" s="1472"/>
      <c r="H5" s="1472"/>
      <c r="I5" s="1472"/>
      <c r="J5" s="1472"/>
      <c r="K5" s="1472"/>
      <c r="L5" s="1474"/>
      <c r="M5" s="2626" t="s">
        <v>1601</v>
      </c>
      <c r="N5" s="2627"/>
      <c r="O5" s="2628" t="s">
        <v>1602</v>
      </c>
      <c r="P5" s="2628"/>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c r="BO5" s="1475"/>
      <c r="BP5" s="1475"/>
      <c r="BQ5" s="1475"/>
      <c r="BR5" s="1475"/>
      <c r="BS5" s="1475"/>
      <c r="BT5" s="1475"/>
    </row>
    <row r="6" spans="1:72">
      <c r="B6" s="2629"/>
      <c r="C6" s="2630"/>
      <c r="D6" s="2631"/>
      <c r="E6" s="2631"/>
      <c r="F6" s="1449"/>
      <c r="G6" s="1449"/>
      <c r="H6" s="1449"/>
      <c r="I6" s="2618"/>
      <c r="J6" s="2618"/>
      <c r="K6" s="2605"/>
      <c r="L6" s="2605"/>
      <c r="M6" s="2632" t="s">
        <v>1603</v>
      </c>
      <c r="N6" s="2633"/>
      <c r="O6" s="2634"/>
      <c r="P6" s="2635"/>
    </row>
    <row r="7" spans="1:72">
      <c r="B7" s="2629" t="s">
        <v>1604</v>
      </c>
      <c r="C7" s="2630"/>
      <c r="D7" s="2631"/>
      <c r="E7" s="2631"/>
      <c r="F7" s="1449"/>
      <c r="G7" s="1449"/>
      <c r="H7" s="1449"/>
      <c r="I7" s="2618"/>
      <c r="J7" s="2618"/>
      <c r="K7" s="2605"/>
      <c r="L7" s="2605"/>
      <c r="M7" s="2636"/>
      <c r="N7" s="2637"/>
      <c r="O7" s="2625"/>
      <c r="P7" s="2625"/>
    </row>
    <row r="8" spans="1:72" ht="26.25" customHeight="1">
      <c r="A8" s="1457"/>
      <c r="B8" s="2619" t="s">
        <v>1637</v>
      </c>
      <c r="C8" s="2619"/>
      <c r="D8" s="2619"/>
      <c r="E8" s="2619"/>
      <c r="F8" s="2619"/>
      <c r="G8" s="2619"/>
      <c r="H8" s="2619"/>
      <c r="I8" s="2619"/>
      <c r="J8" s="2619"/>
      <c r="K8" s="2605"/>
      <c r="L8" s="2605"/>
      <c r="M8" s="2624"/>
      <c r="N8" s="2624"/>
      <c r="O8" s="2625"/>
      <c r="P8" s="2625"/>
    </row>
    <row r="9" spans="1:72" ht="26.25" customHeight="1">
      <c r="A9" s="1457"/>
      <c r="B9" s="2619" t="s">
        <v>1638</v>
      </c>
      <c r="C9" s="2619"/>
      <c r="D9" s="2619"/>
      <c r="E9" s="2619"/>
      <c r="F9" s="2619"/>
      <c r="G9" s="2619"/>
      <c r="H9" s="2619"/>
      <c r="I9" s="2619"/>
      <c r="J9" s="2619"/>
      <c r="K9" s="2605"/>
      <c r="L9" s="2605"/>
      <c r="M9" s="2623"/>
      <c r="N9" s="2623"/>
      <c r="O9" s="2605"/>
      <c r="P9" s="2605"/>
    </row>
    <row r="10" spans="1:72" ht="12.75" customHeight="1">
      <c r="A10" s="1457"/>
      <c r="B10" s="2619" t="s">
        <v>1639</v>
      </c>
      <c r="C10" s="2619"/>
      <c r="D10" s="2619"/>
      <c r="E10" s="2619"/>
      <c r="F10" s="2619"/>
      <c r="G10" s="2619"/>
      <c r="H10" s="2619"/>
      <c r="I10" s="2619"/>
      <c r="J10" s="2619"/>
      <c r="K10" s="2605"/>
      <c r="L10" s="2605"/>
      <c r="M10" s="2605"/>
      <c r="N10" s="2605"/>
      <c r="O10" s="2605"/>
      <c r="P10" s="2605"/>
      <c r="Q10" s="1457"/>
    </row>
    <row r="11" spans="1:72" ht="26.25" customHeight="1">
      <c r="A11" s="1457"/>
      <c r="B11" s="2619" t="s">
        <v>1640</v>
      </c>
      <c r="C11" s="2619"/>
      <c r="D11" s="2619"/>
      <c r="E11" s="2619"/>
      <c r="F11" s="2619"/>
      <c r="G11" s="2619"/>
      <c r="H11" s="2619"/>
      <c r="I11" s="2619"/>
      <c r="J11" s="2619"/>
      <c r="K11" s="2605"/>
      <c r="L11" s="2605"/>
      <c r="M11" s="2605"/>
      <c r="N11" s="2605"/>
      <c r="O11" s="2605"/>
      <c r="P11" s="2605"/>
      <c r="Q11" s="1457"/>
    </row>
    <row r="12" spans="1:72" ht="27" customHeight="1">
      <c r="A12" s="1457"/>
      <c r="B12" s="2585" t="s">
        <v>1641</v>
      </c>
      <c r="C12" s="2585"/>
      <c r="D12" s="2585"/>
      <c r="E12" s="2585"/>
      <c r="F12" s="2585"/>
      <c r="G12" s="2585"/>
      <c r="H12" s="2585"/>
      <c r="I12" s="2585"/>
      <c r="J12" s="2585"/>
      <c r="K12" s="2605"/>
      <c r="L12" s="2605"/>
      <c r="M12" s="2605"/>
      <c r="N12" s="2605"/>
      <c r="O12" s="2605"/>
      <c r="P12" s="2605"/>
      <c r="Q12" s="1457"/>
    </row>
    <row r="13" spans="1:72" ht="12.75" customHeight="1">
      <c r="A13" s="1457"/>
      <c r="B13" s="2620"/>
      <c r="C13" s="2621"/>
      <c r="D13" s="2622"/>
      <c r="E13" s="2622"/>
      <c r="F13" s="1449"/>
      <c r="G13" s="1449"/>
      <c r="H13" s="1449"/>
      <c r="I13" s="2618"/>
      <c r="J13" s="2618"/>
      <c r="K13" s="2605"/>
      <c r="L13" s="2605"/>
      <c r="M13" s="2605"/>
      <c r="N13" s="2605"/>
      <c r="O13" s="2605"/>
      <c r="P13" s="2605"/>
      <c r="Q13" s="1457"/>
    </row>
    <row r="14" spans="1:72">
      <c r="A14" s="1457"/>
      <c r="B14" s="1451" t="s">
        <v>1607</v>
      </c>
      <c r="C14" s="1449"/>
      <c r="D14" s="1449"/>
      <c r="E14" s="1449"/>
      <c r="F14" s="1449"/>
      <c r="G14" s="1449"/>
      <c r="H14" s="1449"/>
      <c r="I14" s="2618"/>
      <c r="J14" s="2618"/>
      <c r="K14" s="2605"/>
      <c r="L14" s="2605"/>
      <c r="M14" s="1449"/>
      <c r="N14" s="1449"/>
      <c r="O14" s="1449"/>
      <c r="P14" s="1457"/>
    </row>
    <row r="15" spans="1:72">
      <c r="A15" s="1457"/>
      <c r="B15" s="1455" t="s">
        <v>1642</v>
      </c>
      <c r="C15" s="1449"/>
      <c r="D15" s="1449"/>
      <c r="E15" s="1449"/>
      <c r="F15" s="1449"/>
      <c r="G15" s="1449"/>
      <c r="H15" s="1449"/>
      <c r="I15" s="1449"/>
      <c r="J15" s="1449"/>
      <c r="K15" s="1449"/>
      <c r="L15" s="1449"/>
      <c r="M15" s="1449"/>
      <c r="N15" s="1449"/>
      <c r="O15" s="1449"/>
      <c r="P15" s="1457"/>
    </row>
    <row r="16" spans="1:72">
      <c r="A16" s="1457"/>
      <c r="B16" s="1455" t="s">
        <v>1643</v>
      </c>
      <c r="C16" s="1449"/>
      <c r="D16" s="1449"/>
      <c r="E16" s="1449"/>
      <c r="F16" s="1449"/>
      <c r="G16" s="1449"/>
      <c r="H16" s="1449"/>
      <c r="I16" s="1449"/>
      <c r="J16" s="1449"/>
      <c r="K16" s="1449"/>
      <c r="L16" s="1449"/>
      <c r="M16" s="1449"/>
      <c r="N16" s="1449"/>
      <c r="O16" s="1449"/>
      <c r="P16" s="1457"/>
    </row>
    <row r="17" spans="1:17">
      <c r="A17" s="1457"/>
      <c r="B17" s="1449"/>
      <c r="C17" s="1449"/>
      <c r="D17" s="1449"/>
      <c r="E17" s="1449"/>
      <c r="F17" s="1449"/>
      <c r="G17" s="1449"/>
      <c r="H17" s="1449"/>
      <c r="I17" s="1449"/>
      <c r="J17" s="1449"/>
      <c r="K17" s="1449"/>
      <c r="L17" s="1449"/>
      <c r="M17" s="1449"/>
      <c r="N17" s="1449"/>
      <c r="O17" s="1449"/>
      <c r="P17" s="1457"/>
    </row>
    <row r="18" spans="1:17">
      <c r="A18" s="1457"/>
      <c r="B18" s="1454" t="s">
        <v>1611</v>
      </c>
      <c r="C18" s="1455"/>
      <c r="D18" s="1455"/>
      <c r="E18" s="1455"/>
      <c r="F18" s="1455"/>
      <c r="G18" s="1455"/>
      <c r="H18" s="1455"/>
      <c r="I18" s="1455"/>
      <c r="J18" s="1455"/>
      <c r="K18" s="1449"/>
      <c r="L18" s="1449"/>
      <c r="M18" s="1449"/>
      <c r="N18" s="1449"/>
      <c r="O18" s="1449"/>
      <c r="P18" s="1457"/>
    </row>
    <row r="19" spans="1:17">
      <c r="A19" s="1457"/>
      <c r="B19" s="1455" t="s">
        <v>1644</v>
      </c>
      <c r="C19" s="1455"/>
      <c r="D19" s="1455"/>
      <c r="E19" s="1455"/>
      <c r="F19" s="1455"/>
      <c r="G19" s="1455"/>
      <c r="H19" s="1455"/>
      <c r="I19" s="1455"/>
      <c r="J19" s="1455"/>
      <c r="K19" s="1449"/>
      <c r="L19" s="1449"/>
      <c r="M19" s="1449"/>
      <c r="N19" s="1449"/>
      <c r="O19" s="1449"/>
      <c r="P19" s="1457"/>
    </row>
    <row r="20" spans="1:17" ht="37.5" customHeight="1">
      <c r="A20" s="1457"/>
      <c r="B20" s="2584" t="s">
        <v>1645</v>
      </c>
      <c r="C20" s="2584"/>
      <c r="D20" s="2584"/>
      <c r="E20" s="2584"/>
      <c r="F20" s="2584"/>
      <c r="G20" s="2584"/>
      <c r="H20" s="2584"/>
      <c r="I20" s="2584"/>
      <c r="J20" s="2584"/>
      <c r="K20" s="1449"/>
      <c r="L20" s="1449"/>
      <c r="M20" s="1449"/>
      <c r="N20" s="1449"/>
      <c r="O20" s="1449"/>
      <c r="P20" s="1457"/>
    </row>
    <row r="21" spans="1:17" ht="27.75" customHeight="1">
      <c r="A21" s="1457"/>
      <c r="B21" s="2584" t="s">
        <v>1646</v>
      </c>
      <c r="C21" s="2584"/>
      <c r="D21" s="2584"/>
      <c r="E21" s="2584"/>
      <c r="F21" s="2584"/>
      <c r="G21" s="2584"/>
      <c r="H21" s="2584"/>
      <c r="I21" s="2584"/>
      <c r="J21" s="2584"/>
      <c r="K21" s="1449"/>
      <c r="L21" s="1449"/>
      <c r="M21" s="1449"/>
      <c r="N21" s="1449"/>
      <c r="O21" s="1449"/>
      <c r="P21" s="1457"/>
    </row>
    <row r="22" spans="1:17" ht="54.75" customHeight="1">
      <c r="A22" s="1457"/>
      <c r="B22" s="2584" t="s">
        <v>1647</v>
      </c>
      <c r="C22" s="2584"/>
      <c r="D22" s="2584"/>
      <c r="E22" s="2584"/>
      <c r="F22" s="2584"/>
      <c r="G22" s="2584"/>
      <c r="H22" s="2584"/>
      <c r="I22" s="2584"/>
      <c r="J22" s="2584"/>
      <c r="K22" s="1449"/>
      <c r="L22" s="1449"/>
      <c r="M22" s="1449"/>
      <c r="N22" s="1449"/>
      <c r="O22" s="1449"/>
      <c r="P22" s="1457"/>
    </row>
    <row r="23" spans="1:17" ht="27.75" customHeight="1">
      <c r="A23" s="1457"/>
      <c r="B23" s="2584" t="s">
        <v>1648</v>
      </c>
      <c r="C23" s="2584"/>
      <c r="D23" s="2584"/>
      <c r="E23" s="2584"/>
      <c r="F23" s="2584"/>
      <c r="G23" s="2584"/>
      <c r="H23" s="2584"/>
      <c r="I23" s="2584"/>
      <c r="J23" s="2584"/>
      <c r="K23" s="1449"/>
      <c r="L23" s="1449"/>
      <c r="M23" s="1449"/>
      <c r="N23" s="1449"/>
      <c r="O23" s="1449"/>
      <c r="P23" s="1457"/>
    </row>
    <row r="24" spans="1:17">
      <c r="A24" s="1457"/>
      <c r="B24" s="1455" t="s">
        <v>1649</v>
      </c>
      <c r="C24" s="1455"/>
      <c r="D24" s="1455"/>
      <c r="E24" s="1455"/>
      <c r="F24" s="1455"/>
      <c r="G24" s="1455"/>
      <c r="H24" s="1455"/>
      <c r="I24" s="1455"/>
      <c r="J24" s="1455"/>
      <c r="K24" s="1449"/>
      <c r="L24" s="1449"/>
      <c r="M24" s="1449"/>
      <c r="N24" s="1449"/>
      <c r="O24" s="1449"/>
      <c r="P24" s="1457"/>
    </row>
    <row r="25" spans="1:17" ht="35.25" customHeight="1">
      <c r="A25" s="1457"/>
      <c r="B25" s="2609" t="s">
        <v>1650</v>
      </c>
      <c r="C25" s="2609"/>
      <c r="D25" s="2609"/>
      <c r="E25" s="2609"/>
      <c r="F25" s="2609"/>
      <c r="G25" s="2609"/>
      <c r="H25" s="2609"/>
      <c r="I25" s="2609"/>
      <c r="J25" s="2609"/>
      <c r="K25" s="2609"/>
      <c r="L25" s="1449"/>
      <c r="M25" s="1449"/>
      <c r="N25" s="1449"/>
      <c r="O25" s="1449"/>
      <c r="P25" s="1457"/>
    </row>
    <row r="26" spans="1:17" ht="76.5" customHeight="1">
      <c r="B26" s="1477" t="s">
        <v>1651</v>
      </c>
      <c r="C26" s="1477" t="s">
        <v>1652</v>
      </c>
      <c r="D26" s="1477" t="s">
        <v>1624</v>
      </c>
      <c r="E26" s="1477" t="s">
        <v>1623</v>
      </c>
      <c r="F26" s="1478" t="s">
        <v>1621</v>
      </c>
      <c r="G26" s="1478" t="s">
        <v>1622</v>
      </c>
      <c r="H26" s="1478" t="s">
        <v>1653</v>
      </c>
      <c r="I26" s="1477" t="s">
        <v>1654</v>
      </c>
      <c r="J26" s="1477" t="s">
        <v>1655</v>
      </c>
      <c r="K26" s="1477" t="s">
        <v>1656</v>
      </c>
      <c r="L26" s="1479" t="s">
        <v>4</v>
      </c>
      <c r="M26" s="1459" t="s">
        <v>1627</v>
      </c>
      <c r="N26" s="1465" t="s">
        <v>1628</v>
      </c>
      <c r="O26" s="1465" t="s">
        <v>1629</v>
      </c>
      <c r="P26" s="1459" t="s">
        <v>1657</v>
      </c>
      <c r="Q26" s="1480"/>
    </row>
    <row r="27" spans="1:17">
      <c r="B27" s="1113"/>
      <c r="C27" s="1113"/>
      <c r="D27" s="1114"/>
      <c r="E27" s="1114"/>
      <c r="F27" s="1114"/>
      <c r="G27" s="1113"/>
      <c r="H27" s="1114"/>
      <c r="I27" s="1114"/>
      <c r="J27" s="1115"/>
      <c r="K27" s="1116"/>
      <c r="L27" s="1114"/>
      <c r="M27" s="1114"/>
      <c r="N27" s="1117"/>
      <c r="O27" s="1118"/>
      <c r="P27" s="1266"/>
    </row>
    <row r="28" spans="1:17">
      <c r="B28" s="1114"/>
      <c r="C28" s="1113"/>
      <c r="D28" s="1114"/>
      <c r="E28" s="1114"/>
      <c r="F28" s="1114"/>
      <c r="G28" s="1113"/>
      <c r="H28" s="1119"/>
      <c r="I28" s="1119"/>
      <c r="J28" s="1115"/>
      <c r="K28" s="1116"/>
      <c r="L28" s="1114"/>
      <c r="M28" s="1114"/>
      <c r="N28" s="1117"/>
      <c r="O28" s="1118"/>
      <c r="P28" s="1266"/>
    </row>
    <row r="29" spans="1:17">
      <c r="B29" s="1114"/>
      <c r="C29" s="1113"/>
      <c r="D29" s="1114"/>
      <c r="E29" s="1114"/>
      <c r="F29" s="1114"/>
      <c r="G29" s="1113"/>
      <c r="H29" s="1120"/>
      <c r="I29" s="1114"/>
      <c r="J29" s="1115"/>
      <c r="K29" s="1116"/>
      <c r="L29" s="1114"/>
      <c r="M29" s="1114"/>
      <c r="N29" s="1117"/>
      <c r="O29" s="1118"/>
      <c r="P29" s="1255"/>
    </row>
    <row r="30" spans="1:17">
      <c r="B30" s="1114"/>
      <c r="C30" s="1113"/>
      <c r="D30" s="1114"/>
      <c r="E30" s="1114"/>
      <c r="F30" s="1114"/>
      <c r="G30" s="1113"/>
      <c r="H30" s="1114"/>
      <c r="I30" s="1114"/>
      <c r="J30" s="1114"/>
      <c r="K30" s="1116"/>
      <c r="L30" s="1114"/>
      <c r="M30" s="1114"/>
      <c r="N30" s="1117"/>
      <c r="O30" s="1118"/>
      <c r="P30" s="1255"/>
    </row>
    <row r="31" spans="1:17">
      <c r="B31" s="1114"/>
      <c r="C31" s="1113"/>
      <c r="D31" s="1114"/>
      <c r="E31" s="1114"/>
      <c r="F31" s="1114"/>
      <c r="G31" s="1113"/>
      <c r="H31" s="1114"/>
      <c r="I31" s="1114"/>
      <c r="J31" s="1114"/>
      <c r="K31" s="1116"/>
      <c r="L31" s="1114"/>
      <c r="M31" s="1114"/>
      <c r="N31" s="1117"/>
      <c r="O31" s="1118"/>
      <c r="P31" s="1255"/>
    </row>
    <row r="32" spans="1:17">
      <c r="B32" s="1113"/>
      <c r="C32" s="1113"/>
      <c r="D32" s="1114"/>
      <c r="E32" s="1114"/>
      <c r="F32" s="1114"/>
      <c r="G32" s="1113"/>
      <c r="H32" s="1114"/>
      <c r="I32" s="1114"/>
      <c r="J32" s="1114"/>
      <c r="K32" s="1116"/>
      <c r="L32" s="1114"/>
      <c r="M32" s="1114"/>
      <c r="N32" s="1117"/>
      <c r="O32" s="1118"/>
      <c r="P32" s="1255"/>
    </row>
    <row r="33" spans="1:72">
      <c r="B33" s="1114"/>
      <c r="C33" s="1113"/>
      <c r="D33" s="1114"/>
      <c r="E33" s="1114"/>
      <c r="F33" s="1114"/>
      <c r="G33" s="1113"/>
      <c r="H33" s="1114"/>
      <c r="I33" s="1114"/>
      <c r="J33" s="1114"/>
      <c r="K33" s="1116"/>
      <c r="L33" s="1114"/>
      <c r="M33" s="1114"/>
      <c r="N33" s="1117"/>
      <c r="O33" s="1118"/>
      <c r="P33" s="1255"/>
    </row>
    <row r="34" spans="1:72">
      <c r="B34" s="1114"/>
      <c r="C34" s="1113"/>
      <c r="D34" s="1114"/>
      <c r="E34" s="1114"/>
      <c r="F34" s="1114"/>
      <c r="G34" s="1113"/>
      <c r="H34" s="1114"/>
      <c r="I34" s="1114"/>
      <c r="J34" s="1114"/>
      <c r="K34" s="1116"/>
      <c r="L34" s="1114"/>
      <c r="M34" s="1114"/>
      <c r="N34" s="1117"/>
      <c r="O34" s="1118"/>
      <c r="P34" s="1255"/>
    </row>
    <row r="35" spans="1:72">
      <c r="B35" s="1114"/>
      <c r="C35" s="1113"/>
      <c r="D35" s="1114"/>
      <c r="E35" s="1114"/>
      <c r="F35" s="1114"/>
      <c r="G35" s="1113"/>
      <c r="H35" s="1114"/>
      <c r="I35" s="1114"/>
      <c r="J35" s="1114"/>
      <c r="K35" s="1116"/>
      <c r="L35" s="1114"/>
      <c r="M35" s="1114"/>
      <c r="N35" s="1117"/>
      <c r="O35" s="1118"/>
      <c r="P35" s="1255"/>
    </row>
    <row r="36" spans="1:72">
      <c r="B36" s="1114"/>
      <c r="C36" s="1113"/>
      <c r="D36" s="1114"/>
      <c r="E36" s="1114"/>
      <c r="F36" s="1114"/>
      <c r="G36" s="1113"/>
      <c r="H36" s="1114"/>
      <c r="I36" s="1114"/>
      <c r="J36" s="1114"/>
      <c r="K36" s="1116"/>
      <c r="L36" s="1114"/>
      <c r="M36" s="1114"/>
      <c r="N36" s="1117"/>
      <c r="O36" s="1118"/>
      <c r="P36" s="1255"/>
    </row>
    <row r="37" spans="1:72">
      <c r="B37" s="1114"/>
      <c r="C37" s="1113"/>
      <c r="D37" s="1114"/>
      <c r="E37" s="1114"/>
      <c r="F37" s="1114"/>
      <c r="G37" s="1113"/>
      <c r="H37" s="1114"/>
      <c r="I37" s="1114"/>
      <c r="J37" s="1114"/>
      <c r="K37" s="1116"/>
      <c r="L37" s="1114"/>
      <c r="M37" s="1114"/>
      <c r="N37" s="1117"/>
      <c r="O37" s="1118"/>
      <c r="P37" s="1255"/>
    </row>
    <row r="38" spans="1:72">
      <c r="B38" s="1113"/>
      <c r="C38" s="1113"/>
      <c r="D38" s="1114"/>
      <c r="E38" s="1114"/>
      <c r="F38" s="1114"/>
      <c r="G38" s="1113"/>
      <c r="H38" s="1114"/>
      <c r="I38" s="1114"/>
      <c r="J38" s="1114"/>
      <c r="K38" s="1116"/>
      <c r="L38" s="1114"/>
      <c r="M38" s="1114"/>
      <c r="N38" s="1117"/>
      <c r="O38" s="1118"/>
      <c r="P38" s="1255"/>
    </row>
    <row r="39" spans="1:72">
      <c r="B39" s="1114"/>
      <c r="C39" s="1113"/>
      <c r="D39" s="1114"/>
      <c r="E39" s="1114"/>
      <c r="F39" s="1114"/>
      <c r="G39" s="1113"/>
      <c r="H39" s="1114"/>
      <c r="I39" s="1114"/>
      <c r="J39" s="1114"/>
      <c r="K39" s="1116"/>
      <c r="L39" s="1114"/>
      <c r="M39" s="1114"/>
      <c r="N39" s="1117"/>
      <c r="O39" s="1118"/>
      <c r="P39" s="1255"/>
    </row>
    <row r="40" spans="1:72">
      <c r="B40" s="1114"/>
      <c r="C40" s="1113"/>
      <c r="D40" s="1114"/>
      <c r="E40" s="1114"/>
      <c r="F40" s="1114"/>
      <c r="G40" s="1113"/>
      <c r="H40" s="1114"/>
      <c r="I40" s="1114"/>
      <c r="J40" s="1114"/>
      <c r="K40" s="1116"/>
      <c r="L40" s="1114"/>
      <c r="M40" s="1114"/>
      <c r="N40" s="1117"/>
      <c r="O40" s="1118"/>
      <c r="P40" s="1255"/>
    </row>
    <row r="41" spans="1:72">
      <c r="B41" s="1114"/>
      <c r="C41" s="1113"/>
      <c r="D41" s="1114"/>
      <c r="E41" s="1114"/>
      <c r="F41" s="1114"/>
      <c r="G41" s="1113"/>
      <c r="H41" s="1114"/>
      <c r="I41" s="1114"/>
      <c r="J41" s="1114"/>
      <c r="K41" s="1116"/>
      <c r="L41" s="1114"/>
      <c r="M41" s="1114"/>
      <c r="N41" s="1117"/>
      <c r="O41" s="1118"/>
      <c r="P41" s="1255"/>
    </row>
    <row r="42" spans="1:72">
      <c r="B42" s="1114"/>
      <c r="C42" s="1113"/>
      <c r="D42" s="1114"/>
      <c r="E42" s="1114"/>
      <c r="F42" s="1114"/>
      <c r="G42" s="1113"/>
      <c r="H42" s="1114"/>
      <c r="I42" s="1114"/>
      <c r="J42" s="1114"/>
      <c r="K42" s="1116"/>
      <c r="L42" s="1114"/>
      <c r="M42" s="1114"/>
      <c r="N42" s="1117"/>
      <c r="O42" s="1118"/>
      <c r="P42" s="1255"/>
    </row>
    <row r="43" spans="1:72">
      <c r="A43" s="1457"/>
      <c r="B43" s="1449"/>
      <c r="C43" s="1449"/>
      <c r="D43" s="1449"/>
      <c r="E43" s="1449"/>
      <c r="F43" s="1449"/>
      <c r="G43" s="1449"/>
      <c r="H43" s="1449"/>
      <c r="I43" s="1449"/>
      <c r="J43" s="1449"/>
      <c r="K43" s="1449"/>
      <c r="L43" s="1449"/>
      <c r="M43" s="1449"/>
      <c r="N43" s="1449"/>
      <c r="O43" s="1449"/>
      <c r="P43" s="1457"/>
    </row>
    <row r="44" spans="1:72">
      <c r="B44" s="1481"/>
      <c r="C44" s="1482"/>
      <c r="D44" s="1482"/>
      <c r="E44" s="1482"/>
      <c r="F44" s="1483"/>
      <c r="G44" s="1439"/>
      <c r="H44" s="1484"/>
      <c r="I44" s="1484"/>
      <c r="J44" s="1485"/>
      <c r="K44" s="1485"/>
      <c r="L44" s="1485"/>
      <c r="M44" s="1485"/>
      <c r="N44" s="1485"/>
      <c r="O44" s="1486"/>
    </row>
    <row r="45" spans="1:72" s="1466" customFormat="1" ht="77.25" customHeight="1">
      <c r="A45" s="1462"/>
      <c r="B45" s="1459" t="s">
        <v>1633</v>
      </c>
      <c r="C45" s="1487"/>
      <c r="D45" s="1459" t="s">
        <v>1619</v>
      </c>
      <c r="E45" s="1459"/>
      <c r="F45" s="1459" t="s">
        <v>1620</v>
      </c>
      <c r="G45" s="1459"/>
      <c r="H45" s="2610" t="s">
        <v>1626</v>
      </c>
      <c r="I45" s="2610"/>
      <c r="J45" s="2610"/>
      <c r="K45" s="2610"/>
      <c r="L45" s="2610"/>
      <c r="M45" s="1459" t="s">
        <v>1627</v>
      </c>
      <c r="N45" s="1465" t="s">
        <v>1628</v>
      </c>
      <c r="O45" s="1465" t="s">
        <v>1629</v>
      </c>
      <c r="P45" s="1488" t="s">
        <v>1657</v>
      </c>
    </row>
    <row r="46" spans="1:72" ht="133.5" customHeight="1">
      <c r="A46" s="1489"/>
      <c r="B46" s="2611" t="s">
        <v>1658</v>
      </c>
      <c r="C46" s="2612"/>
      <c r="D46" s="2595" t="str">
        <f>IF('Project Info'!C4='Project Info'!P32,"DHW
"&amp;'Mod Prescriptive Path Checklist'!C19,IF('Project Info'!C4='Project Info'!P33,"DHW
"&amp;#REF!))</f>
        <v>DHW
Domestic water heating systems must comply with ASHRAE 90.1-2007 Sections 7.4 and 7.5.</v>
      </c>
      <c r="E46" s="2596"/>
      <c r="F46" s="2613" t="s">
        <v>1659</v>
      </c>
      <c r="G46" s="2614"/>
      <c r="H46" s="2615"/>
      <c r="I46" s="2616"/>
      <c r="J46" s="2616"/>
      <c r="K46" s="2616"/>
      <c r="L46" s="2617"/>
      <c r="M46" s="1263"/>
      <c r="N46" s="1121"/>
      <c r="O46" s="1278"/>
      <c r="P46" s="1278"/>
    </row>
    <row r="47" spans="1:72" s="1476" customFormat="1" ht="15.75">
      <c r="A47" s="1442"/>
      <c r="B47" s="2599" t="s">
        <v>1123</v>
      </c>
      <c r="C47" s="2600"/>
      <c r="D47" s="2600"/>
      <c r="E47" s="2600"/>
      <c r="F47" s="2600"/>
      <c r="G47" s="2600"/>
      <c r="H47" s="2601"/>
      <c r="I47" s="2601"/>
      <c r="J47" s="2601"/>
      <c r="K47" s="2601"/>
      <c r="L47" s="2601"/>
      <c r="M47" s="2601"/>
      <c r="N47" s="2601"/>
      <c r="O47" s="2601"/>
      <c r="P47" s="2602"/>
      <c r="Q47" s="1475"/>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475"/>
      <c r="AM47" s="1475"/>
      <c r="AN47" s="1475"/>
      <c r="AO47" s="1475"/>
      <c r="AP47" s="1475"/>
      <c r="AQ47" s="1475"/>
      <c r="AR47" s="1475"/>
      <c r="AS47" s="1475"/>
      <c r="AT47" s="1475"/>
      <c r="AU47" s="1475"/>
      <c r="AV47" s="1475"/>
      <c r="AW47" s="1475"/>
      <c r="AX47" s="1475"/>
      <c r="AY47" s="1475"/>
      <c r="AZ47" s="1475"/>
      <c r="BA47" s="1475"/>
      <c r="BB47" s="1475"/>
      <c r="BC47" s="1475"/>
      <c r="BD47" s="1475"/>
      <c r="BE47" s="1475"/>
      <c r="BF47" s="1475"/>
      <c r="BG47" s="1475"/>
      <c r="BH47" s="1475"/>
      <c r="BI47" s="1475"/>
      <c r="BJ47" s="1475"/>
      <c r="BK47" s="1475"/>
      <c r="BL47" s="1475"/>
      <c r="BM47" s="1475"/>
      <c r="BN47" s="1475"/>
      <c r="BO47" s="1475"/>
      <c r="BP47" s="1475"/>
      <c r="BQ47" s="1475"/>
      <c r="BR47" s="1475"/>
      <c r="BS47" s="1475"/>
      <c r="BT47" s="1475"/>
    </row>
    <row r="48" spans="1:72" ht="231.75" customHeight="1">
      <c r="A48" s="1490"/>
      <c r="B48" s="2588" t="s">
        <v>1660</v>
      </c>
      <c r="C48" s="2589"/>
      <c r="D48" s="2595" t="str">
        <f>IF('Project Info'!C4='Project Info'!P32,'Mod Prescriptive Path Checklist'!C20,IF('Project Info'!C4='Project Info'!P33,#REF!,"&lt;Select compliance path on the 'Project Info' tab&gt;"))</f>
        <v>Domestic water heating equipment shall be ENERGY STAR qualified, where applicable, and meet minimum efficiencies below. Atmospherically vented gas water heaters, tankless coils and side-arm water heaters shall not be specified.
Water Heater Minimum Efficiencies
      •  In-Unit Electric OR Gas Water Heaters (storage or instantaneous)
         - Gas (EF): 0.69-(0.002 x Tank Gallon Capacity)
         - Electric (EF): 0.97-(0.001 x Tank Gallon Capacity)
      •  Hot Water Supply Boiler (Oil or Gas): 85% Et</v>
      </c>
      <c r="E48" s="2596"/>
      <c r="F48" s="2595">
        <f>ERMs!C17</f>
        <v>0</v>
      </c>
      <c r="G48" s="2597"/>
      <c r="H48" s="2606"/>
      <c r="I48" s="2607"/>
      <c r="J48" s="2607"/>
      <c r="K48" s="2607"/>
      <c r="L48" s="2608"/>
      <c r="M48" s="1263"/>
      <c r="N48" s="1284"/>
      <c r="O48" s="1278"/>
      <c r="P48" s="1270"/>
    </row>
    <row r="49" spans="1:72" ht="84" customHeight="1">
      <c r="A49" s="1491"/>
      <c r="B49" s="2588" t="s">
        <v>1661</v>
      </c>
      <c r="C49" s="2589"/>
      <c r="D49" s="2595" t="str">
        <f>IF('Project Info'!C4='Project Info'!P32,'Mod Prescriptive Path Checklist'!C21,IF('Project Info'!C4='Project Info'!P33,#REF!,"&lt;Select compliance path on the 'Project Info' tab&gt;"))</f>
        <v>If storage is provided, the maximum storage tank capacity shall be specified based on occupancy.</v>
      </c>
      <c r="E49" s="2596"/>
      <c r="F49" s="2595">
        <f>ERMs!C18</f>
        <v>0</v>
      </c>
      <c r="G49" s="2597"/>
      <c r="H49" s="2590"/>
      <c r="I49" s="2578"/>
      <c r="J49" s="2578"/>
      <c r="K49" s="2578"/>
      <c r="L49" s="2578"/>
      <c r="M49" s="1263"/>
      <c r="N49" s="1284"/>
      <c r="O49" s="1278"/>
      <c r="P49" s="1270"/>
    </row>
    <row r="50" spans="1:72" ht="174.75" customHeight="1">
      <c r="A50" s="1489"/>
      <c r="B50" s="2588" t="s">
        <v>1662</v>
      </c>
      <c r="C50" s="2598"/>
      <c r="D50" s="2595" t="str">
        <f>IF('Project Info'!C4='Project Info'!P32,'Mod Prescriptive Path Checklist'!C25,IF('Project Info'!C4='Project Info'!P33,#REF!,"&lt;Select compliance path on the 'Project Info' tab&gt;"))</f>
        <v xml:space="preserve">• The average flow rate for all showers must be ≤ 1.75 gallons per minute per stall (as rated at 80 psi) and all showerheads must be WaterSense labeled. 
• All lavatory faucets or aerators must be WaterSense labeled. 
• The average flow rate for all other faucets must be ≤ 2.0 gallons per minute (as rated at 80 psi). </v>
      </c>
      <c r="E50" s="2596"/>
      <c r="F50" s="2595">
        <f>ERMs!C19</f>
        <v>0</v>
      </c>
      <c r="G50" s="2597"/>
      <c r="H50" s="2590"/>
      <c r="I50" s="2578"/>
      <c r="J50" s="2578"/>
      <c r="K50" s="2578"/>
      <c r="L50" s="2578"/>
      <c r="M50" s="1263"/>
      <c r="N50" s="1284"/>
      <c r="O50" s="1278"/>
      <c r="P50" s="1278"/>
    </row>
    <row r="51" spans="1:72" s="1476" customFormat="1" ht="15.75">
      <c r="A51" s="1442"/>
      <c r="B51" s="2599" t="s">
        <v>1130</v>
      </c>
      <c r="C51" s="2600"/>
      <c r="D51" s="2600"/>
      <c r="E51" s="2600"/>
      <c r="F51" s="2600"/>
      <c r="G51" s="2600"/>
      <c r="H51" s="2601"/>
      <c r="I51" s="2601"/>
      <c r="J51" s="2601"/>
      <c r="K51" s="2601"/>
      <c r="L51" s="2601"/>
      <c r="M51" s="2601"/>
      <c r="N51" s="2601"/>
      <c r="O51" s="2601"/>
      <c r="P51" s="2602"/>
      <c r="Q51" s="1475"/>
      <c r="R51" s="1475"/>
      <c r="S51" s="1475"/>
      <c r="T51" s="1475"/>
      <c r="U51" s="1475"/>
      <c r="V51" s="1475"/>
      <c r="W51" s="1475"/>
      <c r="X51" s="1475"/>
      <c r="Y51" s="1475"/>
      <c r="Z51" s="1475"/>
      <c r="AA51" s="1475"/>
      <c r="AB51" s="1475"/>
      <c r="AC51" s="1475"/>
      <c r="AD51" s="1475"/>
      <c r="AE51" s="1475"/>
      <c r="AF51" s="1475"/>
      <c r="AG51" s="1475"/>
      <c r="AH51" s="1475"/>
      <c r="AI51" s="1475"/>
      <c r="AJ51" s="1475"/>
      <c r="AK51" s="1475"/>
      <c r="AL51" s="1475"/>
      <c r="AM51" s="1475"/>
      <c r="AN51" s="1475"/>
      <c r="AO51" s="1475"/>
      <c r="AP51" s="1475"/>
      <c r="AQ51" s="1475"/>
      <c r="AR51" s="1475"/>
      <c r="AS51" s="1475"/>
      <c r="AT51" s="1475"/>
      <c r="AU51" s="1475"/>
      <c r="AV51" s="1475"/>
      <c r="AW51" s="1475"/>
      <c r="AX51" s="1475"/>
      <c r="AY51" s="1475"/>
      <c r="AZ51" s="1475"/>
      <c r="BA51" s="1475"/>
      <c r="BB51" s="1475"/>
      <c r="BC51" s="1475"/>
      <c r="BD51" s="1475"/>
      <c r="BE51" s="1475"/>
      <c r="BF51" s="1475"/>
      <c r="BG51" s="1475"/>
      <c r="BH51" s="1475"/>
      <c r="BI51" s="1475"/>
      <c r="BJ51" s="1475"/>
      <c r="BK51" s="1475"/>
      <c r="BL51" s="1475"/>
      <c r="BM51" s="1475"/>
      <c r="BN51" s="1475"/>
      <c r="BO51" s="1475"/>
      <c r="BP51" s="1475"/>
      <c r="BQ51" s="1475"/>
      <c r="BR51" s="1475"/>
      <c r="BS51" s="1475"/>
      <c r="BT51" s="1475"/>
    </row>
    <row r="52" spans="1:72" ht="59.25" customHeight="1">
      <c r="A52" s="1321"/>
      <c r="B52" s="2603" t="s">
        <v>1663</v>
      </c>
      <c r="C52" s="2604"/>
      <c r="D52" s="2604"/>
      <c r="E52" s="2604"/>
      <c r="F52" s="2604"/>
      <c r="G52" s="2604"/>
      <c r="H52" s="2590"/>
      <c r="I52" s="2578"/>
      <c r="J52" s="2578"/>
      <c r="K52" s="2578"/>
      <c r="L52" s="2578"/>
      <c r="M52" s="1263"/>
      <c r="N52" s="1284"/>
      <c r="O52" s="1278"/>
      <c r="P52" s="1278"/>
    </row>
    <row r="53" spans="1:72" ht="67.5" customHeight="1">
      <c r="A53" s="1492"/>
      <c r="B53" s="2588" t="s">
        <v>1664</v>
      </c>
      <c r="C53" s="2589"/>
      <c r="D53" s="2589"/>
      <c r="E53" s="2589"/>
      <c r="F53" s="2589"/>
      <c r="G53" s="2589"/>
      <c r="H53" s="2590"/>
      <c r="I53" s="2578"/>
      <c r="J53" s="2578"/>
      <c r="K53" s="2578"/>
      <c r="L53" s="2578"/>
      <c r="M53" s="1263"/>
      <c r="N53" s="1284"/>
      <c r="O53" s="1278"/>
      <c r="P53" s="1278"/>
    </row>
    <row r="54" spans="1:72" ht="42" customHeight="1">
      <c r="A54" s="1493"/>
      <c r="B54" s="2588" t="s">
        <v>1665</v>
      </c>
      <c r="C54" s="2589"/>
      <c r="D54" s="2589"/>
      <c r="E54" s="2589"/>
      <c r="F54" s="2589"/>
      <c r="G54" s="2589"/>
      <c r="H54" s="2590"/>
      <c r="I54" s="2578"/>
      <c r="J54" s="2578"/>
      <c r="K54" s="2578"/>
      <c r="L54" s="2578"/>
      <c r="M54" s="1263"/>
      <c r="N54" s="1284"/>
      <c r="O54" s="1278"/>
      <c r="P54" s="1278"/>
    </row>
    <row r="55" spans="1:72" ht="45.75" customHeight="1">
      <c r="A55" s="1321"/>
      <c r="B55" s="2588" t="s">
        <v>1666</v>
      </c>
      <c r="C55" s="2589"/>
      <c r="D55" s="2589"/>
      <c r="E55" s="2589"/>
      <c r="F55" s="2589"/>
      <c r="G55" s="2589"/>
      <c r="H55" s="2590"/>
      <c r="I55" s="2578"/>
      <c r="J55" s="2578"/>
      <c r="K55" s="2578"/>
      <c r="L55" s="2578"/>
      <c r="M55" s="1263"/>
      <c r="N55" s="1284"/>
      <c r="O55" s="1278"/>
      <c r="P55" s="1278"/>
    </row>
    <row r="56" spans="1:72" ht="41.25" customHeight="1">
      <c r="B56" s="2591" t="s">
        <v>1667</v>
      </c>
      <c r="C56" s="2591"/>
      <c r="D56" s="2591"/>
      <c r="E56" s="2591"/>
      <c r="F56" s="2591"/>
      <c r="G56" s="2591"/>
      <c r="H56" s="2592"/>
      <c r="I56" s="2592"/>
      <c r="J56" s="2592"/>
      <c r="K56" s="2592"/>
      <c r="L56" s="2592"/>
      <c r="M56" s="2592"/>
      <c r="N56" s="2593"/>
      <c r="O56" s="1278"/>
      <c r="P56" s="1278"/>
    </row>
    <row r="57" spans="1:72" ht="41.25" customHeight="1">
      <c r="A57" s="1494"/>
      <c r="B57" s="2591" t="s">
        <v>1668</v>
      </c>
      <c r="C57" s="2591"/>
      <c r="D57" s="2591"/>
      <c r="E57" s="2591"/>
      <c r="F57" s="2591"/>
      <c r="G57" s="2591"/>
      <c r="H57" s="2591"/>
      <c r="I57" s="2591"/>
      <c r="J57" s="2591"/>
      <c r="K57" s="2591"/>
      <c r="L57" s="2591"/>
      <c r="M57" s="2591"/>
      <c r="N57" s="2594"/>
      <c r="O57" s="1278"/>
      <c r="P57" s="1278"/>
    </row>
    <row r="58" spans="1:72" ht="45" customHeight="1">
      <c r="A58" s="1489"/>
      <c r="B58" s="2591" t="s">
        <v>1669</v>
      </c>
      <c r="C58" s="2591"/>
      <c r="D58" s="2591"/>
      <c r="E58" s="2591"/>
      <c r="F58" s="2591"/>
      <c r="G58" s="2591"/>
      <c r="H58" s="2591"/>
      <c r="I58" s="2591"/>
      <c r="J58" s="2591"/>
      <c r="K58" s="2591"/>
      <c r="L58" s="2591"/>
      <c r="M58" s="2591"/>
      <c r="N58" s="2594"/>
      <c r="O58" s="1278"/>
      <c r="P58" s="1278"/>
    </row>
    <row r="62" spans="1:72">
      <c r="V62" s="1321" t="s">
        <v>403</v>
      </c>
    </row>
    <row r="63" spans="1:72">
      <c r="V63" s="1321" t="s">
        <v>405</v>
      </c>
    </row>
    <row r="64" spans="1:72">
      <c r="V64" s="1321" t="s">
        <v>404</v>
      </c>
    </row>
    <row r="142" spans="2:2" ht="18">
      <c r="B142" s="1323"/>
    </row>
  </sheetData>
  <sheetProtection sheet="1" objects="1" scenarios="1" formatCells="0" formatColumns="0" formatRows="0" insertColumns="0" insertRows="0"/>
  <mergeCells count="74">
    <mergeCell ref="B8:J8"/>
    <mergeCell ref="K8:L8"/>
    <mergeCell ref="M8:N8"/>
    <mergeCell ref="O8:P8"/>
    <mergeCell ref="M5:N5"/>
    <mergeCell ref="O5:P5"/>
    <mergeCell ref="B6:E6"/>
    <mergeCell ref="I6:J6"/>
    <mergeCell ref="K6:L6"/>
    <mergeCell ref="M6:N6"/>
    <mergeCell ref="O6:P6"/>
    <mergeCell ref="B7:E7"/>
    <mergeCell ref="I7:J7"/>
    <mergeCell ref="K7:L7"/>
    <mergeCell ref="M7:N7"/>
    <mergeCell ref="O7:P7"/>
    <mergeCell ref="B9:J9"/>
    <mergeCell ref="K9:L9"/>
    <mergeCell ref="M9:N9"/>
    <mergeCell ref="O9:P9"/>
    <mergeCell ref="B10:J10"/>
    <mergeCell ref="K10:L10"/>
    <mergeCell ref="M10:N10"/>
    <mergeCell ref="O10:P10"/>
    <mergeCell ref="O11:P11"/>
    <mergeCell ref="B12:J12"/>
    <mergeCell ref="K12:L12"/>
    <mergeCell ref="M12:N12"/>
    <mergeCell ref="O12:P12"/>
    <mergeCell ref="I14:J14"/>
    <mergeCell ref="K14:L14"/>
    <mergeCell ref="B11:J11"/>
    <mergeCell ref="K11:L11"/>
    <mergeCell ref="M11:N11"/>
    <mergeCell ref="B13:E13"/>
    <mergeCell ref="I13:J13"/>
    <mergeCell ref="K13:L13"/>
    <mergeCell ref="M13:N13"/>
    <mergeCell ref="O13:P13"/>
    <mergeCell ref="B48:C48"/>
    <mergeCell ref="D48:E48"/>
    <mergeCell ref="F48:G48"/>
    <mergeCell ref="H48:L48"/>
    <mergeCell ref="B20:J20"/>
    <mergeCell ref="B21:J21"/>
    <mergeCell ref="B22:J22"/>
    <mergeCell ref="B23:J23"/>
    <mergeCell ref="B25:K25"/>
    <mergeCell ref="H45:L45"/>
    <mergeCell ref="B46:C46"/>
    <mergeCell ref="D46:E46"/>
    <mergeCell ref="F46:G46"/>
    <mergeCell ref="H46:L46"/>
    <mergeCell ref="B47:P47"/>
    <mergeCell ref="B54:G54"/>
    <mergeCell ref="H54:L54"/>
    <mergeCell ref="B49:C49"/>
    <mergeCell ref="D49:E49"/>
    <mergeCell ref="F49:G49"/>
    <mergeCell ref="H49:L49"/>
    <mergeCell ref="B50:C50"/>
    <mergeCell ref="D50:E50"/>
    <mergeCell ref="F50:G50"/>
    <mergeCell ref="H50:L50"/>
    <mergeCell ref="B51:P51"/>
    <mergeCell ref="B52:G52"/>
    <mergeCell ref="H52:L52"/>
    <mergeCell ref="B53:G53"/>
    <mergeCell ref="H53:L53"/>
    <mergeCell ref="B55:G55"/>
    <mergeCell ref="H55:L55"/>
    <mergeCell ref="B56:N56"/>
    <mergeCell ref="B57:N57"/>
    <mergeCell ref="B58:N58"/>
  </mergeCells>
  <dataValidations count="3">
    <dataValidation type="list" allowBlank="1" showInputMessage="1" showErrorMessage="1" sqref="N27:O42 JJ27:JK42 TF27:TG42 ADB27:ADC42 AMX27:AMY42 AWT27:AWU42 BGP27:BGQ42 BQL27:BQM42 CAH27:CAI42 CKD27:CKE42 CTZ27:CUA42 DDV27:DDW42 DNR27:DNS42 DXN27:DXO42 EHJ27:EHK42 ERF27:ERG42 FBB27:FBC42 FKX27:FKY42 FUT27:FUU42 GEP27:GEQ42 GOL27:GOM42 GYH27:GYI42 HID27:HIE42 HRZ27:HSA42 IBV27:IBW42 ILR27:ILS42 IVN27:IVO42 JFJ27:JFK42 JPF27:JPG42 JZB27:JZC42 KIX27:KIY42 KST27:KSU42 LCP27:LCQ42 LML27:LMM42 LWH27:LWI42 MGD27:MGE42 MPZ27:MQA42 MZV27:MZW42 NJR27:NJS42 NTN27:NTO42 ODJ27:ODK42 ONF27:ONG42 OXB27:OXC42 PGX27:PGY42 PQT27:PQU42 QAP27:QAQ42 QKL27:QKM42 QUH27:QUI42 RED27:REE42 RNZ27:ROA42 RXV27:RXW42 SHR27:SHS42 SRN27:SRO42 TBJ27:TBK42 TLF27:TLG42 TVB27:TVC42 UEX27:UEY42 UOT27:UOU42 UYP27:UYQ42 VIL27:VIM42 VSH27:VSI42 WCD27:WCE42 WLZ27:WMA42 WVV27:WVW42 N65563:O65578 JJ65563:JK65578 TF65563:TG65578 ADB65563:ADC65578 AMX65563:AMY65578 AWT65563:AWU65578 BGP65563:BGQ65578 BQL65563:BQM65578 CAH65563:CAI65578 CKD65563:CKE65578 CTZ65563:CUA65578 DDV65563:DDW65578 DNR65563:DNS65578 DXN65563:DXO65578 EHJ65563:EHK65578 ERF65563:ERG65578 FBB65563:FBC65578 FKX65563:FKY65578 FUT65563:FUU65578 GEP65563:GEQ65578 GOL65563:GOM65578 GYH65563:GYI65578 HID65563:HIE65578 HRZ65563:HSA65578 IBV65563:IBW65578 ILR65563:ILS65578 IVN65563:IVO65578 JFJ65563:JFK65578 JPF65563:JPG65578 JZB65563:JZC65578 KIX65563:KIY65578 KST65563:KSU65578 LCP65563:LCQ65578 LML65563:LMM65578 LWH65563:LWI65578 MGD65563:MGE65578 MPZ65563:MQA65578 MZV65563:MZW65578 NJR65563:NJS65578 NTN65563:NTO65578 ODJ65563:ODK65578 ONF65563:ONG65578 OXB65563:OXC65578 PGX65563:PGY65578 PQT65563:PQU65578 QAP65563:QAQ65578 QKL65563:QKM65578 QUH65563:QUI65578 RED65563:REE65578 RNZ65563:ROA65578 RXV65563:RXW65578 SHR65563:SHS65578 SRN65563:SRO65578 TBJ65563:TBK65578 TLF65563:TLG65578 TVB65563:TVC65578 UEX65563:UEY65578 UOT65563:UOU65578 UYP65563:UYQ65578 VIL65563:VIM65578 VSH65563:VSI65578 WCD65563:WCE65578 WLZ65563:WMA65578 WVV65563:WVW65578 N131099:O131114 JJ131099:JK131114 TF131099:TG131114 ADB131099:ADC131114 AMX131099:AMY131114 AWT131099:AWU131114 BGP131099:BGQ131114 BQL131099:BQM131114 CAH131099:CAI131114 CKD131099:CKE131114 CTZ131099:CUA131114 DDV131099:DDW131114 DNR131099:DNS131114 DXN131099:DXO131114 EHJ131099:EHK131114 ERF131099:ERG131114 FBB131099:FBC131114 FKX131099:FKY131114 FUT131099:FUU131114 GEP131099:GEQ131114 GOL131099:GOM131114 GYH131099:GYI131114 HID131099:HIE131114 HRZ131099:HSA131114 IBV131099:IBW131114 ILR131099:ILS131114 IVN131099:IVO131114 JFJ131099:JFK131114 JPF131099:JPG131114 JZB131099:JZC131114 KIX131099:KIY131114 KST131099:KSU131114 LCP131099:LCQ131114 LML131099:LMM131114 LWH131099:LWI131114 MGD131099:MGE131114 MPZ131099:MQA131114 MZV131099:MZW131114 NJR131099:NJS131114 NTN131099:NTO131114 ODJ131099:ODK131114 ONF131099:ONG131114 OXB131099:OXC131114 PGX131099:PGY131114 PQT131099:PQU131114 QAP131099:QAQ131114 QKL131099:QKM131114 QUH131099:QUI131114 RED131099:REE131114 RNZ131099:ROA131114 RXV131099:RXW131114 SHR131099:SHS131114 SRN131099:SRO131114 TBJ131099:TBK131114 TLF131099:TLG131114 TVB131099:TVC131114 UEX131099:UEY131114 UOT131099:UOU131114 UYP131099:UYQ131114 VIL131099:VIM131114 VSH131099:VSI131114 WCD131099:WCE131114 WLZ131099:WMA131114 WVV131099:WVW131114 N196635:O196650 JJ196635:JK196650 TF196635:TG196650 ADB196635:ADC196650 AMX196635:AMY196650 AWT196635:AWU196650 BGP196635:BGQ196650 BQL196635:BQM196650 CAH196635:CAI196650 CKD196635:CKE196650 CTZ196635:CUA196650 DDV196635:DDW196650 DNR196635:DNS196650 DXN196635:DXO196650 EHJ196635:EHK196650 ERF196635:ERG196650 FBB196635:FBC196650 FKX196635:FKY196650 FUT196635:FUU196650 GEP196635:GEQ196650 GOL196635:GOM196650 GYH196635:GYI196650 HID196635:HIE196650 HRZ196635:HSA196650 IBV196635:IBW196650 ILR196635:ILS196650 IVN196635:IVO196650 JFJ196635:JFK196650 JPF196635:JPG196650 JZB196635:JZC196650 KIX196635:KIY196650 KST196635:KSU196650 LCP196635:LCQ196650 LML196635:LMM196650 LWH196635:LWI196650 MGD196635:MGE196650 MPZ196635:MQA196650 MZV196635:MZW196650 NJR196635:NJS196650 NTN196635:NTO196650 ODJ196635:ODK196650 ONF196635:ONG196650 OXB196635:OXC196650 PGX196635:PGY196650 PQT196635:PQU196650 QAP196635:QAQ196650 QKL196635:QKM196650 QUH196635:QUI196650 RED196635:REE196650 RNZ196635:ROA196650 RXV196635:RXW196650 SHR196635:SHS196650 SRN196635:SRO196650 TBJ196635:TBK196650 TLF196635:TLG196650 TVB196635:TVC196650 UEX196635:UEY196650 UOT196635:UOU196650 UYP196635:UYQ196650 VIL196635:VIM196650 VSH196635:VSI196650 WCD196635:WCE196650 WLZ196635:WMA196650 WVV196635:WVW196650 N262171:O262186 JJ262171:JK262186 TF262171:TG262186 ADB262171:ADC262186 AMX262171:AMY262186 AWT262171:AWU262186 BGP262171:BGQ262186 BQL262171:BQM262186 CAH262171:CAI262186 CKD262171:CKE262186 CTZ262171:CUA262186 DDV262171:DDW262186 DNR262171:DNS262186 DXN262171:DXO262186 EHJ262171:EHK262186 ERF262171:ERG262186 FBB262171:FBC262186 FKX262171:FKY262186 FUT262171:FUU262186 GEP262171:GEQ262186 GOL262171:GOM262186 GYH262171:GYI262186 HID262171:HIE262186 HRZ262171:HSA262186 IBV262171:IBW262186 ILR262171:ILS262186 IVN262171:IVO262186 JFJ262171:JFK262186 JPF262171:JPG262186 JZB262171:JZC262186 KIX262171:KIY262186 KST262171:KSU262186 LCP262171:LCQ262186 LML262171:LMM262186 LWH262171:LWI262186 MGD262171:MGE262186 MPZ262171:MQA262186 MZV262171:MZW262186 NJR262171:NJS262186 NTN262171:NTO262186 ODJ262171:ODK262186 ONF262171:ONG262186 OXB262171:OXC262186 PGX262171:PGY262186 PQT262171:PQU262186 QAP262171:QAQ262186 QKL262171:QKM262186 QUH262171:QUI262186 RED262171:REE262186 RNZ262171:ROA262186 RXV262171:RXW262186 SHR262171:SHS262186 SRN262171:SRO262186 TBJ262171:TBK262186 TLF262171:TLG262186 TVB262171:TVC262186 UEX262171:UEY262186 UOT262171:UOU262186 UYP262171:UYQ262186 VIL262171:VIM262186 VSH262171:VSI262186 WCD262171:WCE262186 WLZ262171:WMA262186 WVV262171:WVW262186 N327707:O327722 JJ327707:JK327722 TF327707:TG327722 ADB327707:ADC327722 AMX327707:AMY327722 AWT327707:AWU327722 BGP327707:BGQ327722 BQL327707:BQM327722 CAH327707:CAI327722 CKD327707:CKE327722 CTZ327707:CUA327722 DDV327707:DDW327722 DNR327707:DNS327722 DXN327707:DXO327722 EHJ327707:EHK327722 ERF327707:ERG327722 FBB327707:FBC327722 FKX327707:FKY327722 FUT327707:FUU327722 GEP327707:GEQ327722 GOL327707:GOM327722 GYH327707:GYI327722 HID327707:HIE327722 HRZ327707:HSA327722 IBV327707:IBW327722 ILR327707:ILS327722 IVN327707:IVO327722 JFJ327707:JFK327722 JPF327707:JPG327722 JZB327707:JZC327722 KIX327707:KIY327722 KST327707:KSU327722 LCP327707:LCQ327722 LML327707:LMM327722 LWH327707:LWI327722 MGD327707:MGE327722 MPZ327707:MQA327722 MZV327707:MZW327722 NJR327707:NJS327722 NTN327707:NTO327722 ODJ327707:ODK327722 ONF327707:ONG327722 OXB327707:OXC327722 PGX327707:PGY327722 PQT327707:PQU327722 QAP327707:QAQ327722 QKL327707:QKM327722 QUH327707:QUI327722 RED327707:REE327722 RNZ327707:ROA327722 RXV327707:RXW327722 SHR327707:SHS327722 SRN327707:SRO327722 TBJ327707:TBK327722 TLF327707:TLG327722 TVB327707:TVC327722 UEX327707:UEY327722 UOT327707:UOU327722 UYP327707:UYQ327722 VIL327707:VIM327722 VSH327707:VSI327722 WCD327707:WCE327722 WLZ327707:WMA327722 WVV327707:WVW327722 N393243:O393258 JJ393243:JK393258 TF393243:TG393258 ADB393243:ADC393258 AMX393243:AMY393258 AWT393243:AWU393258 BGP393243:BGQ393258 BQL393243:BQM393258 CAH393243:CAI393258 CKD393243:CKE393258 CTZ393243:CUA393258 DDV393243:DDW393258 DNR393243:DNS393258 DXN393243:DXO393258 EHJ393243:EHK393258 ERF393243:ERG393258 FBB393243:FBC393258 FKX393243:FKY393258 FUT393243:FUU393258 GEP393243:GEQ393258 GOL393243:GOM393258 GYH393243:GYI393258 HID393243:HIE393258 HRZ393243:HSA393258 IBV393243:IBW393258 ILR393243:ILS393258 IVN393243:IVO393258 JFJ393243:JFK393258 JPF393243:JPG393258 JZB393243:JZC393258 KIX393243:KIY393258 KST393243:KSU393258 LCP393243:LCQ393258 LML393243:LMM393258 LWH393243:LWI393258 MGD393243:MGE393258 MPZ393243:MQA393258 MZV393243:MZW393258 NJR393243:NJS393258 NTN393243:NTO393258 ODJ393243:ODK393258 ONF393243:ONG393258 OXB393243:OXC393258 PGX393243:PGY393258 PQT393243:PQU393258 QAP393243:QAQ393258 QKL393243:QKM393258 QUH393243:QUI393258 RED393243:REE393258 RNZ393243:ROA393258 RXV393243:RXW393258 SHR393243:SHS393258 SRN393243:SRO393258 TBJ393243:TBK393258 TLF393243:TLG393258 TVB393243:TVC393258 UEX393243:UEY393258 UOT393243:UOU393258 UYP393243:UYQ393258 VIL393243:VIM393258 VSH393243:VSI393258 WCD393243:WCE393258 WLZ393243:WMA393258 WVV393243:WVW393258 N458779:O458794 JJ458779:JK458794 TF458779:TG458794 ADB458779:ADC458794 AMX458779:AMY458794 AWT458779:AWU458794 BGP458779:BGQ458794 BQL458779:BQM458794 CAH458779:CAI458794 CKD458779:CKE458794 CTZ458779:CUA458794 DDV458779:DDW458794 DNR458779:DNS458794 DXN458779:DXO458794 EHJ458779:EHK458794 ERF458779:ERG458794 FBB458779:FBC458794 FKX458779:FKY458794 FUT458779:FUU458794 GEP458779:GEQ458794 GOL458779:GOM458794 GYH458779:GYI458794 HID458779:HIE458794 HRZ458779:HSA458794 IBV458779:IBW458794 ILR458779:ILS458794 IVN458779:IVO458794 JFJ458779:JFK458794 JPF458779:JPG458794 JZB458779:JZC458794 KIX458779:KIY458794 KST458779:KSU458794 LCP458779:LCQ458794 LML458779:LMM458794 LWH458779:LWI458794 MGD458779:MGE458794 MPZ458779:MQA458794 MZV458779:MZW458794 NJR458779:NJS458794 NTN458779:NTO458794 ODJ458779:ODK458794 ONF458779:ONG458794 OXB458779:OXC458794 PGX458779:PGY458794 PQT458779:PQU458794 QAP458779:QAQ458794 QKL458779:QKM458794 QUH458779:QUI458794 RED458779:REE458794 RNZ458779:ROA458794 RXV458779:RXW458794 SHR458779:SHS458794 SRN458779:SRO458794 TBJ458779:TBK458794 TLF458779:TLG458794 TVB458779:TVC458794 UEX458779:UEY458794 UOT458779:UOU458794 UYP458779:UYQ458794 VIL458779:VIM458794 VSH458779:VSI458794 WCD458779:WCE458794 WLZ458779:WMA458794 WVV458779:WVW458794 N524315:O524330 JJ524315:JK524330 TF524315:TG524330 ADB524315:ADC524330 AMX524315:AMY524330 AWT524315:AWU524330 BGP524315:BGQ524330 BQL524315:BQM524330 CAH524315:CAI524330 CKD524315:CKE524330 CTZ524315:CUA524330 DDV524315:DDW524330 DNR524315:DNS524330 DXN524315:DXO524330 EHJ524315:EHK524330 ERF524315:ERG524330 FBB524315:FBC524330 FKX524315:FKY524330 FUT524315:FUU524330 GEP524315:GEQ524330 GOL524315:GOM524330 GYH524315:GYI524330 HID524315:HIE524330 HRZ524315:HSA524330 IBV524315:IBW524330 ILR524315:ILS524330 IVN524315:IVO524330 JFJ524315:JFK524330 JPF524315:JPG524330 JZB524315:JZC524330 KIX524315:KIY524330 KST524315:KSU524330 LCP524315:LCQ524330 LML524315:LMM524330 LWH524315:LWI524330 MGD524315:MGE524330 MPZ524315:MQA524330 MZV524315:MZW524330 NJR524315:NJS524330 NTN524315:NTO524330 ODJ524315:ODK524330 ONF524315:ONG524330 OXB524315:OXC524330 PGX524315:PGY524330 PQT524315:PQU524330 QAP524315:QAQ524330 QKL524315:QKM524330 QUH524315:QUI524330 RED524315:REE524330 RNZ524315:ROA524330 RXV524315:RXW524330 SHR524315:SHS524330 SRN524315:SRO524330 TBJ524315:TBK524330 TLF524315:TLG524330 TVB524315:TVC524330 UEX524315:UEY524330 UOT524315:UOU524330 UYP524315:UYQ524330 VIL524315:VIM524330 VSH524315:VSI524330 WCD524315:WCE524330 WLZ524315:WMA524330 WVV524315:WVW524330 N589851:O589866 JJ589851:JK589866 TF589851:TG589866 ADB589851:ADC589866 AMX589851:AMY589866 AWT589851:AWU589866 BGP589851:BGQ589866 BQL589851:BQM589866 CAH589851:CAI589866 CKD589851:CKE589866 CTZ589851:CUA589866 DDV589851:DDW589866 DNR589851:DNS589866 DXN589851:DXO589866 EHJ589851:EHK589866 ERF589851:ERG589866 FBB589851:FBC589866 FKX589851:FKY589866 FUT589851:FUU589866 GEP589851:GEQ589866 GOL589851:GOM589866 GYH589851:GYI589866 HID589851:HIE589866 HRZ589851:HSA589866 IBV589851:IBW589866 ILR589851:ILS589866 IVN589851:IVO589866 JFJ589851:JFK589866 JPF589851:JPG589866 JZB589851:JZC589866 KIX589851:KIY589866 KST589851:KSU589866 LCP589851:LCQ589866 LML589851:LMM589866 LWH589851:LWI589866 MGD589851:MGE589866 MPZ589851:MQA589866 MZV589851:MZW589866 NJR589851:NJS589866 NTN589851:NTO589866 ODJ589851:ODK589866 ONF589851:ONG589866 OXB589851:OXC589866 PGX589851:PGY589866 PQT589851:PQU589866 QAP589851:QAQ589866 QKL589851:QKM589866 QUH589851:QUI589866 RED589851:REE589866 RNZ589851:ROA589866 RXV589851:RXW589866 SHR589851:SHS589866 SRN589851:SRO589866 TBJ589851:TBK589866 TLF589851:TLG589866 TVB589851:TVC589866 UEX589851:UEY589866 UOT589851:UOU589866 UYP589851:UYQ589866 VIL589851:VIM589866 VSH589851:VSI589866 WCD589851:WCE589866 WLZ589851:WMA589866 WVV589851:WVW589866 N655387:O655402 JJ655387:JK655402 TF655387:TG655402 ADB655387:ADC655402 AMX655387:AMY655402 AWT655387:AWU655402 BGP655387:BGQ655402 BQL655387:BQM655402 CAH655387:CAI655402 CKD655387:CKE655402 CTZ655387:CUA655402 DDV655387:DDW655402 DNR655387:DNS655402 DXN655387:DXO655402 EHJ655387:EHK655402 ERF655387:ERG655402 FBB655387:FBC655402 FKX655387:FKY655402 FUT655387:FUU655402 GEP655387:GEQ655402 GOL655387:GOM655402 GYH655387:GYI655402 HID655387:HIE655402 HRZ655387:HSA655402 IBV655387:IBW655402 ILR655387:ILS655402 IVN655387:IVO655402 JFJ655387:JFK655402 JPF655387:JPG655402 JZB655387:JZC655402 KIX655387:KIY655402 KST655387:KSU655402 LCP655387:LCQ655402 LML655387:LMM655402 LWH655387:LWI655402 MGD655387:MGE655402 MPZ655387:MQA655402 MZV655387:MZW655402 NJR655387:NJS655402 NTN655387:NTO655402 ODJ655387:ODK655402 ONF655387:ONG655402 OXB655387:OXC655402 PGX655387:PGY655402 PQT655387:PQU655402 QAP655387:QAQ655402 QKL655387:QKM655402 QUH655387:QUI655402 RED655387:REE655402 RNZ655387:ROA655402 RXV655387:RXW655402 SHR655387:SHS655402 SRN655387:SRO655402 TBJ655387:TBK655402 TLF655387:TLG655402 TVB655387:TVC655402 UEX655387:UEY655402 UOT655387:UOU655402 UYP655387:UYQ655402 VIL655387:VIM655402 VSH655387:VSI655402 WCD655387:WCE655402 WLZ655387:WMA655402 WVV655387:WVW655402 N720923:O720938 JJ720923:JK720938 TF720923:TG720938 ADB720923:ADC720938 AMX720923:AMY720938 AWT720923:AWU720938 BGP720923:BGQ720938 BQL720923:BQM720938 CAH720923:CAI720938 CKD720923:CKE720938 CTZ720923:CUA720938 DDV720923:DDW720938 DNR720923:DNS720938 DXN720923:DXO720938 EHJ720923:EHK720938 ERF720923:ERG720938 FBB720923:FBC720938 FKX720923:FKY720938 FUT720923:FUU720938 GEP720923:GEQ720938 GOL720923:GOM720938 GYH720923:GYI720938 HID720923:HIE720938 HRZ720923:HSA720938 IBV720923:IBW720938 ILR720923:ILS720938 IVN720923:IVO720938 JFJ720923:JFK720938 JPF720923:JPG720938 JZB720923:JZC720938 KIX720923:KIY720938 KST720923:KSU720938 LCP720923:LCQ720938 LML720923:LMM720938 LWH720923:LWI720938 MGD720923:MGE720938 MPZ720923:MQA720938 MZV720923:MZW720938 NJR720923:NJS720938 NTN720923:NTO720938 ODJ720923:ODK720938 ONF720923:ONG720938 OXB720923:OXC720938 PGX720923:PGY720938 PQT720923:PQU720938 QAP720923:QAQ720938 QKL720923:QKM720938 QUH720923:QUI720938 RED720923:REE720938 RNZ720923:ROA720938 RXV720923:RXW720938 SHR720923:SHS720938 SRN720923:SRO720938 TBJ720923:TBK720938 TLF720923:TLG720938 TVB720923:TVC720938 UEX720923:UEY720938 UOT720923:UOU720938 UYP720923:UYQ720938 VIL720923:VIM720938 VSH720923:VSI720938 WCD720923:WCE720938 WLZ720923:WMA720938 WVV720923:WVW720938 N786459:O786474 JJ786459:JK786474 TF786459:TG786474 ADB786459:ADC786474 AMX786459:AMY786474 AWT786459:AWU786474 BGP786459:BGQ786474 BQL786459:BQM786474 CAH786459:CAI786474 CKD786459:CKE786474 CTZ786459:CUA786474 DDV786459:DDW786474 DNR786459:DNS786474 DXN786459:DXO786474 EHJ786459:EHK786474 ERF786459:ERG786474 FBB786459:FBC786474 FKX786459:FKY786474 FUT786459:FUU786474 GEP786459:GEQ786474 GOL786459:GOM786474 GYH786459:GYI786474 HID786459:HIE786474 HRZ786459:HSA786474 IBV786459:IBW786474 ILR786459:ILS786474 IVN786459:IVO786474 JFJ786459:JFK786474 JPF786459:JPG786474 JZB786459:JZC786474 KIX786459:KIY786474 KST786459:KSU786474 LCP786459:LCQ786474 LML786459:LMM786474 LWH786459:LWI786474 MGD786459:MGE786474 MPZ786459:MQA786474 MZV786459:MZW786474 NJR786459:NJS786474 NTN786459:NTO786474 ODJ786459:ODK786474 ONF786459:ONG786474 OXB786459:OXC786474 PGX786459:PGY786474 PQT786459:PQU786474 QAP786459:QAQ786474 QKL786459:QKM786474 QUH786459:QUI786474 RED786459:REE786474 RNZ786459:ROA786474 RXV786459:RXW786474 SHR786459:SHS786474 SRN786459:SRO786474 TBJ786459:TBK786474 TLF786459:TLG786474 TVB786459:TVC786474 UEX786459:UEY786474 UOT786459:UOU786474 UYP786459:UYQ786474 VIL786459:VIM786474 VSH786459:VSI786474 WCD786459:WCE786474 WLZ786459:WMA786474 WVV786459:WVW786474 N851995:O852010 JJ851995:JK852010 TF851995:TG852010 ADB851995:ADC852010 AMX851995:AMY852010 AWT851995:AWU852010 BGP851995:BGQ852010 BQL851995:BQM852010 CAH851995:CAI852010 CKD851995:CKE852010 CTZ851995:CUA852010 DDV851995:DDW852010 DNR851995:DNS852010 DXN851995:DXO852010 EHJ851995:EHK852010 ERF851995:ERG852010 FBB851995:FBC852010 FKX851995:FKY852010 FUT851995:FUU852010 GEP851995:GEQ852010 GOL851995:GOM852010 GYH851995:GYI852010 HID851995:HIE852010 HRZ851995:HSA852010 IBV851995:IBW852010 ILR851995:ILS852010 IVN851995:IVO852010 JFJ851995:JFK852010 JPF851995:JPG852010 JZB851995:JZC852010 KIX851995:KIY852010 KST851995:KSU852010 LCP851995:LCQ852010 LML851995:LMM852010 LWH851995:LWI852010 MGD851995:MGE852010 MPZ851995:MQA852010 MZV851995:MZW852010 NJR851995:NJS852010 NTN851995:NTO852010 ODJ851995:ODK852010 ONF851995:ONG852010 OXB851995:OXC852010 PGX851995:PGY852010 PQT851995:PQU852010 QAP851995:QAQ852010 QKL851995:QKM852010 QUH851995:QUI852010 RED851995:REE852010 RNZ851995:ROA852010 RXV851995:RXW852010 SHR851995:SHS852010 SRN851995:SRO852010 TBJ851995:TBK852010 TLF851995:TLG852010 TVB851995:TVC852010 UEX851995:UEY852010 UOT851995:UOU852010 UYP851995:UYQ852010 VIL851995:VIM852010 VSH851995:VSI852010 WCD851995:WCE852010 WLZ851995:WMA852010 WVV851995:WVW852010 N917531:O917546 JJ917531:JK917546 TF917531:TG917546 ADB917531:ADC917546 AMX917531:AMY917546 AWT917531:AWU917546 BGP917531:BGQ917546 BQL917531:BQM917546 CAH917531:CAI917546 CKD917531:CKE917546 CTZ917531:CUA917546 DDV917531:DDW917546 DNR917531:DNS917546 DXN917531:DXO917546 EHJ917531:EHK917546 ERF917531:ERG917546 FBB917531:FBC917546 FKX917531:FKY917546 FUT917531:FUU917546 GEP917531:GEQ917546 GOL917531:GOM917546 GYH917531:GYI917546 HID917531:HIE917546 HRZ917531:HSA917546 IBV917531:IBW917546 ILR917531:ILS917546 IVN917531:IVO917546 JFJ917531:JFK917546 JPF917531:JPG917546 JZB917531:JZC917546 KIX917531:KIY917546 KST917531:KSU917546 LCP917531:LCQ917546 LML917531:LMM917546 LWH917531:LWI917546 MGD917531:MGE917546 MPZ917531:MQA917546 MZV917531:MZW917546 NJR917531:NJS917546 NTN917531:NTO917546 ODJ917531:ODK917546 ONF917531:ONG917546 OXB917531:OXC917546 PGX917531:PGY917546 PQT917531:PQU917546 QAP917531:QAQ917546 QKL917531:QKM917546 QUH917531:QUI917546 RED917531:REE917546 RNZ917531:ROA917546 RXV917531:RXW917546 SHR917531:SHS917546 SRN917531:SRO917546 TBJ917531:TBK917546 TLF917531:TLG917546 TVB917531:TVC917546 UEX917531:UEY917546 UOT917531:UOU917546 UYP917531:UYQ917546 VIL917531:VIM917546 VSH917531:VSI917546 WCD917531:WCE917546 WLZ917531:WMA917546 WVV917531:WVW917546 N983067:O983082 JJ983067:JK983082 TF983067:TG983082 ADB983067:ADC983082 AMX983067:AMY983082 AWT983067:AWU983082 BGP983067:BGQ983082 BQL983067:BQM983082 CAH983067:CAI983082 CKD983067:CKE983082 CTZ983067:CUA983082 DDV983067:DDW983082 DNR983067:DNS983082 DXN983067:DXO983082 EHJ983067:EHK983082 ERF983067:ERG983082 FBB983067:FBC983082 FKX983067:FKY983082 FUT983067:FUU983082 GEP983067:GEQ983082 GOL983067:GOM983082 GYH983067:GYI983082 HID983067:HIE983082 HRZ983067:HSA983082 IBV983067:IBW983082 ILR983067:ILS983082 IVN983067:IVO983082 JFJ983067:JFK983082 JPF983067:JPG983082 JZB983067:JZC983082 KIX983067:KIY983082 KST983067:KSU983082 LCP983067:LCQ983082 LML983067:LMM983082 LWH983067:LWI983082 MGD983067:MGE983082 MPZ983067:MQA983082 MZV983067:MZW983082 NJR983067:NJS983082 NTN983067:NTO983082 ODJ983067:ODK983082 ONF983067:ONG983082 OXB983067:OXC983082 PGX983067:PGY983082 PQT983067:PQU983082 QAP983067:QAQ983082 QKL983067:QKM983082 QUH983067:QUI983082 RED983067:REE983082 RNZ983067:ROA983082 RXV983067:RXW983082 SHR983067:SHS983082 SRN983067:SRO983082 TBJ983067:TBK983082 TLF983067:TLG983082 TVB983067:TVC983082 UEX983067:UEY983082 UOT983067:UOU983082 UYP983067:UYQ983082 VIL983067:VIM983082 VSH983067:VSI983082 WCD983067:WCE983082 WLZ983067:WMA983082 WVV983067:WVW983082 N46:O46 JJ46:JK46 TF46:TG46 ADB46:ADC46 AMX46:AMY46 AWT46:AWU46 BGP46:BGQ46 BQL46:BQM46 CAH46:CAI46 CKD46:CKE46 CTZ46:CUA46 DDV46:DDW46 DNR46:DNS46 DXN46:DXO46 EHJ46:EHK46 ERF46:ERG46 FBB46:FBC46 FKX46:FKY46 FUT46:FUU46 GEP46:GEQ46 GOL46:GOM46 GYH46:GYI46 HID46:HIE46 HRZ46:HSA46 IBV46:IBW46 ILR46:ILS46 IVN46:IVO46 JFJ46:JFK46 JPF46:JPG46 JZB46:JZC46 KIX46:KIY46 KST46:KSU46 LCP46:LCQ46 LML46:LMM46 LWH46:LWI46 MGD46:MGE46 MPZ46:MQA46 MZV46:MZW46 NJR46:NJS46 NTN46:NTO46 ODJ46:ODK46 ONF46:ONG46 OXB46:OXC46 PGX46:PGY46 PQT46:PQU46 QAP46:QAQ46 QKL46:QKM46 QUH46:QUI46 RED46:REE46 RNZ46:ROA46 RXV46:RXW46 SHR46:SHS46 SRN46:SRO46 TBJ46:TBK46 TLF46:TLG46 TVB46:TVC46 UEX46:UEY46 UOT46:UOU46 UYP46:UYQ46 VIL46:VIM46 VSH46:VSI46 WCD46:WCE46 WLZ46:WMA46 WVV46:WVW46 N65582:O65582 JJ65582:JK65582 TF65582:TG65582 ADB65582:ADC65582 AMX65582:AMY65582 AWT65582:AWU65582 BGP65582:BGQ65582 BQL65582:BQM65582 CAH65582:CAI65582 CKD65582:CKE65582 CTZ65582:CUA65582 DDV65582:DDW65582 DNR65582:DNS65582 DXN65582:DXO65582 EHJ65582:EHK65582 ERF65582:ERG65582 FBB65582:FBC65582 FKX65582:FKY65582 FUT65582:FUU65582 GEP65582:GEQ65582 GOL65582:GOM65582 GYH65582:GYI65582 HID65582:HIE65582 HRZ65582:HSA65582 IBV65582:IBW65582 ILR65582:ILS65582 IVN65582:IVO65582 JFJ65582:JFK65582 JPF65582:JPG65582 JZB65582:JZC65582 KIX65582:KIY65582 KST65582:KSU65582 LCP65582:LCQ65582 LML65582:LMM65582 LWH65582:LWI65582 MGD65582:MGE65582 MPZ65582:MQA65582 MZV65582:MZW65582 NJR65582:NJS65582 NTN65582:NTO65582 ODJ65582:ODK65582 ONF65582:ONG65582 OXB65582:OXC65582 PGX65582:PGY65582 PQT65582:PQU65582 QAP65582:QAQ65582 QKL65582:QKM65582 QUH65582:QUI65582 RED65582:REE65582 RNZ65582:ROA65582 RXV65582:RXW65582 SHR65582:SHS65582 SRN65582:SRO65582 TBJ65582:TBK65582 TLF65582:TLG65582 TVB65582:TVC65582 UEX65582:UEY65582 UOT65582:UOU65582 UYP65582:UYQ65582 VIL65582:VIM65582 VSH65582:VSI65582 WCD65582:WCE65582 WLZ65582:WMA65582 WVV65582:WVW65582 N131118:O131118 JJ131118:JK131118 TF131118:TG131118 ADB131118:ADC131118 AMX131118:AMY131118 AWT131118:AWU131118 BGP131118:BGQ131118 BQL131118:BQM131118 CAH131118:CAI131118 CKD131118:CKE131118 CTZ131118:CUA131118 DDV131118:DDW131118 DNR131118:DNS131118 DXN131118:DXO131118 EHJ131118:EHK131118 ERF131118:ERG131118 FBB131118:FBC131118 FKX131118:FKY131118 FUT131118:FUU131118 GEP131118:GEQ131118 GOL131118:GOM131118 GYH131118:GYI131118 HID131118:HIE131118 HRZ131118:HSA131118 IBV131118:IBW131118 ILR131118:ILS131118 IVN131118:IVO131118 JFJ131118:JFK131118 JPF131118:JPG131118 JZB131118:JZC131118 KIX131118:KIY131118 KST131118:KSU131118 LCP131118:LCQ131118 LML131118:LMM131118 LWH131118:LWI131118 MGD131118:MGE131118 MPZ131118:MQA131118 MZV131118:MZW131118 NJR131118:NJS131118 NTN131118:NTO131118 ODJ131118:ODK131118 ONF131118:ONG131118 OXB131118:OXC131118 PGX131118:PGY131118 PQT131118:PQU131118 QAP131118:QAQ131118 QKL131118:QKM131118 QUH131118:QUI131118 RED131118:REE131118 RNZ131118:ROA131118 RXV131118:RXW131118 SHR131118:SHS131118 SRN131118:SRO131118 TBJ131118:TBK131118 TLF131118:TLG131118 TVB131118:TVC131118 UEX131118:UEY131118 UOT131118:UOU131118 UYP131118:UYQ131118 VIL131118:VIM131118 VSH131118:VSI131118 WCD131118:WCE131118 WLZ131118:WMA131118 WVV131118:WVW131118 N196654:O196654 JJ196654:JK196654 TF196654:TG196654 ADB196654:ADC196654 AMX196654:AMY196654 AWT196654:AWU196654 BGP196654:BGQ196654 BQL196654:BQM196654 CAH196654:CAI196654 CKD196654:CKE196654 CTZ196654:CUA196654 DDV196654:DDW196654 DNR196654:DNS196654 DXN196654:DXO196654 EHJ196654:EHK196654 ERF196654:ERG196654 FBB196654:FBC196654 FKX196654:FKY196654 FUT196654:FUU196654 GEP196654:GEQ196654 GOL196654:GOM196654 GYH196654:GYI196654 HID196654:HIE196654 HRZ196654:HSA196654 IBV196654:IBW196654 ILR196654:ILS196654 IVN196654:IVO196654 JFJ196654:JFK196654 JPF196654:JPG196654 JZB196654:JZC196654 KIX196654:KIY196654 KST196654:KSU196654 LCP196654:LCQ196654 LML196654:LMM196654 LWH196654:LWI196654 MGD196654:MGE196654 MPZ196654:MQA196654 MZV196654:MZW196654 NJR196654:NJS196654 NTN196654:NTO196654 ODJ196654:ODK196654 ONF196654:ONG196654 OXB196654:OXC196654 PGX196654:PGY196654 PQT196654:PQU196654 QAP196654:QAQ196654 QKL196654:QKM196654 QUH196654:QUI196654 RED196654:REE196654 RNZ196654:ROA196654 RXV196654:RXW196654 SHR196654:SHS196654 SRN196654:SRO196654 TBJ196654:TBK196654 TLF196654:TLG196654 TVB196654:TVC196654 UEX196654:UEY196654 UOT196654:UOU196654 UYP196654:UYQ196654 VIL196654:VIM196654 VSH196654:VSI196654 WCD196654:WCE196654 WLZ196654:WMA196654 WVV196654:WVW196654 N262190:O262190 JJ262190:JK262190 TF262190:TG262190 ADB262190:ADC262190 AMX262190:AMY262190 AWT262190:AWU262190 BGP262190:BGQ262190 BQL262190:BQM262190 CAH262190:CAI262190 CKD262190:CKE262190 CTZ262190:CUA262190 DDV262190:DDW262190 DNR262190:DNS262190 DXN262190:DXO262190 EHJ262190:EHK262190 ERF262190:ERG262190 FBB262190:FBC262190 FKX262190:FKY262190 FUT262190:FUU262190 GEP262190:GEQ262190 GOL262190:GOM262190 GYH262190:GYI262190 HID262190:HIE262190 HRZ262190:HSA262190 IBV262190:IBW262190 ILR262190:ILS262190 IVN262190:IVO262190 JFJ262190:JFK262190 JPF262190:JPG262190 JZB262190:JZC262190 KIX262190:KIY262190 KST262190:KSU262190 LCP262190:LCQ262190 LML262190:LMM262190 LWH262190:LWI262190 MGD262190:MGE262190 MPZ262190:MQA262190 MZV262190:MZW262190 NJR262190:NJS262190 NTN262190:NTO262190 ODJ262190:ODK262190 ONF262190:ONG262190 OXB262190:OXC262190 PGX262190:PGY262190 PQT262190:PQU262190 QAP262190:QAQ262190 QKL262190:QKM262190 QUH262190:QUI262190 RED262190:REE262190 RNZ262190:ROA262190 RXV262190:RXW262190 SHR262190:SHS262190 SRN262190:SRO262190 TBJ262190:TBK262190 TLF262190:TLG262190 TVB262190:TVC262190 UEX262190:UEY262190 UOT262190:UOU262190 UYP262190:UYQ262190 VIL262190:VIM262190 VSH262190:VSI262190 WCD262190:WCE262190 WLZ262190:WMA262190 WVV262190:WVW262190 N327726:O327726 JJ327726:JK327726 TF327726:TG327726 ADB327726:ADC327726 AMX327726:AMY327726 AWT327726:AWU327726 BGP327726:BGQ327726 BQL327726:BQM327726 CAH327726:CAI327726 CKD327726:CKE327726 CTZ327726:CUA327726 DDV327726:DDW327726 DNR327726:DNS327726 DXN327726:DXO327726 EHJ327726:EHK327726 ERF327726:ERG327726 FBB327726:FBC327726 FKX327726:FKY327726 FUT327726:FUU327726 GEP327726:GEQ327726 GOL327726:GOM327726 GYH327726:GYI327726 HID327726:HIE327726 HRZ327726:HSA327726 IBV327726:IBW327726 ILR327726:ILS327726 IVN327726:IVO327726 JFJ327726:JFK327726 JPF327726:JPG327726 JZB327726:JZC327726 KIX327726:KIY327726 KST327726:KSU327726 LCP327726:LCQ327726 LML327726:LMM327726 LWH327726:LWI327726 MGD327726:MGE327726 MPZ327726:MQA327726 MZV327726:MZW327726 NJR327726:NJS327726 NTN327726:NTO327726 ODJ327726:ODK327726 ONF327726:ONG327726 OXB327726:OXC327726 PGX327726:PGY327726 PQT327726:PQU327726 QAP327726:QAQ327726 QKL327726:QKM327726 QUH327726:QUI327726 RED327726:REE327726 RNZ327726:ROA327726 RXV327726:RXW327726 SHR327726:SHS327726 SRN327726:SRO327726 TBJ327726:TBK327726 TLF327726:TLG327726 TVB327726:TVC327726 UEX327726:UEY327726 UOT327726:UOU327726 UYP327726:UYQ327726 VIL327726:VIM327726 VSH327726:VSI327726 WCD327726:WCE327726 WLZ327726:WMA327726 WVV327726:WVW327726 N393262:O393262 JJ393262:JK393262 TF393262:TG393262 ADB393262:ADC393262 AMX393262:AMY393262 AWT393262:AWU393262 BGP393262:BGQ393262 BQL393262:BQM393262 CAH393262:CAI393262 CKD393262:CKE393262 CTZ393262:CUA393262 DDV393262:DDW393262 DNR393262:DNS393262 DXN393262:DXO393262 EHJ393262:EHK393262 ERF393262:ERG393262 FBB393262:FBC393262 FKX393262:FKY393262 FUT393262:FUU393262 GEP393262:GEQ393262 GOL393262:GOM393262 GYH393262:GYI393262 HID393262:HIE393262 HRZ393262:HSA393262 IBV393262:IBW393262 ILR393262:ILS393262 IVN393262:IVO393262 JFJ393262:JFK393262 JPF393262:JPG393262 JZB393262:JZC393262 KIX393262:KIY393262 KST393262:KSU393262 LCP393262:LCQ393262 LML393262:LMM393262 LWH393262:LWI393262 MGD393262:MGE393262 MPZ393262:MQA393262 MZV393262:MZW393262 NJR393262:NJS393262 NTN393262:NTO393262 ODJ393262:ODK393262 ONF393262:ONG393262 OXB393262:OXC393262 PGX393262:PGY393262 PQT393262:PQU393262 QAP393262:QAQ393262 QKL393262:QKM393262 QUH393262:QUI393262 RED393262:REE393262 RNZ393262:ROA393262 RXV393262:RXW393262 SHR393262:SHS393262 SRN393262:SRO393262 TBJ393262:TBK393262 TLF393262:TLG393262 TVB393262:TVC393262 UEX393262:UEY393262 UOT393262:UOU393262 UYP393262:UYQ393262 VIL393262:VIM393262 VSH393262:VSI393262 WCD393262:WCE393262 WLZ393262:WMA393262 WVV393262:WVW393262 N458798:O458798 JJ458798:JK458798 TF458798:TG458798 ADB458798:ADC458798 AMX458798:AMY458798 AWT458798:AWU458798 BGP458798:BGQ458798 BQL458798:BQM458798 CAH458798:CAI458798 CKD458798:CKE458798 CTZ458798:CUA458798 DDV458798:DDW458798 DNR458798:DNS458798 DXN458798:DXO458798 EHJ458798:EHK458798 ERF458798:ERG458798 FBB458798:FBC458798 FKX458798:FKY458798 FUT458798:FUU458798 GEP458798:GEQ458798 GOL458798:GOM458798 GYH458798:GYI458798 HID458798:HIE458798 HRZ458798:HSA458798 IBV458798:IBW458798 ILR458798:ILS458798 IVN458798:IVO458798 JFJ458798:JFK458798 JPF458798:JPG458798 JZB458798:JZC458798 KIX458798:KIY458798 KST458798:KSU458798 LCP458798:LCQ458798 LML458798:LMM458798 LWH458798:LWI458798 MGD458798:MGE458798 MPZ458798:MQA458798 MZV458798:MZW458798 NJR458798:NJS458798 NTN458798:NTO458798 ODJ458798:ODK458798 ONF458798:ONG458798 OXB458798:OXC458798 PGX458798:PGY458798 PQT458798:PQU458798 QAP458798:QAQ458798 QKL458798:QKM458798 QUH458798:QUI458798 RED458798:REE458798 RNZ458798:ROA458798 RXV458798:RXW458798 SHR458798:SHS458798 SRN458798:SRO458798 TBJ458798:TBK458798 TLF458798:TLG458798 TVB458798:TVC458798 UEX458798:UEY458798 UOT458798:UOU458798 UYP458798:UYQ458798 VIL458798:VIM458798 VSH458798:VSI458798 WCD458798:WCE458798 WLZ458798:WMA458798 WVV458798:WVW458798 N524334:O524334 JJ524334:JK524334 TF524334:TG524334 ADB524334:ADC524334 AMX524334:AMY524334 AWT524334:AWU524334 BGP524334:BGQ524334 BQL524334:BQM524334 CAH524334:CAI524334 CKD524334:CKE524334 CTZ524334:CUA524334 DDV524334:DDW524334 DNR524334:DNS524334 DXN524334:DXO524334 EHJ524334:EHK524334 ERF524334:ERG524334 FBB524334:FBC524334 FKX524334:FKY524334 FUT524334:FUU524334 GEP524334:GEQ524334 GOL524334:GOM524334 GYH524334:GYI524334 HID524334:HIE524334 HRZ524334:HSA524334 IBV524334:IBW524334 ILR524334:ILS524334 IVN524334:IVO524334 JFJ524334:JFK524334 JPF524334:JPG524334 JZB524334:JZC524334 KIX524334:KIY524334 KST524334:KSU524334 LCP524334:LCQ524334 LML524334:LMM524334 LWH524334:LWI524334 MGD524334:MGE524334 MPZ524334:MQA524334 MZV524334:MZW524334 NJR524334:NJS524334 NTN524334:NTO524334 ODJ524334:ODK524334 ONF524334:ONG524334 OXB524334:OXC524334 PGX524334:PGY524334 PQT524334:PQU524334 QAP524334:QAQ524334 QKL524334:QKM524334 QUH524334:QUI524334 RED524334:REE524334 RNZ524334:ROA524334 RXV524334:RXW524334 SHR524334:SHS524334 SRN524334:SRO524334 TBJ524334:TBK524334 TLF524334:TLG524334 TVB524334:TVC524334 UEX524334:UEY524334 UOT524334:UOU524334 UYP524334:UYQ524334 VIL524334:VIM524334 VSH524334:VSI524334 WCD524334:WCE524334 WLZ524334:WMA524334 WVV524334:WVW524334 N589870:O589870 JJ589870:JK589870 TF589870:TG589870 ADB589870:ADC589870 AMX589870:AMY589870 AWT589870:AWU589870 BGP589870:BGQ589870 BQL589870:BQM589870 CAH589870:CAI589870 CKD589870:CKE589870 CTZ589870:CUA589870 DDV589870:DDW589870 DNR589870:DNS589870 DXN589870:DXO589870 EHJ589870:EHK589870 ERF589870:ERG589870 FBB589870:FBC589870 FKX589870:FKY589870 FUT589870:FUU589870 GEP589870:GEQ589870 GOL589870:GOM589870 GYH589870:GYI589870 HID589870:HIE589870 HRZ589870:HSA589870 IBV589870:IBW589870 ILR589870:ILS589870 IVN589870:IVO589870 JFJ589870:JFK589870 JPF589870:JPG589870 JZB589870:JZC589870 KIX589870:KIY589870 KST589870:KSU589870 LCP589870:LCQ589870 LML589870:LMM589870 LWH589870:LWI589870 MGD589870:MGE589870 MPZ589870:MQA589870 MZV589870:MZW589870 NJR589870:NJS589870 NTN589870:NTO589870 ODJ589870:ODK589870 ONF589870:ONG589870 OXB589870:OXC589870 PGX589870:PGY589870 PQT589870:PQU589870 QAP589870:QAQ589870 QKL589870:QKM589870 QUH589870:QUI589870 RED589870:REE589870 RNZ589870:ROA589870 RXV589870:RXW589870 SHR589870:SHS589870 SRN589870:SRO589870 TBJ589870:TBK589870 TLF589870:TLG589870 TVB589870:TVC589870 UEX589870:UEY589870 UOT589870:UOU589870 UYP589870:UYQ589870 VIL589870:VIM589870 VSH589870:VSI589870 WCD589870:WCE589870 WLZ589870:WMA589870 WVV589870:WVW589870 N655406:O655406 JJ655406:JK655406 TF655406:TG655406 ADB655406:ADC655406 AMX655406:AMY655406 AWT655406:AWU655406 BGP655406:BGQ655406 BQL655406:BQM655406 CAH655406:CAI655406 CKD655406:CKE655406 CTZ655406:CUA655406 DDV655406:DDW655406 DNR655406:DNS655406 DXN655406:DXO655406 EHJ655406:EHK655406 ERF655406:ERG655406 FBB655406:FBC655406 FKX655406:FKY655406 FUT655406:FUU655406 GEP655406:GEQ655406 GOL655406:GOM655406 GYH655406:GYI655406 HID655406:HIE655406 HRZ655406:HSA655406 IBV655406:IBW655406 ILR655406:ILS655406 IVN655406:IVO655406 JFJ655406:JFK655406 JPF655406:JPG655406 JZB655406:JZC655406 KIX655406:KIY655406 KST655406:KSU655406 LCP655406:LCQ655406 LML655406:LMM655406 LWH655406:LWI655406 MGD655406:MGE655406 MPZ655406:MQA655406 MZV655406:MZW655406 NJR655406:NJS655406 NTN655406:NTO655406 ODJ655406:ODK655406 ONF655406:ONG655406 OXB655406:OXC655406 PGX655406:PGY655406 PQT655406:PQU655406 QAP655406:QAQ655406 QKL655406:QKM655406 QUH655406:QUI655406 RED655406:REE655406 RNZ655406:ROA655406 RXV655406:RXW655406 SHR655406:SHS655406 SRN655406:SRO655406 TBJ655406:TBK655406 TLF655406:TLG655406 TVB655406:TVC655406 UEX655406:UEY655406 UOT655406:UOU655406 UYP655406:UYQ655406 VIL655406:VIM655406 VSH655406:VSI655406 WCD655406:WCE655406 WLZ655406:WMA655406 WVV655406:WVW655406 N720942:O720942 JJ720942:JK720942 TF720942:TG720942 ADB720942:ADC720942 AMX720942:AMY720942 AWT720942:AWU720942 BGP720942:BGQ720942 BQL720942:BQM720942 CAH720942:CAI720942 CKD720942:CKE720942 CTZ720942:CUA720942 DDV720942:DDW720942 DNR720942:DNS720942 DXN720942:DXO720942 EHJ720942:EHK720942 ERF720942:ERG720942 FBB720942:FBC720942 FKX720942:FKY720942 FUT720942:FUU720942 GEP720942:GEQ720942 GOL720942:GOM720942 GYH720942:GYI720942 HID720942:HIE720942 HRZ720942:HSA720942 IBV720942:IBW720942 ILR720942:ILS720942 IVN720942:IVO720942 JFJ720942:JFK720942 JPF720942:JPG720942 JZB720942:JZC720942 KIX720942:KIY720942 KST720942:KSU720942 LCP720942:LCQ720942 LML720942:LMM720942 LWH720942:LWI720942 MGD720942:MGE720942 MPZ720942:MQA720942 MZV720942:MZW720942 NJR720942:NJS720942 NTN720942:NTO720942 ODJ720942:ODK720942 ONF720942:ONG720942 OXB720942:OXC720942 PGX720942:PGY720942 PQT720942:PQU720942 QAP720942:QAQ720942 QKL720942:QKM720942 QUH720942:QUI720942 RED720942:REE720942 RNZ720942:ROA720942 RXV720942:RXW720942 SHR720942:SHS720942 SRN720942:SRO720942 TBJ720942:TBK720942 TLF720942:TLG720942 TVB720942:TVC720942 UEX720942:UEY720942 UOT720942:UOU720942 UYP720942:UYQ720942 VIL720942:VIM720942 VSH720942:VSI720942 WCD720942:WCE720942 WLZ720942:WMA720942 WVV720942:WVW720942 N786478:O786478 JJ786478:JK786478 TF786478:TG786478 ADB786478:ADC786478 AMX786478:AMY786478 AWT786478:AWU786478 BGP786478:BGQ786478 BQL786478:BQM786478 CAH786478:CAI786478 CKD786478:CKE786478 CTZ786478:CUA786478 DDV786478:DDW786478 DNR786478:DNS786478 DXN786478:DXO786478 EHJ786478:EHK786478 ERF786478:ERG786478 FBB786478:FBC786478 FKX786478:FKY786478 FUT786478:FUU786478 GEP786478:GEQ786478 GOL786478:GOM786478 GYH786478:GYI786478 HID786478:HIE786478 HRZ786478:HSA786478 IBV786478:IBW786478 ILR786478:ILS786478 IVN786478:IVO786478 JFJ786478:JFK786478 JPF786478:JPG786478 JZB786478:JZC786478 KIX786478:KIY786478 KST786478:KSU786478 LCP786478:LCQ786478 LML786478:LMM786478 LWH786478:LWI786478 MGD786478:MGE786478 MPZ786478:MQA786478 MZV786478:MZW786478 NJR786478:NJS786478 NTN786478:NTO786478 ODJ786478:ODK786478 ONF786478:ONG786478 OXB786478:OXC786478 PGX786478:PGY786478 PQT786478:PQU786478 QAP786478:QAQ786478 QKL786478:QKM786478 QUH786478:QUI786478 RED786478:REE786478 RNZ786478:ROA786478 RXV786478:RXW786478 SHR786478:SHS786478 SRN786478:SRO786478 TBJ786478:TBK786478 TLF786478:TLG786478 TVB786478:TVC786478 UEX786478:UEY786478 UOT786478:UOU786478 UYP786478:UYQ786478 VIL786478:VIM786478 VSH786478:VSI786478 WCD786478:WCE786478 WLZ786478:WMA786478 WVV786478:WVW786478 N852014:O852014 JJ852014:JK852014 TF852014:TG852014 ADB852014:ADC852014 AMX852014:AMY852014 AWT852014:AWU852014 BGP852014:BGQ852014 BQL852014:BQM852014 CAH852014:CAI852014 CKD852014:CKE852014 CTZ852014:CUA852014 DDV852014:DDW852014 DNR852014:DNS852014 DXN852014:DXO852014 EHJ852014:EHK852014 ERF852014:ERG852014 FBB852014:FBC852014 FKX852014:FKY852014 FUT852014:FUU852014 GEP852014:GEQ852014 GOL852014:GOM852014 GYH852014:GYI852014 HID852014:HIE852014 HRZ852014:HSA852014 IBV852014:IBW852014 ILR852014:ILS852014 IVN852014:IVO852014 JFJ852014:JFK852014 JPF852014:JPG852014 JZB852014:JZC852014 KIX852014:KIY852014 KST852014:KSU852014 LCP852014:LCQ852014 LML852014:LMM852014 LWH852014:LWI852014 MGD852014:MGE852014 MPZ852014:MQA852014 MZV852014:MZW852014 NJR852014:NJS852014 NTN852014:NTO852014 ODJ852014:ODK852014 ONF852014:ONG852014 OXB852014:OXC852014 PGX852014:PGY852014 PQT852014:PQU852014 QAP852014:QAQ852014 QKL852014:QKM852014 QUH852014:QUI852014 RED852014:REE852014 RNZ852014:ROA852014 RXV852014:RXW852014 SHR852014:SHS852014 SRN852014:SRO852014 TBJ852014:TBK852014 TLF852014:TLG852014 TVB852014:TVC852014 UEX852014:UEY852014 UOT852014:UOU852014 UYP852014:UYQ852014 VIL852014:VIM852014 VSH852014:VSI852014 WCD852014:WCE852014 WLZ852014:WMA852014 WVV852014:WVW852014 N917550:O917550 JJ917550:JK917550 TF917550:TG917550 ADB917550:ADC917550 AMX917550:AMY917550 AWT917550:AWU917550 BGP917550:BGQ917550 BQL917550:BQM917550 CAH917550:CAI917550 CKD917550:CKE917550 CTZ917550:CUA917550 DDV917550:DDW917550 DNR917550:DNS917550 DXN917550:DXO917550 EHJ917550:EHK917550 ERF917550:ERG917550 FBB917550:FBC917550 FKX917550:FKY917550 FUT917550:FUU917550 GEP917550:GEQ917550 GOL917550:GOM917550 GYH917550:GYI917550 HID917550:HIE917550 HRZ917550:HSA917550 IBV917550:IBW917550 ILR917550:ILS917550 IVN917550:IVO917550 JFJ917550:JFK917550 JPF917550:JPG917550 JZB917550:JZC917550 KIX917550:KIY917550 KST917550:KSU917550 LCP917550:LCQ917550 LML917550:LMM917550 LWH917550:LWI917550 MGD917550:MGE917550 MPZ917550:MQA917550 MZV917550:MZW917550 NJR917550:NJS917550 NTN917550:NTO917550 ODJ917550:ODK917550 ONF917550:ONG917550 OXB917550:OXC917550 PGX917550:PGY917550 PQT917550:PQU917550 QAP917550:QAQ917550 QKL917550:QKM917550 QUH917550:QUI917550 RED917550:REE917550 RNZ917550:ROA917550 RXV917550:RXW917550 SHR917550:SHS917550 SRN917550:SRO917550 TBJ917550:TBK917550 TLF917550:TLG917550 TVB917550:TVC917550 UEX917550:UEY917550 UOT917550:UOU917550 UYP917550:UYQ917550 VIL917550:VIM917550 VSH917550:VSI917550 WCD917550:WCE917550 WLZ917550:WMA917550 WVV917550:WVW917550 N983086:O983086 JJ983086:JK983086 TF983086:TG983086 ADB983086:ADC983086 AMX983086:AMY983086 AWT983086:AWU983086 BGP983086:BGQ983086 BQL983086:BQM983086 CAH983086:CAI983086 CKD983086:CKE983086 CTZ983086:CUA983086 DDV983086:DDW983086 DNR983086:DNS983086 DXN983086:DXO983086 EHJ983086:EHK983086 ERF983086:ERG983086 FBB983086:FBC983086 FKX983086:FKY983086 FUT983086:FUU983086 GEP983086:GEQ983086 GOL983086:GOM983086 GYH983086:GYI983086 HID983086:HIE983086 HRZ983086:HSA983086 IBV983086:IBW983086 ILR983086:ILS983086 IVN983086:IVO983086 JFJ983086:JFK983086 JPF983086:JPG983086 JZB983086:JZC983086 KIX983086:KIY983086 KST983086:KSU983086 LCP983086:LCQ983086 LML983086:LMM983086 LWH983086:LWI983086 MGD983086:MGE983086 MPZ983086:MQA983086 MZV983086:MZW983086 NJR983086:NJS983086 NTN983086:NTO983086 ODJ983086:ODK983086 ONF983086:ONG983086 OXB983086:OXC983086 PGX983086:PGY983086 PQT983086:PQU983086 QAP983086:QAQ983086 QKL983086:QKM983086 QUH983086:QUI983086 RED983086:REE983086 RNZ983086:ROA983086 RXV983086:RXW983086 SHR983086:SHS983086 SRN983086:SRO983086 TBJ983086:TBK983086 TLF983086:TLG983086 TVB983086:TVC983086 UEX983086:UEY983086 UOT983086:UOU983086 UYP983086:UYQ983086 VIL983086:VIM983086 VSH983086:VSI983086 WCD983086:WCE983086 WLZ983086:WMA983086 WVV983086:WVW983086 N48:O50 JJ48:JK50 TF48:TG50 ADB48:ADC50 AMX48:AMY50 AWT48:AWU50 BGP48:BGQ50 BQL48:BQM50 CAH48:CAI50 CKD48:CKE50 CTZ48:CUA50 DDV48:DDW50 DNR48:DNS50 DXN48:DXO50 EHJ48:EHK50 ERF48:ERG50 FBB48:FBC50 FKX48:FKY50 FUT48:FUU50 GEP48:GEQ50 GOL48:GOM50 GYH48:GYI50 HID48:HIE50 HRZ48:HSA50 IBV48:IBW50 ILR48:ILS50 IVN48:IVO50 JFJ48:JFK50 JPF48:JPG50 JZB48:JZC50 KIX48:KIY50 KST48:KSU50 LCP48:LCQ50 LML48:LMM50 LWH48:LWI50 MGD48:MGE50 MPZ48:MQA50 MZV48:MZW50 NJR48:NJS50 NTN48:NTO50 ODJ48:ODK50 ONF48:ONG50 OXB48:OXC50 PGX48:PGY50 PQT48:PQU50 QAP48:QAQ50 QKL48:QKM50 QUH48:QUI50 RED48:REE50 RNZ48:ROA50 RXV48:RXW50 SHR48:SHS50 SRN48:SRO50 TBJ48:TBK50 TLF48:TLG50 TVB48:TVC50 UEX48:UEY50 UOT48:UOU50 UYP48:UYQ50 VIL48:VIM50 VSH48:VSI50 WCD48:WCE50 WLZ48:WMA50 WVV48:WVW50 N65584:O65586 JJ65584:JK65586 TF65584:TG65586 ADB65584:ADC65586 AMX65584:AMY65586 AWT65584:AWU65586 BGP65584:BGQ65586 BQL65584:BQM65586 CAH65584:CAI65586 CKD65584:CKE65586 CTZ65584:CUA65586 DDV65584:DDW65586 DNR65584:DNS65586 DXN65584:DXO65586 EHJ65584:EHK65586 ERF65584:ERG65586 FBB65584:FBC65586 FKX65584:FKY65586 FUT65584:FUU65586 GEP65584:GEQ65586 GOL65584:GOM65586 GYH65584:GYI65586 HID65584:HIE65586 HRZ65584:HSA65586 IBV65584:IBW65586 ILR65584:ILS65586 IVN65584:IVO65586 JFJ65584:JFK65586 JPF65584:JPG65586 JZB65584:JZC65586 KIX65584:KIY65586 KST65584:KSU65586 LCP65584:LCQ65586 LML65584:LMM65586 LWH65584:LWI65586 MGD65584:MGE65586 MPZ65584:MQA65586 MZV65584:MZW65586 NJR65584:NJS65586 NTN65584:NTO65586 ODJ65584:ODK65586 ONF65584:ONG65586 OXB65584:OXC65586 PGX65584:PGY65586 PQT65584:PQU65586 QAP65584:QAQ65586 QKL65584:QKM65586 QUH65584:QUI65586 RED65584:REE65586 RNZ65584:ROA65586 RXV65584:RXW65586 SHR65584:SHS65586 SRN65584:SRO65586 TBJ65584:TBK65586 TLF65584:TLG65586 TVB65584:TVC65586 UEX65584:UEY65586 UOT65584:UOU65586 UYP65584:UYQ65586 VIL65584:VIM65586 VSH65584:VSI65586 WCD65584:WCE65586 WLZ65584:WMA65586 WVV65584:WVW65586 N131120:O131122 JJ131120:JK131122 TF131120:TG131122 ADB131120:ADC131122 AMX131120:AMY131122 AWT131120:AWU131122 BGP131120:BGQ131122 BQL131120:BQM131122 CAH131120:CAI131122 CKD131120:CKE131122 CTZ131120:CUA131122 DDV131120:DDW131122 DNR131120:DNS131122 DXN131120:DXO131122 EHJ131120:EHK131122 ERF131120:ERG131122 FBB131120:FBC131122 FKX131120:FKY131122 FUT131120:FUU131122 GEP131120:GEQ131122 GOL131120:GOM131122 GYH131120:GYI131122 HID131120:HIE131122 HRZ131120:HSA131122 IBV131120:IBW131122 ILR131120:ILS131122 IVN131120:IVO131122 JFJ131120:JFK131122 JPF131120:JPG131122 JZB131120:JZC131122 KIX131120:KIY131122 KST131120:KSU131122 LCP131120:LCQ131122 LML131120:LMM131122 LWH131120:LWI131122 MGD131120:MGE131122 MPZ131120:MQA131122 MZV131120:MZW131122 NJR131120:NJS131122 NTN131120:NTO131122 ODJ131120:ODK131122 ONF131120:ONG131122 OXB131120:OXC131122 PGX131120:PGY131122 PQT131120:PQU131122 QAP131120:QAQ131122 QKL131120:QKM131122 QUH131120:QUI131122 RED131120:REE131122 RNZ131120:ROA131122 RXV131120:RXW131122 SHR131120:SHS131122 SRN131120:SRO131122 TBJ131120:TBK131122 TLF131120:TLG131122 TVB131120:TVC131122 UEX131120:UEY131122 UOT131120:UOU131122 UYP131120:UYQ131122 VIL131120:VIM131122 VSH131120:VSI131122 WCD131120:WCE131122 WLZ131120:WMA131122 WVV131120:WVW131122 N196656:O196658 JJ196656:JK196658 TF196656:TG196658 ADB196656:ADC196658 AMX196656:AMY196658 AWT196656:AWU196658 BGP196656:BGQ196658 BQL196656:BQM196658 CAH196656:CAI196658 CKD196656:CKE196658 CTZ196656:CUA196658 DDV196656:DDW196658 DNR196656:DNS196658 DXN196656:DXO196658 EHJ196656:EHK196658 ERF196656:ERG196658 FBB196656:FBC196658 FKX196656:FKY196658 FUT196656:FUU196658 GEP196656:GEQ196658 GOL196656:GOM196658 GYH196656:GYI196658 HID196656:HIE196658 HRZ196656:HSA196658 IBV196656:IBW196658 ILR196656:ILS196658 IVN196656:IVO196658 JFJ196656:JFK196658 JPF196656:JPG196658 JZB196656:JZC196658 KIX196656:KIY196658 KST196656:KSU196658 LCP196656:LCQ196658 LML196656:LMM196658 LWH196656:LWI196658 MGD196656:MGE196658 MPZ196656:MQA196658 MZV196656:MZW196658 NJR196656:NJS196658 NTN196656:NTO196658 ODJ196656:ODK196658 ONF196656:ONG196658 OXB196656:OXC196658 PGX196656:PGY196658 PQT196656:PQU196658 QAP196656:QAQ196658 QKL196656:QKM196658 QUH196656:QUI196658 RED196656:REE196658 RNZ196656:ROA196658 RXV196656:RXW196658 SHR196656:SHS196658 SRN196656:SRO196658 TBJ196656:TBK196658 TLF196656:TLG196658 TVB196656:TVC196658 UEX196656:UEY196658 UOT196656:UOU196658 UYP196656:UYQ196658 VIL196656:VIM196658 VSH196656:VSI196658 WCD196656:WCE196658 WLZ196656:WMA196658 WVV196656:WVW196658 N262192:O262194 JJ262192:JK262194 TF262192:TG262194 ADB262192:ADC262194 AMX262192:AMY262194 AWT262192:AWU262194 BGP262192:BGQ262194 BQL262192:BQM262194 CAH262192:CAI262194 CKD262192:CKE262194 CTZ262192:CUA262194 DDV262192:DDW262194 DNR262192:DNS262194 DXN262192:DXO262194 EHJ262192:EHK262194 ERF262192:ERG262194 FBB262192:FBC262194 FKX262192:FKY262194 FUT262192:FUU262194 GEP262192:GEQ262194 GOL262192:GOM262194 GYH262192:GYI262194 HID262192:HIE262194 HRZ262192:HSA262194 IBV262192:IBW262194 ILR262192:ILS262194 IVN262192:IVO262194 JFJ262192:JFK262194 JPF262192:JPG262194 JZB262192:JZC262194 KIX262192:KIY262194 KST262192:KSU262194 LCP262192:LCQ262194 LML262192:LMM262194 LWH262192:LWI262194 MGD262192:MGE262194 MPZ262192:MQA262194 MZV262192:MZW262194 NJR262192:NJS262194 NTN262192:NTO262194 ODJ262192:ODK262194 ONF262192:ONG262194 OXB262192:OXC262194 PGX262192:PGY262194 PQT262192:PQU262194 QAP262192:QAQ262194 QKL262192:QKM262194 QUH262192:QUI262194 RED262192:REE262194 RNZ262192:ROA262194 RXV262192:RXW262194 SHR262192:SHS262194 SRN262192:SRO262194 TBJ262192:TBK262194 TLF262192:TLG262194 TVB262192:TVC262194 UEX262192:UEY262194 UOT262192:UOU262194 UYP262192:UYQ262194 VIL262192:VIM262194 VSH262192:VSI262194 WCD262192:WCE262194 WLZ262192:WMA262194 WVV262192:WVW262194 N327728:O327730 JJ327728:JK327730 TF327728:TG327730 ADB327728:ADC327730 AMX327728:AMY327730 AWT327728:AWU327730 BGP327728:BGQ327730 BQL327728:BQM327730 CAH327728:CAI327730 CKD327728:CKE327730 CTZ327728:CUA327730 DDV327728:DDW327730 DNR327728:DNS327730 DXN327728:DXO327730 EHJ327728:EHK327730 ERF327728:ERG327730 FBB327728:FBC327730 FKX327728:FKY327730 FUT327728:FUU327730 GEP327728:GEQ327730 GOL327728:GOM327730 GYH327728:GYI327730 HID327728:HIE327730 HRZ327728:HSA327730 IBV327728:IBW327730 ILR327728:ILS327730 IVN327728:IVO327730 JFJ327728:JFK327730 JPF327728:JPG327730 JZB327728:JZC327730 KIX327728:KIY327730 KST327728:KSU327730 LCP327728:LCQ327730 LML327728:LMM327730 LWH327728:LWI327730 MGD327728:MGE327730 MPZ327728:MQA327730 MZV327728:MZW327730 NJR327728:NJS327730 NTN327728:NTO327730 ODJ327728:ODK327730 ONF327728:ONG327730 OXB327728:OXC327730 PGX327728:PGY327730 PQT327728:PQU327730 QAP327728:QAQ327730 QKL327728:QKM327730 QUH327728:QUI327730 RED327728:REE327730 RNZ327728:ROA327730 RXV327728:RXW327730 SHR327728:SHS327730 SRN327728:SRO327730 TBJ327728:TBK327730 TLF327728:TLG327730 TVB327728:TVC327730 UEX327728:UEY327730 UOT327728:UOU327730 UYP327728:UYQ327730 VIL327728:VIM327730 VSH327728:VSI327730 WCD327728:WCE327730 WLZ327728:WMA327730 WVV327728:WVW327730 N393264:O393266 JJ393264:JK393266 TF393264:TG393266 ADB393264:ADC393266 AMX393264:AMY393266 AWT393264:AWU393266 BGP393264:BGQ393266 BQL393264:BQM393266 CAH393264:CAI393266 CKD393264:CKE393266 CTZ393264:CUA393266 DDV393264:DDW393266 DNR393264:DNS393266 DXN393264:DXO393266 EHJ393264:EHK393266 ERF393264:ERG393266 FBB393264:FBC393266 FKX393264:FKY393266 FUT393264:FUU393266 GEP393264:GEQ393266 GOL393264:GOM393266 GYH393264:GYI393266 HID393264:HIE393266 HRZ393264:HSA393266 IBV393264:IBW393266 ILR393264:ILS393266 IVN393264:IVO393266 JFJ393264:JFK393266 JPF393264:JPG393266 JZB393264:JZC393266 KIX393264:KIY393266 KST393264:KSU393266 LCP393264:LCQ393266 LML393264:LMM393266 LWH393264:LWI393266 MGD393264:MGE393266 MPZ393264:MQA393266 MZV393264:MZW393266 NJR393264:NJS393266 NTN393264:NTO393266 ODJ393264:ODK393266 ONF393264:ONG393266 OXB393264:OXC393266 PGX393264:PGY393266 PQT393264:PQU393266 QAP393264:QAQ393266 QKL393264:QKM393266 QUH393264:QUI393266 RED393264:REE393266 RNZ393264:ROA393266 RXV393264:RXW393266 SHR393264:SHS393266 SRN393264:SRO393266 TBJ393264:TBK393266 TLF393264:TLG393266 TVB393264:TVC393266 UEX393264:UEY393266 UOT393264:UOU393266 UYP393264:UYQ393266 VIL393264:VIM393266 VSH393264:VSI393266 WCD393264:WCE393266 WLZ393264:WMA393266 WVV393264:WVW393266 N458800:O458802 JJ458800:JK458802 TF458800:TG458802 ADB458800:ADC458802 AMX458800:AMY458802 AWT458800:AWU458802 BGP458800:BGQ458802 BQL458800:BQM458802 CAH458800:CAI458802 CKD458800:CKE458802 CTZ458800:CUA458802 DDV458800:DDW458802 DNR458800:DNS458802 DXN458800:DXO458802 EHJ458800:EHK458802 ERF458800:ERG458802 FBB458800:FBC458802 FKX458800:FKY458802 FUT458800:FUU458802 GEP458800:GEQ458802 GOL458800:GOM458802 GYH458800:GYI458802 HID458800:HIE458802 HRZ458800:HSA458802 IBV458800:IBW458802 ILR458800:ILS458802 IVN458800:IVO458802 JFJ458800:JFK458802 JPF458800:JPG458802 JZB458800:JZC458802 KIX458800:KIY458802 KST458800:KSU458802 LCP458800:LCQ458802 LML458800:LMM458802 LWH458800:LWI458802 MGD458800:MGE458802 MPZ458800:MQA458802 MZV458800:MZW458802 NJR458800:NJS458802 NTN458800:NTO458802 ODJ458800:ODK458802 ONF458800:ONG458802 OXB458800:OXC458802 PGX458800:PGY458802 PQT458800:PQU458802 QAP458800:QAQ458802 QKL458800:QKM458802 QUH458800:QUI458802 RED458800:REE458802 RNZ458800:ROA458802 RXV458800:RXW458802 SHR458800:SHS458802 SRN458800:SRO458802 TBJ458800:TBK458802 TLF458800:TLG458802 TVB458800:TVC458802 UEX458800:UEY458802 UOT458800:UOU458802 UYP458800:UYQ458802 VIL458800:VIM458802 VSH458800:VSI458802 WCD458800:WCE458802 WLZ458800:WMA458802 WVV458800:WVW458802 N524336:O524338 JJ524336:JK524338 TF524336:TG524338 ADB524336:ADC524338 AMX524336:AMY524338 AWT524336:AWU524338 BGP524336:BGQ524338 BQL524336:BQM524338 CAH524336:CAI524338 CKD524336:CKE524338 CTZ524336:CUA524338 DDV524336:DDW524338 DNR524336:DNS524338 DXN524336:DXO524338 EHJ524336:EHK524338 ERF524336:ERG524338 FBB524336:FBC524338 FKX524336:FKY524338 FUT524336:FUU524338 GEP524336:GEQ524338 GOL524336:GOM524338 GYH524336:GYI524338 HID524336:HIE524338 HRZ524336:HSA524338 IBV524336:IBW524338 ILR524336:ILS524338 IVN524336:IVO524338 JFJ524336:JFK524338 JPF524336:JPG524338 JZB524336:JZC524338 KIX524336:KIY524338 KST524336:KSU524338 LCP524336:LCQ524338 LML524336:LMM524338 LWH524336:LWI524338 MGD524336:MGE524338 MPZ524336:MQA524338 MZV524336:MZW524338 NJR524336:NJS524338 NTN524336:NTO524338 ODJ524336:ODK524338 ONF524336:ONG524338 OXB524336:OXC524338 PGX524336:PGY524338 PQT524336:PQU524338 QAP524336:QAQ524338 QKL524336:QKM524338 QUH524336:QUI524338 RED524336:REE524338 RNZ524336:ROA524338 RXV524336:RXW524338 SHR524336:SHS524338 SRN524336:SRO524338 TBJ524336:TBK524338 TLF524336:TLG524338 TVB524336:TVC524338 UEX524336:UEY524338 UOT524336:UOU524338 UYP524336:UYQ524338 VIL524336:VIM524338 VSH524336:VSI524338 WCD524336:WCE524338 WLZ524336:WMA524338 WVV524336:WVW524338 N589872:O589874 JJ589872:JK589874 TF589872:TG589874 ADB589872:ADC589874 AMX589872:AMY589874 AWT589872:AWU589874 BGP589872:BGQ589874 BQL589872:BQM589874 CAH589872:CAI589874 CKD589872:CKE589874 CTZ589872:CUA589874 DDV589872:DDW589874 DNR589872:DNS589874 DXN589872:DXO589874 EHJ589872:EHK589874 ERF589872:ERG589874 FBB589872:FBC589874 FKX589872:FKY589874 FUT589872:FUU589874 GEP589872:GEQ589874 GOL589872:GOM589874 GYH589872:GYI589874 HID589872:HIE589874 HRZ589872:HSA589874 IBV589872:IBW589874 ILR589872:ILS589874 IVN589872:IVO589874 JFJ589872:JFK589874 JPF589872:JPG589874 JZB589872:JZC589874 KIX589872:KIY589874 KST589872:KSU589874 LCP589872:LCQ589874 LML589872:LMM589874 LWH589872:LWI589874 MGD589872:MGE589874 MPZ589872:MQA589874 MZV589872:MZW589874 NJR589872:NJS589874 NTN589872:NTO589874 ODJ589872:ODK589874 ONF589872:ONG589874 OXB589872:OXC589874 PGX589872:PGY589874 PQT589872:PQU589874 QAP589872:QAQ589874 QKL589872:QKM589874 QUH589872:QUI589874 RED589872:REE589874 RNZ589872:ROA589874 RXV589872:RXW589874 SHR589872:SHS589874 SRN589872:SRO589874 TBJ589872:TBK589874 TLF589872:TLG589874 TVB589872:TVC589874 UEX589872:UEY589874 UOT589872:UOU589874 UYP589872:UYQ589874 VIL589872:VIM589874 VSH589872:VSI589874 WCD589872:WCE589874 WLZ589872:WMA589874 WVV589872:WVW589874 N655408:O655410 JJ655408:JK655410 TF655408:TG655410 ADB655408:ADC655410 AMX655408:AMY655410 AWT655408:AWU655410 BGP655408:BGQ655410 BQL655408:BQM655410 CAH655408:CAI655410 CKD655408:CKE655410 CTZ655408:CUA655410 DDV655408:DDW655410 DNR655408:DNS655410 DXN655408:DXO655410 EHJ655408:EHK655410 ERF655408:ERG655410 FBB655408:FBC655410 FKX655408:FKY655410 FUT655408:FUU655410 GEP655408:GEQ655410 GOL655408:GOM655410 GYH655408:GYI655410 HID655408:HIE655410 HRZ655408:HSA655410 IBV655408:IBW655410 ILR655408:ILS655410 IVN655408:IVO655410 JFJ655408:JFK655410 JPF655408:JPG655410 JZB655408:JZC655410 KIX655408:KIY655410 KST655408:KSU655410 LCP655408:LCQ655410 LML655408:LMM655410 LWH655408:LWI655410 MGD655408:MGE655410 MPZ655408:MQA655410 MZV655408:MZW655410 NJR655408:NJS655410 NTN655408:NTO655410 ODJ655408:ODK655410 ONF655408:ONG655410 OXB655408:OXC655410 PGX655408:PGY655410 PQT655408:PQU655410 QAP655408:QAQ655410 QKL655408:QKM655410 QUH655408:QUI655410 RED655408:REE655410 RNZ655408:ROA655410 RXV655408:RXW655410 SHR655408:SHS655410 SRN655408:SRO655410 TBJ655408:TBK655410 TLF655408:TLG655410 TVB655408:TVC655410 UEX655408:UEY655410 UOT655408:UOU655410 UYP655408:UYQ655410 VIL655408:VIM655410 VSH655408:VSI655410 WCD655408:WCE655410 WLZ655408:WMA655410 WVV655408:WVW655410 N720944:O720946 JJ720944:JK720946 TF720944:TG720946 ADB720944:ADC720946 AMX720944:AMY720946 AWT720944:AWU720946 BGP720944:BGQ720946 BQL720944:BQM720946 CAH720944:CAI720946 CKD720944:CKE720946 CTZ720944:CUA720946 DDV720944:DDW720946 DNR720944:DNS720946 DXN720944:DXO720946 EHJ720944:EHK720946 ERF720944:ERG720946 FBB720944:FBC720946 FKX720944:FKY720946 FUT720944:FUU720946 GEP720944:GEQ720946 GOL720944:GOM720946 GYH720944:GYI720946 HID720944:HIE720946 HRZ720944:HSA720946 IBV720944:IBW720946 ILR720944:ILS720946 IVN720944:IVO720946 JFJ720944:JFK720946 JPF720944:JPG720946 JZB720944:JZC720946 KIX720944:KIY720946 KST720944:KSU720946 LCP720944:LCQ720946 LML720944:LMM720946 LWH720944:LWI720946 MGD720944:MGE720946 MPZ720944:MQA720946 MZV720944:MZW720946 NJR720944:NJS720946 NTN720944:NTO720946 ODJ720944:ODK720946 ONF720944:ONG720946 OXB720944:OXC720946 PGX720944:PGY720946 PQT720944:PQU720946 QAP720944:QAQ720946 QKL720944:QKM720946 QUH720944:QUI720946 RED720944:REE720946 RNZ720944:ROA720946 RXV720944:RXW720946 SHR720944:SHS720946 SRN720944:SRO720946 TBJ720944:TBK720946 TLF720944:TLG720946 TVB720944:TVC720946 UEX720944:UEY720946 UOT720944:UOU720946 UYP720944:UYQ720946 VIL720944:VIM720946 VSH720944:VSI720946 WCD720944:WCE720946 WLZ720944:WMA720946 WVV720944:WVW720946 N786480:O786482 JJ786480:JK786482 TF786480:TG786482 ADB786480:ADC786482 AMX786480:AMY786482 AWT786480:AWU786482 BGP786480:BGQ786482 BQL786480:BQM786482 CAH786480:CAI786482 CKD786480:CKE786482 CTZ786480:CUA786482 DDV786480:DDW786482 DNR786480:DNS786482 DXN786480:DXO786482 EHJ786480:EHK786482 ERF786480:ERG786482 FBB786480:FBC786482 FKX786480:FKY786482 FUT786480:FUU786482 GEP786480:GEQ786482 GOL786480:GOM786482 GYH786480:GYI786482 HID786480:HIE786482 HRZ786480:HSA786482 IBV786480:IBW786482 ILR786480:ILS786482 IVN786480:IVO786482 JFJ786480:JFK786482 JPF786480:JPG786482 JZB786480:JZC786482 KIX786480:KIY786482 KST786480:KSU786482 LCP786480:LCQ786482 LML786480:LMM786482 LWH786480:LWI786482 MGD786480:MGE786482 MPZ786480:MQA786482 MZV786480:MZW786482 NJR786480:NJS786482 NTN786480:NTO786482 ODJ786480:ODK786482 ONF786480:ONG786482 OXB786480:OXC786482 PGX786480:PGY786482 PQT786480:PQU786482 QAP786480:QAQ786482 QKL786480:QKM786482 QUH786480:QUI786482 RED786480:REE786482 RNZ786480:ROA786482 RXV786480:RXW786482 SHR786480:SHS786482 SRN786480:SRO786482 TBJ786480:TBK786482 TLF786480:TLG786482 TVB786480:TVC786482 UEX786480:UEY786482 UOT786480:UOU786482 UYP786480:UYQ786482 VIL786480:VIM786482 VSH786480:VSI786482 WCD786480:WCE786482 WLZ786480:WMA786482 WVV786480:WVW786482 N852016:O852018 JJ852016:JK852018 TF852016:TG852018 ADB852016:ADC852018 AMX852016:AMY852018 AWT852016:AWU852018 BGP852016:BGQ852018 BQL852016:BQM852018 CAH852016:CAI852018 CKD852016:CKE852018 CTZ852016:CUA852018 DDV852016:DDW852018 DNR852016:DNS852018 DXN852016:DXO852018 EHJ852016:EHK852018 ERF852016:ERG852018 FBB852016:FBC852018 FKX852016:FKY852018 FUT852016:FUU852018 GEP852016:GEQ852018 GOL852016:GOM852018 GYH852016:GYI852018 HID852016:HIE852018 HRZ852016:HSA852018 IBV852016:IBW852018 ILR852016:ILS852018 IVN852016:IVO852018 JFJ852016:JFK852018 JPF852016:JPG852018 JZB852016:JZC852018 KIX852016:KIY852018 KST852016:KSU852018 LCP852016:LCQ852018 LML852016:LMM852018 LWH852016:LWI852018 MGD852016:MGE852018 MPZ852016:MQA852018 MZV852016:MZW852018 NJR852016:NJS852018 NTN852016:NTO852018 ODJ852016:ODK852018 ONF852016:ONG852018 OXB852016:OXC852018 PGX852016:PGY852018 PQT852016:PQU852018 QAP852016:QAQ852018 QKL852016:QKM852018 QUH852016:QUI852018 RED852016:REE852018 RNZ852016:ROA852018 RXV852016:RXW852018 SHR852016:SHS852018 SRN852016:SRO852018 TBJ852016:TBK852018 TLF852016:TLG852018 TVB852016:TVC852018 UEX852016:UEY852018 UOT852016:UOU852018 UYP852016:UYQ852018 VIL852016:VIM852018 VSH852016:VSI852018 WCD852016:WCE852018 WLZ852016:WMA852018 WVV852016:WVW852018 N917552:O917554 JJ917552:JK917554 TF917552:TG917554 ADB917552:ADC917554 AMX917552:AMY917554 AWT917552:AWU917554 BGP917552:BGQ917554 BQL917552:BQM917554 CAH917552:CAI917554 CKD917552:CKE917554 CTZ917552:CUA917554 DDV917552:DDW917554 DNR917552:DNS917554 DXN917552:DXO917554 EHJ917552:EHK917554 ERF917552:ERG917554 FBB917552:FBC917554 FKX917552:FKY917554 FUT917552:FUU917554 GEP917552:GEQ917554 GOL917552:GOM917554 GYH917552:GYI917554 HID917552:HIE917554 HRZ917552:HSA917554 IBV917552:IBW917554 ILR917552:ILS917554 IVN917552:IVO917554 JFJ917552:JFK917554 JPF917552:JPG917554 JZB917552:JZC917554 KIX917552:KIY917554 KST917552:KSU917554 LCP917552:LCQ917554 LML917552:LMM917554 LWH917552:LWI917554 MGD917552:MGE917554 MPZ917552:MQA917554 MZV917552:MZW917554 NJR917552:NJS917554 NTN917552:NTO917554 ODJ917552:ODK917554 ONF917552:ONG917554 OXB917552:OXC917554 PGX917552:PGY917554 PQT917552:PQU917554 QAP917552:QAQ917554 QKL917552:QKM917554 QUH917552:QUI917554 RED917552:REE917554 RNZ917552:ROA917554 RXV917552:RXW917554 SHR917552:SHS917554 SRN917552:SRO917554 TBJ917552:TBK917554 TLF917552:TLG917554 TVB917552:TVC917554 UEX917552:UEY917554 UOT917552:UOU917554 UYP917552:UYQ917554 VIL917552:VIM917554 VSH917552:VSI917554 WCD917552:WCE917554 WLZ917552:WMA917554 WVV917552:WVW917554 N983088:O983090 JJ983088:JK983090 TF983088:TG983090 ADB983088:ADC983090 AMX983088:AMY983090 AWT983088:AWU983090 BGP983088:BGQ983090 BQL983088:BQM983090 CAH983088:CAI983090 CKD983088:CKE983090 CTZ983088:CUA983090 DDV983088:DDW983090 DNR983088:DNS983090 DXN983088:DXO983090 EHJ983088:EHK983090 ERF983088:ERG983090 FBB983088:FBC983090 FKX983088:FKY983090 FUT983088:FUU983090 GEP983088:GEQ983090 GOL983088:GOM983090 GYH983088:GYI983090 HID983088:HIE983090 HRZ983088:HSA983090 IBV983088:IBW983090 ILR983088:ILS983090 IVN983088:IVO983090 JFJ983088:JFK983090 JPF983088:JPG983090 JZB983088:JZC983090 KIX983088:KIY983090 KST983088:KSU983090 LCP983088:LCQ983090 LML983088:LMM983090 LWH983088:LWI983090 MGD983088:MGE983090 MPZ983088:MQA983090 MZV983088:MZW983090 NJR983088:NJS983090 NTN983088:NTO983090 ODJ983088:ODK983090 ONF983088:ONG983090 OXB983088:OXC983090 PGX983088:PGY983090 PQT983088:PQU983090 QAP983088:QAQ983090 QKL983088:QKM983090 QUH983088:QUI983090 RED983088:REE983090 RNZ983088:ROA983090 RXV983088:RXW983090 SHR983088:SHS983090 SRN983088:SRO983090 TBJ983088:TBK983090 TLF983088:TLG983090 TVB983088:TVC983090 UEX983088:UEY983090 UOT983088:UOU983090 UYP983088:UYQ983090 VIL983088:VIM983090 VSH983088:VSI983090 WCD983088:WCE983090 WLZ983088:WMA983090 WVV983088:WVW983090 N52:O55 JJ52:JK55 TF52:TG55 ADB52:ADC55 AMX52:AMY55 AWT52:AWU55 BGP52:BGQ55 BQL52:BQM55 CAH52:CAI55 CKD52:CKE55 CTZ52:CUA55 DDV52:DDW55 DNR52:DNS55 DXN52:DXO55 EHJ52:EHK55 ERF52:ERG55 FBB52:FBC55 FKX52:FKY55 FUT52:FUU55 GEP52:GEQ55 GOL52:GOM55 GYH52:GYI55 HID52:HIE55 HRZ52:HSA55 IBV52:IBW55 ILR52:ILS55 IVN52:IVO55 JFJ52:JFK55 JPF52:JPG55 JZB52:JZC55 KIX52:KIY55 KST52:KSU55 LCP52:LCQ55 LML52:LMM55 LWH52:LWI55 MGD52:MGE55 MPZ52:MQA55 MZV52:MZW55 NJR52:NJS55 NTN52:NTO55 ODJ52:ODK55 ONF52:ONG55 OXB52:OXC55 PGX52:PGY55 PQT52:PQU55 QAP52:QAQ55 QKL52:QKM55 QUH52:QUI55 RED52:REE55 RNZ52:ROA55 RXV52:RXW55 SHR52:SHS55 SRN52:SRO55 TBJ52:TBK55 TLF52:TLG55 TVB52:TVC55 UEX52:UEY55 UOT52:UOU55 UYP52:UYQ55 VIL52:VIM55 VSH52:VSI55 WCD52:WCE55 WLZ52:WMA55 WVV52:WVW55 N65588:O65591 JJ65588:JK65591 TF65588:TG65591 ADB65588:ADC65591 AMX65588:AMY65591 AWT65588:AWU65591 BGP65588:BGQ65591 BQL65588:BQM65591 CAH65588:CAI65591 CKD65588:CKE65591 CTZ65588:CUA65591 DDV65588:DDW65591 DNR65588:DNS65591 DXN65588:DXO65591 EHJ65588:EHK65591 ERF65588:ERG65591 FBB65588:FBC65591 FKX65588:FKY65591 FUT65588:FUU65591 GEP65588:GEQ65591 GOL65588:GOM65591 GYH65588:GYI65591 HID65588:HIE65591 HRZ65588:HSA65591 IBV65588:IBW65591 ILR65588:ILS65591 IVN65588:IVO65591 JFJ65588:JFK65591 JPF65588:JPG65591 JZB65588:JZC65591 KIX65588:KIY65591 KST65588:KSU65591 LCP65588:LCQ65591 LML65588:LMM65591 LWH65588:LWI65591 MGD65588:MGE65591 MPZ65588:MQA65591 MZV65588:MZW65591 NJR65588:NJS65591 NTN65588:NTO65591 ODJ65588:ODK65591 ONF65588:ONG65591 OXB65588:OXC65591 PGX65588:PGY65591 PQT65588:PQU65591 QAP65588:QAQ65591 QKL65588:QKM65591 QUH65588:QUI65591 RED65588:REE65591 RNZ65588:ROA65591 RXV65588:RXW65591 SHR65588:SHS65591 SRN65588:SRO65591 TBJ65588:TBK65591 TLF65588:TLG65591 TVB65588:TVC65591 UEX65588:UEY65591 UOT65588:UOU65591 UYP65588:UYQ65591 VIL65588:VIM65591 VSH65588:VSI65591 WCD65588:WCE65591 WLZ65588:WMA65591 WVV65588:WVW65591 N131124:O131127 JJ131124:JK131127 TF131124:TG131127 ADB131124:ADC131127 AMX131124:AMY131127 AWT131124:AWU131127 BGP131124:BGQ131127 BQL131124:BQM131127 CAH131124:CAI131127 CKD131124:CKE131127 CTZ131124:CUA131127 DDV131124:DDW131127 DNR131124:DNS131127 DXN131124:DXO131127 EHJ131124:EHK131127 ERF131124:ERG131127 FBB131124:FBC131127 FKX131124:FKY131127 FUT131124:FUU131127 GEP131124:GEQ131127 GOL131124:GOM131127 GYH131124:GYI131127 HID131124:HIE131127 HRZ131124:HSA131127 IBV131124:IBW131127 ILR131124:ILS131127 IVN131124:IVO131127 JFJ131124:JFK131127 JPF131124:JPG131127 JZB131124:JZC131127 KIX131124:KIY131127 KST131124:KSU131127 LCP131124:LCQ131127 LML131124:LMM131127 LWH131124:LWI131127 MGD131124:MGE131127 MPZ131124:MQA131127 MZV131124:MZW131127 NJR131124:NJS131127 NTN131124:NTO131127 ODJ131124:ODK131127 ONF131124:ONG131127 OXB131124:OXC131127 PGX131124:PGY131127 PQT131124:PQU131127 QAP131124:QAQ131127 QKL131124:QKM131127 QUH131124:QUI131127 RED131124:REE131127 RNZ131124:ROA131127 RXV131124:RXW131127 SHR131124:SHS131127 SRN131124:SRO131127 TBJ131124:TBK131127 TLF131124:TLG131127 TVB131124:TVC131127 UEX131124:UEY131127 UOT131124:UOU131127 UYP131124:UYQ131127 VIL131124:VIM131127 VSH131124:VSI131127 WCD131124:WCE131127 WLZ131124:WMA131127 WVV131124:WVW131127 N196660:O196663 JJ196660:JK196663 TF196660:TG196663 ADB196660:ADC196663 AMX196660:AMY196663 AWT196660:AWU196663 BGP196660:BGQ196663 BQL196660:BQM196663 CAH196660:CAI196663 CKD196660:CKE196663 CTZ196660:CUA196663 DDV196660:DDW196663 DNR196660:DNS196663 DXN196660:DXO196663 EHJ196660:EHK196663 ERF196660:ERG196663 FBB196660:FBC196663 FKX196660:FKY196663 FUT196660:FUU196663 GEP196660:GEQ196663 GOL196660:GOM196663 GYH196660:GYI196663 HID196660:HIE196663 HRZ196660:HSA196663 IBV196660:IBW196663 ILR196660:ILS196663 IVN196660:IVO196663 JFJ196660:JFK196663 JPF196660:JPG196663 JZB196660:JZC196663 KIX196660:KIY196663 KST196660:KSU196663 LCP196660:LCQ196663 LML196660:LMM196663 LWH196660:LWI196663 MGD196660:MGE196663 MPZ196660:MQA196663 MZV196660:MZW196663 NJR196660:NJS196663 NTN196660:NTO196663 ODJ196660:ODK196663 ONF196660:ONG196663 OXB196660:OXC196663 PGX196660:PGY196663 PQT196660:PQU196663 QAP196660:QAQ196663 QKL196660:QKM196663 QUH196660:QUI196663 RED196660:REE196663 RNZ196660:ROA196663 RXV196660:RXW196663 SHR196660:SHS196663 SRN196660:SRO196663 TBJ196660:TBK196663 TLF196660:TLG196663 TVB196660:TVC196663 UEX196660:UEY196663 UOT196660:UOU196663 UYP196660:UYQ196663 VIL196660:VIM196663 VSH196660:VSI196663 WCD196660:WCE196663 WLZ196660:WMA196663 WVV196660:WVW196663 N262196:O262199 JJ262196:JK262199 TF262196:TG262199 ADB262196:ADC262199 AMX262196:AMY262199 AWT262196:AWU262199 BGP262196:BGQ262199 BQL262196:BQM262199 CAH262196:CAI262199 CKD262196:CKE262199 CTZ262196:CUA262199 DDV262196:DDW262199 DNR262196:DNS262199 DXN262196:DXO262199 EHJ262196:EHK262199 ERF262196:ERG262199 FBB262196:FBC262199 FKX262196:FKY262199 FUT262196:FUU262199 GEP262196:GEQ262199 GOL262196:GOM262199 GYH262196:GYI262199 HID262196:HIE262199 HRZ262196:HSA262199 IBV262196:IBW262199 ILR262196:ILS262199 IVN262196:IVO262199 JFJ262196:JFK262199 JPF262196:JPG262199 JZB262196:JZC262199 KIX262196:KIY262199 KST262196:KSU262199 LCP262196:LCQ262199 LML262196:LMM262199 LWH262196:LWI262199 MGD262196:MGE262199 MPZ262196:MQA262199 MZV262196:MZW262199 NJR262196:NJS262199 NTN262196:NTO262199 ODJ262196:ODK262199 ONF262196:ONG262199 OXB262196:OXC262199 PGX262196:PGY262199 PQT262196:PQU262199 QAP262196:QAQ262199 QKL262196:QKM262199 QUH262196:QUI262199 RED262196:REE262199 RNZ262196:ROA262199 RXV262196:RXW262199 SHR262196:SHS262199 SRN262196:SRO262199 TBJ262196:TBK262199 TLF262196:TLG262199 TVB262196:TVC262199 UEX262196:UEY262199 UOT262196:UOU262199 UYP262196:UYQ262199 VIL262196:VIM262199 VSH262196:VSI262199 WCD262196:WCE262199 WLZ262196:WMA262199 WVV262196:WVW262199 N327732:O327735 JJ327732:JK327735 TF327732:TG327735 ADB327732:ADC327735 AMX327732:AMY327735 AWT327732:AWU327735 BGP327732:BGQ327735 BQL327732:BQM327735 CAH327732:CAI327735 CKD327732:CKE327735 CTZ327732:CUA327735 DDV327732:DDW327735 DNR327732:DNS327735 DXN327732:DXO327735 EHJ327732:EHK327735 ERF327732:ERG327735 FBB327732:FBC327735 FKX327732:FKY327735 FUT327732:FUU327735 GEP327732:GEQ327735 GOL327732:GOM327735 GYH327732:GYI327735 HID327732:HIE327735 HRZ327732:HSA327735 IBV327732:IBW327735 ILR327732:ILS327735 IVN327732:IVO327735 JFJ327732:JFK327735 JPF327732:JPG327735 JZB327732:JZC327735 KIX327732:KIY327735 KST327732:KSU327735 LCP327732:LCQ327735 LML327732:LMM327735 LWH327732:LWI327735 MGD327732:MGE327735 MPZ327732:MQA327735 MZV327732:MZW327735 NJR327732:NJS327735 NTN327732:NTO327735 ODJ327732:ODK327735 ONF327732:ONG327735 OXB327732:OXC327735 PGX327732:PGY327735 PQT327732:PQU327735 QAP327732:QAQ327735 QKL327732:QKM327735 QUH327732:QUI327735 RED327732:REE327735 RNZ327732:ROA327735 RXV327732:RXW327735 SHR327732:SHS327735 SRN327732:SRO327735 TBJ327732:TBK327735 TLF327732:TLG327735 TVB327732:TVC327735 UEX327732:UEY327735 UOT327732:UOU327735 UYP327732:UYQ327735 VIL327732:VIM327735 VSH327732:VSI327735 WCD327732:WCE327735 WLZ327732:WMA327735 WVV327732:WVW327735 N393268:O393271 JJ393268:JK393271 TF393268:TG393271 ADB393268:ADC393271 AMX393268:AMY393271 AWT393268:AWU393271 BGP393268:BGQ393271 BQL393268:BQM393271 CAH393268:CAI393271 CKD393268:CKE393271 CTZ393268:CUA393271 DDV393268:DDW393271 DNR393268:DNS393271 DXN393268:DXO393271 EHJ393268:EHK393271 ERF393268:ERG393271 FBB393268:FBC393271 FKX393268:FKY393271 FUT393268:FUU393271 GEP393268:GEQ393271 GOL393268:GOM393271 GYH393268:GYI393271 HID393268:HIE393271 HRZ393268:HSA393271 IBV393268:IBW393271 ILR393268:ILS393271 IVN393268:IVO393271 JFJ393268:JFK393271 JPF393268:JPG393271 JZB393268:JZC393271 KIX393268:KIY393271 KST393268:KSU393271 LCP393268:LCQ393271 LML393268:LMM393271 LWH393268:LWI393271 MGD393268:MGE393271 MPZ393268:MQA393271 MZV393268:MZW393271 NJR393268:NJS393271 NTN393268:NTO393271 ODJ393268:ODK393271 ONF393268:ONG393271 OXB393268:OXC393271 PGX393268:PGY393271 PQT393268:PQU393271 QAP393268:QAQ393271 QKL393268:QKM393271 QUH393268:QUI393271 RED393268:REE393271 RNZ393268:ROA393271 RXV393268:RXW393271 SHR393268:SHS393271 SRN393268:SRO393271 TBJ393268:TBK393271 TLF393268:TLG393271 TVB393268:TVC393271 UEX393268:UEY393271 UOT393268:UOU393271 UYP393268:UYQ393271 VIL393268:VIM393271 VSH393268:VSI393271 WCD393268:WCE393271 WLZ393268:WMA393271 WVV393268:WVW393271 N458804:O458807 JJ458804:JK458807 TF458804:TG458807 ADB458804:ADC458807 AMX458804:AMY458807 AWT458804:AWU458807 BGP458804:BGQ458807 BQL458804:BQM458807 CAH458804:CAI458807 CKD458804:CKE458807 CTZ458804:CUA458807 DDV458804:DDW458807 DNR458804:DNS458807 DXN458804:DXO458807 EHJ458804:EHK458807 ERF458804:ERG458807 FBB458804:FBC458807 FKX458804:FKY458807 FUT458804:FUU458807 GEP458804:GEQ458807 GOL458804:GOM458807 GYH458804:GYI458807 HID458804:HIE458807 HRZ458804:HSA458807 IBV458804:IBW458807 ILR458804:ILS458807 IVN458804:IVO458807 JFJ458804:JFK458807 JPF458804:JPG458807 JZB458804:JZC458807 KIX458804:KIY458807 KST458804:KSU458807 LCP458804:LCQ458807 LML458804:LMM458807 LWH458804:LWI458807 MGD458804:MGE458807 MPZ458804:MQA458807 MZV458804:MZW458807 NJR458804:NJS458807 NTN458804:NTO458807 ODJ458804:ODK458807 ONF458804:ONG458807 OXB458804:OXC458807 PGX458804:PGY458807 PQT458804:PQU458807 QAP458804:QAQ458807 QKL458804:QKM458807 QUH458804:QUI458807 RED458804:REE458807 RNZ458804:ROA458807 RXV458804:RXW458807 SHR458804:SHS458807 SRN458804:SRO458807 TBJ458804:TBK458807 TLF458804:TLG458807 TVB458804:TVC458807 UEX458804:UEY458807 UOT458804:UOU458807 UYP458804:UYQ458807 VIL458804:VIM458807 VSH458804:VSI458807 WCD458804:WCE458807 WLZ458804:WMA458807 WVV458804:WVW458807 N524340:O524343 JJ524340:JK524343 TF524340:TG524343 ADB524340:ADC524343 AMX524340:AMY524343 AWT524340:AWU524343 BGP524340:BGQ524343 BQL524340:BQM524343 CAH524340:CAI524343 CKD524340:CKE524343 CTZ524340:CUA524343 DDV524340:DDW524343 DNR524340:DNS524343 DXN524340:DXO524343 EHJ524340:EHK524343 ERF524340:ERG524343 FBB524340:FBC524343 FKX524340:FKY524343 FUT524340:FUU524343 GEP524340:GEQ524343 GOL524340:GOM524343 GYH524340:GYI524343 HID524340:HIE524343 HRZ524340:HSA524343 IBV524340:IBW524343 ILR524340:ILS524343 IVN524340:IVO524343 JFJ524340:JFK524343 JPF524340:JPG524343 JZB524340:JZC524343 KIX524340:KIY524343 KST524340:KSU524343 LCP524340:LCQ524343 LML524340:LMM524343 LWH524340:LWI524343 MGD524340:MGE524343 MPZ524340:MQA524343 MZV524340:MZW524343 NJR524340:NJS524343 NTN524340:NTO524343 ODJ524340:ODK524343 ONF524340:ONG524343 OXB524340:OXC524343 PGX524340:PGY524343 PQT524340:PQU524343 QAP524340:QAQ524343 QKL524340:QKM524343 QUH524340:QUI524343 RED524340:REE524343 RNZ524340:ROA524343 RXV524340:RXW524343 SHR524340:SHS524343 SRN524340:SRO524343 TBJ524340:TBK524343 TLF524340:TLG524343 TVB524340:TVC524343 UEX524340:UEY524343 UOT524340:UOU524343 UYP524340:UYQ524343 VIL524340:VIM524343 VSH524340:VSI524343 WCD524340:WCE524343 WLZ524340:WMA524343 WVV524340:WVW524343 N589876:O589879 JJ589876:JK589879 TF589876:TG589879 ADB589876:ADC589879 AMX589876:AMY589879 AWT589876:AWU589879 BGP589876:BGQ589879 BQL589876:BQM589879 CAH589876:CAI589879 CKD589876:CKE589879 CTZ589876:CUA589879 DDV589876:DDW589879 DNR589876:DNS589879 DXN589876:DXO589879 EHJ589876:EHK589879 ERF589876:ERG589879 FBB589876:FBC589879 FKX589876:FKY589879 FUT589876:FUU589879 GEP589876:GEQ589879 GOL589876:GOM589879 GYH589876:GYI589879 HID589876:HIE589879 HRZ589876:HSA589879 IBV589876:IBW589879 ILR589876:ILS589879 IVN589876:IVO589879 JFJ589876:JFK589879 JPF589876:JPG589879 JZB589876:JZC589879 KIX589876:KIY589879 KST589876:KSU589879 LCP589876:LCQ589879 LML589876:LMM589879 LWH589876:LWI589879 MGD589876:MGE589879 MPZ589876:MQA589879 MZV589876:MZW589879 NJR589876:NJS589879 NTN589876:NTO589879 ODJ589876:ODK589879 ONF589876:ONG589879 OXB589876:OXC589879 PGX589876:PGY589879 PQT589876:PQU589879 QAP589876:QAQ589879 QKL589876:QKM589879 QUH589876:QUI589879 RED589876:REE589879 RNZ589876:ROA589879 RXV589876:RXW589879 SHR589876:SHS589879 SRN589876:SRO589879 TBJ589876:TBK589879 TLF589876:TLG589879 TVB589876:TVC589879 UEX589876:UEY589879 UOT589876:UOU589879 UYP589876:UYQ589879 VIL589876:VIM589879 VSH589876:VSI589879 WCD589876:WCE589879 WLZ589876:WMA589879 WVV589876:WVW589879 N655412:O655415 JJ655412:JK655415 TF655412:TG655415 ADB655412:ADC655415 AMX655412:AMY655415 AWT655412:AWU655415 BGP655412:BGQ655415 BQL655412:BQM655415 CAH655412:CAI655415 CKD655412:CKE655415 CTZ655412:CUA655415 DDV655412:DDW655415 DNR655412:DNS655415 DXN655412:DXO655415 EHJ655412:EHK655415 ERF655412:ERG655415 FBB655412:FBC655415 FKX655412:FKY655415 FUT655412:FUU655415 GEP655412:GEQ655415 GOL655412:GOM655415 GYH655412:GYI655415 HID655412:HIE655415 HRZ655412:HSA655415 IBV655412:IBW655415 ILR655412:ILS655415 IVN655412:IVO655415 JFJ655412:JFK655415 JPF655412:JPG655415 JZB655412:JZC655415 KIX655412:KIY655415 KST655412:KSU655415 LCP655412:LCQ655415 LML655412:LMM655415 LWH655412:LWI655415 MGD655412:MGE655415 MPZ655412:MQA655415 MZV655412:MZW655415 NJR655412:NJS655415 NTN655412:NTO655415 ODJ655412:ODK655415 ONF655412:ONG655415 OXB655412:OXC655415 PGX655412:PGY655415 PQT655412:PQU655415 QAP655412:QAQ655415 QKL655412:QKM655415 QUH655412:QUI655415 RED655412:REE655415 RNZ655412:ROA655415 RXV655412:RXW655415 SHR655412:SHS655415 SRN655412:SRO655415 TBJ655412:TBK655415 TLF655412:TLG655415 TVB655412:TVC655415 UEX655412:UEY655415 UOT655412:UOU655415 UYP655412:UYQ655415 VIL655412:VIM655415 VSH655412:VSI655415 WCD655412:WCE655415 WLZ655412:WMA655415 WVV655412:WVW655415 N720948:O720951 JJ720948:JK720951 TF720948:TG720951 ADB720948:ADC720951 AMX720948:AMY720951 AWT720948:AWU720951 BGP720948:BGQ720951 BQL720948:BQM720951 CAH720948:CAI720951 CKD720948:CKE720951 CTZ720948:CUA720951 DDV720948:DDW720951 DNR720948:DNS720951 DXN720948:DXO720951 EHJ720948:EHK720951 ERF720948:ERG720951 FBB720948:FBC720951 FKX720948:FKY720951 FUT720948:FUU720951 GEP720948:GEQ720951 GOL720948:GOM720951 GYH720948:GYI720951 HID720948:HIE720951 HRZ720948:HSA720951 IBV720948:IBW720951 ILR720948:ILS720951 IVN720948:IVO720951 JFJ720948:JFK720951 JPF720948:JPG720951 JZB720948:JZC720951 KIX720948:KIY720951 KST720948:KSU720951 LCP720948:LCQ720951 LML720948:LMM720951 LWH720948:LWI720951 MGD720948:MGE720951 MPZ720948:MQA720951 MZV720948:MZW720951 NJR720948:NJS720951 NTN720948:NTO720951 ODJ720948:ODK720951 ONF720948:ONG720951 OXB720948:OXC720951 PGX720948:PGY720951 PQT720948:PQU720951 QAP720948:QAQ720951 QKL720948:QKM720951 QUH720948:QUI720951 RED720948:REE720951 RNZ720948:ROA720951 RXV720948:RXW720951 SHR720948:SHS720951 SRN720948:SRO720951 TBJ720948:TBK720951 TLF720948:TLG720951 TVB720948:TVC720951 UEX720948:UEY720951 UOT720948:UOU720951 UYP720948:UYQ720951 VIL720948:VIM720951 VSH720948:VSI720951 WCD720948:WCE720951 WLZ720948:WMA720951 WVV720948:WVW720951 N786484:O786487 JJ786484:JK786487 TF786484:TG786487 ADB786484:ADC786487 AMX786484:AMY786487 AWT786484:AWU786487 BGP786484:BGQ786487 BQL786484:BQM786487 CAH786484:CAI786487 CKD786484:CKE786487 CTZ786484:CUA786487 DDV786484:DDW786487 DNR786484:DNS786487 DXN786484:DXO786487 EHJ786484:EHK786487 ERF786484:ERG786487 FBB786484:FBC786487 FKX786484:FKY786487 FUT786484:FUU786487 GEP786484:GEQ786487 GOL786484:GOM786487 GYH786484:GYI786487 HID786484:HIE786487 HRZ786484:HSA786487 IBV786484:IBW786487 ILR786484:ILS786487 IVN786484:IVO786487 JFJ786484:JFK786487 JPF786484:JPG786487 JZB786484:JZC786487 KIX786484:KIY786487 KST786484:KSU786487 LCP786484:LCQ786487 LML786484:LMM786487 LWH786484:LWI786487 MGD786484:MGE786487 MPZ786484:MQA786487 MZV786484:MZW786487 NJR786484:NJS786487 NTN786484:NTO786487 ODJ786484:ODK786487 ONF786484:ONG786487 OXB786484:OXC786487 PGX786484:PGY786487 PQT786484:PQU786487 QAP786484:QAQ786487 QKL786484:QKM786487 QUH786484:QUI786487 RED786484:REE786487 RNZ786484:ROA786487 RXV786484:RXW786487 SHR786484:SHS786487 SRN786484:SRO786487 TBJ786484:TBK786487 TLF786484:TLG786487 TVB786484:TVC786487 UEX786484:UEY786487 UOT786484:UOU786487 UYP786484:UYQ786487 VIL786484:VIM786487 VSH786484:VSI786487 WCD786484:WCE786487 WLZ786484:WMA786487 WVV786484:WVW786487 N852020:O852023 JJ852020:JK852023 TF852020:TG852023 ADB852020:ADC852023 AMX852020:AMY852023 AWT852020:AWU852023 BGP852020:BGQ852023 BQL852020:BQM852023 CAH852020:CAI852023 CKD852020:CKE852023 CTZ852020:CUA852023 DDV852020:DDW852023 DNR852020:DNS852023 DXN852020:DXO852023 EHJ852020:EHK852023 ERF852020:ERG852023 FBB852020:FBC852023 FKX852020:FKY852023 FUT852020:FUU852023 GEP852020:GEQ852023 GOL852020:GOM852023 GYH852020:GYI852023 HID852020:HIE852023 HRZ852020:HSA852023 IBV852020:IBW852023 ILR852020:ILS852023 IVN852020:IVO852023 JFJ852020:JFK852023 JPF852020:JPG852023 JZB852020:JZC852023 KIX852020:KIY852023 KST852020:KSU852023 LCP852020:LCQ852023 LML852020:LMM852023 LWH852020:LWI852023 MGD852020:MGE852023 MPZ852020:MQA852023 MZV852020:MZW852023 NJR852020:NJS852023 NTN852020:NTO852023 ODJ852020:ODK852023 ONF852020:ONG852023 OXB852020:OXC852023 PGX852020:PGY852023 PQT852020:PQU852023 QAP852020:QAQ852023 QKL852020:QKM852023 QUH852020:QUI852023 RED852020:REE852023 RNZ852020:ROA852023 RXV852020:RXW852023 SHR852020:SHS852023 SRN852020:SRO852023 TBJ852020:TBK852023 TLF852020:TLG852023 TVB852020:TVC852023 UEX852020:UEY852023 UOT852020:UOU852023 UYP852020:UYQ852023 VIL852020:VIM852023 VSH852020:VSI852023 WCD852020:WCE852023 WLZ852020:WMA852023 WVV852020:WVW852023 N917556:O917559 JJ917556:JK917559 TF917556:TG917559 ADB917556:ADC917559 AMX917556:AMY917559 AWT917556:AWU917559 BGP917556:BGQ917559 BQL917556:BQM917559 CAH917556:CAI917559 CKD917556:CKE917559 CTZ917556:CUA917559 DDV917556:DDW917559 DNR917556:DNS917559 DXN917556:DXO917559 EHJ917556:EHK917559 ERF917556:ERG917559 FBB917556:FBC917559 FKX917556:FKY917559 FUT917556:FUU917559 GEP917556:GEQ917559 GOL917556:GOM917559 GYH917556:GYI917559 HID917556:HIE917559 HRZ917556:HSA917559 IBV917556:IBW917559 ILR917556:ILS917559 IVN917556:IVO917559 JFJ917556:JFK917559 JPF917556:JPG917559 JZB917556:JZC917559 KIX917556:KIY917559 KST917556:KSU917559 LCP917556:LCQ917559 LML917556:LMM917559 LWH917556:LWI917559 MGD917556:MGE917559 MPZ917556:MQA917559 MZV917556:MZW917559 NJR917556:NJS917559 NTN917556:NTO917559 ODJ917556:ODK917559 ONF917556:ONG917559 OXB917556:OXC917559 PGX917556:PGY917559 PQT917556:PQU917559 QAP917556:QAQ917559 QKL917556:QKM917559 QUH917556:QUI917559 RED917556:REE917559 RNZ917556:ROA917559 RXV917556:RXW917559 SHR917556:SHS917559 SRN917556:SRO917559 TBJ917556:TBK917559 TLF917556:TLG917559 TVB917556:TVC917559 UEX917556:UEY917559 UOT917556:UOU917559 UYP917556:UYQ917559 VIL917556:VIM917559 VSH917556:VSI917559 WCD917556:WCE917559 WLZ917556:WMA917559 WVV917556:WVW917559 N983092:O983095 JJ983092:JK983095 TF983092:TG983095 ADB983092:ADC983095 AMX983092:AMY983095 AWT983092:AWU983095 BGP983092:BGQ983095 BQL983092:BQM983095 CAH983092:CAI983095 CKD983092:CKE983095 CTZ983092:CUA983095 DDV983092:DDW983095 DNR983092:DNS983095 DXN983092:DXO983095 EHJ983092:EHK983095 ERF983092:ERG983095 FBB983092:FBC983095 FKX983092:FKY983095 FUT983092:FUU983095 GEP983092:GEQ983095 GOL983092:GOM983095 GYH983092:GYI983095 HID983092:HIE983095 HRZ983092:HSA983095 IBV983092:IBW983095 ILR983092:ILS983095 IVN983092:IVO983095 JFJ983092:JFK983095 JPF983092:JPG983095 JZB983092:JZC983095 KIX983092:KIY983095 KST983092:KSU983095 LCP983092:LCQ983095 LML983092:LMM983095 LWH983092:LWI983095 MGD983092:MGE983095 MPZ983092:MQA983095 MZV983092:MZW983095 NJR983092:NJS983095 NTN983092:NTO983095 ODJ983092:ODK983095 ONF983092:ONG983095 OXB983092:OXC983095 PGX983092:PGY983095 PQT983092:PQU983095 QAP983092:QAQ983095 QKL983092:QKM983095 QUH983092:QUI983095 RED983092:REE983095 RNZ983092:ROA983095 RXV983092:RXW983095 SHR983092:SHS983095 SRN983092:SRO983095 TBJ983092:TBK983095 TLF983092:TLG983095 TVB983092:TVC983095 UEX983092:UEY983095 UOT983092:UOU983095 UYP983092:UYQ983095 VIL983092:VIM983095 VSH983092:VSI983095 WCD983092:WCE983095 WLZ983092:WMA983095 WVV983092:WVW983095 O56:O58 JK56:JK58 TG56:TG58 ADC56:ADC58 AMY56:AMY58 AWU56:AWU58 BGQ56:BGQ58 BQM56:BQM58 CAI56:CAI58 CKE56:CKE58 CUA56:CUA58 DDW56:DDW58 DNS56:DNS58 DXO56:DXO58 EHK56:EHK58 ERG56:ERG58 FBC56:FBC58 FKY56:FKY58 FUU56:FUU58 GEQ56:GEQ58 GOM56:GOM58 GYI56:GYI58 HIE56:HIE58 HSA56:HSA58 IBW56:IBW58 ILS56:ILS58 IVO56:IVO58 JFK56:JFK58 JPG56:JPG58 JZC56:JZC58 KIY56:KIY58 KSU56:KSU58 LCQ56:LCQ58 LMM56:LMM58 LWI56:LWI58 MGE56:MGE58 MQA56:MQA58 MZW56:MZW58 NJS56:NJS58 NTO56:NTO58 ODK56:ODK58 ONG56:ONG58 OXC56:OXC58 PGY56:PGY58 PQU56:PQU58 QAQ56:QAQ58 QKM56:QKM58 QUI56:QUI58 REE56:REE58 ROA56:ROA58 RXW56:RXW58 SHS56:SHS58 SRO56:SRO58 TBK56:TBK58 TLG56:TLG58 TVC56:TVC58 UEY56:UEY58 UOU56:UOU58 UYQ56:UYQ58 VIM56:VIM58 VSI56:VSI58 WCE56:WCE58 WMA56:WMA58 WVW56:WVW58 O65592:O65594 JK65592:JK65594 TG65592:TG65594 ADC65592:ADC65594 AMY65592:AMY65594 AWU65592:AWU65594 BGQ65592:BGQ65594 BQM65592:BQM65594 CAI65592:CAI65594 CKE65592:CKE65594 CUA65592:CUA65594 DDW65592:DDW65594 DNS65592:DNS65594 DXO65592:DXO65594 EHK65592:EHK65594 ERG65592:ERG65594 FBC65592:FBC65594 FKY65592:FKY65594 FUU65592:FUU65594 GEQ65592:GEQ65594 GOM65592:GOM65594 GYI65592:GYI65594 HIE65592:HIE65594 HSA65592:HSA65594 IBW65592:IBW65594 ILS65592:ILS65594 IVO65592:IVO65594 JFK65592:JFK65594 JPG65592:JPG65594 JZC65592:JZC65594 KIY65592:KIY65594 KSU65592:KSU65594 LCQ65592:LCQ65594 LMM65592:LMM65594 LWI65592:LWI65594 MGE65592:MGE65594 MQA65592:MQA65594 MZW65592:MZW65594 NJS65592:NJS65594 NTO65592:NTO65594 ODK65592:ODK65594 ONG65592:ONG65594 OXC65592:OXC65594 PGY65592:PGY65594 PQU65592:PQU65594 QAQ65592:QAQ65594 QKM65592:QKM65594 QUI65592:QUI65594 REE65592:REE65594 ROA65592:ROA65594 RXW65592:RXW65594 SHS65592:SHS65594 SRO65592:SRO65594 TBK65592:TBK65594 TLG65592:TLG65594 TVC65592:TVC65594 UEY65592:UEY65594 UOU65592:UOU65594 UYQ65592:UYQ65594 VIM65592:VIM65594 VSI65592:VSI65594 WCE65592:WCE65594 WMA65592:WMA65594 WVW65592:WVW65594 O131128:O131130 JK131128:JK131130 TG131128:TG131130 ADC131128:ADC131130 AMY131128:AMY131130 AWU131128:AWU131130 BGQ131128:BGQ131130 BQM131128:BQM131130 CAI131128:CAI131130 CKE131128:CKE131130 CUA131128:CUA131130 DDW131128:DDW131130 DNS131128:DNS131130 DXO131128:DXO131130 EHK131128:EHK131130 ERG131128:ERG131130 FBC131128:FBC131130 FKY131128:FKY131130 FUU131128:FUU131130 GEQ131128:GEQ131130 GOM131128:GOM131130 GYI131128:GYI131130 HIE131128:HIE131130 HSA131128:HSA131130 IBW131128:IBW131130 ILS131128:ILS131130 IVO131128:IVO131130 JFK131128:JFK131130 JPG131128:JPG131130 JZC131128:JZC131130 KIY131128:KIY131130 KSU131128:KSU131130 LCQ131128:LCQ131130 LMM131128:LMM131130 LWI131128:LWI131130 MGE131128:MGE131130 MQA131128:MQA131130 MZW131128:MZW131130 NJS131128:NJS131130 NTO131128:NTO131130 ODK131128:ODK131130 ONG131128:ONG131130 OXC131128:OXC131130 PGY131128:PGY131130 PQU131128:PQU131130 QAQ131128:QAQ131130 QKM131128:QKM131130 QUI131128:QUI131130 REE131128:REE131130 ROA131128:ROA131130 RXW131128:RXW131130 SHS131128:SHS131130 SRO131128:SRO131130 TBK131128:TBK131130 TLG131128:TLG131130 TVC131128:TVC131130 UEY131128:UEY131130 UOU131128:UOU131130 UYQ131128:UYQ131130 VIM131128:VIM131130 VSI131128:VSI131130 WCE131128:WCE131130 WMA131128:WMA131130 WVW131128:WVW131130 O196664:O196666 JK196664:JK196666 TG196664:TG196666 ADC196664:ADC196666 AMY196664:AMY196666 AWU196664:AWU196666 BGQ196664:BGQ196666 BQM196664:BQM196666 CAI196664:CAI196666 CKE196664:CKE196666 CUA196664:CUA196666 DDW196664:DDW196666 DNS196664:DNS196666 DXO196664:DXO196666 EHK196664:EHK196666 ERG196664:ERG196666 FBC196664:FBC196666 FKY196664:FKY196666 FUU196664:FUU196666 GEQ196664:GEQ196666 GOM196664:GOM196666 GYI196664:GYI196666 HIE196664:HIE196666 HSA196664:HSA196666 IBW196664:IBW196666 ILS196664:ILS196666 IVO196664:IVO196666 JFK196664:JFK196666 JPG196664:JPG196666 JZC196664:JZC196666 KIY196664:KIY196666 KSU196664:KSU196666 LCQ196664:LCQ196666 LMM196664:LMM196666 LWI196664:LWI196666 MGE196664:MGE196666 MQA196664:MQA196666 MZW196664:MZW196666 NJS196664:NJS196666 NTO196664:NTO196666 ODK196664:ODK196666 ONG196664:ONG196666 OXC196664:OXC196666 PGY196664:PGY196666 PQU196664:PQU196666 QAQ196664:QAQ196666 QKM196664:QKM196666 QUI196664:QUI196666 REE196664:REE196666 ROA196664:ROA196666 RXW196664:RXW196666 SHS196664:SHS196666 SRO196664:SRO196666 TBK196664:TBK196666 TLG196664:TLG196666 TVC196664:TVC196666 UEY196664:UEY196666 UOU196664:UOU196666 UYQ196664:UYQ196666 VIM196664:VIM196666 VSI196664:VSI196666 WCE196664:WCE196666 WMA196664:WMA196666 WVW196664:WVW196666 O262200:O262202 JK262200:JK262202 TG262200:TG262202 ADC262200:ADC262202 AMY262200:AMY262202 AWU262200:AWU262202 BGQ262200:BGQ262202 BQM262200:BQM262202 CAI262200:CAI262202 CKE262200:CKE262202 CUA262200:CUA262202 DDW262200:DDW262202 DNS262200:DNS262202 DXO262200:DXO262202 EHK262200:EHK262202 ERG262200:ERG262202 FBC262200:FBC262202 FKY262200:FKY262202 FUU262200:FUU262202 GEQ262200:GEQ262202 GOM262200:GOM262202 GYI262200:GYI262202 HIE262200:HIE262202 HSA262200:HSA262202 IBW262200:IBW262202 ILS262200:ILS262202 IVO262200:IVO262202 JFK262200:JFK262202 JPG262200:JPG262202 JZC262200:JZC262202 KIY262200:KIY262202 KSU262200:KSU262202 LCQ262200:LCQ262202 LMM262200:LMM262202 LWI262200:LWI262202 MGE262200:MGE262202 MQA262200:MQA262202 MZW262200:MZW262202 NJS262200:NJS262202 NTO262200:NTO262202 ODK262200:ODK262202 ONG262200:ONG262202 OXC262200:OXC262202 PGY262200:PGY262202 PQU262200:PQU262202 QAQ262200:QAQ262202 QKM262200:QKM262202 QUI262200:QUI262202 REE262200:REE262202 ROA262200:ROA262202 RXW262200:RXW262202 SHS262200:SHS262202 SRO262200:SRO262202 TBK262200:TBK262202 TLG262200:TLG262202 TVC262200:TVC262202 UEY262200:UEY262202 UOU262200:UOU262202 UYQ262200:UYQ262202 VIM262200:VIM262202 VSI262200:VSI262202 WCE262200:WCE262202 WMA262200:WMA262202 WVW262200:WVW262202 O327736:O327738 JK327736:JK327738 TG327736:TG327738 ADC327736:ADC327738 AMY327736:AMY327738 AWU327736:AWU327738 BGQ327736:BGQ327738 BQM327736:BQM327738 CAI327736:CAI327738 CKE327736:CKE327738 CUA327736:CUA327738 DDW327736:DDW327738 DNS327736:DNS327738 DXO327736:DXO327738 EHK327736:EHK327738 ERG327736:ERG327738 FBC327736:FBC327738 FKY327736:FKY327738 FUU327736:FUU327738 GEQ327736:GEQ327738 GOM327736:GOM327738 GYI327736:GYI327738 HIE327736:HIE327738 HSA327736:HSA327738 IBW327736:IBW327738 ILS327736:ILS327738 IVO327736:IVO327738 JFK327736:JFK327738 JPG327736:JPG327738 JZC327736:JZC327738 KIY327736:KIY327738 KSU327736:KSU327738 LCQ327736:LCQ327738 LMM327736:LMM327738 LWI327736:LWI327738 MGE327736:MGE327738 MQA327736:MQA327738 MZW327736:MZW327738 NJS327736:NJS327738 NTO327736:NTO327738 ODK327736:ODK327738 ONG327736:ONG327738 OXC327736:OXC327738 PGY327736:PGY327738 PQU327736:PQU327738 QAQ327736:QAQ327738 QKM327736:QKM327738 QUI327736:QUI327738 REE327736:REE327738 ROA327736:ROA327738 RXW327736:RXW327738 SHS327736:SHS327738 SRO327736:SRO327738 TBK327736:TBK327738 TLG327736:TLG327738 TVC327736:TVC327738 UEY327736:UEY327738 UOU327736:UOU327738 UYQ327736:UYQ327738 VIM327736:VIM327738 VSI327736:VSI327738 WCE327736:WCE327738 WMA327736:WMA327738 WVW327736:WVW327738 O393272:O393274 JK393272:JK393274 TG393272:TG393274 ADC393272:ADC393274 AMY393272:AMY393274 AWU393272:AWU393274 BGQ393272:BGQ393274 BQM393272:BQM393274 CAI393272:CAI393274 CKE393272:CKE393274 CUA393272:CUA393274 DDW393272:DDW393274 DNS393272:DNS393274 DXO393272:DXO393274 EHK393272:EHK393274 ERG393272:ERG393274 FBC393272:FBC393274 FKY393272:FKY393274 FUU393272:FUU393274 GEQ393272:GEQ393274 GOM393272:GOM393274 GYI393272:GYI393274 HIE393272:HIE393274 HSA393272:HSA393274 IBW393272:IBW393274 ILS393272:ILS393274 IVO393272:IVO393274 JFK393272:JFK393274 JPG393272:JPG393274 JZC393272:JZC393274 KIY393272:KIY393274 KSU393272:KSU393274 LCQ393272:LCQ393274 LMM393272:LMM393274 LWI393272:LWI393274 MGE393272:MGE393274 MQA393272:MQA393274 MZW393272:MZW393274 NJS393272:NJS393274 NTO393272:NTO393274 ODK393272:ODK393274 ONG393272:ONG393274 OXC393272:OXC393274 PGY393272:PGY393274 PQU393272:PQU393274 QAQ393272:QAQ393274 QKM393272:QKM393274 QUI393272:QUI393274 REE393272:REE393274 ROA393272:ROA393274 RXW393272:RXW393274 SHS393272:SHS393274 SRO393272:SRO393274 TBK393272:TBK393274 TLG393272:TLG393274 TVC393272:TVC393274 UEY393272:UEY393274 UOU393272:UOU393274 UYQ393272:UYQ393274 VIM393272:VIM393274 VSI393272:VSI393274 WCE393272:WCE393274 WMA393272:WMA393274 WVW393272:WVW393274 O458808:O458810 JK458808:JK458810 TG458808:TG458810 ADC458808:ADC458810 AMY458808:AMY458810 AWU458808:AWU458810 BGQ458808:BGQ458810 BQM458808:BQM458810 CAI458808:CAI458810 CKE458808:CKE458810 CUA458808:CUA458810 DDW458808:DDW458810 DNS458808:DNS458810 DXO458808:DXO458810 EHK458808:EHK458810 ERG458808:ERG458810 FBC458808:FBC458810 FKY458808:FKY458810 FUU458808:FUU458810 GEQ458808:GEQ458810 GOM458808:GOM458810 GYI458808:GYI458810 HIE458808:HIE458810 HSA458808:HSA458810 IBW458808:IBW458810 ILS458808:ILS458810 IVO458808:IVO458810 JFK458808:JFK458810 JPG458808:JPG458810 JZC458808:JZC458810 KIY458808:KIY458810 KSU458808:KSU458810 LCQ458808:LCQ458810 LMM458808:LMM458810 LWI458808:LWI458810 MGE458808:MGE458810 MQA458808:MQA458810 MZW458808:MZW458810 NJS458808:NJS458810 NTO458808:NTO458810 ODK458808:ODK458810 ONG458808:ONG458810 OXC458808:OXC458810 PGY458808:PGY458810 PQU458808:PQU458810 QAQ458808:QAQ458810 QKM458808:QKM458810 QUI458808:QUI458810 REE458808:REE458810 ROA458808:ROA458810 RXW458808:RXW458810 SHS458808:SHS458810 SRO458808:SRO458810 TBK458808:TBK458810 TLG458808:TLG458810 TVC458808:TVC458810 UEY458808:UEY458810 UOU458808:UOU458810 UYQ458808:UYQ458810 VIM458808:VIM458810 VSI458808:VSI458810 WCE458808:WCE458810 WMA458808:WMA458810 WVW458808:WVW458810 O524344:O524346 JK524344:JK524346 TG524344:TG524346 ADC524344:ADC524346 AMY524344:AMY524346 AWU524344:AWU524346 BGQ524344:BGQ524346 BQM524344:BQM524346 CAI524344:CAI524346 CKE524344:CKE524346 CUA524344:CUA524346 DDW524344:DDW524346 DNS524344:DNS524346 DXO524344:DXO524346 EHK524344:EHK524346 ERG524344:ERG524346 FBC524344:FBC524346 FKY524344:FKY524346 FUU524344:FUU524346 GEQ524344:GEQ524346 GOM524344:GOM524346 GYI524344:GYI524346 HIE524344:HIE524346 HSA524344:HSA524346 IBW524344:IBW524346 ILS524344:ILS524346 IVO524344:IVO524346 JFK524344:JFK524346 JPG524344:JPG524346 JZC524344:JZC524346 KIY524344:KIY524346 KSU524344:KSU524346 LCQ524344:LCQ524346 LMM524344:LMM524346 LWI524344:LWI524346 MGE524344:MGE524346 MQA524344:MQA524346 MZW524344:MZW524346 NJS524344:NJS524346 NTO524344:NTO524346 ODK524344:ODK524346 ONG524344:ONG524346 OXC524344:OXC524346 PGY524344:PGY524346 PQU524344:PQU524346 QAQ524344:QAQ524346 QKM524344:QKM524346 QUI524344:QUI524346 REE524344:REE524346 ROA524344:ROA524346 RXW524344:RXW524346 SHS524344:SHS524346 SRO524344:SRO524346 TBK524344:TBK524346 TLG524344:TLG524346 TVC524344:TVC524346 UEY524344:UEY524346 UOU524344:UOU524346 UYQ524344:UYQ524346 VIM524344:VIM524346 VSI524344:VSI524346 WCE524344:WCE524346 WMA524344:WMA524346 WVW524344:WVW524346 O589880:O589882 JK589880:JK589882 TG589880:TG589882 ADC589880:ADC589882 AMY589880:AMY589882 AWU589880:AWU589882 BGQ589880:BGQ589882 BQM589880:BQM589882 CAI589880:CAI589882 CKE589880:CKE589882 CUA589880:CUA589882 DDW589880:DDW589882 DNS589880:DNS589882 DXO589880:DXO589882 EHK589880:EHK589882 ERG589880:ERG589882 FBC589880:FBC589882 FKY589880:FKY589882 FUU589880:FUU589882 GEQ589880:GEQ589882 GOM589880:GOM589882 GYI589880:GYI589882 HIE589880:HIE589882 HSA589880:HSA589882 IBW589880:IBW589882 ILS589880:ILS589882 IVO589880:IVO589882 JFK589880:JFK589882 JPG589880:JPG589882 JZC589880:JZC589882 KIY589880:KIY589882 KSU589880:KSU589882 LCQ589880:LCQ589882 LMM589880:LMM589882 LWI589880:LWI589882 MGE589880:MGE589882 MQA589880:MQA589882 MZW589880:MZW589882 NJS589880:NJS589882 NTO589880:NTO589882 ODK589880:ODK589882 ONG589880:ONG589882 OXC589880:OXC589882 PGY589880:PGY589882 PQU589880:PQU589882 QAQ589880:QAQ589882 QKM589880:QKM589882 QUI589880:QUI589882 REE589880:REE589882 ROA589880:ROA589882 RXW589880:RXW589882 SHS589880:SHS589882 SRO589880:SRO589882 TBK589880:TBK589882 TLG589880:TLG589882 TVC589880:TVC589882 UEY589880:UEY589882 UOU589880:UOU589882 UYQ589880:UYQ589882 VIM589880:VIM589882 VSI589880:VSI589882 WCE589880:WCE589882 WMA589880:WMA589882 WVW589880:WVW589882 O655416:O655418 JK655416:JK655418 TG655416:TG655418 ADC655416:ADC655418 AMY655416:AMY655418 AWU655416:AWU655418 BGQ655416:BGQ655418 BQM655416:BQM655418 CAI655416:CAI655418 CKE655416:CKE655418 CUA655416:CUA655418 DDW655416:DDW655418 DNS655416:DNS655418 DXO655416:DXO655418 EHK655416:EHK655418 ERG655416:ERG655418 FBC655416:FBC655418 FKY655416:FKY655418 FUU655416:FUU655418 GEQ655416:GEQ655418 GOM655416:GOM655418 GYI655416:GYI655418 HIE655416:HIE655418 HSA655416:HSA655418 IBW655416:IBW655418 ILS655416:ILS655418 IVO655416:IVO655418 JFK655416:JFK655418 JPG655416:JPG655418 JZC655416:JZC655418 KIY655416:KIY655418 KSU655416:KSU655418 LCQ655416:LCQ655418 LMM655416:LMM655418 LWI655416:LWI655418 MGE655416:MGE655418 MQA655416:MQA655418 MZW655416:MZW655418 NJS655416:NJS655418 NTO655416:NTO655418 ODK655416:ODK655418 ONG655416:ONG655418 OXC655416:OXC655418 PGY655416:PGY655418 PQU655416:PQU655418 QAQ655416:QAQ655418 QKM655416:QKM655418 QUI655416:QUI655418 REE655416:REE655418 ROA655416:ROA655418 RXW655416:RXW655418 SHS655416:SHS655418 SRO655416:SRO655418 TBK655416:TBK655418 TLG655416:TLG655418 TVC655416:TVC655418 UEY655416:UEY655418 UOU655416:UOU655418 UYQ655416:UYQ655418 VIM655416:VIM655418 VSI655416:VSI655418 WCE655416:WCE655418 WMA655416:WMA655418 WVW655416:WVW655418 O720952:O720954 JK720952:JK720954 TG720952:TG720954 ADC720952:ADC720954 AMY720952:AMY720954 AWU720952:AWU720954 BGQ720952:BGQ720954 BQM720952:BQM720954 CAI720952:CAI720954 CKE720952:CKE720954 CUA720952:CUA720954 DDW720952:DDW720954 DNS720952:DNS720954 DXO720952:DXO720954 EHK720952:EHK720954 ERG720952:ERG720954 FBC720952:FBC720954 FKY720952:FKY720954 FUU720952:FUU720954 GEQ720952:GEQ720954 GOM720952:GOM720954 GYI720952:GYI720954 HIE720952:HIE720954 HSA720952:HSA720954 IBW720952:IBW720954 ILS720952:ILS720954 IVO720952:IVO720954 JFK720952:JFK720954 JPG720952:JPG720954 JZC720952:JZC720954 KIY720952:KIY720954 KSU720952:KSU720954 LCQ720952:LCQ720954 LMM720952:LMM720954 LWI720952:LWI720954 MGE720952:MGE720954 MQA720952:MQA720954 MZW720952:MZW720954 NJS720952:NJS720954 NTO720952:NTO720954 ODK720952:ODK720954 ONG720952:ONG720954 OXC720952:OXC720954 PGY720952:PGY720954 PQU720952:PQU720954 QAQ720952:QAQ720954 QKM720952:QKM720954 QUI720952:QUI720954 REE720952:REE720954 ROA720952:ROA720954 RXW720952:RXW720954 SHS720952:SHS720954 SRO720952:SRO720954 TBK720952:TBK720954 TLG720952:TLG720954 TVC720952:TVC720954 UEY720952:UEY720954 UOU720952:UOU720954 UYQ720952:UYQ720954 VIM720952:VIM720954 VSI720952:VSI720954 WCE720952:WCE720954 WMA720952:WMA720954 WVW720952:WVW720954 O786488:O786490 JK786488:JK786490 TG786488:TG786490 ADC786488:ADC786490 AMY786488:AMY786490 AWU786488:AWU786490 BGQ786488:BGQ786490 BQM786488:BQM786490 CAI786488:CAI786490 CKE786488:CKE786490 CUA786488:CUA786490 DDW786488:DDW786490 DNS786488:DNS786490 DXO786488:DXO786490 EHK786488:EHK786490 ERG786488:ERG786490 FBC786488:FBC786490 FKY786488:FKY786490 FUU786488:FUU786490 GEQ786488:GEQ786490 GOM786488:GOM786490 GYI786488:GYI786490 HIE786488:HIE786490 HSA786488:HSA786490 IBW786488:IBW786490 ILS786488:ILS786490 IVO786488:IVO786490 JFK786488:JFK786490 JPG786488:JPG786490 JZC786488:JZC786490 KIY786488:KIY786490 KSU786488:KSU786490 LCQ786488:LCQ786490 LMM786488:LMM786490 LWI786488:LWI786490 MGE786488:MGE786490 MQA786488:MQA786490 MZW786488:MZW786490 NJS786488:NJS786490 NTO786488:NTO786490 ODK786488:ODK786490 ONG786488:ONG786490 OXC786488:OXC786490 PGY786488:PGY786490 PQU786488:PQU786490 QAQ786488:QAQ786490 QKM786488:QKM786490 QUI786488:QUI786490 REE786488:REE786490 ROA786488:ROA786490 RXW786488:RXW786490 SHS786488:SHS786490 SRO786488:SRO786490 TBK786488:TBK786490 TLG786488:TLG786490 TVC786488:TVC786490 UEY786488:UEY786490 UOU786488:UOU786490 UYQ786488:UYQ786490 VIM786488:VIM786490 VSI786488:VSI786490 WCE786488:WCE786490 WMA786488:WMA786490 WVW786488:WVW786490 O852024:O852026 JK852024:JK852026 TG852024:TG852026 ADC852024:ADC852026 AMY852024:AMY852026 AWU852024:AWU852026 BGQ852024:BGQ852026 BQM852024:BQM852026 CAI852024:CAI852026 CKE852024:CKE852026 CUA852024:CUA852026 DDW852024:DDW852026 DNS852024:DNS852026 DXO852024:DXO852026 EHK852024:EHK852026 ERG852024:ERG852026 FBC852024:FBC852026 FKY852024:FKY852026 FUU852024:FUU852026 GEQ852024:GEQ852026 GOM852024:GOM852026 GYI852024:GYI852026 HIE852024:HIE852026 HSA852024:HSA852026 IBW852024:IBW852026 ILS852024:ILS852026 IVO852024:IVO852026 JFK852024:JFK852026 JPG852024:JPG852026 JZC852024:JZC852026 KIY852024:KIY852026 KSU852024:KSU852026 LCQ852024:LCQ852026 LMM852024:LMM852026 LWI852024:LWI852026 MGE852024:MGE852026 MQA852024:MQA852026 MZW852024:MZW852026 NJS852024:NJS852026 NTO852024:NTO852026 ODK852024:ODK852026 ONG852024:ONG852026 OXC852024:OXC852026 PGY852024:PGY852026 PQU852024:PQU852026 QAQ852024:QAQ852026 QKM852024:QKM852026 QUI852024:QUI852026 REE852024:REE852026 ROA852024:ROA852026 RXW852024:RXW852026 SHS852024:SHS852026 SRO852024:SRO852026 TBK852024:TBK852026 TLG852024:TLG852026 TVC852024:TVC852026 UEY852024:UEY852026 UOU852024:UOU852026 UYQ852024:UYQ852026 VIM852024:VIM852026 VSI852024:VSI852026 WCE852024:WCE852026 WMA852024:WMA852026 WVW852024:WVW852026 O917560:O917562 JK917560:JK917562 TG917560:TG917562 ADC917560:ADC917562 AMY917560:AMY917562 AWU917560:AWU917562 BGQ917560:BGQ917562 BQM917560:BQM917562 CAI917560:CAI917562 CKE917560:CKE917562 CUA917560:CUA917562 DDW917560:DDW917562 DNS917560:DNS917562 DXO917560:DXO917562 EHK917560:EHK917562 ERG917560:ERG917562 FBC917560:FBC917562 FKY917560:FKY917562 FUU917560:FUU917562 GEQ917560:GEQ917562 GOM917560:GOM917562 GYI917560:GYI917562 HIE917560:HIE917562 HSA917560:HSA917562 IBW917560:IBW917562 ILS917560:ILS917562 IVO917560:IVO917562 JFK917560:JFK917562 JPG917560:JPG917562 JZC917560:JZC917562 KIY917560:KIY917562 KSU917560:KSU917562 LCQ917560:LCQ917562 LMM917560:LMM917562 LWI917560:LWI917562 MGE917560:MGE917562 MQA917560:MQA917562 MZW917560:MZW917562 NJS917560:NJS917562 NTO917560:NTO917562 ODK917560:ODK917562 ONG917560:ONG917562 OXC917560:OXC917562 PGY917560:PGY917562 PQU917560:PQU917562 QAQ917560:QAQ917562 QKM917560:QKM917562 QUI917560:QUI917562 REE917560:REE917562 ROA917560:ROA917562 RXW917560:RXW917562 SHS917560:SHS917562 SRO917560:SRO917562 TBK917560:TBK917562 TLG917560:TLG917562 TVC917560:TVC917562 UEY917560:UEY917562 UOU917560:UOU917562 UYQ917560:UYQ917562 VIM917560:VIM917562 VSI917560:VSI917562 WCE917560:WCE917562 WMA917560:WMA917562 WVW917560:WVW917562 O983096:O983098 JK983096:JK983098 TG983096:TG983098 ADC983096:ADC983098 AMY983096:AMY983098 AWU983096:AWU983098 BGQ983096:BGQ983098 BQM983096:BQM983098 CAI983096:CAI983098 CKE983096:CKE983098 CUA983096:CUA983098 DDW983096:DDW983098 DNS983096:DNS983098 DXO983096:DXO983098 EHK983096:EHK983098 ERG983096:ERG983098 FBC983096:FBC983098 FKY983096:FKY983098 FUU983096:FUU983098 GEQ983096:GEQ983098 GOM983096:GOM983098 GYI983096:GYI983098 HIE983096:HIE983098 HSA983096:HSA983098 IBW983096:IBW983098 ILS983096:ILS983098 IVO983096:IVO983098 JFK983096:JFK983098 JPG983096:JPG983098 JZC983096:JZC983098 KIY983096:KIY983098 KSU983096:KSU983098 LCQ983096:LCQ983098 LMM983096:LMM983098 LWI983096:LWI983098 MGE983096:MGE983098 MQA983096:MQA983098 MZW983096:MZW983098 NJS983096:NJS983098 NTO983096:NTO983098 ODK983096:ODK983098 ONG983096:ONG983098 OXC983096:OXC983098 PGY983096:PGY983098 PQU983096:PQU983098 QAQ983096:QAQ983098 QKM983096:QKM983098 QUI983096:QUI983098 REE983096:REE983098 ROA983096:ROA983098 RXW983096:RXW983098 SHS983096:SHS983098 SRO983096:SRO983098 TBK983096:TBK983098 TLG983096:TLG983098 TVC983096:TVC983098 UEY983096:UEY983098 UOU983096:UOU983098 UYQ983096:UYQ983098 VIM983096:VIM983098 VSI983096:VSI983098 WCE983096:WCE983098 WMA983096:WMA983098 WVW983096:WVW983098">
      <formula1>"Yes,No,NA"</formula1>
    </dataValidation>
    <dataValidation type="list" allowBlank="1" showInputMessage="1" showErrorMessage="1" sqref="WVT983067:WVT983082 JH27:JH42 TD27:TD42 ACZ27:ACZ42 AMV27:AMV42 AWR27:AWR42 BGN27:BGN42 BQJ27:BQJ42 CAF27:CAF42 CKB27:CKB42 CTX27:CTX42 DDT27:DDT42 DNP27:DNP42 DXL27:DXL42 EHH27:EHH42 ERD27:ERD42 FAZ27:FAZ42 FKV27:FKV42 FUR27:FUR42 GEN27:GEN42 GOJ27:GOJ42 GYF27:GYF42 HIB27:HIB42 HRX27:HRX42 IBT27:IBT42 ILP27:ILP42 IVL27:IVL42 JFH27:JFH42 JPD27:JPD42 JYZ27:JYZ42 KIV27:KIV42 KSR27:KSR42 LCN27:LCN42 LMJ27:LMJ42 LWF27:LWF42 MGB27:MGB42 MPX27:MPX42 MZT27:MZT42 NJP27:NJP42 NTL27:NTL42 ODH27:ODH42 OND27:OND42 OWZ27:OWZ42 PGV27:PGV42 PQR27:PQR42 QAN27:QAN42 QKJ27:QKJ42 QUF27:QUF42 REB27:REB42 RNX27:RNX42 RXT27:RXT42 SHP27:SHP42 SRL27:SRL42 TBH27:TBH42 TLD27:TLD42 TUZ27:TUZ42 UEV27:UEV42 UOR27:UOR42 UYN27:UYN42 VIJ27:VIJ42 VSF27:VSF42 WCB27:WCB42 WLX27:WLX42 WVT27:WVT42 L65563:L65578 JH65563:JH65578 TD65563:TD65578 ACZ65563:ACZ65578 AMV65563:AMV65578 AWR65563:AWR65578 BGN65563:BGN65578 BQJ65563:BQJ65578 CAF65563:CAF65578 CKB65563:CKB65578 CTX65563:CTX65578 DDT65563:DDT65578 DNP65563:DNP65578 DXL65563:DXL65578 EHH65563:EHH65578 ERD65563:ERD65578 FAZ65563:FAZ65578 FKV65563:FKV65578 FUR65563:FUR65578 GEN65563:GEN65578 GOJ65563:GOJ65578 GYF65563:GYF65578 HIB65563:HIB65578 HRX65563:HRX65578 IBT65563:IBT65578 ILP65563:ILP65578 IVL65563:IVL65578 JFH65563:JFH65578 JPD65563:JPD65578 JYZ65563:JYZ65578 KIV65563:KIV65578 KSR65563:KSR65578 LCN65563:LCN65578 LMJ65563:LMJ65578 LWF65563:LWF65578 MGB65563:MGB65578 MPX65563:MPX65578 MZT65563:MZT65578 NJP65563:NJP65578 NTL65563:NTL65578 ODH65563:ODH65578 OND65563:OND65578 OWZ65563:OWZ65578 PGV65563:PGV65578 PQR65563:PQR65578 QAN65563:QAN65578 QKJ65563:QKJ65578 QUF65563:QUF65578 REB65563:REB65578 RNX65563:RNX65578 RXT65563:RXT65578 SHP65563:SHP65578 SRL65563:SRL65578 TBH65563:TBH65578 TLD65563:TLD65578 TUZ65563:TUZ65578 UEV65563:UEV65578 UOR65563:UOR65578 UYN65563:UYN65578 VIJ65563:VIJ65578 VSF65563:VSF65578 WCB65563:WCB65578 WLX65563:WLX65578 WVT65563:WVT65578 L131099:L131114 JH131099:JH131114 TD131099:TD131114 ACZ131099:ACZ131114 AMV131099:AMV131114 AWR131099:AWR131114 BGN131099:BGN131114 BQJ131099:BQJ131114 CAF131099:CAF131114 CKB131099:CKB131114 CTX131099:CTX131114 DDT131099:DDT131114 DNP131099:DNP131114 DXL131099:DXL131114 EHH131099:EHH131114 ERD131099:ERD131114 FAZ131099:FAZ131114 FKV131099:FKV131114 FUR131099:FUR131114 GEN131099:GEN131114 GOJ131099:GOJ131114 GYF131099:GYF131114 HIB131099:HIB131114 HRX131099:HRX131114 IBT131099:IBT131114 ILP131099:ILP131114 IVL131099:IVL131114 JFH131099:JFH131114 JPD131099:JPD131114 JYZ131099:JYZ131114 KIV131099:KIV131114 KSR131099:KSR131114 LCN131099:LCN131114 LMJ131099:LMJ131114 LWF131099:LWF131114 MGB131099:MGB131114 MPX131099:MPX131114 MZT131099:MZT131114 NJP131099:NJP131114 NTL131099:NTL131114 ODH131099:ODH131114 OND131099:OND131114 OWZ131099:OWZ131114 PGV131099:PGV131114 PQR131099:PQR131114 QAN131099:QAN131114 QKJ131099:QKJ131114 QUF131099:QUF131114 REB131099:REB131114 RNX131099:RNX131114 RXT131099:RXT131114 SHP131099:SHP131114 SRL131099:SRL131114 TBH131099:TBH131114 TLD131099:TLD131114 TUZ131099:TUZ131114 UEV131099:UEV131114 UOR131099:UOR131114 UYN131099:UYN131114 VIJ131099:VIJ131114 VSF131099:VSF131114 WCB131099:WCB131114 WLX131099:WLX131114 WVT131099:WVT131114 L196635:L196650 JH196635:JH196650 TD196635:TD196650 ACZ196635:ACZ196650 AMV196635:AMV196650 AWR196635:AWR196650 BGN196635:BGN196650 BQJ196635:BQJ196650 CAF196635:CAF196650 CKB196635:CKB196650 CTX196635:CTX196650 DDT196635:DDT196650 DNP196635:DNP196650 DXL196635:DXL196650 EHH196635:EHH196650 ERD196635:ERD196650 FAZ196635:FAZ196650 FKV196635:FKV196650 FUR196635:FUR196650 GEN196635:GEN196650 GOJ196635:GOJ196650 GYF196635:GYF196650 HIB196635:HIB196650 HRX196635:HRX196650 IBT196635:IBT196650 ILP196635:ILP196650 IVL196635:IVL196650 JFH196635:JFH196650 JPD196635:JPD196650 JYZ196635:JYZ196650 KIV196635:KIV196650 KSR196635:KSR196650 LCN196635:LCN196650 LMJ196635:LMJ196650 LWF196635:LWF196650 MGB196635:MGB196650 MPX196635:MPX196650 MZT196635:MZT196650 NJP196635:NJP196650 NTL196635:NTL196650 ODH196635:ODH196650 OND196635:OND196650 OWZ196635:OWZ196650 PGV196635:PGV196650 PQR196635:PQR196650 QAN196635:QAN196650 QKJ196635:QKJ196650 QUF196635:QUF196650 REB196635:REB196650 RNX196635:RNX196650 RXT196635:RXT196650 SHP196635:SHP196650 SRL196635:SRL196650 TBH196635:TBH196650 TLD196635:TLD196650 TUZ196635:TUZ196650 UEV196635:UEV196650 UOR196635:UOR196650 UYN196635:UYN196650 VIJ196635:VIJ196650 VSF196635:VSF196650 WCB196635:WCB196650 WLX196635:WLX196650 WVT196635:WVT196650 L262171:L262186 JH262171:JH262186 TD262171:TD262186 ACZ262171:ACZ262186 AMV262171:AMV262186 AWR262171:AWR262186 BGN262171:BGN262186 BQJ262171:BQJ262186 CAF262171:CAF262186 CKB262171:CKB262186 CTX262171:CTX262186 DDT262171:DDT262186 DNP262171:DNP262186 DXL262171:DXL262186 EHH262171:EHH262186 ERD262171:ERD262186 FAZ262171:FAZ262186 FKV262171:FKV262186 FUR262171:FUR262186 GEN262171:GEN262186 GOJ262171:GOJ262186 GYF262171:GYF262186 HIB262171:HIB262186 HRX262171:HRX262186 IBT262171:IBT262186 ILP262171:ILP262186 IVL262171:IVL262186 JFH262171:JFH262186 JPD262171:JPD262186 JYZ262171:JYZ262186 KIV262171:KIV262186 KSR262171:KSR262186 LCN262171:LCN262186 LMJ262171:LMJ262186 LWF262171:LWF262186 MGB262171:MGB262186 MPX262171:MPX262186 MZT262171:MZT262186 NJP262171:NJP262186 NTL262171:NTL262186 ODH262171:ODH262186 OND262171:OND262186 OWZ262171:OWZ262186 PGV262171:PGV262186 PQR262171:PQR262186 QAN262171:QAN262186 QKJ262171:QKJ262186 QUF262171:QUF262186 REB262171:REB262186 RNX262171:RNX262186 RXT262171:RXT262186 SHP262171:SHP262186 SRL262171:SRL262186 TBH262171:TBH262186 TLD262171:TLD262186 TUZ262171:TUZ262186 UEV262171:UEV262186 UOR262171:UOR262186 UYN262171:UYN262186 VIJ262171:VIJ262186 VSF262171:VSF262186 WCB262171:WCB262186 WLX262171:WLX262186 WVT262171:WVT262186 L327707:L327722 JH327707:JH327722 TD327707:TD327722 ACZ327707:ACZ327722 AMV327707:AMV327722 AWR327707:AWR327722 BGN327707:BGN327722 BQJ327707:BQJ327722 CAF327707:CAF327722 CKB327707:CKB327722 CTX327707:CTX327722 DDT327707:DDT327722 DNP327707:DNP327722 DXL327707:DXL327722 EHH327707:EHH327722 ERD327707:ERD327722 FAZ327707:FAZ327722 FKV327707:FKV327722 FUR327707:FUR327722 GEN327707:GEN327722 GOJ327707:GOJ327722 GYF327707:GYF327722 HIB327707:HIB327722 HRX327707:HRX327722 IBT327707:IBT327722 ILP327707:ILP327722 IVL327707:IVL327722 JFH327707:JFH327722 JPD327707:JPD327722 JYZ327707:JYZ327722 KIV327707:KIV327722 KSR327707:KSR327722 LCN327707:LCN327722 LMJ327707:LMJ327722 LWF327707:LWF327722 MGB327707:MGB327722 MPX327707:MPX327722 MZT327707:MZT327722 NJP327707:NJP327722 NTL327707:NTL327722 ODH327707:ODH327722 OND327707:OND327722 OWZ327707:OWZ327722 PGV327707:PGV327722 PQR327707:PQR327722 QAN327707:QAN327722 QKJ327707:QKJ327722 QUF327707:QUF327722 REB327707:REB327722 RNX327707:RNX327722 RXT327707:RXT327722 SHP327707:SHP327722 SRL327707:SRL327722 TBH327707:TBH327722 TLD327707:TLD327722 TUZ327707:TUZ327722 UEV327707:UEV327722 UOR327707:UOR327722 UYN327707:UYN327722 VIJ327707:VIJ327722 VSF327707:VSF327722 WCB327707:WCB327722 WLX327707:WLX327722 WVT327707:WVT327722 L393243:L393258 JH393243:JH393258 TD393243:TD393258 ACZ393243:ACZ393258 AMV393243:AMV393258 AWR393243:AWR393258 BGN393243:BGN393258 BQJ393243:BQJ393258 CAF393243:CAF393258 CKB393243:CKB393258 CTX393243:CTX393258 DDT393243:DDT393258 DNP393243:DNP393258 DXL393243:DXL393258 EHH393243:EHH393258 ERD393243:ERD393258 FAZ393243:FAZ393258 FKV393243:FKV393258 FUR393243:FUR393258 GEN393243:GEN393258 GOJ393243:GOJ393258 GYF393243:GYF393258 HIB393243:HIB393258 HRX393243:HRX393258 IBT393243:IBT393258 ILP393243:ILP393258 IVL393243:IVL393258 JFH393243:JFH393258 JPD393243:JPD393258 JYZ393243:JYZ393258 KIV393243:KIV393258 KSR393243:KSR393258 LCN393243:LCN393258 LMJ393243:LMJ393258 LWF393243:LWF393258 MGB393243:MGB393258 MPX393243:MPX393258 MZT393243:MZT393258 NJP393243:NJP393258 NTL393243:NTL393258 ODH393243:ODH393258 OND393243:OND393258 OWZ393243:OWZ393258 PGV393243:PGV393258 PQR393243:PQR393258 QAN393243:QAN393258 QKJ393243:QKJ393258 QUF393243:QUF393258 REB393243:REB393258 RNX393243:RNX393258 RXT393243:RXT393258 SHP393243:SHP393258 SRL393243:SRL393258 TBH393243:TBH393258 TLD393243:TLD393258 TUZ393243:TUZ393258 UEV393243:UEV393258 UOR393243:UOR393258 UYN393243:UYN393258 VIJ393243:VIJ393258 VSF393243:VSF393258 WCB393243:WCB393258 WLX393243:WLX393258 WVT393243:WVT393258 L458779:L458794 JH458779:JH458794 TD458779:TD458794 ACZ458779:ACZ458794 AMV458779:AMV458794 AWR458779:AWR458794 BGN458779:BGN458794 BQJ458779:BQJ458794 CAF458779:CAF458794 CKB458779:CKB458794 CTX458779:CTX458794 DDT458779:DDT458794 DNP458779:DNP458794 DXL458779:DXL458794 EHH458779:EHH458794 ERD458779:ERD458794 FAZ458779:FAZ458794 FKV458779:FKV458794 FUR458779:FUR458794 GEN458779:GEN458794 GOJ458779:GOJ458794 GYF458779:GYF458794 HIB458779:HIB458794 HRX458779:HRX458794 IBT458779:IBT458794 ILP458779:ILP458794 IVL458779:IVL458794 JFH458779:JFH458794 JPD458779:JPD458794 JYZ458779:JYZ458794 KIV458779:KIV458794 KSR458779:KSR458794 LCN458779:LCN458794 LMJ458779:LMJ458794 LWF458779:LWF458794 MGB458779:MGB458794 MPX458779:MPX458794 MZT458779:MZT458794 NJP458779:NJP458794 NTL458779:NTL458794 ODH458779:ODH458794 OND458779:OND458794 OWZ458779:OWZ458794 PGV458779:PGV458794 PQR458779:PQR458794 QAN458779:QAN458794 QKJ458779:QKJ458794 QUF458779:QUF458794 REB458779:REB458794 RNX458779:RNX458794 RXT458779:RXT458794 SHP458779:SHP458794 SRL458779:SRL458794 TBH458779:TBH458794 TLD458779:TLD458794 TUZ458779:TUZ458794 UEV458779:UEV458794 UOR458779:UOR458794 UYN458779:UYN458794 VIJ458779:VIJ458794 VSF458779:VSF458794 WCB458779:WCB458794 WLX458779:WLX458794 WVT458779:WVT458794 L524315:L524330 JH524315:JH524330 TD524315:TD524330 ACZ524315:ACZ524330 AMV524315:AMV524330 AWR524315:AWR524330 BGN524315:BGN524330 BQJ524315:BQJ524330 CAF524315:CAF524330 CKB524315:CKB524330 CTX524315:CTX524330 DDT524315:DDT524330 DNP524315:DNP524330 DXL524315:DXL524330 EHH524315:EHH524330 ERD524315:ERD524330 FAZ524315:FAZ524330 FKV524315:FKV524330 FUR524315:FUR524330 GEN524315:GEN524330 GOJ524315:GOJ524330 GYF524315:GYF524330 HIB524315:HIB524330 HRX524315:HRX524330 IBT524315:IBT524330 ILP524315:ILP524330 IVL524315:IVL524330 JFH524315:JFH524330 JPD524315:JPD524330 JYZ524315:JYZ524330 KIV524315:KIV524330 KSR524315:KSR524330 LCN524315:LCN524330 LMJ524315:LMJ524330 LWF524315:LWF524330 MGB524315:MGB524330 MPX524315:MPX524330 MZT524315:MZT524330 NJP524315:NJP524330 NTL524315:NTL524330 ODH524315:ODH524330 OND524315:OND524330 OWZ524315:OWZ524330 PGV524315:PGV524330 PQR524315:PQR524330 QAN524315:QAN524330 QKJ524315:QKJ524330 QUF524315:QUF524330 REB524315:REB524330 RNX524315:RNX524330 RXT524315:RXT524330 SHP524315:SHP524330 SRL524315:SRL524330 TBH524315:TBH524330 TLD524315:TLD524330 TUZ524315:TUZ524330 UEV524315:UEV524330 UOR524315:UOR524330 UYN524315:UYN524330 VIJ524315:VIJ524330 VSF524315:VSF524330 WCB524315:WCB524330 WLX524315:WLX524330 WVT524315:WVT524330 L589851:L589866 JH589851:JH589866 TD589851:TD589866 ACZ589851:ACZ589866 AMV589851:AMV589866 AWR589851:AWR589866 BGN589851:BGN589866 BQJ589851:BQJ589866 CAF589851:CAF589866 CKB589851:CKB589866 CTX589851:CTX589866 DDT589851:DDT589866 DNP589851:DNP589866 DXL589851:DXL589866 EHH589851:EHH589866 ERD589851:ERD589866 FAZ589851:FAZ589866 FKV589851:FKV589866 FUR589851:FUR589866 GEN589851:GEN589866 GOJ589851:GOJ589866 GYF589851:GYF589866 HIB589851:HIB589866 HRX589851:HRX589866 IBT589851:IBT589866 ILP589851:ILP589866 IVL589851:IVL589866 JFH589851:JFH589866 JPD589851:JPD589866 JYZ589851:JYZ589866 KIV589851:KIV589866 KSR589851:KSR589866 LCN589851:LCN589866 LMJ589851:LMJ589866 LWF589851:LWF589866 MGB589851:MGB589866 MPX589851:MPX589866 MZT589851:MZT589866 NJP589851:NJP589866 NTL589851:NTL589866 ODH589851:ODH589866 OND589851:OND589866 OWZ589851:OWZ589866 PGV589851:PGV589866 PQR589851:PQR589866 QAN589851:QAN589866 QKJ589851:QKJ589866 QUF589851:QUF589866 REB589851:REB589866 RNX589851:RNX589866 RXT589851:RXT589866 SHP589851:SHP589866 SRL589851:SRL589866 TBH589851:TBH589866 TLD589851:TLD589866 TUZ589851:TUZ589866 UEV589851:UEV589866 UOR589851:UOR589866 UYN589851:UYN589866 VIJ589851:VIJ589866 VSF589851:VSF589866 WCB589851:WCB589866 WLX589851:WLX589866 WVT589851:WVT589866 L655387:L655402 JH655387:JH655402 TD655387:TD655402 ACZ655387:ACZ655402 AMV655387:AMV655402 AWR655387:AWR655402 BGN655387:BGN655402 BQJ655387:BQJ655402 CAF655387:CAF655402 CKB655387:CKB655402 CTX655387:CTX655402 DDT655387:DDT655402 DNP655387:DNP655402 DXL655387:DXL655402 EHH655387:EHH655402 ERD655387:ERD655402 FAZ655387:FAZ655402 FKV655387:FKV655402 FUR655387:FUR655402 GEN655387:GEN655402 GOJ655387:GOJ655402 GYF655387:GYF655402 HIB655387:HIB655402 HRX655387:HRX655402 IBT655387:IBT655402 ILP655387:ILP655402 IVL655387:IVL655402 JFH655387:JFH655402 JPD655387:JPD655402 JYZ655387:JYZ655402 KIV655387:KIV655402 KSR655387:KSR655402 LCN655387:LCN655402 LMJ655387:LMJ655402 LWF655387:LWF655402 MGB655387:MGB655402 MPX655387:MPX655402 MZT655387:MZT655402 NJP655387:NJP655402 NTL655387:NTL655402 ODH655387:ODH655402 OND655387:OND655402 OWZ655387:OWZ655402 PGV655387:PGV655402 PQR655387:PQR655402 QAN655387:QAN655402 QKJ655387:QKJ655402 QUF655387:QUF655402 REB655387:REB655402 RNX655387:RNX655402 RXT655387:RXT655402 SHP655387:SHP655402 SRL655387:SRL655402 TBH655387:TBH655402 TLD655387:TLD655402 TUZ655387:TUZ655402 UEV655387:UEV655402 UOR655387:UOR655402 UYN655387:UYN655402 VIJ655387:VIJ655402 VSF655387:VSF655402 WCB655387:WCB655402 WLX655387:WLX655402 WVT655387:WVT655402 L720923:L720938 JH720923:JH720938 TD720923:TD720938 ACZ720923:ACZ720938 AMV720923:AMV720938 AWR720923:AWR720938 BGN720923:BGN720938 BQJ720923:BQJ720938 CAF720923:CAF720938 CKB720923:CKB720938 CTX720923:CTX720938 DDT720923:DDT720938 DNP720923:DNP720938 DXL720923:DXL720938 EHH720923:EHH720938 ERD720923:ERD720938 FAZ720923:FAZ720938 FKV720923:FKV720938 FUR720923:FUR720938 GEN720923:GEN720938 GOJ720923:GOJ720938 GYF720923:GYF720938 HIB720923:HIB720938 HRX720923:HRX720938 IBT720923:IBT720938 ILP720923:ILP720938 IVL720923:IVL720938 JFH720923:JFH720938 JPD720923:JPD720938 JYZ720923:JYZ720938 KIV720923:KIV720938 KSR720923:KSR720938 LCN720923:LCN720938 LMJ720923:LMJ720938 LWF720923:LWF720938 MGB720923:MGB720938 MPX720923:MPX720938 MZT720923:MZT720938 NJP720923:NJP720938 NTL720923:NTL720938 ODH720923:ODH720938 OND720923:OND720938 OWZ720923:OWZ720938 PGV720923:PGV720938 PQR720923:PQR720938 QAN720923:QAN720938 QKJ720923:QKJ720938 QUF720923:QUF720938 REB720923:REB720938 RNX720923:RNX720938 RXT720923:RXT720938 SHP720923:SHP720938 SRL720923:SRL720938 TBH720923:TBH720938 TLD720923:TLD720938 TUZ720923:TUZ720938 UEV720923:UEV720938 UOR720923:UOR720938 UYN720923:UYN720938 VIJ720923:VIJ720938 VSF720923:VSF720938 WCB720923:WCB720938 WLX720923:WLX720938 WVT720923:WVT720938 L786459:L786474 JH786459:JH786474 TD786459:TD786474 ACZ786459:ACZ786474 AMV786459:AMV786474 AWR786459:AWR786474 BGN786459:BGN786474 BQJ786459:BQJ786474 CAF786459:CAF786474 CKB786459:CKB786474 CTX786459:CTX786474 DDT786459:DDT786474 DNP786459:DNP786474 DXL786459:DXL786474 EHH786459:EHH786474 ERD786459:ERD786474 FAZ786459:FAZ786474 FKV786459:FKV786474 FUR786459:FUR786474 GEN786459:GEN786474 GOJ786459:GOJ786474 GYF786459:GYF786474 HIB786459:HIB786474 HRX786459:HRX786474 IBT786459:IBT786474 ILP786459:ILP786474 IVL786459:IVL786474 JFH786459:JFH786474 JPD786459:JPD786474 JYZ786459:JYZ786474 KIV786459:KIV786474 KSR786459:KSR786474 LCN786459:LCN786474 LMJ786459:LMJ786474 LWF786459:LWF786474 MGB786459:MGB786474 MPX786459:MPX786474 MZT786459:MZT786474 NJP786459:NJP786474 NTL786459:NTL786474 ODH786459:ODH786474 OND786459:OND786474 OWZ786459:OWZ786474 PGV786459:PGV786474 PQR786459:PQR786474 QAN786459:QAN786474 QKJ786459:QKJ786474 QUF786459:QUF786474 REB786459:REB786474 RNX786459:RNX786474 RXT786459:RXT786474 SHP786459:SHP786474 SRL786459:SRL786474 TBH786459:TBH786474 TLD786459:TLD786474 TUZ786459:TUZ786474 UEV786459:UEV786474 UOR786459:UOR786474 UYN786459:UYN786474 VIJ786459:VIJ786474 VSF786459:VSF786474 WCB786459:WCB786474 WLX786459:WLX786474 WVT786459:WVT786474 L851995:L852010 JH851995:JH852010 TD851995:TD852010 ACZ851995:ACZ852010 AMV851995:AMV852010 AWR851995:AWR852010 BGN851995:BGN852010 BQJ851995:BQJ852010 CAF851995:CAF852010 CKB851995:CKB852010 CTX851995:CTX852010 DDT851995:DDT852010 DNP851995:DNP852010 DXL851995:DXL852010 EHH851995:EHH852010 ERD851995:ERD852010 FAZ851995:FAZ852010 FKV851995:FKV852010 FUR851995:FUR852010 GEN851995:GEN852010 GOJ851995:GOJ852010 GYF851995:GYF852010 HIB851995:HIB852010 HRX851995:HRX852010 IBT851995:IBT852010 ILP851995:ILP852010 IVL851995:IVL852010 JFH851995:JFH852010 JPD851995:JPD852010 JYZ851995:JYZ852010 KIV851995:KIV852010 KSR851995:KSR852010 LCN851995:LCN852010 LMJ851995:LMJ852010 LWF851995:LWF852010 MGB851995:MGB852010 MPX851995:MPX852010 MZT851995:MZT852010 NJP851995:NJP852010 NTL851995:NTL852010 ODH851995:ODH852010 OND851995:OND852010 OWZ851995:OWZ852010 PGV851995:PGV852010 PQR851995:PQR852010 QAN851995:QAN852010 QKJ851995:QKJ852010 QUF851995:QUF852010 REB851995:REB852010 RNX851995:RNX852010 RXT851995:RXT852010 SHP851995:SHP852010 SRL851995:SRL852010 TBH851995:TBH852010 TLD851995:TLD852010 TUZ851995:TUZ852010 UEV851995:UEV852010 UOR851995:UOR852010 UYN851995:UYN852010 VIJ851995:VIJ852010 VSF851995:VSF852010 WCB851995:WCB852010 WLX851995:WLX852010 WVT851995:WVT852010 L917531:L917546 JH917531:JH917546 TD917531:TD917546 ACZ917531:ACZ917546 AMV917531:AMV917546 AWR917531:AWR917546 BGN917531:BGN917546 BQJ917531:BQJ917546 CAF917531:CAF917546 CKB917531:CKB917546 CTX917531:CTX917546 DDT917531:DDT917546 DNP917531:DNP917546 DXL917531:DXL917546 EHH917531:EHH917546 ERD917531:ERD917546 FAZ917531:FAZ917546 FKV917531:FKV917546 FUR917531:FUR917546 GEN917531:GEN917546 GOJ917531:GOJ917546 GYF917531:GYF917546 HIB917531:HIB917546 HRX917531:HRX917546 IBT917531:IBT917546 ILP917531:ILP917546 IVL917531:IVL917546 JFH917531:JFH917546 JPD917531:JPD917546 JYZ917531:JYZ917546 KIV917531:KIV917546 KSR917531:KSR917546 LCN917531:LCN917546 LMJ917531:LMJ917546 LWF917531:LWF917546 MGB917531:MGB917546 MPX917531:MPX917546 MZT917531:MZT917546 NJP917531:NJP917546 NTL917531:NTL917546 ODH917531:ODH917546 OND917531:OND917546 OWZ917531:OWZ917546 PGV917531:PGV917546 PQR917531:PQR917546 QAN917531:QAN917546 QKJ917531:QKJ917546 QUF917531:QUF917546 REB917531:REB917546 RNX917531:RNX917546 RXT917531:RXT917546 SHP917531:SHP917546 SRL917531:SRL917546 TBH917531:TBH917546 TLD917531:TLD917546 TUZ917531:TUZ917546 UEV917531:UEV917546 UOR917531:UOR917546 UYN917531:UYN917546 VIJ917531:VIJ917546 VSF917531:VSF917546 WCB917531:WCB917546 WLX917531:WLX917546 WVT917531:WVT917546 L983067:L983082 JH983067:JH983082 TD983067:TD983082 ACZ983067:ACZ983082 AMV983067:AMV983082 AWR983067:AWR983082 BGN983067:BGN983082 BQJ983067:BQJ983082 CAF983067:CAF983082 CKB983067:CKB983082 CTX983067:CTX983082 DDT983067:DDT983082 DNP983067:DNP983082 DXL983067:DXL983082 EHH983067:EHH983082 ERD983067:ERD983082 FAZ983067:FAZ983082 FKV983067:FKV983082 FUR983067:FUR983082 GEN983067:GEN983082 GOJ983067:GOJ983082 GYF983067:GYF983082 HIB983067:HIB983082 HRX983067:HRX983082 IBT983067:IBT983082 ILP983067:ILP983082 IVL983067:IVL983082 JFH983067:JFH983082 JPD983067:JPD983082 JYZ983067:JYZ983082 KIV983067:KIV983082 KSR983067:KSR983082 LCN983067:LCN983082 LMJ983067:LMJ983082 LWF983067:LWF983082 MGB983067:MGB983082 MPX983067:MPX983082 MZT983067:MZT983082 NJP983067:NJP983082 NTL983067:NTL983082 ODH983067:ODH983082 OND983067:OND983082 OWZ983067:OWZ983082 PGV983067:PGV983082 PQR983067:PQR983082 QAN983067:QAN983082 QKJ983067:QKJ983082 QUF983067:QUF983082 REB983067:REB983082 RNX983067:RNX983082 RXT983067:RXT983082 SHP983067:SHP983082 SRL983067:SRL983082 TBH983067:TBH983082 TLD983067:TLD983082 TUZ983067:TUZ983082 UEV983067:UEV983082 UOR983067:UOR983082 UYN983067:UYN983082 VIJ983067:VIJ983082 VSF983067:VSF983082 WCB983067:WCB983082 WLX983067:WLX983082">
      <formula1>$V$61:$V$64</formula1>
    </dataValidation>
    <dataValidation type="list" allowBlank="1" showInputMessage="1" showErrorMessage="1" sqref="L27:L42">
      <formula1>YesNo</formula1>
    </dataValidation>
  </dataValidations>
  <hyperlinks>
    <hyperlink ref="A1" location="'Table Of Contents'!A1" display="TOC"/>
  </hyperlinks>
  <pageMargins left="0.25" right="0.25" top="0.75" bottom="0.75" header="0.3" footer="0.3"/>
  <pageSetup scale="4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B26"/>
  <sheetViews>
    <sheetView workbookViewId="0">
      <selection activeCell="B1" sqref="B1"/>
    </sheetView>
  </sheetViews>
  <sheetFormatPr defaultRowHeight="15"/>
  <cols>
    <col min="1" max="1" width="22.7109375" bestFit="1" customWidth="1"/>
    <col min="2" max="2" width="91.28515625" customWidth="1"/>
  </cols>
  <sheetData>
    <row r="1" spans="1:2">
      <c r="A1" s="1786" t="s">
        <v>2339</v>
      </c>
      <c r="B1" s="1786" t="s">
        <v>2340</v>
      </c>
    </row>
    <row r="2" spans="1:2">
      <c r="A2" s="1787"/>
      <c r="B2" s="1787"/>
    </row>
    <row r="3" spans="1:2">
      <c r="A3" s="1788" t="s">
        <v>2329</v>
      </c>
      <c r="B3" s="1789" t="s">
        <v>2337</v>
      </c>
    </row>
    <row r="4" spans="1:2">
      <c r="B4" s="1789" t="s">
        <v>2338</v>
      </c>
    </row>
    <row r="5" spans="1:2">
      <c r="B5" s="1789" t="s">
        <v>2457</v>
      </c>
    </row>
    <row r="6" spans="1:2">
      <c r="B6" s="1789"/>
    </row>
    <row r="7" spans="1:2">
      <c r="B7" s="1789"/>
    </row>
    <row r="8" spans="1:2">
      <c r="B8" s="1789"/>
    </row>
    <row r="9" spans="1:2">
      <c r="B9" s="1789"/>
    </row>
    <row r="10" spans="1:2">
      <c r="B10" s="1789"/>
    </row>
    <row r="11" spans="1:2">
      <c r="B11" s="1789"/>
    </row>
    <row r="12" spans="1:2">
      <c r="B12" s="1789"/>
    </row>
    <row r="13" spans="1:2">
      <c r="B13" s="1789"/>
    </row>
    <row r="14" spans="1:2">
      <c r="B14" s="1789"/>
    </row>
    <row r="15" spans="1:2">
      <c r="B15" s="1789"/>
    </row>
    <row r="16" spans="1:2">
      <c r="B16" s="1789"/>
    </row>
    <row r="17" spans="2:2">
      <c r="B17" s="1789"/>
    </row>
    <row r="18" spans="2:2">
      <c r="B18" s="1789"/>
    </row>
    <row r="19" spans="2:2">
      <c r="B19" s="1789"/>
    </row>
    <row r="20" spans="2:2">
      <c r="B20" s="1789"/>
    </row>
    <row r="21" spans="2:2">
      <c r="B21" s="1789"/>
    </row>
    <row r="22" spans="2:2">
      <c r="B22" s="1789"/>
    </row>
    <row r="23" spans="2:2">
      <c r="B23" s="1789"/>
    </row>
    <row r="24" spans="2:2">
      <c r="B24" s="1789"/>
    </row>
    <row r="25" spans="2:2">
      <c r="B25" s="1789"/>
    </row>
    <row r="26" spans="2:2">
      <c r="B26" s="1789"/>
    </row>
  </sheetData>
  <sheetProtection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9FF99"/>
  </sheetPr>
  <dimension ref="A1:BB190"/>
  <sheetViews>
    <sheetView showGridLines="0" view="pageBreakPreview" zoomScaleNormal="75" zoomScaleSheetLayoutView="100" workbookViewId="0">
      <selection activeCell="B1" sqref="B1"/>
    </sheetView>
  </sheetViews>
  <sheetFormatPr defaultRowHeight="12.75"/>
  <cols>
    <col min="1" max="1" width="9.140625" style="1313" customWidth="1"/>
    <col min="2" max="2" width="20" style="953" customWidth="1"/>
    <col min="3" max="3" width="22.7109375" style="953" customWidth="1"/>
    <col min="4" max="4" width="15.7109375" style="953" customWidth="1"/>
    <col min="5" max="5" width="18" style="953" customWidth="1"/>
    <col min="6" max="6" width="32.42578125" style="953" customWidth="1"/>
    <col min="7" max="7" width="10.7109375" style="953" customWidth="1"/>
    <col min="8" max="8" width="6.28515625" style="953" customWidth="1"/>
    <col min="9" max="9" width="11" style="953" customWidth="1"/>
    <col min="10" max="10" width="33.5703125" style="953" customWidth="1"/>
    <col min="11" max="11" width="9.7109375" style="1313" customWidth="1"/>
    <col min="12" max="12" width="65.28515625" style="953" customWidth="1"/>
    <col min="13" max="13" width="24.7109375" style="953" customWidth="1"/>
    <col min="14" max="14" width="16.28515625" style="953" bestFit="1" customWidth="1"/>
    <col min="15" max="17" width="9.7109375" style="953" customWidth="1"/>
    <col min="18" max="18" width="9.7109375" style="953" hidden="1" customWidth="1"/>
    <col min="19" max="19" width="9.7109375" style="953" customWidth="1"/>
    <col min="20" max="256" width="9.140625" style="953"/>
    <col min="257" max="257" width="9.140625" style="953" customWidth="1"/>
    <col min="258" max="258" width="20" style="953" customWidth="1"/>
    <col min="259" max="259" width="22.7109375" style="953" customWidth="1"/>
    <col min="260" max="260" width="15.7109375" style="953" customWidth="1"/>
    <col min="261" max="261" width="18" style="953" customWidth="1"/>
    <col min="262" max="262" width="32.42578125" style="953" customWidth="1"/>
    <col min="263" max="263" width="10.7109375" style="953" customWidth="1"/>
    <col min="264" max="264" width="6.28515625" style="953" customWidth="1"/>
    <col min="265" max="265" width="11" style="953" customWidth="1"/>
    <col min="266" max="266" width="33.5703125" style="953" customWidth="1"/>
    <col min="267" max="267" width="9.7109375" style="953" customWidth="1"/>
    <col min="268" max="268" width="65.28515625" style="953" customWidth="1"/>
    <col min="269" max="269" width="24.7109375" style="953" customWidth="1"/>
    <col min="270" max="270" width="16.28515625" style="953" bestFit="1" customWidth="1"/>
    <col min="271" max="273" width="9.7109375" style="953" customWidth="1"/>
    <col min="274" max="274" width="0" style="953" hidden="1" customWidth="1"/>
    <col min="275" max="275" width="9.7109375" style="953" customWidth="1"/>
    <col min="276" max="512" width="9.140625" style="953"/>
    <col min="513" max="513" width="9.140625" style="953" customWidth="1"/>
    <col min="514" max="514" width="20" style="953" customWidth="1"/>
    <col min="515" max="515" width="22.7109375" style="953" customWidth="1"/>
    <col min="516" max="516" width="15.7109375" style="953" customWidth="1"/>
    <col min="517" max="517" width="18" style="953" customWidth="1"/>
    <col min="518" max="518" width="32.42578125" style="953" customWidth="1"/>
    <col min="519" max="519" width="10.7109375" style="953" customWidth="1"/>
    <col min="520" max="520" width="6.28515625" style="953" customWidth="1"/>
    <col min="521" max="521" width="11" style="953" customWidth="1"/>
    <col min="522" max="522" width="33.5703125" style="953" customWidth="1"/>
    <col min="523" max="523" width="9.7109375" style="953" customWidth="1"/>
    <col min="524" max="524" width="65.28515625" style="953" customWidth="1"/>
    <col min="525" max="525" width="24.7109375" style="953" customWidth="1"/>
    <col min="526" max="526" width="16.28515625" style="953" bestFit="1" customWidth="1"/>
    <col min="527" max="529" width="9.7109375" style="953" customWidth="1"/>
    <col min="530" max="530" width="0" style="953" hidden="1" customWidth="1"/>
    <col min="531" max="531" width="9.7109375" style="953" customWidth="1"/>
    <col min="532" max="768" width="9.140625" style="953"/>
    <col min="769" max="769" width="9.140625" style="953" customWidth="1"/>
    <col min="770" max="770" width="20" style="953" customWidth="1"/>
    <col min="771" max="771" width="22.7109375" style="953" customWidth="1"/>
    <col min="772" max="772" width="15.7109375" style="953" customWidth="1"/>
    <col min="773" max="773" width="18" style="953" customWidth="1"/>
    <col min="774" max="774" width="32.42578125" style="953" customWidth="1"/>
    <col min="775" max="775" width="10.7109375" style="953" customWidth="1"/>
    <col min="776" max="776" width="6.28515625" style="953" customWidth="1"/>
    <col min="777" max="777" width="11" style="953" customWidth="1"/>
    <col min="778" max="778" width="33.5703125" style="953" customWidth="1"/>
    <col min="779" max="779" width="9.7109375" style="953" customWidth="1"/>
    <col min="780" max="780" width="65.28515625" style="953" customWidth="1"/>
    <col min="781" max="781" width="24.7109375" style="953" customWidth="1"/>
    <col min="782" max="782" width="16.28515625" style="953" bestFit="1" customWidth="1"/>
    <col min="783" max="785" width="9.7109375" style="953" customWidth="1"/>
    <col min="786" max="786" width="0" style="953" hidden="1" customWidth="1"/>
    <col min="787" max="787" width="9.7109375" style="953" customWidth="1"/>
    <col min="788" max="1024" width="9.140625" style="953"/>
    <col min="1025" max="1025" width="9.140625" style="953" customWidth="1"/>
    <col min="1026" max="1026" width="20" style="953" customWidth="1"/>
    <col min="1027" max="1027" width="22.7109375" style="953" customWidth="1"/>
    <col min="1028" max="1028" width="15.7109375" style="953" customWidth="1"/>
    <col min="1029" max="1029" width="18" style="953" customWidth="1"/>
    <col min="1030" max="1030" width="32.42578125" style="953" customWidth="1"/>
    <col min="1031" max="1031" width="10.7109375" style="953" customWidth="1"/>
    <col min="1032" max="1032" width="6.28515625" style="953" customWidth="1"/>
    <col min="1033" max="1033" width="11" style="953" customWidth="1"/>
    <col min="1034" max="1034" width="33.5703125" style="953" customWidth="1"/>
    <col min="1035" max="1035" width="9.7109375" style="953" customWidth="1"/>
    <col min="1036" max="1036" width="65.28515625" style="953" customWidth="1"/>
    <col min="1037" max="1037" width="24.7109375" style="953" customWidth="1"/>
    <col min="1038" max="1038" width="16.28515625" style="953" bestFit="1" customWidth="1"/>
    <col min="1039" max="1041" width="9.7109375" style="953" customWidth="1"/>
    <col min="1042" max="1042" width="0" style="953" hidden="1" customWidth="1"/>
    <col min="1043" max="1043" width="9.7109375" style="953" customWidth="1"/>
    <col min="1044" max="1280" width="9.140625" style="953"/>
    <col min="1281" max="1281" width="9.140625" style="953" customWidth="1"/>
    <col min="1282" max="1282" width="20" style="953" customWidth="1"/>
    <col min="1283" max="1283" width="22.7109375" style="953" customWidth="1"/>
    <col min="1284" max="1284" width="15.7109375" style="953" customWidth="1"/>
    <col min="1285" max="1285" width="18" style="953" customWidth="1"/>
    <col min="1286" max="1286" width="32.42578125" style="953" customWidth="1"/>
    <col min="1287" max="1287" width="10.7109375" style="953" customWidth="1"/>
    <col min="1288" max="1288" width="6.28515625" style="953" customWidth="1"/>
    <col min="1289" max="1289" width="11" style="953" customWidth="1"/>
    <col min="1290" max="1290" width="33.5703125" style="953" customWidth="1"/>
    <col min="1291" max="1291" width="9.7109375" style="953" customWidth="1"/>
    <col min="1292" max="1292" width="65.28515625" style="953" customWidth="1"/>
    <col min="1293" max="1293" width="24.7109375" style="953" customWidth="1"/>
    <col min="1294" max="1294" width="16.28515625" style="953" bestFit="1" customWidth="1"/>
    <col min="1295" max="1297" width="9.7109375" style="953" customWidth="1"/>
    <col min="1298" max="1298" width="0" style="953" hidden="1" customWidth="1"/>
    <col min="1299" max="1299" width="9.7109375" style="953" customWidth="1"/>
    <col min="1300" max="1536" width="9.140625" style="953"/>
    <col min="1537" max="1537" width="9.140625" style="953" customWidth="1"/>
    <col min="1538" max="1538" width="20" style="953" customWidth="1"/>
    <col min="1539" max="1539" width="22.7109375" style="953" customWidth="1"/>
    <col min="1540" max="1540" width="15.7109375" style="953" customWidth="1"/>
    <col min="1541" max="1541" width="18" style="953" customWidth="1"/>
    <col min="1542" max="1542" width="32.42578125" style="953" customWidth="1"/>
    <col min="1543" max="1543" width="10.7109375" style="953" customWidth="1"/>
    <col min="1544" max="1544" width="6.28515625" style="953" customWidth="1"/>
    <col min="1545" max="1545" width="11" style="953" customWidth="1"/>
    <col min="1546" max="1546" width="33.5703125" style="953" customWidth="1"/>
    <col min="1547" max="1547" width="9.7109375" style="953" customWidth="1"/>
    <col min="1548" max="1548" width="65.28515625" style="953" customWidth="1"/>
    <col min="1549" max="1549" width="24.7109375" style="953" customWidth="1"/>
    <col min="1550" max="1550" width="16.28515625" style="953" bestFit="1" customWidth="1"/>
    <col min="1551" max="1553" width="9.7109375" style="953" customWidth="1"/>
    <col min="1554" max="1554" width="0" style="953" hidden="1" customWidth="1"/>
    <col min="1555" max="1555" width="9.7109375" style="953" customWidth="1"/>
    <col min="1556" max="1792" width="9.140625" style="953"/>
    <col min="1793" max="1793" width="9.140625" style="953" customWidth="1"/>
    <col min="1794" max="1794" width="20" style="953" customWidth="1"/>
    <col min="1795" max="1795" width="22.7109375" style="953" customWidth="1"/>
    <col min="1796" max="1796" width="15.7109375" style="953" customWidth="1"/>
    <col min="1797" max="1797" width="18" style="953" customWidth="1"/>
    <col min="1798" max="1798" width="32.42578125" style="953" customWidth="1"/>
    <col min="1799" max="1799" width="10.7109375" style="953" customWidth="1"/>
    <col min="1800" max="1800" width="6.28515625" style="953" customWidth="1"/>
    <col min="1801" max="1801" width="11" style="953" customWidth="1"/>
    <col min="1802" max="1802" width="33.5703125" style="953" customWidth="1"/>
    <col min="1803" max="1803" width="9.7109375" style="953" customWidth="1"/>
    <col min="1804" max="1804" width="65.28515625" style="953" customWidth="1"/>
    <col min="1805" max="1805" width="24.7109375" style="953" customWidth="1"/>
    <col min="1806" max="1806" width="16.28515625" style="953" bestFit="1" customWidth="1"/>
    <col min="1807" max="1809" width="9.7109375" style="953" customWidth="1"/>
    <col min="1810" max="1810" width="0" style="953" hidden="1" customWidth="1"/>
    <col min="1811" max="1811" width="9.7109375" style="953" customWidth="1"/>
    <col min="1812" max="2048" width="9.140625" style="953"/>
    <col min="2049" max="2049" width="9.140625" style="953" customWidth="1"/>
    <col min="2050" max="2050" width="20" style="953" customWidth="1"/>
    <col min="2051" max="2051" width="22.7109375" style="953" customWidth="1"/>
    <col min="2052" max="2052" width="15.7109375" style="953" customWidth="1"/>
    <col min="2053" max="2053" width="18" style="953" customWidth="1"/>
    <col min="2054" max="2054" width="32.42578125" style="953" customWidth="1"/>
    <col min="2055" max="2055" width="10.7109375" style="953" customWidth="1"/>
    <col min="2056" max="2056" width="6.28515625" style="953" customWidth="1"/>
    <col min="2057" max="2057" width="11" style="953" customWidth="1"/>
    <col min="2058" max="2058" width="33.5703125" style="953" customWidth="1"/>
    <col min="2059" max="2059" width="9.7109375" style="953" customWidth="1"/>
    <col min="2060" max="2060" width="65.28515625" style="953" customWidth="1"/>
    <col min="2061" max="2061" width="24.7109375" style="953" customWidth="1"/>
    <col min="2062" max="2062" width="16.28515625" style="953" bestFit="1" customWidth="1"/>
    <col min="2063" max="2065" width="9.7109375" style="953" customWidth="1"/>
    <col min="2066" max="2066" width="0" style="953" hidden="1" customWidth="1"/>
    <col min="2067" max="2067" width="9.7109375" style="953" customWidth="1"/>
    <col min="2068" max="2304" width="9.140625" style="953"/>
    <col min="2305" max="2305" width="9.140625" style="953" customWidth="1"/>
    <col min="2306" max="2306" width="20" style="953" customWidth="1"/>
    <col min="2307" max="2307" width="22.7109375" style="953" customWidth="1"/>
    <col min="2308" max="2308" width="15.7109375" style="953" customWidth="1"/>
    <col min="2309" max="2309" width="18" style="953" customWidth="1"/>
    <col min="2310" max="2310" width="32.42578125" style="953" customWidth="1"/>
    <col min="2311" max="2311" width="10.7109375" style="953" customWidth="1"/>
    <col min="2312" max="2312" width="6.28515625" style="953" customWidth="1"/>
    <col min="2313" max="2313" width="11" style="953" customWidth="1"/>
    <col min="2314" max="2314" width="33.5703125" style="953" customWidth="1"/>
    <col min="2315" max="2315" width="9.7109375" style="953" customWidth="1"/>
    <col min="2316" max="2316" width="65.28515625" style="953" customWidth="1"/>
    <col min="2317" max="2317" width="24.7109375" style="953" customWidth="1"/>
    <col min="2318" max="2318" width="16.28515625" style="953" bestFit="1" customWidth="1"/>
    <col min="2319" max="2321" width="9.7109375" style="953" customWidth="1"/>
    <col min="2322" max="2322" width="0" style="953" hidden="1" customWidth="1"/>
    <col min="2323" max="2323" width="9.7109375" style="953" customWidth="1"/>
    <col min="2324" max="2560" width="9.140625" style="953"/>
    <col min="2561" max="2561" width="9.140625" style="953" customWidth="1"/>
    <col min="2562" max="2562" width="20" style="953" customWidth="1"/>
    <col min="2563" max="2563" width="22.7109375" style="953" customWidth="1"/>
    <col min="2564" max="2564" width="15.7109375" style="953" customWidth="1"/>
    <col min="2565" max="2565" width="18" style="953" customWidth="1"/>
    <col min="2566" max="2566" width="32.42578125" style="953" customWidth="1"/>
    <col min="2567" max="2567" width="10.7109375" style="953" customWidth="1"/>
    <col min="2568" max="2568" width="6.28515625" style="953" customWidth="1"/>
    <col min="2569" max="2569" width="11" style="953" customWidth="1"/>
    <col min="2570" max="2570" width="33.5703125" style="953" customWidth="1"/>
    <col min="2571" max="2571" width="9.7109375" style="953" customWidth="1"/>
    <col min="2572" max="2572" width="65.28515625" style="953" customWidth="1"/>
    <col min="2573" max="2573" width="24.7109375" style="953" customWidth="1"/>
    <col min="2574" max="2574" width="16.28515625" style="953" bestFit="1" customWidth="1"/>
    <col min="2575" max="2577" width="9.7109375" style="953" customWidth="1"/>
    <col min="2578" max="2578" width="0" style="953" hidden="1" customWidth="1"/>
    <col min="2579" max="2579" width="9.7109375" style="953" customWidth="1"/>
    <col min="2580" max="2816" width="9.140625" style="953"/>
    <col min="2817" max="2817" width="9.140625" style="953" customWidth="1"/>
    <col min="2818" max="2818" width="20" style="953" customWidth="1"/>
    <col min="2819" max="2819" width="22.7109375" style="953" customWidth="1"/>
    <col min="2820" max="2820" width="15.7109375" style="953" customWidth="1"/>
    <col min="2821" max="2821" width="18" style="953" customWidth="1"/>
    <col min="2822" max="2822" width="32.42578125" style="953" customWidth="1"/>
    <col min="2823" max="2823" width="10.7109375" style="953" customWidth="1"/>
    <col min="2824" max="2824" width="6.28515625" style="953" customWidth="1"/>
    <col min="2825" max="2825" width="11" style="953" customWidth="1"/>
    <col min="2826" max="2826" width="33.5703125" style="953" customWidth="1"/>
    <col min="2827" max="2827" width="9.7109375" style="953" customWidth="1"/>
    <col min="2828" max="2828" width="65.28515625" style="953" customWidth="1"/>
    <col min="2829" max="2829" width="24.7109375" style="953" customWidth="1"/>
    <col min="2830" max="2830" width="16.28515625" style="953" bestFit="1" customWidth="1"/>
    <col min="2831" max="2833" width="9.7109375" style="953" customWidth="1"/>
    <col min="2834" max="2834" width="0" style="953" hidden="1" customWidth="1"/>
    <col min="2835" max="2835" width="9.7109375" style="953" customWidth="1"/>
    <col min="2836" max="3072" width="9.140625" style="953"/>
    <col min="3073" max="3073" width="9.140625" style="953" customWidth="1"/>
    <col min="3074" max="3074" width="20" style="953" customWidth="1"/>
    <col min="3075" max="3075" width="22.7109375" style="953" customWidth="1"/>
    <col min="3076" max="3076" width="15.7109375" style="953" customWidth="1"/>
    <col min="3077" max="3077" width="18" style="953" customWidth="1"/>
    <col min="3078" max="3078" width="32.42578125" style="953" customWidth="1"/>
    <col min="3079" max="3079" width="10.7109375" style="953" customWidth="1"/>
    <col min="3080" max="3080" width="6.28515625" style="953" customWidth="1"/>
    <col min="3081" max="3081" width="11" style="953" customWidth="1"/>
    <col min="3082" max="3082" width="33.5703125" style="953" customWidth="1"/>
    <col min="3083" max="3083" width="9.7109375" style="953" customWidth="1"/>
    <col min="3084" max="3084" width="65.28515625" style="953" customWidth="1"/>
    <col min="3085" max="3085" width="24.7109375" style="953" customWidth="1"/>
    <col min="3086" max="3086" width="16.28515625" style="953" bestFit="1" customWidth="1"/>
    <col min="3087" max="3089" width="9.7109375" style="953" customWidth="1"/>
    <col min="3090" max="3090" width="0" style="953" hidden="1" customWidth="1"/>
    <col min="3091" max="3091" width="9.7109375" style="953" customWidth="1"/>
    <col min="3092" max="3328" width="9.140625" style="953"/>
    <col min="3329" max="3329" width="9.140625" style="953" customWidth="1"/>
    <col min="3330" max="3330" width="20" style="953" customWidth="1"/>
    <col min="3331" max="3331" width="22.7109375" style="953" customWidth="1"/>
    <col min="3332" max="3332" width="15.7109375" style="953" customWidth="1"/>
    <col min="3333" max="3333" width="18" style="953" customWidth="1"/>
    <col min="3334" max="3334" width="32.42578125" style="953" customWidth="1"/>
    <col min="3335" max="3335" width="10.7109375" style="953" customWidth="1"/>
    <col min="3336" max="3336" width="6.28515625" style="953" customWidth="1"/>
    <col min="3337" max="3337" width="11" style="953" customWidth="1"/>
    <col min="3338" max="3338" width="33.5703125" style="953" customWidth="1"/>
    <col min="3339" max="3339" width="9.7109375" style="953" customWidth="1"/>
    <col min="3340" max="3340" width="65.28515625" style="953" customWidth="1"/>
    <col min="3341" max="3341" width="24.7109375" style="953" customWidth="1"/>
    <col min="3342" max="3342" width="16.28515625" style="953" bestFit="1" customWidth="1"/>
    <col min="3343" max="3345" width="9.7109375" style="953" customWidth="1"/>
    <col min="3346" max="3346" width="0" style="953" hidden="1" customWidth="1"/>
    <col min="3347" max="3347" width="9.7109375" style="953" customWidth="1"/>
    <col min="3348" max="3584" width="9.140625" style="953"/>
    <col min="3585" max="3585" width="9.140625" style="953" customWidth="1"/>
    <col min="3586" max="3586" width="20" style="953" customWidth="1"/>
    <col min="3587" max="3587" width="22.7109375" style="953" customWidth="1"/>
    <col min="3588" max="3588" width="15.7109375" style="953" customWidth="1"/>
    <col min="3589" max="3589" width="18" style="953" customWidth="1"/>
    <col min="3590" max="3590" width="32.42578125" style="953" customWidth="1"/>
    <col min="3591" max="3591" width="10.7109375" style="953" customWidth="1"/>
    <col min="3592" max="3592" width="6.28515625" style="953" customWidth="1"/>
    <col min="3593" max="3593" width="11" style="953" customWidth="1"/>
    <col min="3594" max="3594" width="33.5703125" style="953" customWidth="1"/>
    <col min="3595" max="3595" width="9.7109375" style="953" customWidth="1"/>
    <col min="3596" max="3596" width="65.28515625" style="953" customWidth="1"/>
    <col min="3597" max="3597" width="24.7109375" style="953" customWidth="1"/>
    <col min="3598" max="3598" width="16.28515625" style="953" bestFit="1" customWidth="1"/>
    <col min="3599" max="3601" width="9.7109375" style="953" customWidth="1"/>
    <col min="3602" max="3602" width="0" style="953" hidden="1" customWidth="1"/>
    <col min="3603" max="3603" width="9.7109375" style="953" customWidth="1"/>
    <col min="3604" max="3840" width="9.140625" style="953"/>
    <col min="3841" max="3841" width="9.140625" style="953" customWidth="1"/>
    <col min="3842" max="3842" width="20" style="953" customWidth="1"/>
    <col min="3843" max="3843" width="22.7109375" style="953" customWidth="1"/>
    <col min="3844" max="3844" width="15.7109375" style="953" customWidth="1"/>
    <col min="3845" max="3845" width="18" style="953" customWidth="1"/>
    <col min="3846" max="3846" width="32.42578125" style="953" customWidth="1"/>
    <col min="3847" max="3847" width="10.7109375" style="953" customWidth="1"/>
    <col min="3848" max="3848" width="6.28515625" style="953" customWidth="1"/>
    <col min="3849" max="3849" width="11" style="953" customWidth="1"/>
    <col min="3850" max="3850" width="33.5703125" style="953" customWidth="1"/>
    <col min="3851" max="3851" width="9.7109375" style="953" customWidth="1"/>
    <col min="3852" max="3852" width="65.28515625" style="953" customWidth="1"/>
    <col min="3853" max="3853" width="24.7109375" style="953" customWidth="1"/>
    <col min="3854" max="3854" width="16.28515625" style="953" bestFit="1" customWidth="1"/>
    <col min="3855" max="3857" width="9.7109375" style="953" customWidth="1"/>
    <col min="3858" max="3858" width="0" style="953" hidden="1" customWidth="1"/>
    <col min="3859" max="3859" width="9.7109375" style="953" customWidth="1"/>
    <col min="3860" max="4096" width="9.140625" style="953"/>
    <col min="4097" max="4097" width="9.140625" style="953" customWidth="1"/>
    <col min="4098" max="4098" width="20" style="953" customWidth="1"/>
    <col min="4099" max="4099" width="22.7109375" style="953" customWidth="1"/>
    <col min="4100" max="4100" width="15.7109375" style="953" customWidth="1"/>
    <col min="4101" max="4101" width="18" style="953" customWidth="1"/>
    <col min="4102" max="4102" width="32.42578125" style="953" customWidth="1"/>
    <col min="4103" max="4103" width="10.7109375" style="953" customWidth="1"/>
    <col min="4104" max="4104" width="6.28515625" style="953" customWidth="1"/>
    <col min="4105" max="4105" width="11" style="953" customWidth="1"/>
    <col min="4106" max="4106" width="33.5703125" style="953" customWidth="1"/>
    <col min="4107" max="4107" width="9.7109375" style="953" customWidth="1"/>
    <col min="4108" max="4108" width="65.28515625" style="953" customWidth="1"/>
    <col min="4109" max="4109" width="24.7109375" style="953" customWidth="1"/>
    <col min="4110" max="4110" width="16.28515625" style="953" bestFit="1" customWidth="1"/>
    <col min="4111" max="4113" width="9.7109375" style="953" customWidth="1"/>
    <col min="4114" max="4114" width="0" style="953" hidden="1" customWidth="1"/>
    <col min="4115" max="4115" width="9.7109375" style="953" customWidth="1"/>
    <col min="4116" max="4352" width="9.140625" style="953"/>
    <col min="4353" max="4353" width="9.140625" style="953" customWidth="1"/>
    <col min="4354" max="4354" width="20" style="953" customWidth="1"/>
    <col min="4355" max="4355" width="22.7109375" style="953" customWidth="1"/>
    <col min="4356" max="4356" width="15.7109375" style="953" customWidth="1"/>
    <col min="4357" max="4357" width="18" style="953" customWidth="1"/>
    <col min="4358" max="4358" width="32.42578125" style="953" customWidth="1"/>
    <col min="4359" max="4359" width="10.7109375" style="953" customWidth="1"/>
    <col min="4360" max="4360" width="6.28515625" style="953" customWidth="1"/>
    <col min="4361" max="4361" width="11" style="953" customWidth="1"/>
    <col min="4362" max="4362" width="33.5703125" style="953" customWidth="1"/>
    <col min="4363" max="4363" width="9.7109375" style="953" customWidth="1"/>
    <col min="4364" max="4364" width="65.28515625" style="953" customWidth="1"/>
    <col min="4365" max="4365" width="24.7109375" style="953" customWidth="1"/>
    <col min="4366" max="4366" width="16.28515625" style="953" bestFit="1" customWidth="1"/>
    <col min="4367" max="4369" width="9.7109375" style="953" customWidth="1"/>
    <col min="4370" max="4370" width="0" style="953" hidden="1" customWidth="1"/>
    <col min="4371" max="4371" width="9.7109375" style="953" customWidth="1"/>
    <col min="4372" max="4608" width="9.140625" style="953"/>
    <col min="4609" max="4609" width="9.140625" style="953" customWidth="1"/>
    <col min="4610" max="4610" width="20" style="953" customWidth="1"/>
    <col min="4611" max="4611" width="22.7109375" style="953" customWidth="1"/>
    <col min="4612" max="4612" width="15.7109375" style="953" customWidth="1"/>
    <col min="4613" max="4613" width="18" style="953" customWidth="1"/>
    <col min="4614" max="4614" width="32.42578125" style="953" customWidth="1"/>
    <col min="4615" max="4615" width="10.7109375" style="953" customWidth="1"/>
    <col min="4616" max="4616" width="6.28515625" style="953" customWidth="1"/>
    <col min="4617" max="4617" width="11" style="953" customWidth="1"/>
    <col min="4618" max="4618" width="33.5703125" style="953" customWidth="1"/>
    <col min="4619" max="4619" width="9.7109375" style="953" customWidth="1"/>
    <col min="4620" max="4620" width="65.28515625" style="953" customWidth="1"/>
    <col min="4621" max="4621" width="24.7109375" style="953" customWidth="1"/>
    <col min="4622" max="4622" width="16.28515625" style="953" bestFit="1" customWidth="1"/>
    <col min="4623" max="4625" width="9.7109375" style="953" customWidth="1"/>
    <col min="4626" max="4626" width="0" style="953" hidden="1" customWidth="1"/>
    <col min="4627" max="4627" width="9.7109375" style="953" customWidth="1"/>
    <col min="4628" max="4864" width="9.140625" style="953"/>
    <col min="4865" max="4865" width="9.140625" style="953" customWidth="1"/>
    <col min="4866" max="4866" width="20" style="953" customWidth="1"/>
    <col min="4867" max="4867" width="22.7109375" style="953" customWidth="1"/>
    <col min="4868" max="4868" width="15.7109375" style="953" customWidth="1"/>
    <col min="4869" max="4869" width="18" style="953" customWidth="1"/>
    <col min="4870" max="4870" width="32.42578125" style="953" customWidth="1"/>
    <col min="4871" max="4871" width="10.7109375" style="953" customWidth="1"/>
    <col min="4872" max="4872" width="6.28515625" style="953" customWidth="1"/>
    <col min="4873" max="4873" width="11" style="953" customWidth="1"/>
    <col min="4874" max="4874" width="33.5703125" style="953" customWidth="1"/>
    <col min="4875" max="4875" width="9.7109375" style="953" customWidth="1"/>
    <col min="4876" max="4876" width="65.28515625" style="953" customWidth="1"/>
    <col min="4877" max="4877" width="24.7109375" style="953" customWidth="1"/>
    <col min="4878" max="4878" width="16.28515625" style="953" bestFit="1" customWidth="1"/>
    <col min="4879" max="4881" width="9.7109375" style="953" customWidth="1"/>
    <col min="4882" max="4882" width="0" style="953" hidden="1" customWidth="1"/>
    <col min="4883" max="4883" width="9.7109375" style="953" customWidth="1"/>
    <col min="4884" max="5120" width="9.140625" style="953"/>
    <col min="5121" max="5121" width="9.140625" style="953" customWidth="1"/>
    <col min="5122" max="5122" width="20" style="953" customWidth="1"/>
    <col min="5123" max="5123" width="22.7109375" style="953" customWidth="1"/>
    <col min="5124" max="5124" width="15.7109375" style="953" customWidth="1"/>
    <col min="5125" max="5125" width="18" style="953" customWidth="1"/>
    <col min="5126" max="5126" width="32.42578125" style="953" customWidth="1"/>
    <col min="5127" max="5127" width="10.7109375" style="953" customWidth="1"/>
    <col min="5128" max="5128" width="6.28515625" style="953" customWidth="1"/>
    <col min="5129" max="5129" width="11" style="953" customWidth="1"/>
    <col min="5130" max="5130" width="33.5703125" style="953" customWidth="1"/>
    <col min="5131" max="5131" width="9.7109375" style="953" customWidth="1"/>
    <col min="5132" max="5132" width="65.28515625" style="953" customWidth="1"/>
    <col min="5133" max="5133" width="24.7109375" style="953" customWidth="1"/>
    <col min="5134" max="5134" width="16.28515625" style="953" bestFit="1" customWidth="1"/>
    <col min="5135" max="5137" width="9.7109375" style="953" customWidth="1"/>
    <col min="5138" max="5138" width="0" style="953" hidden="1" customWidth="1"/>
    <col min="5139" max="5139" width="9.7109375" style="953" customWidth="1"/>
    <col min="5140" max="5376" width="9.140625" style="953"/>
    <col min="5377" max="5377" width="9.140625" style="953" customWidth="1"/>
    <col min="5378" max="5378" width="20" style="953" customWidth="1"/>
    <col min="5379" max="5379" width="22.7109375" style="953" customWidth="1"/>
    <col min="5380" max="5380" width="15.7109375" style="953" customWidth="1"/>
    <col min="5381" max="5381" width="18" style="953" customWidth="1"/>
    <col min="5382" max="5382" width="32.42578125" style="953" customWidth="1"/>
    <col min="5383" max="5383" width="10.7109375" style="953" customWidth="1"/>
    <col min="5384" max="5384" width="6.28515625" style="953" customWidth="1"/>
    <col min="5385" max="5385" width="11" style="953" customWidth="1"/>
    <col min="5386" max="5386" width="33.5703125" style="953" customWidth="1"/>
    <col min="5387" max="5387" width="9.7109375" style="953" customWidth="1"/>
    <col min="5388" max="5388" width="65.28515625" style="953" customWidth="1"/>
    <col min="5389" max="5389" width="24.7109375" style="953" customWidth="1"/>
    <col min="5390" max="5390" width="16.28515625" style="953" bestFit="1" customWidth="1"/>
    <col min="5391" max="5393" width="9.7109375" style="953" customWidth="1"/>
    <col min="5394" max="5394" width="0" style="953" hidden="1" customWidth="1"/>
    <col min="5395" max="5395" width="9.7109375" style="953" customWidth="1"/>
    <col min="5396" max="5632" width="9.140625" style="953"/>
    <col min="5633" max="5633" width="9.140625" style="953" customWidth="1"/>
    <col min="5634" max="5634" width="20" style="953" customWidth="1"/>
    <col min="5635" max="5635" width="22.7109375" style="953" customWidth="1"/>
    <col min="5636" max="5636" width="15.7109375" style="953" customWidth="1"/>
    <col min="5637" max="5637" width="18" style="953" customWidth="1"/>
    <col min="5638" max="5638" width="32.42578125" style="953" customWidth="1"/>
    <col min="5639" max="5639" width="10.7109375" style="953" customWidth="1"/>
    <col min="5640" max="5640" width="6.28515625" style="953" customWidth="1"/>
    <col min="5641" max="5641" width="11" style="953" customWidth="1"/>
    <col min="5642" max="5642" width="33.5703125" style="953" customWidth="1"/>
    <col min="5643" max="5643" width="9.7109375" style="953" customWidth="1"/>
    <col min="5644" max="5644" width="65.28515625" style="953" customWidth="1"/>
    <col min="5645" max="5645" width="24.7109375" style="953" customWidth="1"/>
    <col min="5646" max="5646" width="16.28515625" style="953" bestFit="1" customWidth="1"/>
    <col min="5647" max="5649" width="9.7109375" style="953" customWidth="1"/>
    <col min="5650" max="5650" width="0" style="953" hidden="1" customWidth="1"/>
    <col min="5651" max="5651" width="9.7109375" style="953" customWidth="1"/>
    <col min="5652" max="5888" width="9.140625" style="953"/>
    <col min="5889" max="5889" width="9.140625" style="953" customWidth="1"/>
    <col min="5890" max="5890" width="20" style="953" customWidth="1"/>
    <col min="5891" max="5891" width="22.7109375" style="953" customWidth="1"/>
    <col min="5892" max="5892" width="15.7109375" style="953" customWidth="1"/>
    <col min="5893" max="5893" width="18" style="953" customWidth="1"/>
    <col min="5894" max="5894" width="32.42578125" style="953" customWidth="1"/>
    <col min="5895" max="5895" width="10.7109375" style="953" customWidth="1"/>
    <col min="5896" max="5896" width="6.28515625" style="953" customWidth="1"/>
    <col min="5897" max="5897" width="11" style="953" customWidth="1"/>
    <col min="5898" max="5898" width="33.5703125" style="953" customWidth="1"/>
    <col min="5899" max="5899" width="9.7109375" style="953" customWidth="1"/>
    <col min="5900" max="5900" width="65.28515625" style="953" customWidth="1"/>
    <col min="5901" max="5901" width="24.7109375" style="953" customWidth="1"/>
    <col min="5902" max="5902" width="16.28515625" style="953" bestFit="1" customWidth="1"/>
    <col min="5903" max="5905" width="9.7109375" style="953" customWidth="1"/>
    <col min="5906" max="5906" width="0" style="953" hidden="1" customWidth="1"/>
    <col min="5907" max="5907" width="9.7109375" style="953" customWidth="1"/>
    <col min="5908" max="6144" width="9.140625" style="953"/>
    <col min="6145" max="6145" width="9.140625" style="953" customWidth="1"/>
    <col min="6146" max="6146" width="20" style="953" customWidth="1"/>
    <col min="6147" max="6147" width="22.7109375" style="953" customWidth="1"/>
    <col min="6148" max="6148" width="15.7109375" style="953" customWidth="1"/>
    <col min="6149" max="6149" width="18" style="953" customWidth="1"/>
    <col min="6150" max="6150" width="32.42578125" style="953" customWidth="1"/>
    <col min="6151" max="6151" width="10.7109375" style="953" customWidth="1"/>
    <col min="6152" max="6152" width="6.28515625" style="953" customWidth="1"/>
    <col min="6153" max="6153" width="11" style="953" customWidth="1"/>
    <col min="6154" max="6154" width="33.5703125" style="953" customWidth="1"/>
    <col min="6155" max="6155" width="9.7109375" style="953" customWidth="1"/>
    <col min="6156" max="6156" width="65.28515625" style="953" customWidth="1"/>
    <col min="6157" max="6157" width="24.7109375" style="953" customWidth="1"/>
    <col min="6158" max="6158" width="16.28515625" style="953" bestFit="1" customWidth="1"/>
    <col min="6159" max="6161" width="9.7109375" style="953" customWidth="1"/>
    <col min="6162" max="6162" width="0" style="953" hidden="1" customWidth="1"/>
    <col min="6163" max="6163" width="9.7109375" style="953" customWidth="1"/>
    <col min="6164" max="6400" width="9.140625" style="953"/>
    <col min="6401" max="6401" width="9.140625" style="953" customWidth="1"/>
    <col min="6402" max="6402" width="20" style="953" customWidth="1"/>
    <col min="6403" max="6403" width="22.7109375" style="953" customWidth="1"/>
    <col min="6404" max="6404" width="15.7109375" style="953" customWidth="1"/>
    <col min="6405" max="6405" width="18" style="953" customWidth="1"/>
    <col min="6406" max="6406" width="32.42578125" style="953" customWidth="1"/>
    <col min="6407" max="6407" width="10.7109375" style="953" customWidth="1"/>
    <col min="6408" max="6408" width="6.28515625" style="953" customWidth="1"/>
    <col min="6409" max="6409" width="11" style="953" customWidth="1"/>
    <col min="6410" max="6410" width="33.5703125" style="953" customWidth="1"/>
    <col min="6411" max="6411" width="9.7109375" style="953" customWidth="1"/>
    <col min="6412" max="6412" width="65.28515625" style="953" customWidth="1"/>
    <col min="6413" max="6413" width="24.7109375" style="953" customWidth="1"/>
    <col min="6414" max="6414" width="16.28515625" style="953" bestFit="1" customWidth="1"/>
    <col min="6415" max="6417" width="9.7109375" style="953" customWidth="1"/>
    <col min="6418" max="6418" width="0" style="953" hidden="1" customWidth="1"/>
    <col min="6419" max="6419" width="9.7109375" style="953" customWidth="1"/>
    <col min="6420" max="6656" width="9.140625" style="953"/>
    <col min="6657" max="6657" width="9.140625" style="953" customWidth="1"/>
    <col min="6658" max="6658" width="20" style="953" customWidth="1"/>
    <col min="6659" max="6659" width="22.7109375" style="953" customWidth="1"/>
    <col min="6660" max="6660" width="15.7109375" style="953" customWidth="1"/>
    <col min="6661" max="6661" width="18" style="953" customWidth="1"/>
    <col min="6662" max="6662" width="32.42578125" style="953" customWidth="1"/>
    <col min="6663" max="6663" width="10.7109375" style="953" customWidth="1"/>
    <col min="6664" max="6664" width="6.28515625" style="953" customWidth="1"/>
    <col min="6665" max="6665" width="11" style="953" customWidth="1"/>
    <col min="6666" max="6666" width="33.5703125" style="953" customWidth="1"/>
    <col min="6667" max="6667" width="9.7109375" style="953" customWidth="1"/>
    <col min="6668" max="6668" width="65.28515625" style="953" customWidth="1"/>
    <col min="6669" max="6669" width="24.7109375" style="953" customWidth="1"/>
    <col min="6670" max="6670" width="16.28515625" style="953" bestFit="1" customWidth="1"/>
    <col min="6671" max="6673" width="9.7109375" style="953" customWidth="1"/>
    <col min="6674" max="6674" width="0" style="953" hidden="1" customWidth="1"/>
    <col min="6675" max="6675" width="9.7109375" style="953" customWidth="1"/>
    <col min="6676" max="6912" width="9.140625" style="953"/>
    <col min="6913" max="6913" width="9.140625" style="953" customWidth="1"/>
    <col min="6914" max="6914" width="20" style="953" customWidth="1"/>
    <col min="6915" max="6915" width="22.7109375" style="953" customWidth="1"/>
    <col min="6916" max="6916" width="15.7109375" style="953" customWidth="1"/>
    <col min="6917" max="6917" width="18" style="953" customWidth="1"/>
    <col min="6918" max="6918" width="32.42578125" style="953" customWidth="1"/>
    <col min="6919" max="6919" width="10.7109375" style="953" customWidth="1"/>
    <col min="6920" max="6920" width="6.28515625" style="953" customWidth="1"/>
    <col min="6921" max="6921" width="11" style="953" customWidth="1"/>
    <col min="6922" max="6922" width="33.5703125" style="953" customWidth="1"/>
    <col min="6923" max="6923" width="9.7109375" style="953" customWidth="1"/>
    <col min="6924" max="6924" width="65.28515625" style="953" customWidth="1"/>
    <col min="6925" max="6925" width="24.7109375" style="953" customWidth="1"/>
    <col min="6926" max="6926" width="16.28515625" style="953" bestFit="1" customWidth="1"/>
    <col min="6927" max="6929" width="9.7109375" style="953" customWidth="1"/>
    <col min="6930" max="6930" width="0" style="953" hidden="1" customWidth="1"/>
    <col min="6931" max="6931" width="9.7109375" style="953" customWidth="1"/>
    <col min="6932" max="7168" width="9.140625" style="953"/>
    <col min="7169" max="7169" width="9.140625" style="953" customWidth="1"/>
    <col min="7170" max="7170" width="20" style="953" customWidth="1"/>
    <col min="7171" max="7171" width="22.7109375" style="953" customWidth="1"/>
    <col min="7172" max="7172" width="15.7109375" style="953" customWidth="1"/>
    <col min="7173" max="7173" width="18" style="953" customWidth="1"/>
    <col min="7174" max="7174" width="32.42578125" style="953" customWidth="1"/>
    <col min="7175" max="7175" width="10.7109375" style="953" customWidth="1"/>
    <col min="7176" max="7176" width="6.28515625" style="953" customWidth="1"/>
    <col min="7177" max="7177" width="11" style="953" customWidth="1"/>
    <col min="7178" max="7178" width="33.5703125" style="953" customWidth="1"/>
    <col min="7179" max="7179" width="9.7109375" style="953" customWidth="1"/>
    <col min="7180" max="7180" width="65.28515625" style="953" customWidth="1"/>
    <col min="7181" max="7181" width="24.7109375" style="953" customWidth="1"/>
    <col min="7182" max="7182" width="16.28515625" style="953" bestFit="1" customWidth="1"/>
    <col min="7183" max="7185" width="9.7109375" style="953" customWidth="1"/>
    <col min="7186" max="7186" width="0" style="953" hidden="1" customWidth="1"/>
    <col min="7187" max="7187" width="9.7109375" style="953" customWidth="1"/>
    <col min="7188" max="7424" width="9.140625" style="953"/>
    <col min="7425" max="7425" width="9.140625" style="953" customWidth="1"/>
    <col min="7426" max="7426" width="20" style="953" customWidth="1"/>
    <col min="7427" max="7427" width="22.7109375" style="953" customWidth="1"/>
    <col min="7428" max="7428" width="15.7109375" style="953" customWidth="1"/>
    <col min="7429" max="7429" width="18" style="953" customWidth="1"/>
    <col min="7430" max="7430" width="32.42578125" style="953" customWidth="1"/>
    <col min="7431" max="7431" width="10.7109375" style="953" customWidth="1"/>
    <col min="7432" max="7432" width="6.28515625" style="953" customWidth="1"/>
    <col min="7433" max="7433" width="11" style="953" customWidth="1"/>
    <col min="7434" max="7434" width="33.5703125" style="953" customWidth="1"/>
    <col min="7435" max="7435" width="9.7109375" style="953" customWidth="1"/>
    <col min="7436" max="7436" width="65.28515625" style="953" customWidth="1"/>
    <col min="7437" max="7437" width="24.7109375" style="953" customWidth="1"/>
    <col min="7438" max="7438" width="16.28515625" style="953" bestFit="1" customWidth="1"/>
    <col min="7439" max="7441" width="9.7109375" style="953" customWidth="1"/>
    <col min="7442" max="7442" width="0" style="953" hidden="1" customWidth="1"/>
    <col min="7443" max="7443" width="9.7109375" style="953" customWidth="1"/>
    <col min="7444" max="7680" width="9.140625" style="953"/>
    <col min="7681" max="7681" width="9.140625" style="953" customWidth="1"/>
    <col min="7682" max="7682" width="20" style="953" customWidth="1"/>
    <col min="7683" max="7683" width="22.7109375" style="953" customWidth="1"/>
    <col min="7684" max="7684" width="15.7109375" style="953" customWidth="1"/>
    <col min="7685" max="7685" width="18" style="953" customWidth="1"/>
    <col min="7686" max="7686" width="32.42578125" style="953" customWidth="1"/>
    <col min="7687" max="7687" width="10.7109375" style="953" customWidth="1"/>
    <col min="7688" max="7688" width="6.28515625" style="953" customWidth="1"/>
    <col min="7689" max="7689" width="11" style="953" customWidth="1"/>
    <col min="7690" max="7690" width="33.5703125" style="953" customWidth="1"/>
    <col min="7691" max="7691" width="9.7109375" style="953" customWidth="1"/>
    <col min="7692" max="7692" width="65.28515625" style="953" customWidth="1"/>
    <col min="7693" max="7693" width="24.7109375" style="953" customWidth="1"/>
    <col min="7694" max="7694" width="16.28515625" style="953" bestFit="1" customWidth="1"/>
    <col min="7695" max="7697" width="9.7109375" style="953" customWidth="1"/>
    <col min="7698" max="7698" width="0" style="953" hidden="1" customWidth="1"/>
    <col min="7699" max="7699" width="9.7109375" style="953" customWidth="1"/>
    <col min="7700" max="7936" width="9.140625" style="953"/>
    <col min="7937" max="7937" width="9.140625" style="953" customWidth="1"/>
    <col min="7938" max="7938" width="20" style="953" customWidth="1"/>
    <col min="7939" max="7939" width="22.7109375" style="953" customWidth="1"/>
    <col min="7940" max="7940" width="15.7109375" style="953" customWidth="1"/>
    <col min="7941" max="7941" width="18" style="953" customWidth="1"/>
    <col min="7942" max="7942" width="32.42578125" style="953" customWidth="1"/>
    <col min="7943" max="7943" width="10.7109375" style="953" customWidth="1"/>
    <col min="7944" max="7944" width="6.28515625" style="953" customWidth="1"/>
    <col min="7945" max="7945" width="11" style="953" customWidth="1"/>
    <col min="7946" max="7946" width="33.5703125" style="953" customWidth="1"/>
    <col min="7947" max="7947" width="9.7109375" style="953" customWidth="1"/>
    <col min="7948" max="7948" width="65.28515625" style="953" customWidth="1"/>
    <col min="7949" max="7949" width="24.7109375" style="953" customWidth="1"/>
    <col min="7950" max="7950" width="16.28515625" style="953" bestFit="1" customWidth="1"/>
    <col min="7951" max="7953" width="9.7109375" style="953" customWidth="1"/>
    <col min="7954" max="7954" width="0" style="953" hidden="1" customWidth="1"/>
    <col min="7955" max="7955" width="9.7109375" style="953" customWidth="1"/>
    <col min="7956" max="8192" width="9.140625" style="953"/>
    <col min="8193" max="8193" width="9.140625" style="953" customWidth="1"/>
    <col min="8194" max="8194" width="20" style="953" customWidth="1"/>
    <col min="8195" max="8195" width="22.7109375" style="953" customWidth="1"/>
    <col min="8196" max="8196" width="15.7109375" style="953" customWidth="1"/>
    <col min="8197" max="8197" width="18" style="953" customWidth="1"/>
    <col min="8198" max="8198" width="32.42578125" style="953" customWidth="1"/>
    <col min="8199" max="8199" width="10.7109375" style="953" customWidth="1"/>
    <col min="8200" max="8200" width="6.28515625" style="953" customWidth="1"/>
    <col min="8201" max="8201" width="11" style="953" customWidth="1"/>
    <col min="8202" max="8202" width="33.5703125" style="953" customWidth="1"/>
    <col min="8203" max="8203" width="9.7109375" style="953" customWidth="1"/>
    <col min="8204" max="8204" width="65.28515625" style="953" customWidth="1"/>
    <col min="8205" max="8205" width="24.7109375" style="953" customWidth="1"/>
    <col min="8206" max="8206" width="16.28515625" style="953" bestFit="1" customWidth="1"/>
    <col min="8207" max="8209" width="9.7109375" style="953" customWidth="1"/>
    <col min="8210" max="8210" width="0" style="953" hidden="1" customWidth="1"/>
    <col min="8211" max="8211" width="9.7109375" style="953" customWidth="1"/>
    <col min="8212" max="8448" width="9.140625" style="953"/>
    <col min="8449" max="8449" width="9.140625" style="953" customWidth="1"/>
    <col min="8450" max="8450" width="20" style="953" customWidth="1"/>
    <col min="8451" max="8451" width="22.7109375" style="953" customWidth="1"/>
    <col min="8452" max="8452" width="15.7109375" style="953" customWidth="1"/>
    <col min="8453" max="8453" width="18" style="953" customWidth="1"/>
    <col min="8454" max="8454" width="32.42578125" style="953" customWidth="1"/>
    <col min="8455" max="8455" width="10.7109375" style="953" customWidth="1"/>
    <col min="8456" max="8456" width="6.28515625" style="953" customWidth="1"/>
    <col min="8457" max="8457" width="11" style="953" customWidth="1"/>
    <col min="8458" max="8458" width="33.5703125" style="953" customWidth="1"/>
    <col min="8459" max="8459" width="9.7109375" style="953" customWidth="1"/>
    <col min="8460" max="8460" width="65.28515625" style="953" customWidth="1"/>
    <col min="8461" max="8461" width="24.7109375" style="953" customWidth="1"/>
    <col min="8462" max="8462" width="16.28515625" style="953" bestFit="1" customWidth="1"/>
    <col min="8463" max="8465" width="9.7109375" style="953" customWidth="1"/>
    <col min="8466" max="8466" width="0" style="953" hidden="1" customWidth="1"/>
    <col min="8467" max="8467" width="9.7109375" style="953" customWidth="1"/>
    <col min="8468" max="8704" width="9.140625" style="953"/>
    <col min="8705" max="8705" width="9.140625" style="953" customWidth="1"/>
    <col min="8706" max="8706" width="20" style="953" customWidth="1"/>
    <col min="8707" max="8707" width="22.7109375" style="953" customWidth="1"/>
    <col min="8708" max="8708" width="15.7109375" style="953" customWidth="1"/>
    <col min="8709" max="8709" width="18" style="953" customWidth="1"/>
    <col min="8710" max="8710" width="32.42578125" style="953" customWidth="1"/>
    <col min="8711" max="8711" width="10.7109375" style="953" customWidth="1"/>
    <col min="8712" max="8712" width="6.28515625" style="953" customWidth="1"/>
    <col min="8713" max="8713" width="11" style="953" customWidth="1"/>
    <col min="8714" max="8714" width="33.5703125" style="953" customWidth="1"/>
    <col min="8715" max="8715" width="9.7109375" style="953" customWidth="1"/>
    <col min="8716" max="8716" width="65.28515625" style="953" customWidth="1"/>
    <col min="8717" max="8717" width="24.7109375" style="953" customWidth="1"/>
    <col min="8718" max="8718" width="16.28515625" style="953" bestFit="1" customWidth="1"/>
    <col min="8719" max="8721" width="9.7109375" style="953" customWidth="1"/>
    <col min="8722" max="8722" width="0" style="953" hidden="1" customWidth="1"/>
    <col min="8723" max="8723" width="9.7109375" style="953" customWidth="1"/>
    <col min="8724" max="8960" width="9.140625" style="953"/>
    <col min="8961" max="8961" width="9.140625" style="953" customWidth="1"/>
    <col min="8962" max="8962" width="20" style="953" customWidth="1"/>
    <col min="8963" max="8963" width="22.7109375" style="953" customWidth="1"/>
    <col min="8964" max="8964" width="15.7109375" style="953" customWidth="1"/>
    <col min="8965" max="8965" width="18" style="953" customWidth="1"/>
    <col min="8966" max="8966" width="32.42578125" style="953" customWidth="1"/>
    <col min="8967" max="8967" width="10.7109375" style="953" customWidth="1"/>
    <col min="8968" max="8968" width="6.28515625" style="953" customWidth="1"/>
    <col min="8969" max="8969" width="11" style="953" customWidth="1"/>
    <col min="8970" max="8970" width="33.5703125" style="953" customWidth="1"/>
    <col min="8971" max="8971" width="9.7109375" style="953" customWidth="1"/>
    <col min="8972" max="8972" width="65.28515625" style="953" customWidth="1"/>
    <col min="8973" max="8973" width="24.7109375" style="953" customWidth="1"/>
    <col min="8974" max="8974" width="16.28515625" style="953" bestFit="1" customWidth="1"/>
    <col min="8975" max="8977" width="9.7109375" style="953" customWidth="1"/>
    <col min="8978" max="8978" width="0" style="953" hidden="1" customWidth="1"/>
    <col min="8979" max="8979" width="9.7109375" style="953" customWidth="1"/>
    <col min="8980" max="9216" width="9.140625" style="953"/>
    <col min="9217" max="9217" width="9.140625" style="953" customWidth="1"/>
    <col min="9218" max="9218" width="20" style="953" customWidth="1"/>
    <col min="9219" max="9219" width="22.7109375" style="953" customWidth="1"/>
    <col min="9220" max="9220" width="15.7109375" style="953" customWidth="1"/>
    <col min="9221" max="9221" width="18" style="953" customWidth="1"/>
    <col min="9222" max="9222" width="32.42578125" style="953" customWidth="1"/>
    <col min="9223" max="9223" width="10.7109375" style="953" customWidth="1"/>
    <col min="9224" max="9224" width="6.28515625" style="953" customWidth="1"/>
    <col min="9225" max="9225" width="11" style="953" customWidth="1"/>
    <col min="9226" max="9226" width="33.5703125" style="953" customWidth="1"/>
    <col min="9227" max="9227" width="9.7109375" style="953" customWidth="1"/>
    <col min="9228" max="9228" width="65.28515625" style="953" customWidth="1"/>
    <col min="9229" max="9229" width="24.7109375" style="953" customWidth="1"/>
    <col min="9230" max="9230" width="16.28515625" style="953" bestFit="1" customWidth="1"/>
    <col min="9231" max="9233" width="9.7109375" style="953" customWidth="1"/>
    <col min="9234" max="9234" width="0" style="953" hidden="1" customWidth="1"/>
    <col min="9235" max="9235" width="9.7109375" style="953" customWidth="1"/>
    <col min="9236" max="9472" width="9.140625" style="953"/>
    <col min="9473" max="9473" width="9.140625" style="953" customWidth="1"/>
    <col min="9474" max="9474" width="20" style="953" customWidth="1"/>
    <col min="9475" max="9475" width="22.7109375" style="953" customWidth="1"/>
    <col min="9476" max="9476" width="15.7109375" style="953" customWidth="1"/>
    <col min="9477" max="9477" width="18" style="953" customWidth="1"/>
    <col min="9478" max="9478" width="32.42578125" style="953" customWidth="1"/>
    <col min="9479" max="9479" width="10.7109375" style="953" customWidth="1"/>
    <col min="9480" max="9480" width="6.28515625" style="953" customWidth="1"/>
    <col min="9481" max="9481" width="11" style="953" customWidth="1"/>
    <col min="9482" max="9482" width="33.5703125" style="953" customWidth="1"/>
    <col min="9483" max="9483" width="9.7109375" style="953" customWidth="1"/>
    <col min="9484" max="9484" width="65.28515625" style="953" customWidth="1"/>
    <col min="9485" max="9485" width="24.7109375" style="953" customWidth="1"/>
    <col min="9486" max="9486" width="16.28515625" style="953" bestFit="1" customWidth="1"/>
    <col min="9487" max="9489" width="9.7109375" style="953" customWidth="1"/>
    <col min="9490" max="9490" width="0" style="953" hidden="1" customWidth="1"/>
    <col min="9491" max="9491" width="9.7109375" style="953" customWidth="1"/>
    <col min="9492" max="9728" width="9.140625" style="953"/>
    <col min="9729" max="9729" width="9.140625" style="953" customWidth="1"/>
    <col min="9730" max="9730" width="20" style="953" customWidth="1"/>
    <col min="9731" max="9731" width="22.7109375" style="953" customWidth="1"/>
    <col min="9732" max="9732" width="15.7109375" style="953" customWidth="1"/>
    <col min="9733" max="9733" width="18" style="953" customWidth="1"/>
    <col min="9734" max="9734" width="32.42578125" style="953" customWidth="1"/>
    <col min="9735" max="9735" width="10.7109375" style="953" customWidth="1"/>
    <col min="9736" max="9736" width="6.28515625" style="953" customWidth="1"/>
    <col min="9737" max="9737" width="11" style="953" customWidth="1"/>
    <col min="9738" max="9738" width="33.5703125" style="953" customWidth="1"/>
    <col min="9739" max="9739" width="9.7109375" style="953" customWidth="1"/>
    <col min="9740" max="9740" width="65.28515625" style="953" customWidth="1"/>
    <col min="9741" max="9741" width="24.7109375" style="953" customWidth="1"/>
    <col min="9742" max="9742" width="16.28515625" style="953" bestFit="1" customWidth="1"/>
    <col min="9743" max="9745" width="9.7109375" style="953" customWidth="1"/>
    <col min="9746" max="9746" width="0" style="953" hidden="1" customWidth="1"/>
    <col min="9747" max="9747" width="9.7109375" style="953" customWidth="1"/>
    <col min="9748" max="9984" width="9.140625" style="953"/>
    <col min="9985" max="9985" width="9.140625" style="953" customWidth="1"/>
    <col min="9986" max="9986" width="20" style="953" customWidth="1"/>
    <col min="9987" max="9987" width="22.7109375" style="953" customWidth="1"/>
    <col min="9988" max="9988" width="15.7109375" style="953" customWidth="1"/>
    <col min="9989" max="9989" width="18" style="953" customWidth="1"/>
    <col min="9990" max="9990" width="32.42578125" style="953" customWidth="1"/>
    <col min="9991" max="9991" width="10.7109375" style="953" customWidth="1"/>
    <col min="9992" max="9992" width="6.28515625" style="953" customWidth="1"/>
    <col min="9993" max="9993" width="11" style="953" customWidth="1"/>
    <col min="9994" max="9994" width="33.5703125" style="953" customWidth="1"/>
    <col min="9995" max="9995" width="9.7109375" style="953" customWidth="1"/>
    <col min="9996" max="9996" width="65.28515625" style="953" customWidth="1"/>
    <col min="9997" max="9997" width="24.7109375" style="953" customWidth="1"/>
    <col min="9998" max="9998" width="16.28515625" style="953" bestFit="1" customWidth="1"/>
    <col min="9999" max="10001" width="9.7109375" style="953" customWidth="1"/>
    <col min="10002" max="10002" width="0" style="953" hidden="1" customWidth="1"/>
    <col min="10003" max="10003" width="9.7109375" style="953" customWidth="1"/>
    <col min="10004" max="10240" width="9.140625" style="953"/>
    <col min="10241" max="10241" width="9.140625" style="953" customWidth="1"/>
    <col min="10242" max="10242" width="20" style="953" customWidth="1"/>
    <col min="10243" max="10243" width="22.7109375" style="953" customWidth="1"/>
    <col min="10244" max="10244" width="15.7109375" style="953" customWidth="1"/>
    <col min="10245" max="10245" width="18" style="953" customWidth="1"/>
    <col min="10246" max="10246" width="32.42578125" style="953" customWidth="1"/>
    <col min="10247" max="10247" width="10.7109375" style="953" customWidth="1"/>
    <col min="10248" max="10248" width="6.28515625" style="953" customWidth="1"/>
    <col min="10249" max="10249" width="11" style="953" customWidth="1"/>
    <col min="10250" max="10250" width="33.5703125" style="953" customWidth="1"/>
    <col min="10251" max="10251" width="9.7109375" style="953" customWidth="1"/>
    <col min="10252" max="10252" width="65.28515625" style="953" customWidth="1"/>
    <col min="10253" max="10253" width="24.7109375" style="953" customWidth="1"/>
    <col min="10254" max="10254" width="16.28515625" style="953" bestFit="1" customWidth="1"/>
    <col min="10255" max="10257" width="9.7109375" style="953" customWidth="1"/>
    <col min="10258" max="10258" width="0" style="953" hidden="1" customWidth="1"/>
    <col min="10259" max="10259" width="9.7109375" style="953" customWidth="1"/>
    <col min="10260" max="10496" width="9.140625" style="953"/>
    <col min="10497" max="10497" width="9.140625" style="953" customWidth="1"/>
    <col min="10498" max="10498" width="20" style="953" customWidth="1"/>
    <col min="10499" max="10499" width="22.7109375" style="953" customWidth="1"/>
    <col min="10500" max="10500" width="15.7109375" style="953" customWidth="1"/>
    <col min="10501" max="10501" width="18" style="953" customWidth="1"/>
    <col min="10502" max="10502" width="32.42578125" style="953" customWidth="1"/>
    <col min="10503" max="10503" width="10.7109375" style="953" customWidth="1"/>
    <col min="10504" max="10504" width="6.28515625" style="953" customWidth="1"/>
    <col min="10505" max="10505" width="11" style="953" customWidth="1"/>
    <col min="10506" max="10506" width="33.5703125" style="953" customWidth="1"/>
    <col min="10507" max="10507" width="9.7109375" style="953" customWidth="1"/>
    <col min="10508" max="10508" width="65.28515625" style="953" customWidth="1"/>
    <col min="10509" max="10509" width="24.7109375" style="953" customWidth="1"/>
    <col min="10510" max="10510" width="16.28515625" style="953" bestFit="1" customWidth="1"/>
    <col min="10511" max="10513" width="9.7109375" style="953" customWidth="1"/>
    <col min="10514" max="10514" width="0" style="953" hidden="1" customWidth="1"/>
    <col min="10515" max="10515" width="9.7109375" style="953" customWidth="1"/>
    <col min="10516" max="10752" width="9.140625" style="953"/>
    <col min="10753" max="10753" width="9.140625" style="953" customWidth="1"/>
    <col min="10754" max="10754" width="20" style="953" customWidth="1"/>
    <col min="10755" max="10755" width="22.7109375" style="953" customWidth="1"/>
    <col min="10756" max="10756" width="15.7109375" style="953" customWidth="1"/>
    <col min="10757" max="10757" width="18" style="953" customWidth="1"/>
    <col min="10758" max="10758" width="32.42578125" style="953" customWidth="1"/>
    <col min="10759" max="10759" width="10.7109375" style="953" customWidth="1"/>
    <col min="10760" max="10760" width="6.28515625" style="953" customWidth="1"/>
    <col min="10761" max="10761" width="11" style="953" customWidth="1"/>
    <col min="10762" max="10762" width="33.5703125" style="953" customWidth="1"/>
    <col min="10763" max="10763" width="9.7109375" style="953" customWidth="1"/>
    <col min="10764" max="10764" width="65.28515625" style="953" customWidth="1"/>
    <col min="10765" max="10765" width="24.7109375" style="953" customWidth="1"/>
    <col min="10766" max="10766" width="16.28515625" style="953" bestFit="1" customWidth="1"/>
    <col min="10767" max="10769" width="9.7109375" style="953" customWidth="1"/>
    <col min="10770" max="10770" width="0" style="953" hidden="1" customWidth="1"/>
    <col min="10771" max="10771" width="9.7109375" style="953" customWidth="1"/>
    <col min="10772" max="11008" width="9.140625" style="953"/>
    <col min="11009" max="11009" width="9.140625" style="953" customWidth="1"/>
    <col min="11010" max="11010" width="20" style="953" customWidth="1"/>
    <col min="11011" max="11011" width="22.7109375" style="953" customWidth="1"/>
    <col min="11012" max="11012" width="15.7109375" style="953" customWidth="1"/>
    <col min="11013" max="11013" width="18" style="953" customWidth="1"/>
    <col min="11014" max="11014" width="32.42578125" style="953" customWidth="1"/>
    <col min="11015" max="11015" width="10.7109375" style="953" customWidth="1"/>
    <col min="11016" max="11016" width="6.28515625" style="953" customWidth="1"/>
    <col min="11017" max="11017" width="11" style="953" customWidth="1"/>
    <col min="11018" max="11018" width="33.5703125" style="953" customWidth="1"/>
    <col min="11019" max="11019" width="9.7109375" style="953" customWidth="1"/>
    <col min="11020" max="11020" width="65.28515625" style="953" customWidth="1"/>
    <col min="11021" max="11021" width="24.7109375" style="953" customWidth="1"/>
    <col min="11022" max="11022" width="16.28515625" style="953" bestFit="1" customWidth="1"/>
    <col min="11023" max="11025" width="9.7109375" style="953" customWidth="1"/>
    <col min="11026" max="11026" width="0" style="953" hidden="1" customWidth="1"/>
    <col min="11027" max="11027" width="9.7109375" style="953" customWidth="1"/>
    <col min="11028" max="11264" width="9.140625" style="953"/>
    <col min="11265" max="11265" width="9.140625" style="953" customWidth="1"/>
    <col min="11266" max="11266" width="20" style="953" customWidth="1"/>
    <col min="11267" max="11267" width="22.7109375" style="953" customWidth="1"/>
    <col min="11268" max="11268" width="15.7109375" style="953" customWidth="1"/>
    <col min="11269" max="11269" width="18" style="953" customWidth="1"/>
    <col min="11270" max="11270" width="32.42578125" style="953" customWidth="1"/>
    <col min="11271" max="11271" width="10.7109375" style="953" customWidth="1"/>
    <col min="11272" max="11272" width="6.28515625" style="953" customWidth="1"/>
    <col min="11273" max="11273" width="11" style="953" customWidth="1"/>
    <col min="11274" max="11274" width="33.5703125" style="953" customWidth="1"/>
    <col min="11275" max="11275" width="9.7109375" style="953" customWidth="1"/>
    <col min="11276" max="11276" width="65.28515625" style="953" customWidth="1"/>
    <col min="11277" max="11277" width="24.7109375" style="953" customWidth="1"/>
    <col min="11278" max="11278" width="16.28515625" style="953" bestFit="1" customWidth="1"/>
    <col min="11279" max="11281" width="9.7109375" style="953" customWidth="1"/>
    <col min="11282" max="11282" width="0" style="953" hidden="1" customWidth="1"/>
    <col min="11283" max="11283" width="9.7109375" style="953" customWidth="1"/>
    <col min="11284" max="11520" width="9.140625" style="953"/>
    <col min="11521" max="11521" width="9.140625" style="953" customWidth="1"/>
    <col min="11522" max="11522" width="20" style="953" customWidth="1"/>
    <col min="11523" max="11523" width="22.7109375" style="953" customWidth="1"/>
    <col min="11524" max="11524" width="15.7109375" style="953" customWidth="1"/>
    <col min="11525" max="11525" width="18" style="953" customWidth="1"/>
    <col min="11526" max="11526" width="32.42578125" style="953" customWidth="1"/>
    <col min="11527" max="11527" width="10.7109375" style="953" customWidth="1"/>
    <col min="11528" max="11528" width="6.28515625" style="953" customWidth="1"/>
    <col min="11529" max="11529" width="11" style="953" customWidth="1"/>
    <col min="11530" max="11530" width="33.5703125" style="953" customWidth="1"/>
    <col min="11531" max="11531" width="9.7109375" style="953" customWidth="1"/>
    <col min="11532" max="11532" width="65.28515625" style="953" customWidth="1"/>
    <col min="11533" max="11533" width="24.7109375" style="953" customWidth="1"/>
    <col min="11534" max="11534" width="16.28515625" style="953" bestFit="1" customWidth="1"/>
    <col min="11535" max="11537" width="9.7109375" style="953" customWidth="1"/>
    <col min="11538" max="11538" width="0" style="953" hidden="1" customWidth="1"/>
    <col min="11539" max="11539" width="9.7109375" style="953" customWidth="1"/>
    <col min="11540" max="11776" width="9.140625" style="953"/>
    <col min="11777" max="11777" width="9.140625" style="953" customWidth="1"/>
    <col min="11778" max="11778" width="20" style="953" customWidth="1"/>
    <col min="11779" max="11779" width="22.7109375" style="953" customWidth="1"/>
    <col min="11780" max="11780" width="15.7109375" style="953" customWidth="1"/>
    <col min="11781" max="11781" width="18" style="953" customWidth="1"/>
    <col min="11782" max="11782" width="32.42578125" style="953" customWidth="1"/>
    <col min="11783" max="11783" width="10.7109375" style="953" customWidth="1"/>
    <col min="11784" max="11784" width="6.28515625" style="953" customWidth="1"/>
    <col min="11785" max="11785" width="11" style="953" customWidth="1"/>
    <col min="11786" max="11786" width="33.5703125" style="953" customWidth="1"/>
    <col min="11787" max="11787" width="9.7109375" style="953" customWidth="1"/>
    <col min="11788" max="11788" width="65.28515625" style="953" customWidth="1"/>
    <col min="11789" max="11789" width="24.7109375" style="953" customWidth="1"/>
    <col min="11790" max="11790" width="16.28515625" style="953" bestFit="1" customWidth="1"/>
    <col min="11791" max="11793" width="9.7109375" style="953" customWidth="1"/>
    <col min="11794" max="11794" width="0" style="953" hidden="1" customWidth="1"/>
    <col min="11795" max="11795" width="9.7109375" style="953" customWidth="1"/>
    <col min="11796" max="12032" width="9.140625" style="953"/>
    <col min="12033" max="12033" width="9.140625" style="953" customWidth="1"/>
    <col min="12034" max="12034" width="20" style="953" customWidth="1"/>
    <col min="12035" max="12035" width="22.7109375" style="953" customWidth="1"/>
    <col min="12036" max="12036" width="15.7109375" style="953" customWidth="1"/>
    <col min="12037" max="12037" width="18" style="953" customWidth="1"/>
    <col min="12038" max="12038" width="32.42578125" style="953" customWidth="1"/>
    <col min="12039" max="12039" width="10.7109375" style="953" customWidth="1"/>
    <col min="12040" max="12040" width="6.28515625" style="953" customWidth="1"/>
    <col min="12041" max="12041" width="11" style="953" customWidth="1"/>
    <col min="12042" max="12042" width="33.5703125" style="953" customWidth="1"/>
    <col min="12043" max="12043" width="9.7109375" style="953" customWidth="1"/>
    <col min="12044" max="12044" width="65.28515625" style="953" customWidth="1"/>
    <col min="12045" max="12045" width="24.7109375" style="953" customWidth="1"/>
    <col min="12046" max="12046" width="16.28515625" style="953" bestFit="1" customWidth="1"/>
    <col min="12047" max="12049" width="9.7109375" style="953" customWidth="1"/>
    <col min="12050" max="12050" width="0" style="953" hidden="1" customWidth="1"/>
    <col min="12051" max="12051" width="9.7109375" style="953" customWidth="1"/>
    <col min="12052" max="12288" width="9.140625" style="953"/>
    <col min="12289" max="12289" width="9.140625" style="953" customWidth="1"/>
    <col min="12290" max="12290" width="20" style="953" customWidth="1"/>
    <col min="12291" max="12291" width="22.7109375" style="953" customWidth="1"/>
    <col min="12292" max="12292" width="15.7109375" style="953" customWidth="1"/>
    <col min="12293" max="12293" width="18" style="953" customWidth="1"/>
    <col min="12294" max="12294" width="32.42578125" style="953" customWidth="1"/>
    <col min="12295" max="12295" width="10.7109375" style="953" customWidth="1"/>
    <col min="12296" max="12296" width="6.28515625" style="953" customWidth="1"/>
    <col min="12297" max="12297" width="11" style="953" customWidth="1"/>
    <col min="12298" max="12298" width="33.5703125" style="953" customWidth="1"/>
    <col min="12299" max="12299" width="9.7109375" style="953" customWidth="1"/>
    <col min="12300" max="12300" width="65.28515625" style="953" customWidth="1"/>
    <col min="12301" max="12301" width="24.7109375" style="953" customWidth="1"/>
    <col min="12302" max="12302" width="16.28515625" style="953" bestFit="1" customWidth="1"/>
    <col min="12303" max="12305" width="9.7109375" style="953" customWidth="1"/>
    <col min="12306" max="12306" width="0" style="953" hidden="1" customWidth="1"/>
    <col min="12307" max="12307" width="9.7109375" style="953" customWidth="1"/>
    <col min="12308" max="12544" width="9.140625" style="953"/>
    <col min="12545" max="12545" width="9.140625" style="953" customWidth="1"/>
    <col min="12546" max="12546" width="20" style="953" customWidth="1"/>
    <col min="12547" max="12547" width="22.7109375" style="953" customWidth="1"/>
    <col min="12548" max="12548" width="15.7109375" style="953" customWidth="1"/>
    <col min="12549" max="12549" width="18" style="953" customWidth="1"/>
    <col min="12550" max="12550" width="32.42578125" style="953" customWidth="1"/>
    <col min="12551" max="12551" width="10.7109375" style="953" customWidth="1"/>
    <col min="12552" max="12552" width="6.28515625" style="953" customWidth="1"/>
    <col min="12553" max="12553" width="11" style="953" customWidth="1"/>
    <col min="12554" max="12554" width="33.5703125" style="953" customWidth="1"/>
    <col min="12555" max="12555" width="9.7109375" style="953" customWidth="1"/>
    <col min="12556" max="12556" width="65.28515625" style="953" customWidth="1"/>
    <col min="12557" max="12557" width="24.7109375" style="953" customWidth="1"/>
    <col min="12558" max="12558" width="16.28515625" style="953" bestFit="1" customWidth="1"/>
    <col min="12559" max="12561" width="9.7109375" style="953" customWidth="1"/>
    <col min="12562" max="12562" width="0" style="953" hidden="1" customWidth="1"/>
    <col min="12563" max="12563" width="9.7109375" style="953" customWidth="1"/>
    <col min="12564" max="12800" width="9.140625" style="953"/>
    <col min="12801" max="12801" width="9.140625" style="953" customWidth="1"/>
    <col min="12802" max="12802" width="20" style="953" customWidth="1"/>
    <col min="12803" max="12803" width="22.7109375" style="953" customWidth="1"/>
    <col min="12804" max="12804" width="15.7109375" style="953" customWidth="1"/>
    <col min="12805" max="12805" width="18" style="953" customWidth="1"/>
    <col min="12806" max="12806" width="32.42578125" style="953" customWidth="1"/>
    <col min="12807" max="12807" width="10.7109375" style="953" customWidth="1"/>
    <col min="12808" max="12808" width="6.28515625" style="953" customWidth="1"/>
    <col min="12809" max="12809" width="11" style="953" customWidth="1"/>
    <col min="12810" max="12810" width="33.5703125" style="953" customWidth="1"/>
    <col min="12811" max="12811" width="9.7109375" style="953" customWidth="1"/>
    <col min="12812" max="12812" width="65.28515625" style="953" customWidth="1"/>
    <col min="12813" max="12813" width="24.7109375" style="953" customWidth="1"/>
    <col min="12814" max="12814" width="16.28515625" style="953" bestFit="1" customWidth="1"/>
    <col min="12815" max="12817" width="9.7109375" style="953" customWidth="1"/>
    <col min="12818" max="12818" width="0" style="953" hidden="1" customWidth="1"/>
    <col min="12819" max="12819" width="9.7109375" style="953" customWidth="1"/>
    <col min="12820" max="13056" width="9.140625" style="953"/>
    <col min="13057" max="13057" width="9.140625" style="953" customWidth="1"/>
    <col min="13058" max="13058" width="20" style="953" customWidth="1"/>
    <col min="13059" max="13059" width="22.7109375" style="953" customWidth="1"/>
    <col min="13060" max="13060" width="15.7109375" style="953" customWidth="1"/>
    <col min="13061" max="13061" width="18" style="953" customWidth="1"/>
    <col min="13062" max="13062" width="32.42578125" style="953" customWidth="1"/>
    <col min="13063" max="13063" width="10.7109375" style="953" customWidth="1"/>
    <col min="13064" max="13064" width="6.28515625" style="953" customWidth="1"/>
    <col min="13065" max="13065" width="11" style="953" customWidth="1"/>
    <col min="13066" max="13066" width="33.5703125" style="953" customWidth="1"/>
    <col min="13067" max="13067" width="9.7109375" style="953" customWidth="1"/>
    <col min="13068" max="13068" width="65.28515625" style="953" customWidth="1"/>
    <col min="13069" max="13069" width="24.7109375" style="953" customWidth="1"/>
    <col min="13070" max="13070" width="16.28515625" style="953" bestFit="1" customWidth="1"/>
    <col min="13071" max="13073" width="9.7109375" style="953" customWidth="1"/>
    <col min="13074" max="13074" width="0" style="953" hidden="1" customWidth="1"/>
    <col min="13075" max="13075" width="9.7109375" style="953" customWidth="1"/>
    <col min="13076" max="13312" width="9.140625" style="953"/>
    <col min="13313" max="13313" width="9.140625" style="953" customWidth="1"/>
    <col min="13314" max="13314" width="20" style="953" customWidth="1"/>
    <col min="13315" max="13315" width="22.7109375" style="953" customWidth="1"/>
    <col min="13316" max="13316" width="15.7109375" style="953" customWidth="1"/>
    <col min="13317" max="13317" width="18" style="953" customWidth="1"/>
    <col min="13318" max="13318" width="32.42578125" style="953" customWidth="1"/>
    <col min="13319" max="13319" width="10.7109375" style="953" customWidth="1"/>
    <col min="13320" max="13320" width="6.28515625" style="953" customWidth="1"/>
    <col min="13321" max="13321" width="11" style="953" customWidth="1"/>
    <col min="13322" max="13322" width="33.5703125" style="953" customWidth="1"/>
    <col min="13323" max="13323" width="9.7109375" style="953" customWidth="1"/>
    <col min="13324" max="13324" width="65.28515625" style="953" customWidth="1"/>
    <col min="13325" max="13325" width="24.7109375" style="953" customWidth="1"/>
    <col min="13326" max="13326" width="16.28515625" style="953" bestFit="1" customWidth="1"/>
    <col min="13327" max="13329" width="9.7109375" style="953" customWidth="1"/>
    <col min="13330" max="13330" width="0" style="953" hidden="1" customWidth="1"/>
    <col min="13331" max="13331" width="9.7109375" style="953" customWidth="1"/>
    <col min="13332" max="13568" width="9.140625" style="953"/>
    <col min="13569" max="13569" width="9.140625" style="953" customWidth="1"/>
    <col min="13570" max="13570" width="20" style="953" customWidth="1"/>
    <col min="13571" max="13571" width="22.7109375" style="953" customWidth="1"/>
    <col min="13572" max="13572" width="15.7109375" style="953" customWidth="1"/>
    <col min="13573" max="13573" width="18" style="953" customWidth="1"/>
    <col min="13574" max="13574" width="32.42578125" style="953" customWidth="1"/>
    <col min="13575" max="13575" width="10.7109375" style="953" customWidth="1"/>
    <col min="13576" max="13576" width="6.28515625" style="953" customWidth="1"/>
    <col min="13577" max="13577" width="11" style="953" customWidth="1"/>
    <col min="13578" max="13578" width="33.5703125" style="953" customWidth="1"/>
    <col min="13579" max="13579" width="9.7109375" style="953" customWidth="1"/>
    <col min="13580" max="13580" width="65.28515625" style="953" customWidth="1"/>
    <col min="13581" max="13581" width="24.7109375" style="953" customWidth="1"/>
    <col min="13582" max="13582" width="16.28515625" style="953" bestFit="1" customWidth="1"/>
    <col min="13583" max="13585" width="9.7109375" style="953" customWidth="1"/>
    <col min="13586" max="13586" width="0" style="953" hidden="1" customWidth="1"/>
    <col min="13587" max="13587" width="9.7109375" style="953" customWidth="1"/>
    <col min="13588" max="13824" width="9.140625" style="953"/>
    <col min="13825" max="13825" width="9.140625" style="953" customWidth="1"/>
    <col min="13826" max="13826" width="20" style="953" customWidth="1"/>
    <col min="13827" max="13827" width="22.7109375" style="953" customWidth="1"/>
    <col min="13828" max="13828" width="15.7109375" style="953" customWidth="1"/>
    <col min="13829" max="13829" width="18" style="953" customWidth="1"/>
    <col min="13830" max="13830" width="32.42578125" style="953" customWidth="1"/>
    <col min="13831" max="13831" width="10.7109375" style="953" customWidth="1"/>
    <col min="13832" max="13832" width="6.28515625" style="953" customWidth="1"/>
    <col min="13833" max="13833" width="11" style="953" customWidth="1"/>
    <col min="13834" max="13834" width="33.5703125" style="953" customWidth="1"/>
    <col min="13835" max="13835" width="9.7109375" style="953" customWidth="1"/>
    <col min="13836" max="13836" width="65.28515625" style="953" customWidth="1"/>
    <col min="13837" max="13837" width="24.7109375" style="953" customWidth="1"/>
    <col min="13838" max="13838" width="16.28515625" style="953" bestFit="1" customWidth="1"/>
    <col min="13839" max="13841" width="9.7109375" style="953" customWidth="1"/>
    <col min="13842" max="13842" width="0" style="953" hidden="1" customWidth="1"/>
    <col min="13843" max="13843" width="9.7109375" style="953" customWidth="1"/>
    <col min="13844" max="14080" width="9.140625" style="953"/>
    <col min="14081" max="14081" width="9.140625" style="953" customWidth="1"/>
    <col min="14082" max="14082" width="20" style="953" customWidth="1"/>
    <col min="14083" max="14083" width="22.7109375" style="953" customWidth="1"/>
    <col min="14084" max="14084" width="15.7109375" style="953" customWidth="1"/>
    <col min="14085" max="14085" width="18" style="953" customWidth="1"/>
    <col min="14086" max="14086" width="32.42578125" style="953" customWidth="1"/>
    <col min="14087" max="14087" width="10.7109375" style="953" customWidth="1"/>
    <col min="14088" max="14088" width="6.28515625" style="953" customWidth="1"/>
    <col min="14089" max="14089" width="11" style="953" customWidth="1"/>
    <col min="14090" max="14090" width="33.5703125" style="953" customWidth="1"/>
    <col min="14091" max="14091" width="9.7109375" style="953" customWidth="1"/>
    <col min="14092" max="14092" width="65.28515625" style="953" customWidth="1"/>
    <col min="14093" max="14093" width="24.7109375" style="953" customWidth="1"/>
    <col min="14094" max="14094" width="16.28515625" style="953" bestFit="1" customWidth="1"/>
    <col min="14095" max="14097" width="9.7109375" style="953" customWidth="1"/>
    <col min="14098" max="14098" width="0" style="953" hidden="1" customWidth="1"/>
    <col min="14099" max="14099" width="9.7109375" style="953" customWidth="1"/>
    <col min="14100" max="14336" width="9.140625" style="953"/>
    <col min="14337" max="14337" width="9.140625" style="953" customWidth="1"/>
    <col min="14338" max="14338" width="20" style="953" customWidth="1"/>
    <col min="14339" max="14339" width="22.7109375" style="953" customWidth="1"/>
    <col min="14340" max="14340" width="15.7109375" style="953" customWidth="1"/>
    <col min="14341" max="14341" width="18" style="953" customWidth="1"/>
    <col min="14342" max="14342" width="32.42578125" style="953" customWidth="1"/>
    <col min="14343" max="14343" width="10.7109375" style="953" customWidth="1"/>
    <col min="14344" max="14344" width="6.28515625" style="953" customWidth="1"/>
    <col min="14345" max="14345" width="11" style="953" customWidth="1"/>
    <col min="14346" max="14346" width="33.5703125" style="953" customWidth="1"/>
    <col min="14347" max="14347" width="9.7109375" style="953" customWidth="1"/>
    <col min="14348" max="14348" width="65.28515625" style="953" customWidth="1"/>
    <col min="14349" max="14349" width="24.7109375" style="953" customWidth="1"/>
    <col min="14350" max="14350" width="16.28515625" style="953" bestFit="1" customWidth="1"/>
    <col min="14351" max="14353" width="9.7109375" style="953" customWidth="1"/>
    <col min="14354" max="14354" width="0" style="953" hidden="1" customWidth="1"/>
    <col min="14355" max="14355" width="9.7109375" style="953" customWidth="1"/>
    <col min="14356" max="14592" width="9.140625" style="953"/>
    <col min="14593" max="14593" width="9.140625" style="953" customWidth="1"/>
    <col min="14594" max="14594" width="20" style="953" customWidth="1"/>
    <col min="14595" max="14595" width="22.7109375" style="953" customWidth="1"/>
    <col min="14596" max="14596" width="15.7109375" style="953" customWidth="1"/>
    <col min="14597" max="14597" width="18" style="953" customWidth="1"/>
    <col min="14598" max="14598" width="32.42578125" style="953" customWidth="1"/>
    <col min="14599" max="14599" width="10.7109375" style="953" customWidth="1"/>
    <col min="14600" max="14600" width="6.28515625" style="953" customWidth="1"/>
    <col min="14601" max="14601" width="11" style="953" customWidth="1"/>
    <col min="14602" max="14602" width="33.5703125" style="953" customWidth="1"/>
    <col min="14603" max="14603" width="9.7109375" style="953" customWidth="1"/>
    <col min="14604" max="14604" width="65.28515625" style="953" customWidth="1"/>
    <col min="14605" max="14605" width="24.7109375" style="953" customWidth="1"/>
    <col min="14606" max="14606" width="16.28515625" style="953" bestFit="1" customWidth="1"/>
    <col min="14607" max="14609" width="9.7109375" style="953" customWidth="1"/>
    <col min="14610" max="14610" width="0" style="953" hidden="1" customWidth="1"/>
    <col min="14611" max="14611" width="9.7109375" style="953" customWidth="1"/>
    <col min="14612" max="14848" width="9.140625" style="953"/>
    <col min="14849" max="14849" width="9.140625" style="953" customWidth="1"/>
    <col min="14850" max="14850" width="20" style="953" customWidth="1"/>
    <col min="14851" max="14851" width="22.7109375" style="953" customWidth="1"/>
    <col min="14852" max="14852" width="15.7109375" style="953" customWidth="1"/>
    <col min="14853" max="14853" width="18" style="953" customWidth="1"/>
    <col min="14854" max="14854" width="32.42578125" style="953" customWidth="1"/>
    <col min="14855" max="14855" width="10.7109375" style="953" customWidth="1"/>
    <col min="14856" max="14856" width="6.28515625" style="953" customWidth="1"/>
    <col min="14857" max="14857" width="11" style="953" customWidth="1"/>
    <col min="14858" max="14858" width="33.5703125" style="953" customWidth="1"/>
    <col min="14859" max="14859" width="9.7109375" style="953" customWidth="1"/>
    <col min="14860" max="14860" width="65.28515625" style="953" customWidth="1"/>
    <col min="14861" max="14861" width="24.7109375" style="953" customWidth="1"/>
    <col min="14862" max="14862" width="16.28515625" style="953" bestFit="1" customWidth="1"/>
    <col min="14863" max="14865" width="9.7109375" style="953" customWidth="1"/>
    <col min="14866" max="14866" width="0" style="953" hidden="1" customWidth="1"/>
    <col min="14867" max="14867" width="9.7109375" style="953" customWidth="1"/>
    <col min="14868" max="15104" width="9.140625" style="953"/>
    <col min="15105" max="15105" width="9.140625" style="953" customWidth="1"/>
    <col min="15106" max="15106" width="20" style="953" customWidth="1"/>
    <col min="15107" max="15107" width="22.7109375" style="953" customWidth="1"/>
    <col min="15108" max="15108" width="15.7109375" style="953" customWidth="1"/>
    <col min="15109" max="15109" width="18" style="953" customWidth="1"/>
    <col min="15110" max="15110" width="32.42578125" style="953" customWidth="1"/>
    <col min="15111" max="15111" width="10.7109375" style="953" customWidth="1"/>
    <col min="15112" max="15112" width="6.28515625" style="953" customWidth="1"/>
    <col min="15113" max="15113" width="11" style="953" customWidth="1"/>
    <col min="15114" max="15114" width="33.5703125" style="953" customWidth="1"/>
    <col min="15115" max="15115" width="9.7109375" style="953" customWidth="1"/>
    <col min="15116" max="15116" width="65.28515625" style="953" customWidth="1"/>
    <col min="15117" max="15117" width="24.7109375" style="953" customWidth="1"/>
    <col min="15118" max="15118" width="16.28515625" style="953" bestFit="1" customWidth="1"/>
    <col min="15119" max="15121" width="9.7109375" style="953" customWidth="1"/>
    <col min="15122" max="15122" width="0" style="953" hidden="1" customWidth="1"/>
    <col min="15123" max="15123" width="9.7109375" style="953" customWidth="1"/>
    <col min="15124" max="15360" width="9.140625" style="953"/>
    <col min="15361" max="15361" width="9.140625" style="953" customWidth="1"/>
    <col min="15362" max="15362" width="20" style="953" customWidth="1"/>
    <col min="15363" max="15363" width="22.7109375" style="953" customWidth="1"/>
    <col min="15364" max="15364" width="15.7109375" style="953" customWidth="1"/>
    <col min="15365" max="15365" width="18" style="953" customWidth="1"/>
    <col min="15366" max="15366" width="32.42578125" style="953" customWidth="1"/>
    <col min="15367" max="15367" width="10.7109375" style="953" customWidth="1"/>
    <col min="15368" max="15368" width="6.28515625" style="953" customWidth="1"/>
    <col min="15369" max="15369" width="11" style="953" customWidth="1"/>
    <col min="15370" max="15370" width="33.5703125" style="953" customWidth="1"/>
    <col min="15371" max="15371" width="9.7109375" style="953" customWidth="1"/>
    <col min="15372" max="15372" width="65.28515625" style="953" customWidth="1"/>
    <col min="15373" max="15373" width="24.7109375" style="953" customWidth="1"/>
    <col min="15374" max="15374" width="16.28515625" style="953" bestFit="1" customWidth="1"/>
    <col min="15375" max="15377" width="9.7109375" style="953" customWidth="1"/>
    <col min="15378" max="15378" width="0" style="953" hidden="1" customWidth="1"/>
    <col min="15379" max="15379" width="9.7109375" style="953" customWidth="1"/>
    <col min="15380" max="15616" width="9.140625" style="953"/>
    <col min="15617" max="15617" width="9.140625" style="953" customWidth="1"/>
    <col min="15618" max="15618" width="20" style="953" customWidth="1"/>
    <col min="15619" max="15619" width="22.7109375" style="953" customWidth="1"/>
    <col min="15620" max="15620" width="15.7109375" style="953" customWidth="1"/>
    <col min="15621" max="15621" width="18" style="953" customWidth="1"/>
    <col min="15622" max="15622" width="32.42578125" style="953" customWidth="1"/>
    <col min="15623" max="15623" width="10.7109375" style="953" customWidth="1"/>
    <col min="15624" max="15624" width="6.28515625" style="953" customWidth="1"/>
    <col min="15625" max="15625" width="11" style="953" customWidth="1"/>
    <col min="15626" max="15626" width="33.5703125" style="953" customWidth="1"/>
    <col min="15627" max="15627" width="9.7109375" style="953" customWidth="1"/>
    <col min="15628" max="15628" width="65.28515625" style="953" customWidth="1"/>
    <col min="15629" max="15629" width="24.7109375" style="953" customWidth="1"/>
    <col min="15630" max="15630" width="16.28515625" style="953" bestFit="1" customWidth="1"/>
    <col min="15631" max="15633" width="9.7109375" style="953" customWidth="1"/>
    <col min="15634" max="15634" width="0" style="953" hidden="1" customWidth="1"/>
    <col min="15635" max="15635" width="9.7109375" style="953" customWidth="1"/>
    <col min="15636" max="15872" width="9.140625" style="953"/>
    <col min="15873" max="15873" width="9.140625" style="953" customWidth="1"/>
    <col min="15874" max="15874" width="20" style="953" customWidth="1"/>
    <col min="15875" max="15875" width="22.7109375" style="953" customWidth="1"/>
    <col min="15876" max="15876" width="15.7109375" style="953" customWidth="1"/>
    <col min="15877" max="15877" width="18" style="953" customWidth="1"/>
    <col min="15878" max="15878" width="32.42578125" style="953" customWidth="1"/>
    <col min="15879" max="15879" width="10.7109375" style="953" customWidth="1"/>
    <col min="15880" max="15880" width="6.28515625" style="953" customWidth="1"/>
    <col min="15881" max="15881" width="11" style="953" customWidth="1"/>
    <col min="15882" max="15882" width="33.5703125" style="953" customWidth="1"/>
    <col min="15883" max="15883" width="9.7109375" style="953" customWidth="1"/>
    <col min="15884" max="15884" width="65.28515625" style="953" customWidth="1"/>
    <col min="15885" max="15885" width="24.7109375" style="953" customWidth="1"/>
    <col min="15886" max="15886" width="16.28515625" style="953" bestFit="1" customWidth="1"/>
    <col min="15887" max="15889" width="9.7109375" style="953" customWidth="1"/>
    <col min="15890" max="15890" width="0" style="953" hidden="1" customWidth="1"/>
    <col min="15891" max="15891" width="9.7109375" style="953" customWidth="1"/>
    <col min="15892" max="16128" width="9.140625" style="953"/>
    <col min="16129" max="16129" width="9.140625" style="953" customWidth="1"/>
    <col min="16130" max="16130" width="20" style="953" customWidth="1"/>
    <col min="16131" max="16131" width="22.7109375" style="953" customWidth="1"/>
    <col min="16132" max="16132" width="15.7109375" style="953" customWidth="1"/>
    <col min="16133" max="16133" width="18" style="953" customWidth="1"/>
    <col min="16134" max="16134" width="32.42578125" style="953" customWidth="1"/>
    <col min="16135" max="16135" width="10.7109375" style="953" customWidth="1"/>
    <col min="16136" max="16136" width="6.28515625" style="953" customWidth="1"/>
    <col min="16137" max="16137" width="11" style="953" customWidth="1"/>
    <col min="16138" max="16138" width="33.5703125" style="953" customWidth="1"/>
    <col min="16139" max="16139" width="9.7109375" style="953" customWidth="1"/>
    <col min="16140" max="16140" width="65.28515625" style="953" customWidth="1"/>
    <col min="16141" max="16141" width="24.7109375" style="953" customWidth="1"/>
    <col min="16142" max="16142" width="16.28515625" style="953" bestFit="1" customWidth="1"/>
    <col min="16143" max="16145" width="9.7109375" style="953" customWidth="1"/>
    <col min="16146" max="16146" width="0" style="953" hidden="1" customWidth="1"/>
    <col min="16147" max="16147" width="9.7109375" style="953" customWidth="1"/>
    <col min="16148" max="16384" width="9.140625" style="953"/>
  </cols>
  <sheetData>
    <row r="1" spans="1:54" ht="26.25" customHeight="1">
      <c r="A1" s="1437" t="s">
        <v>1597</v>
      </c>
      <c r="B1" s="1438" t="s">
        <v>1598</v>
      </c>
      <c r="C1" s="1439"/>
      <c r="D1" s="1439"/>
      <c r="E1" s="1439"/>
      <c r="F1" s="1441"/>
      <c r="G1" s="1439"/>
      <c r="H1" s="1439"/>
      <c r="I1" s="1439"/>
      <c r="J1" s="1439"/>
      <c r="K1" s="953"/>
    </row>
    <row r="2" spans="1:54" ht="26.25" customHeight="1">
      <c r="A2" s="953"/>
      <c r="B2" s="1438" t="s">
        <v>1599</v>
      </c>
      <c r="C2" s="1439"/>
      <c r="D2" s="1439"/>
      <c r="E2" s="1439"/>
      <c r="F2" s="1441"/>
      <c r="G2" s="1439"/>
      <c r="H2" s="1439"/>
      <c r="I2" s="1439"/>
      <c r="J2" s="1439"/>
      <c r="K2" s="953"/>
    </row>
    <row r="3" spans="1:54" ht="26.25" customHeight="1">
      <c r="A3" s="953"/>
      <c r="B3" s="1440" t="s">
        <v>409</v>
      </c>
      <c r="C3" s="1440">
        <f>'Project Info'!$C$3</f>
        <v>0</v>
      </c>
      <c r="D3" s="1440"/>
      <c r="E3" s="1439"/>
      <c r="F3" s="1441"/>
      <c r="G3" s="1439"/>
      <c r="H3" s="1439"/>
      <c r="I3" s="1439"/>
      <c r="J3" s="1439"/>
      <c r="K3" s="953"/>
    </row>
    <row r="4" spans="1:54" ht="26.25" customHeight="1">
      <c r="B4" s="1439"/>
      <c r="C4" s="1439"/>
      <c r="D4" s="1440"/>
      <c r="E4" s="1439"/>
      <c r="F4" s="1441"/>
      <c r="G4" s="1439"/>
      <c r="H4" s="1439"/>
      <c r="I4" s="1439"/>
      <c r="J4" s="1439"/>
    </row>
    <row r="5" spans="1:54" s="1448" customFormat="1" ht="15.75">
      <c r="A5" s="1475"/>
      <c r="B5" s="1443" t="s">
        <v>1670</v>
      </c>
      <c r="C5" s="1444"/>
      <c r="D5" s="1444"/>
      <c r="E5" s="1445"/>
      <c r="F5" s="1495"/>
      <c r="G5" s="1496"/>
      <c r="H5" s="2626" t="s">
        <v>1601</v>
      </c>
      <c r="I5" s="2627"/>
      <c r="J5" s="1447" t="s">
        <v>1602</v>
      </c>
      <c r="K5" s="1442"/>
      <c r="L5" s="1442"/>
      <c r="M5" s="1442"/>
      <c r="N5" s="1442"/>
      <c r="O5" s="1442"/>
      <c r="P5" s="1442"/>
      <c r="Q5" s="1442"/>
      <c r="R5" s="1442"/>
      <c r="S5" s="1442"/>
      <c r="T5" s="1442"/>
      <c r="U5" s="1442"/>
      <c r="V5" s="1442"/>
      <c r="W5" s="1442"/>
      <c r="X5" s="1442"/>
      <c r="Y5" s="1442"/>
      <c r="Z5" s="1442"/>
      <c r="AA5" s="1442"/>
      <c r="AB5" s="1442"/>
      <c r="AC5" s="1442"/>
      <c r="AD5" s="1442"/>
      <c r="AE5" s="1442"/>
      <c r="AF5" s="1442"/>
      <c r="AG5" s="1442"/>
      <c r="AH5" s="1442"/>
      <c r="AI5" s="1442"/>
      <c r="AJ5" s="1442"/>
      <c r="AK5" s="1442"/>
      <c r="AL5" s="1442"/>
      <c r="AM5" s="1442"/>
      <c r="AN5" s="1442"/>
      <c r="AO5" s="1442"/>
      <c r="AP5" s="1442"/>
      <c r="AQ5" s="1442"/>
      <c r="AR5" s="1442"/>
      <c r="AS5" s="1442"/>
      <c r="AT5" s="1442"/>
      <c r="AU5" s="1442"/>
      <c r="AV5" s="1442"/>
      <c r="AW5" s="1442"/>
      <c r="AX5" s="1442"/>
      <c r="AY5" s="1442"/>
      <c r="AZ5" s="1442"/>
      <c r="BA5" s="1442"/>
      <c r="BB5" s="1442"/>
    </row>
    <row r="6" spans="1:54">
      <c r="B6" s="1497"/>
      <c r="C6" s="1455"/>
      <c r="D6" s="1449"/>
      <c r="E6" s="1449"/>
      <c r="F6" s="1449"/>
      <c r="G6" s="1449"/>
      <c r="H6" s="2632" t="s">
        <v>1603</v>
      </c>
      <c r="I6" s="2651"/>
      <c r="J6" s="1122"/>
      <c r="L6" s="1313"/>
      <c r="M6" s="1313"/>
      <c r="N6" s="1313"/>
      <c r="O6" s="1313"/>
      <c r="P6" s="1313"/>
      <c r="Q6" s="1313"/>
      <c r="R6" s="1313"/>
      <c r="S6" s="1313"/>
      <c r="T6" s="1313"/>
      <c r="U6" s="1313"/>
      <c r="V6" s="1313"/>
      <c r="W6" s="1313"/>
      <c r="X6" s="1313"/>
      <c r="Y6" s="1313"/>
      <c r="Z6" s="1313"/>
      <c r="AA6" s="1313"/>
      <c r="AB6" s="1313"/>
      <c r="AC6" s="1313"/>
      <c r="AD6" s="1313"/>
      <c r="AE6" s="1313"/>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3"/>
    </row>
    <row r="7" spans="1:54">
      <c r="B7" s="1497"/>
      <c r="C7" s="1455"/>
      <c r="D7" s="1449"/>
      <c r="E7" s="1449"/>
      <c r="F7" s="1449"/>
      <c r="G7" s="1449"/>
      <c r="H7" s="2636"/>
      <c r="I7" s="2637"/>
      <c r="J7" s="1111"/>
      <c r="L7" s="1313"/>
      <c r="M7" s="1313"/>
      <c r="N7" s="1313"/>
      <c r="O7" s="1313"/>
      <c r="P7" s="1313"/>
      <c r="Q7" s="1313"/>
      <c r="R7" s="1313"/>
      <c r="S7" s="1313"/>
      <c r="T7" s="1313"/>
      <c r="U7" s="1313"/>
      <c r="V7" s="1313"/>
      <c r="W7" s="1313"/>
      <c r="X7" s="1313"/>
      <c r="Y7" s="1313"/>
      <c r="Z7" s="1313"/>
      <c r="AA7" s="1313"/>
      <c r="AB7" s="1313"/>
      <c r="AC7" s="1313"/>
      <c r="AD7" s="1313"/>
      <c r="AE7" s="1313"/>
      <c r="AF7" s="1313"/>
      <c r="AG7" s="1313"/>
      <c r="AH7" s="1313"/>
      <c r="AI7" s="1313"/>
      <c r="AJ7" s="1313"/>
      <c r="AK7" s="1313"/>
      <c r="AL7" s="1313"/>
      <c r="AM7" s="1313"/>
      <c r="AN7" s="1313"/>
      <c r="AO7" s="1313"/>
      <c r="AP7" s="1313"/>
      <c r="AQ7" s="1313"/>
      <c r="AR7" s="1313"/>
      <c r="AS7" s="1313"/>
      <c r="AT7" s="1313"/>
      <c r="AU7" s="1313"/>
      <c r="AV7" s="1313"/>
      <c r="AW7" s="1313"/>
      <c r="AX7" s="1313"/>
      <c r="AY7" s="1313"/>
      <c r="AZ7" s="1313"/>
      <c r="BA7" s="1313"/>
      <c r="BB7" s="1313"/>
    </row>
    <row r="8" spans="1:54">
      <c r="B8" s="1454" t="s">
        <v>1604</v>
      </c>
      <c r="C8" s="1498"/>
      <c r="D8" s="1499"/>
      <c r="E8" s="1499"/>
      <c r="F8" s="1499"/>
      <c r="G8" s="1499"/>
      <c r="H8" s="2636"/>
      <c r="I8" s="2637"/>
      <c r="J8" s="1111"/>
      <c r="L8" s="1313"/>
      <c r="M8" s="1313"/>
      <c r="N8" s="1313"/>
      <c r="O8" s="1313"/>
      <c r="P8" s="1313"/>
      <c r="Q8" s="1313"/>
      <c r="R8" s="1313"/>
      <c r="S8" s="1313"/>
      <c r="T8" s="1313"/>
      <c r="U8" s="1313"/>
      <c r="V8" s="1313"/>
      <c r="W8" s="1313"/>
      <c r="X8" s="1313"/>
      <c r="Y8" s="1313"/>
      <c r="Z8" s="1313"/>
      <c r="AA8" s="1313"/>
      <c r="AB8" s="1313"/>
      <c r="AC8" s="1313"/>
      <c r="AD8" s="1313"/>
      <c r="AE8" s="1313"/>
      <c r="AF8" s="1313"/>
      <c r="AG8" s="1313"/>
      <c r="AH8" s="1313"/>
      <c r="AI8" s="1313"/>
      <c r="AJ8" s="1313"/>
      <c r="AK8" s="1313"/>
      <c r="AL8" s="1313"/>
      <c r="AM8" s="1313"/>
      <c r="AN8" s="1313"/>
      <c r="AO8" s="1313"/>
      <c r="AP8" s="1313"/>
      <c r="AQ8" s="1313"/>
      <c r="AR8" s="1313"/>
      <c r="AS8" s="1313"/>
      <c r="AT8" s="1313"/>
      <c r="AU8" s="1313"/>
      <c r="AV8" s="1313"/>
      <c r="AW8" s="1313"/>
      <c r="AX8" s="1313"/>
      <c r="AY8" s="1313"/>
      <c r="AZ8" s="1313"/>
      <c r="BA8" s="1313"/>
      <c r="BB8" s="1313"/>
    </row>
    <row r="9" spans="1:54" ht="29.25" customHeight="1">
      <c r="B9" s="2585" t="s">
        <v>1671</v>
      </c>
      <c r="C9" s="2585"/>
      <c r="D9" s="2585"/>
      <c r="E9" s="2585"/>
      <c r="F9" s="2585"/>
      <c r="G9" s="2585"/>
      <c r="H9" s="1449"/>
      <c r="I9" s="1449"/>
      <c r="J9" s="1452"/>
      <c r="L9" s="1313"/>
      <c r="M9" s="1313"/>
      <c r="N9" s="1313"/>
      <c r="O9" s="1313"/>
      <c r="P9" s="1313"/>
      <c r="Q9" s="1313"/>
      <c r="R9" s="1313"/>
      <c r="S9" s="1313"/>
      <c r="T9" s="1313"/>
      <c r="U9" s="1313"/>
      <c r="V9" s="1313"/>
      <c r="W9" s="1313"/>
      <c r="X9" s="1313"/>
      <c r="Y9" s="1313"/>
      <c r="Z9" s="1313"/>
      <c r="AA9" s="1313"/>
      <c r="AB9" s="1313"/>
      <c r="AC9" s="1313"/>
      <c r="AD9" s="1313"/>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1313"/>
      <c r="BA9" s="1313"/>
      <c r="BB9" s="1313"/>
    </row>
    <row r="10" spans="1:54" ht="26.25" customHeight="1">
      <c r="A10" s="1460"/>
      <c r="B10" s="2585" t="s">
        <v>1672</v>
      </c>
      <c r="C10" s="2585"/>
      <c r="D10" s="2585"/>
      <c r="E10" s="2585"/>
      <c r="F10" s="2585"/>
      <c r="G10" s="2585"/>
      <c r="H10" s="1449"/>
      <c r="I10" s="1449"/>
      <c r="J10" s="1452"/>
      <c r="K10" s="1460"/>
      <c r="L10" s="1313"/>
      <c r="M10" s="1313"/>
      <c r="N10" s="1313"/>
      <c r="O10" s="1313"/>
      <c r="P10" s="1313"/>
      <c r="Q10" s="1313"/>
      <c r="R10" s="1313"/>
      <c r="S10" s="1313"/>
      <c r="T10" s="1313"/>
      <c r="U10" s="1313"/>
      <c r="V10" s="1313"/>
      <c r="W10" s="1313"/>
      <c r="X10" s="1313"/>
      <c r="Y10" s="1313"/>
      <c r="Z10" s="1313"/>
      <c r="AA10" s="1313"/>
      <c r="AB10" s="1313"/>
      <c r="AC10" s="1313"/>
      <c r="AD10" s="1313"/>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row>
    <row r="11" spans="1:54" ht="34.5" customHeight="1">
      <c r="B11" s="2585" t="s">
        <v>1673</v>
      </c>
      <c r="C11" s="2585"/>
      <c r="D11" s="2585"/>
      <c r="E11" s="2585"/>
      <c r="F11" s="2585"/>
      <c r="G11" s="2585"/>
      <c r="H11" s="1449"/>
      <c r="I11" s="1449"/>
      <c r="J11" s="1452"/>
      <c r="L11" s="1313"/>
      <c r="M11" s="1313"/>
      <c r="N11" s="1313"/>
      <c r="O11" s="1313"/>
      <c r="P11" s="1313"/>
      <c r="Q11" s="1313"/>
      <c r="R11" s="1313"/>
      <c r="S11" s="1313"/>
      <c r="T11" s="1313"/>
      <c r="U11" s="1313"/>
      <c r="V11" s="1313"/>
      <c r="W11" s="1313"/>
      <c r="X11" s="1313"/>
      <c r="Y11" s="1313"/>
      <c r="Z11" s="131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row>
    <row r="12" spans="1:54">
      <c r="B12" s="1499"/>
      <c r="C12" s="1498"/>
      <c r="D12" s="1499"/>
      <c r="E12" s="1499"/>
      <c r="F12" s="1499"/>
      <c r="G12" s="1499"/>
      <c r="H12" s="1449"/>
      <c r="I12" s="1449"/>
      <c r="J12" s="1452"/>
    </row>
    <row r="13" spans="1:54">
      <c r="B13" s="1454" t="s">
        <v>1607</v>
      </c>
      <c r="C13" s="1498"/>
      <c r="D13" s="1499"/>
      <c r="E13" s="1499"/>
      <c r="F13" s="1499"/>
      <c r="G13" s="1499"/>
      <c r="H13" s="1449"/>
      <c r="I13" s="1449"/>
      <c r="J13" s="1452"/>
    </row>
    <row r="14" spans="1:54">
      <c r="B14" s="1499" t="s">
        <v>1608</v>
      </c>
      <c r="C14" s="1498"/>
      <c r="D14" s="1499"/>
      <c r="E14" s="1499"/>
      <c r="F14" s="1499"/>
      <c r="G14" s="1499"/>
      <c r="H14" s="1449"/>
      <c r="I14" s="1449"/>
      <c r="J14" s="1449"/>
    </row>
    <row r="15" spans="1:54" ht="14.25" customHeight="1">
      <c r="B15" s="1500" t="s">
        <v>1674</v>
      </c>
      <c r="C15" s="1498"/>
      <c r="D15" s="1499"/>
      <c r="E15" s="1499"/>
      <c r="F15" s="1499"/>
      <c r="G15" s="1499"/>
      <c r="H15" s="1449"/>
      <c r="I15" s="1449"/>
      <c r="J15" s="1449"/>
      <c r="L15" s="1501" t="s">
        <v>1675</v>
      </c>
      <c r="M15" s="1502" t="s">
        <v>1676</v>
      </c>
      <c r="N15" s="1501" t="s">
        <v>1677</v>
      </c>
    </row>
    <row r="16" spans="1:54">
      <c r="B16" s="1500" t="s">
        <v>1678</v>
      </c>
      <c r="C16" s="1498"/>
      <c r="D16" s="1499"/>
      <c r="E16" s="1499"/>
      <c r="F16" s="1499"/>
      <c r="G16" s="1499"/>
      <c r="H16" s="1449"/>
      <c r="I16" s="1449"/>
      <c r="J16" s="1449"/>
      <c r="L16" s="1503" t="s">
        <v>1679</v>
      </c>
      <c r="M16" s="1504">
        <v>5</v>
      </c>
      <c r="N16" s="1503" t="s">
        <v>1680</v>
      </c>
    </row>
    <row r="17" spans="1:18">
      <c r="B17" s="1500" t="s">
        <v>1681</v>
      </c>
      <c r="C17" s="1498"/>
      <c r="D17" s="1499"/>
      <c r="E17" s="1499"/>
      <c r="F17" s="1499"/>
      <c r="G17" s="1499"/>
      <c r="H17" s="1449"/>
      <c r="I17" s="1449"/>
      <c r="J17" s="1449"/>
      <c r="L17" s="1503" t="s">
        <v>1682</v>
      </c>
      <c r="M17" s="1505">
        <v>5.6</v>
      </c>
      <c r="N17" s="1503" t="s">
        <v>1683</v>
      </c>
    </row>
    <row r="18" spans="1:18">
      <c r="B18" s="1499"/>
      <c r="C18" s="1498"/>
      <c r="D18" s="1499"/>
      <c r="E18" s="1499"/>
      <c r="F18" s="1499"/>
      <c r="G18" s="1499"/>
      <c r="H18" s="1449"/>
      <c r="I18" s="1449"/>
      <c r="J18" s="1449"/>
      <c r="L18" s="1503" t="s">
        <v>1684</v>
      </c>
      <c r="M18" s="1505">
        <v>3.4</v>
      </c>
      <c r="N18" s="1503" t="s">
        <v>1685</v>
      </c>
    </row>
    <row r="19" spans="1:18">
      <c r="B19" s="1454" t="s">
        <v>1611</v>
      </c>
      <c r="C19" s="1498"/>
      <c r="D19" s="1499"/>
      <c r="E19" s="1499"/>
      <c r="F19" s="1499"/>
      <c r="G19" s="1499"/>
      <c r="H19" s="1449"/>
      <c r="I19" s="1449"/>
      <c r="J19" s="1449"/>
      <c r="L19" s="1503" t="s">
        <v>1686</v>
      </c>
      <c r="M19" s="1505">
        <v>3.4</v>
      </c>
      <c r="N19" s="1503" t="s">
        <v>1685</v>
      </c>
    </row>
    <row r="20" spans="1:18" ht="30" customHeight="1">
      <c r="A20" s="1467"/>
      <c r="B20" s="2585" t="s">
        <v>1687</v>
      </c>
      <c r="C20" s="2585"/>
      <c r="D20" s="2585"/>
      <c r="E20" s="2585"/>
      <c r="F20" s="2585"/>
      <c r="G20" s="2585"/>
      <c r="H20" s="2585"/>
      <c r="I20" s="2585"/>
      <c r="J20" s="2585"/>
      <c r="L20" s="1506" t="s">
        <v>1688</v>
      </c>
      <c r="M20" s="1504">
        <v>3.2</v>
      </c>
      <c r="N20" s="1503" t="s">
        <v>1685</v>
      </c>
    </row>
    <row r="21" spans="1:18" ht="55.5" customHeight="1">
      <c r="A21" s="1467"/>
      <c r="B21" s="2585" t="s">
        <v>1689</v>
      </c>
      <c r="C21" s="2585"/>
      <c r="D21" s="2585"/>
      <c r="E21" s="2585"/>
      <c r="F21" s="2585"/>
      <c r="G21" s="2585"/>
      <c r="H21" s="2585"/>
      <c r="I21" s="2585"/>
      <c r="J21" s="2585"/>
      <c r="L21" s="1506" t="s">
        <v>1690</v>
      </c>
      <c r="M21" s="1504" t="s">
        <v>1691</v>
      </c>
      <c r="N21" s="1503" t="s">
        <v>1685</v>
      </c>
    </row>
    <row r="22" spans="1:18" ht="39.75" customHeight="1">
      <c r="B22" s="2585" t="s">
        <v>1692</v>
      </c>
      <c r="C22" s="2585"/>
      <c r="D22" s="2585"/>
      <c r="E22" s="2585"/>
      <c r="F22" s="2585"/>
      <c r="G22" s="2585"/>
      <c r="H22" s="2585"/>
      <c r="I22" s="2585"/>
      <c r="J22" s="2585"/>
      <c r="L22" s="1506" t="s">
        <v>1693</v>
      </c>
      <c r="M22" s="1504">
        <v>3.2</v>
      </c>
      <c r="N22" s="1503" t="s">
        <v>1685</v>
      </c>
    </row>
    <row r="23" spans="1:18" ht="15.75" customHeight="1">
      <c r="B23" s="2644" t="s">
        <v>1694</v>
      </c>
      <c r="C23" s="2644"/>
      <c r="D23" s="2644"/>
      <c r="E23" s="2644"/>
      <c r="F23" s="2644"/>
      <c r="G23" s="2644"/>
      <c r="H23" s="1449"/>
      <c r="I23" s="1449"/>
      <c r="J23" s="1449"/>
      <c r="K23" s="1460"/>
      <c r="L23" s="1503" t="s">
        <v>1695</v>
      </c>
      <c r="M23" s="1505">
        <v>6.5</v>
      </c>
      <c r="N23" s="1503" t="s">
        <v>1696</v>
      </c>
      <c r="O23" s="1457"/>
      <c r="P23" s="1457"/>
      <c r="Q23" s="1457"/>
      <c r="R23" s="1457"/>
    </row>
    <row r="24" spans="1:18" s="1510" customFormat="1" ht="63" customHeight="1">
      <c r="A24" s="1507"/>
      <c r="B24" s="2645" t="s">
        <v>1697</v>
      </c>
      <c r="C24" s="2645"/>
      <c r="D24" s="2645"/>
      <c r="E24" s="2645"/>
      <c r="F24" s="2645"/>
      <c r="G24" s="2645"/>
      <c r="H24" s="2645"/>
      <c r="I24" s="2645"/>
      <c r="J24" s="2645"/>
      <c r="K24" s="1508"/>
      <c r="L24" s="1503" t="s">
        <v>1698</v>
      </c>
      <c r="M24" s="1504">
        <v>4</v>
      </c>
      <c r="N24" s="1503" t="s">
        <v>1699</v>
      </c>
      <c r="O24" s="1509"/>
      <c r="P24" s="1509"/>
      <c r="Q24" s="1509"/>
      <c r="R24" s="1509"/>
    </row>
    <row r="25" spans="1:18">
      <c r="A25" s="1439"/>
      <c r="B25" s="2646"/>
      <c r="C25" s="2646"/>
      <c r="D25" s="2646"/>
      <c r="E25" s="1511"/>
      <c r="F25" s="1483"/>
      <c r="G25" s="1512"/>
      <c r="H25" s="1484"/>
      <c r="I25" s="1484"/>
      <c r="J25" s="1485"/>
      <c r="K25" s="1460"/>
      <c r="L25" s="1457"/>
      <c r="M25" s="1457"/>
      <c r="N25" s="1457"/>
      <c r="O25" s="1457"/>
      <c r="P25" s="1457"/>
      <c r="Q25" s="1513"/>
      <c r="R25" s="1457"/>
    </row>
    <row r="26" spans="1:18" ht="75" customHeight="1">
      <c r="B26" s="1456" t="s">
        <v>1617</v>
      </c>
      <c r="C26" s="1459"/>
      <c r="D26" s="1459"/>
      <c r="E26" s="1459"/>
      <c r="F26" s="1459" t="s">
        <v>1626</v>
      </c>
      <c r="G26" s="1459" t="s">
        <v>1627</v>
      </c>
      <c r="H26" s="1465" t="s">
        <v>1628</v>
      </c>
      <c r="I26" s="1460"/>
      <c r="J26" s="1514"/>
      <c r="K26" s="1461"/>
      <c r="L26" s="1457"/>
      <c r="M26" s="1457"/>
      <c r="N26" s="1457"/>
      <c r="O26" s="1457"/>
      <c r="P26" s="1457"/>
    </row>
    <row r="27" spans="1:18" ht="216" customHeight="1">
      <c r="A27" s="953"/>
      <c r="B27" s="2575" t="s">
        <v>1700</v>
      </c>
      <c r="C27" s="2589"/>
      <c r="D27" s="2589"/>
      <c r="E27" s="2647"/>
      <c r="F27" s="1267"/>
      <c r="G27" s="1268"/>
      <c r="H27" s="1121"/>
      <c r="K27" s="953"/>
    </row>
    <row r="28" spans="1:18" ht="84" customHeight="1">
      <c r="A28" s="1439"/>
      <c r="B28" s="2643" t="s">
        <v>1701</v>
      </c>
      <c r="C28" s="2643"/>
      <c r="D28" s="2643"/>
      <c r="E28" s="2643"/>
      <c r="F28" s="1459" t="s">
        <v>1702</v>
      </c>
      <c r="G28" s="1459" t="s">
        <v>1703</v>
      </c>
      <c r="H28" s="1465" t="s">
        <v>1628</v>
      </c>
      <c r="I28" s="1465" t="s">
        <v>1629</v>
      </c>
      <c r="J28" s="1459" t="s">
        <v>1704</v>
      </c>
      <c r="K28" s="1460"/>
      <c r="O28" s="1514"/>
      <c r="P28" s="1514"/>
      <c r="Q28" s="1514"/>
      <c r="R28" s="1457"/>
    </row>
    <row r="29" spans="1:18" s="1520" customFormat="1">
      <c r="A29" s="1515"/>
      <c r="B29" s="1516" t="s">
        <v>1705</v>
      </c>
      <c r="C29" s="1517"/>
      <c r="D29" s="1517"/>
      <c r="E29" s="1518" t="s">
        <v>1706</v>
      </c>
      <c r="F29" s="1117"/>
      <c r="G29" s="2648"/>
      <c r="H29" s="1117"/>
      <c r="I29" s="1123"/>
      <c r="J29" s="1251"/>
      <c r="K29" s="1519"/>
      <c r="O29" s="1514"/>
      <c r="P29" s="1514"/>
      <c r="Q29" s="1461"/>
      <c r="R29" s="1514"/>
    </row>
    <row r="30" spans="1:18" s="1520" customFormat="1">
      <c r="A30" s="1521"/>
      <c r="B30" s="1522"/>
      <c r="C30" s="1523"/>
      <c r="D30" s="1523"/>
      <c r="E30" s="1524" t="s">
        <v>1707</v>
      </c>
      <c r="F30" s="1274"/>
      <c r="G30" s="2649"/>
      <c r="H30" s="1117"/>
      <c r="I30" s="1123"/>
      <c r="J30" s="1251"/>
      <c r="K30" s="1519"/>
      <c r="O30" s="1514"/>
      <c r="P30" s="1514"/>
      <c r="Q30" s="1461"/>
      <c r="R30" s="1514"/>
    </row>
    <row r="31" spans="1:18" s="1520" customFormat="1">
      <c r="A31" s="1521"/>
      <c r="B31" s="1522"/>
      <c r="C31" s="1523"/>
      <c r="D31" s="1523"/>
      <c r="E31" s="1524" t="s">
        <v>1708</v>
      </c>
      <c r="F31" s="1274"/>
      <c r="G31" s="2649"/>
      <c r="H31" s="1117"/>
      <c r="I31" s="1123"/>
      <c r="J31" s="1251"/>
      <c r="K31" s="1519"/>
      <c r="O31" s="1514"/>
      <c r="P31" s="1514"/>
      <c r="Q31" s="1461"/>
      <c r="R31" s="1514"/>
    </row>
    <row r="32" spans="1:18" s="1520" customFormat="1">
      <c r="A32" s="1521"/>
      <c r="B32" s="1525"/>
      <c r="C32" s="1523"/>
      <c r="D32" s="1523"/>
      <c r="E32" s="1524" t="s">
        <v>1709</v>
      </c>
      <c r="F32" s="1124"/>
      <c r="G32" s="2649"/>
      <c r="H32" s="1117"/>
      <c r="I32" s="1123"/>
      <c r="J32" s="1251"/>
      <c r="K32" s="1519"/>
      <c r="O32" s="1514"/>
      <c r="P32" s="1514"/>
      <c r="Q32" s="1461"/>
      <c r="R32" s="1514"/>
    </row>
    <row r="33" spans="1:18" s="1520" customFormat="1">
      <c r="A33" s="1521"/>
      <c r="B33" s="1522"/>
      <c r="C33" s="1523"/>
      <c r="D33" s="1523"/>
      <c r="E33" s="1524" t="s">
        <v>1710</v>
      </c>
      <c r="F33" s="1117"/>
      <c r="G33" s="2649"/>
      <c r="H33" s="1117"/>
      <c r="I33" s="1123"/>
      <c r="J33" s="1125"/>
      <c r="K33" s="1519"/>
      <c r="O33" s="1514"/>
      <c r="P33" s="1514"/>
      <c r="Q33" s="1461"/>
      <c r="R33" s="1514"/>
    </row>
    <row r="34" spans="1:18" s="1520" customFormat="1">
      <c r="A34" s="1515"/>
      <c r="B34" s="1526"/>
      <c r="C34" s="1527"/>
      <c r="D34" s="1527"/>
      <c r="E34" s="1528"/>
      <c r="F34" s="1274"/>
      <c r="G34" s="2649"/>
      <c r="H34" s="1117"/>
      <c r="I34" s="1123"/>
      <c r="J34" s="1251"/>
      <c r="K34" s="1519"/>
      <c r="O34" s="1514"/>
      <c r="P34" s="1514"/>
      <c r="Q34" s="1461"/>
      <c r="R34" s="1514"/>
    </row>
    <row r="35" spans="1:18" s="1520" customFormat="1">
      <c r="A35" s="1521"/>
      <c r="B35" s="1529" t="s">
        <v>1711</v>
      </c>
      <c r="C35" s="1530"/>
      <c r="D35" s="1530"/>
      <c r="E35" s="1531" t="s">
        <v>1712</v>
      </c>
      <c r="F35" s="1274"/>
      <c r="G35" s="2650"/>
      <c r="H35" s="1117"/>
      <c r="I35" s="1123"/>
      <c r="J35" s="1251"/>
      <c r="K35" s="1519"/>
      <c r="O35" s="1514"/>
      <c r="P35" s="1514"/>
      <c r="Q35" s="1461"/>
      <c r="R35" s="1514"/>
    </row>
    <row r="36" spans="1:18" s="1520" customFormat="1">
      <c r="A36" s="1521"/>
      <c r="B36" s="1532"/>
      <c r="C36" s="1126"/>
      <c r="D36" s="1126"/>
      <c r="E36" s="1533"/>
      <c r="F36" s="1534"/>
      <c r="G36" s="1126"/>
      <c r="H36" s="1534"/>
      <c r="I36" s="1534"/>
      <c r="J36" s="1535"/>
      <c r="K36" s="1519"/>
      <c r="O36" s="1514"/>
      <c r="P36" s="1514"/>
      <c r="Q36" s="1461"/>
      <c r="R36" s="1514"/>
    </row>
    <row r="37" spans="1:18" s="1520" customFormat="1" ht="12.75" customHeight="1">
      <c r="A37" s="1521"/>
      <c r="B37" s="1516" t="s">
        <v>1713</v>
      </c>
      <c r="C37" s="1517"/>
      <c r="D37" s="1517"/>
      <c r="E37" s="1518" t="s">
        <v>1706</v>
      </c>
      <c r="F37" s="1117"/>
      <c r="G37" s="2648"/>
      <c r="H37" s="1117"/>
      <c r="I37" s="1123"/>
      <c r="J37" s="1251"/>
      <c r="K37" s="1519"/>
      <c r="O37" s="1514"/>
      <c r="P37" s="1514"/>
      <c r="Q37" s="1461"/>
      <c r="R37" s="1514"/>
    </row>
    <row r="38" spans="1:18" s="1520" customFormat="1">
      <c r="A38" s="1521"/>
      <c r="B38" s="1522"/>
      <c r="C38" s="1523"/>
      <c r="D38" s="1523"/>
      <c r="E38" s="1524" t="s">
        <v>1707</v>
      </c>
      <c r="F38" s="1274"/>
      <c r="G38" s="2649"/>
      <c r="H38" s="1117"/>
      <c r="I38" s="1123"/>
      <c r="J38" s="1251"/>
      <c r="K38" s="1519"/>
      <c r="O38" s="1514"/>
      <c r="P38" s="1514"/>
      <c r="Q38" s="1461"/>
      <c r="R38" s="1514"/>
    </row>
    <row r="39" spans="1:18" s="1520" customFormat="1" ht="18.75" customHeight="1">
      <c r="A39" s="1521"/>
      <c r="B39" s="1522"/>
      <c r="C39" s="1523"/>
      <c r="D39" s="1523"/>
      <c r="E39" s="1524" t="s">
        <v>1708</v>
      </c>
      <c r="F39" s="1274"/>
      <c r="G39" s="2649"/>
      <c r="H39" s="1117"/>
      <c r="I39" s="1123"/>
      <c r="J39" s="1251"/>
      <c r="K39" s="1519"/>
      <c r="O39" s="1514"/>
      <c r="P39" s="1514"/>
      <c r="Q39" s="1514"/>
      <c r="R39" s="1514"/>
    </row>
    <row r="40" spans="1:18" s="1520" customFormat="1" ht="15.75" customHeight="1">
      <c r="A40" s="1521"/>
      <c r="B40" s="1532"/>
      <c r="C40" s="1523"/>
      <c r="D40" s="1523"/>
      <c r="E40" s="1524" t="s">
        <v>1709</v>
      </c>
      <c r="F40" s="1124"/>
      <c r="G40" s="2649"/>
      <c r="H40" s="1117"/>
      <c r="I40" s="1123"/>
      <c r="J40" s="1251"/>
      <c r="K40" s="1519"/>
      <c r="O40" s="1514"/>
      <c r="P40" s="1514"/>
      <c r="Q40" s="1514"/>
      <c r="R40" s="1514"/>
    </row>
    <row r="41" spans="1:18" s="1520" customFormat="1">
      <c r="A41" s="1521"/>
      <c r="B41" s="1522"/>
      <c r="C41" s="1523"/>
      <c r="D41" s="1523"/>
      <c r="E41" s="1524" t="s">
        <v>1710</v>
      </c>
      <c r="F41" s="1117"/>
      <c r="G41" s="2649"/>
      <c r="H41" s="1117"/>
      <c r="I41" s="1123"/>
      <c r="J41" s="1125"/>
      <c r="K41" s="1519"/>
      <c r="O41" s="1514"/>
      <c r="P41" s="1514"/>
      <c r="Q41" s="1514"/>
      <c r="R41" s="1514"/>
    </row>
    <row r="42" spans="1:18" s="1520" customFormat="1">
      <c r="A42" s="1521"/>
      <c r="B42" s="1526"/>
      <c r="C42" s="1527"/>
      <c r="D42" s="1527"/>
      <c r="E42" s="1528"/>
      <c r="F42" s="1274"/>
      <c r="G42" s="2649"/>
      <c r="H42" s="1117"/>
      <c r="I42" s="1123"/>
      <c r="J42" s="1251"/>
      <c r="K42" s="1519"/>
      <c r="O42" s="1514"/>
      <c r="P42" s="1514"/>
      <c r="Q42" s="1514"/>
      <c r="R42" s="1514"/>
    </row>
    <row r="43" spans="1:18" ht="20.25" customHeight="1">
      <c r="B43" s="1529" t="s">
        <v>1711</v>
      </c>
      <c r="C43" s="1530"/>
      <c r="D43" s="1530"/>
      <c r="E43" s="1531" t="s">
        <v>1712</v>
      </c>
      <c r="F43" s="1274"/>
      <c r="G43" s="2650"/>
      <c r="H43" s="1117"/>
      <c r="I43" s="1123"/>
      <c r="J43" s="1251"/>
      <c r="K43" s="1460"/>
      <c r="L43" s="1514"/>
      <c r="M43" s="1514"/>
      <c r="N43" s="1514"/>
      <c r="O43" s="1514"/>
      <c r="P43" s="1514"/>
      <c r="Q43" s="1461"/>
      <c r="R43" s="1457"/>
    </row>
    <row r="44" spans="1:18" ht="93.75" customHeight="1">
      <c r="B44" s="2642" t="s">
        <v>1619</v>
      </c>
      <c r="C44" s="2642"/>
      <c r="D44" s="2643" t="s">
        <v>1714</v>
      </c>
      <c r="E44" s="2643"/>
      <c r="F44" s="1456" t="s">
        <v>1715</v>
      </c>
      <c r="G44" s="1459" t="s">
        <v>1703</v>
      </c>
      <c r="H44" s="1465" t="s">
        <v>1628</v>
      </c>
      <c r="I44" s="1465" t="s">
        <v>1629</v>
      </c>
      <c r="J44" s="1535"/>
      <c r="K44" s="1460"/>
      <c r="L44" s="1457"/>
      <c r="M44" s="1457"/>
      <c r="N44" s="1457"/>
      <c r="O44" s="1457"/>
      <c r="P44" s="1457"/>
      <c r="Q44" s="1457"/>
      <c r="R44" s="1457"/>
    </row>
    <row r="45" spans="1:18" ht="120.75" customHeight="1">
      <c r="A45" s="1536"/>
      <c r="B45" s="2580" t="str">
        <f>IF('Project Info'!$C$4='Project Info'!$P$32,'Mod Prescriptive Path Checklist'!C27,IF('Project Info'!C4='Project Info'!P33,#REF!,"&lt;Select compliance path on the 'Project Info' tab&gt;"))</f>
        <v>Assembly U-value determinations must follow ASHRAE 90.1-2007, Appendix A.
See Tables 2 and 3 for climate specific envelope requirements for the following components: roof insulation; above grade and below grade wall insulation; floor and slab insulation; exterior doors; and vertical glazing.</v>
      </c>
      <c r="C45" s="2580"/>
      <c r="D45" s="2595">
        <f>ERMs!C21</f>
        <v>0</v>
      </c>
      <c r="E45" s="2638"/>
      <c r="F45" s="1284"/>
      <c r="G45" s="1127"/>
      <c r="H45" s="1253"/>
      <c r="I45" s="1128"/>
      <c r="J45" s="1252"/>
      <c r="K45" s="1460"/>
      <c r="L45" s="1537"/>
      <c r="M45" s="1537"/>
      <c r="N45" s="1537"/>
      <c r="O45" s="1537"/>
      <c r="P45" s="1537"/>
      <c r="Q45" s="1457"/>
      <c r="R45" s="1457"/>
    </row>
    <row r="46" spans="1:18" ht="40.5" customHeight="1">
      <c r="B46" s="1538"/>
      <c r="C46" s="1538"/>
      <c r="D46" s="1538"/>
      <c r="E46" s="1538"/>
      <c r="F46" s="1539"/>
      <c r="G46" s="1539"/>
      <c r="H46" s="1450"/>
      <c r="I46" s="1450"/>
      <c r="J46" s="1538"/>
      <c r="K46" s="1540"/>
      <c r="L46" s="1457"/>
      <c r="M46" s="1457"/>
      <c r="N46" s="1457"/>
      <c r="O46" s="1457"/>
      <c r="P46" s="1457"/>
      <c r="Q46" s="1457"/>
      <c r="R46" s="1457"/>
    </row>
    <row r="47" spans="1:18" ht="30" customHeight="1">
      <c r="A47" s="1536"/>
      <c r="B47" s="1538"/>
      <c r="C47" s="1538"/>
      <c r="D47" s="1538"/>
      <c r="E47" s="1538"/>
      <c r="F47" s="1539"/>
      <c r="G47" s="1539"/>
      <c r="H47" s="1450"/>
      <c r="I47" s="1450"/>
      <c r="J47" s="1538"/>
      <c r="K47" s="1460"/>
      <c r="L47" s="1457"/>
      <c r="M47" s="1457"/>
      <c r="N47" s="1457"/>
      <c r="O47" s="1457"/>
      <c r="P47" s="1457"/>
      <c r="Q47" s="1457"/>
      <c r="R47" s="1457"/>
    </row>
    <row r="48" spans="1:18" ht="85.5" customHeight="1">
      <c r="A48" s="1536"/>
      <c r="B48" s="1459" t="s">
        <v>1633</v>
      </c>
      <c r="C48" s="1459"/>
      <c r="D48" s="2639" t="s">
        <v>1619</v>
      </c>
      <c r="E48" s="2639"/>
      <c r="F48" s="1459" t="s">
        <v>1626</v>
      </c>
      <c r="G48" s="1459" t="s">
        <v>1627</v>
      </c>
      <c r="H48" s="1465" t="s">
        <v>1628</v>
      </c>
      <c r="I48" s="1465" t="s">
        <v>1629</v>
      </c>
      <c r="J48" s="1541" t="s">
        <v>1716</v>
      </c>
      <c r="K48" s="1460"/>
      <c r="L48" s="1457"/>
      <c r="M48" s="1457"/>
      <c r="N48" s="1457"/>
      <c r="O48" s="1457"/>
      <c r="P48" s="1457"/>
      <c r="Q48" s="1457"/>
      <c r="R48" s="1457"/>
    </row>
    <row r="49" spans="1:18" ht="42.75" customHeight="1">
      <c r="B49" s="2611" t="s">
        <v>1717</v>
      </c>
      <c r="C49" s="2640"/>
      <c r="D49" s="2640"/>
      <c r="E49" s="2640"/>
      <c r="F49" s="1284"/>
      <c r="G49" s="1284"/>
      <c r="H49" s="1121"/>
      <c r="I49" s="1278"/>
      <c r="J49" s="1283"/>
    </row>
    <row r="50" spans="1:18" ht="135" customHeight="1">
      <c r="B50" s="2641" t="s">
        <v>1718</v>
      </c>
      <c r="C50" s="2641"/>
      <c r="D50" s="2595" t="str">
        <f>IF('Project Info'!C4='Project Info'!P32,'Mod Prescriptive Path Checklist'!C37,IF('Project Info'!C4='Project Info'!P33,#REF!,"&lt;Select compliance path on the 'Project Info' tab&gt;"))</f>
        <v>The envelope components must comply with ASHRAE 90.1-2007 Sections 5.4.
All roof, wall, floor and slab insulation shall achieve RESNET-defined Grade I installation or, alternatively, Grade II for surfaces with continuous insulation (≥R-3 in CZ1-4 and ≥R-5 in CZ 5-8).</v>
      </c>
      <c r="E50" s="2638"/>
      <c r="F50" s="1129"/>
      <c r="G50" s="1129"/>
      <c r="H50" s="1130"/>
      <c r="I50" s="1131"/>
      <c r="J50" s="1131"/>
    </row>
    <row r="51" spans="1:18" ht="42.75" customHeight="1">
      <c r="A51" s="953"/>
      <c r="B51" s="2575" t="s">
        <v>1719</v>
      </c>
      <c r="C51" s="2576"/>
      <c r="D51" s="2576"/>
      <c r="E51" s="2576"/>
      <c r="F51" s="2569"/>
      <c r="G51" s="2569"/>
      <c r="H51" s="2569"/>
      <c r="I51" s="1278"/>
      <c r="J51" s="1278"/>
      <c r="K51" s="953"/>
    </row>
    <row r="52" spans="1:18" ht="29.25" customHeight="1">
      <c r="A52" s="953"/>
      <c r="B52" s="2575" t="s">
        <v>1720</v>
      </c>
      <c r="C52" s="2576"/>
      <c r="D52" s="2576"/>
      <c r="E52" s="2576"/>
      <c r="F52" s="2569"/>
      <c r="G52" s="2569"/>
      <c r="H52" s="2569"/>
      <c r="I52" s="1278"/>
      <c r="J52" s="1278"/>
      <c r="K52" s="953"/>
    </row>
    <row r="53" spans="1:18" ht="33" customHeight="1">
      <c r="A53" s="953"/>
      <c r="B53" s="2585" t="s">
        <v>1721</v>
      </c>
      <c r="C53" s="2585"/>
      <c r="D53" s="2585"/>
      <c r="E53" s="2585"/>
      <c r="F53" s="2585"/>
      <c r="G53" s="2585"/>
      <c r="H53" s="2585"/>
      <c r="I53" s="2585"/>
      <c r="J53" s="2585"/>
      <c r="K53" s="953"/>
      <c r="R53" s="1321" t="s">
        <v>403</v>
      </c>
    </row>
    <row r="54" spans="1:18">
      <c r="A54" s="953"/>
      <c r="K54" s="953"/>
      <c r="R54" s="1321" t="s">
        <v>405</v>
      </c>
    </row>
    <row r="55" spans="1:18">
      <c r="R55" s="1321" t="s">
        <v>404</v>
      </c>
    </row>
    <row r="57" spans="1:18" ht="25.5">
      <c r="C57" s="1468"/>
    </row>
    <row r="58" spans="1:18" ht="25.5">
      <c r="C58" s="1468"/>
    </row>
    <row r="59" spans="1:18" ht="25.5">
      <c r="C59" s="1468"/>
    </row>
    <row r="190" spans="2:2" ht="18">
      <c r="B190" s="1323"/>
    </row>
  </sheetData>
  <sheetProtection sheet="1" objects="1" scenarios="1" formatCells="0" formatColumns="0" formatRows="0" insertColumns="0" insertRows="0"/>
  <mergeCells count="28">
    <mergeCell ref="B10:G10"/>
    <mergeCell ref="H5:I5"/>
    <mergeCell ref="H6:I6"/>
    <mergeCell ref="H7:I7"/>
    <mergeCell ref="H8:I8"/>
    <mergeCell ref="B9:G9"/>
    <mergeCell ref="B44:C44"/>
    <mergeCell ref="D44:E44"/>
    <mergeCell ref="B11:G11"/>
    <mergeCell ref="B20:J20"/>
    <mergeCell ref="B21:J21"/>
    <mergeCell ref="B22:J22"/>
    <mergeCell ref="B23:G23"/>
    <mergeCell ref="B24:J24"/>
    <mergeCell ref="B25:D25"/>
    <mergeCell ref="B27:E27"/>
    <mergeCell ref="B28:E28"/>
    <mergeCell ref="G29:G35"/>
    <mergeCell ref="G37:G43"/>
    <mergeCell ref="B51:H51"/>
    <mergeCell ref="B52:H52"/>
    <mergeCell ref="B53:J53"/>
    <mergeCell ref="B45:C45"/>
    <mergeCell ref="D45:E45"/>
    <mergeCell ref="D48:E48"/>
    <mergeCell ref="B49:E49"/>
    <mergeCell ref="B50:C50"/>
    <mergeCell ref="D50:E50"/>
  </mergeCells>
  <dataValidations count="2">
    <dataValidation type="list" allowBlank="1" showInputMessage="1" showErrorMessage="1" sqref="H2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H29:I35 JD29:JE35 SZ29:TA35 ACV29:ACW35 AMR29:AMS35 AWN29:AWO35 BGJ29:BGK35 BQF29:BQG35 CAB29:CAC35 CJX29:CJY35 CTT29:CTU35 DDP29:DDQ35 DNL29:DNM35 DXH29:DXI35 EHD29:EHE35 EQZ29:ERA35 FAV29:FAW35 FKR29:FKS35 FUN29:FUO35 GEJ29:GEK35 GOF29:GOG35 GYB29:GYC35 HHX29:HHY35 HRT29:HRU35 IBP29:IBQ35 ILL29:ILM35 IVH29:IVI35 JFD29:JFE35 JOZ29:JPA35 JYV29:JYW35 KIR29:KIS35 KSN29:KSO35 LCJ29:LCK35 LMF29:LMG35 LWB29:LWC35 MFX29:MFY35 MPT29:MPU35 MZP29:MZQ35 NJL29:NJM35 NTH29:NTI35 ODD29:ODE35 OMZ29:ONA35 OWV29:OWW35 PGR29:PGS35 PQN29:PQO35 QAJ29:QAK35 QKF29:QKG35 QUB29:QUC35 RDX29:RDY35 RNT29:RNU35 RXP29:RXQ35 SHL29:SHM35 SRH29:SRI35 TBD29:TBE35 TKZ29:TLA35 TUV29:TUW35 UER29:UES35 UON29:UOO35 UYJ29:UYK35 VIF29:VIG35 VSB29:VSC35 WBX29:WBY35 WLT29:WLU35 WVP29:WVQ35 H65565:I65571 JD65565:JE65571 SZ65565:TA65571 ACV65565:ACW65571 AMR65565:AMS65571 AWN65565:AWO65571 BGJ65565:BGK65571 BQF65565:BQG65571 CAB65565:CAC65571 CJX65565:CJY65571 CTT65565:CTU65571 DDP65565:DDQ65571 DNL65565:DNM65571 DXH65565:DXI65571 EHD65565:EHE65571 EQZ65565:ERA65571 FAV65565:FAW65571 FKR65565:FKS65571 FUN65565:FUO65571 GEJ65565:GEK65571 GOF65565:GOG65571 GYB65565:GYC65571 HHX65565:HHY65571 HRT65565:HRU65571 IBP65565:IBQ65571 ILL65565:ILM65571 IVH65565:IVI65571 JFD65565:JFE65571 JOZ65565:JPA65571 JYV65565:JYW65571 KIR65565:KIS65571 KSN65565:KSO65571 LCJ65565:LCK65571 LMF65565:LMG65571 LWB65565:LWC65571 MFX65565:MFY65571 MPT65565:MPU65571 MZP65565:MZQ65571 NJL65565:NJM65571 NTH65565:NTI65571 ODD65565:ODE65571 OMZ65565:ONA65571 OWV65565:OWW65571 PGR65565:PGS65571 PQN65565:PQO65571 QAJ65565:QAK65571 QKF65565:QKG65571 QUB65565:QUC65571 RDX65565:RDY65571 RNT65565:RNU65571 RXP65565:RXQ65571 SHL65565:SHM65571 SRH65565:SRI65571 TBD65565:TBE65571 TKZ65565:TLA65571 TUV65565:TUW65571 UER65565:UES65571 UON65565:UOO65571 UYJ65565:UYK65571 VIF65565:VIG65571 VSB65565:VSC65571 WBX65565:WBY65571 WLT65565:WLU65571 WVP65565:WVQ65571 H131101:I131107 JD131101:JE131107 SZ131101:TA131107 ACV131101:ACW131107 AMR131101:AMS131107 AWN131101:AWO131107 BGJ131101:BGK131107 BQF131101:BQG131107 CAB131101:CAC131107 CJX131101:CJY131107 CTT131101:CTU131107 DDP131101:DDQ131107 DNL131101:DNM131107 DXH131101:DXI131107 EHD131101:EHE131107 EQZ131101:ERA131107 FAV131101:FAW131107 FKR131101:FKS131107 FUN131101:FUO131107 GEJ131101:GEK131107 GOF131101:GOG131107 GYB131101:GYC131107 HHX131101:HHY131107 HRT131101:HRU131107 IBP131101:IBQ131107 ILL131101:ILM131107 IVH131101:IVI131107 JFD131101:JFE131107 JOZ131101:JPA131107 JYV131101:JYW131107 KIR131101:KIS131107 KSN131101:KSO131107 LCJ131101:LCK131107 LMF131101:LMG131107 LWB131101:LWC131107 MFX131101:MFY131107 MPT131101:MPU131107 MZP131101:MZQ131107 NJL131101:NJM131107 NTH131101:NTI131107 ODD131101:ODE131107 OMZ131101:ONA131107 OWV131101:OWW131107 PGR131101:PGS131107 PQN131101:PQO131107 QAJ131101:QAK131107 QKF131101:QKG131107 QUB131101:QUC131107 RDX131101:RDY131107 RNT131101:RNU131107 RXP131101:RXQ131107 SHL131101:SHM131107 SRH131101:SRI131107 TBD131101:TBE131107 TKZ131101:TLA131107 TUV131101:TUW131107 UER131101:UES131107 UON131101:UOO131107 UYJ131101:UYK131107 VIF131101:VIG131107 VSB131101:VSC131107 WBX131101:WBY131107 WLT131101:WLU131107 WVP131101:WVQ131107 H196637:I196643 JD196637:JE196643 SZ196637:TA196643 ACV196637:ACW196643 AMR196637:AMS196643 AWN196637:AWO196643 BGJ196637:BGK196643 BQF196637:BQG196643 CAB196637:CAC196643 CJX196637:CJY196643 CTT196637:CTU196643 DDP196637:DDQ196643 DNL196637:DNM196643 DXH196637:DXI196643 EHD196637:EHE196643 EQZ196637:ERA196643 FAV196637:FAW196643 FKR196637:FKS196643 FUN196637:FUO196643 GEJ196637:GEK196643 GOF196637:GOG196643 GYB196637:GYC196643 HHX196637:HHY196643 HRT196637:HRU196643 IBP196637:IBQ196643 ILL196637:ILM196643 IVH196637:IVI196643 JFD196637:JFE196643 JOZ196637:JPA196643 JYV196637:JYW196643 KIR196637:KIS196643 KSN196637:KSO196643 LCJ196637:LCK196643 LMF196637:LMG196643 LWB196637:LWC196643 MFX196637:MFY196643 MPT196637:MPU196643 MZP196637:MZQ196643 NJL196637:NJM196643 NTH196637:NTI196643 ODD196637:ODE196643 OMZ196637:ONA196643 OWV196637:OWW196643 PGR196637:PGS196643 PQN196637:PQO196643 QAJ196637:QAK196643 QKF196637:QKG196643 QUB196637:QUC196643 RDX196637:RDY196643 RNT196637:RNU196643 RXP196637:RXQ196643 SHL196637:SHM196643 SRH196637:SRI196643 TBD196637:TBE196643 TKZ196637:TLA196643 TUV196637:TUW196643 UER196637:UES196643 UON196637:UOO196643 UYJ196637:UYK196643 VIF196637:VIG196643 VSB196637:VSC196643 WBX196637:WBY196643 WLT196637:WLU196643 WVP196637:WVQ196643 H262173:I262179 JD262173:JE262179 SZ262173:TA262179 ACV262173:ACW262179 AMR262173:AMS262179 AWN262173:AWO262179 BGJ262173:BGK262179 BQF262173:BQG262179 CAB262173:CAC262179 CJX262173:CJY262179 CTT262173:CTU262179 DDP262173:DDQ262179 DNL262173:DNM262179 DXH262173:DXI262179 EHD262173:EHE262179 EQZ262173:ERA262179 FAV262173:FAW262179 FKR262173:FKS262179 FUN262173:FUO262179 GEJ262173:GEK262179 GOF262173:GOG262179 GYB262173:GYC262179 HHX262173:HHY262179 HRT262173:HRU262179 IBP262173:IBQ262179 ILL262173:ILM262179 IVH262173:IVI262179 JFD262173:JFE262179 JOZ262173:JPA262179 JYV262173:JYW262179 KIR262173:KIS262179 KSN262173:KSO262179 LCJ262173:LCK262179 LMF262173:LMG262179 LWB262173:LWC262179 MFX262173:MFY262179 MPT262173:MPU262179 MZP262173:MZQ262179 NJL262173:NJM262179 NTH262173:NTI262179 ODD262173:ODE262179 OMZ262173:ONA262179 OWV262173:OWW262179 PGR262173:PGS262179 PQN262173:PQO262179 QAJ262173:QAK262179 QKF262173:QKG262179 QUB262173:QUC262179 RDX262173:RDY262179 RNT262173:RNU262179 RXP262173:RXQ262179 SHL262173:SHM262179 SRH262173:SRI262179 TBD262173:TBE262179 TKZ262173:TLA262179 TUV262173:TUW262179 UER262173:UES262179 UON262173:UOO262179 UYJ262173:UYK262179 VIF262173:VIG262179 VSB262173:VSC262179 WBX262173:WBY262179 WLT262173:WLU262179 WVP262173:WVQ262179 H327709:I327715 JD327709:JE327715 SZ327709:TA327715 ACV327709:ACW327715 AMR327709:AMS327715 AWN327709:AWO327715 BGJ327709:BGK327715 BQF327709:BQG327715 CAB327709:CAC327715 CJX327709:CJY327715 CTT327709:CTU327715 DDP327709:DDQ327715 DNL327709:DNM327715 DXH327709:DXI327715 EHD327709:EHE327715 EQZ327709:ERA327715 FAV327709:FAW327715 FKR327709:FKS327715 FUN327709:FUO327715 GEJ327709:GEK327715 GOF327709:GOG327715 GYB327709:GYC327715 HHX327709:HHY327715 HRT327709:HRU327715 IBP327709:IBQ327715 ILL327709:ILM327715 IVH327709:IVI327715 JFD327709:JFE327715 JOZ327709:JPA327715 JYV327709:JYW327715 KIR327709:KIS327715 KSN327709:KSO327715 LCJ327709:LCK327715 LMF327709:LMG327715 LWB327709:LWC327715 MFX327709:MFY327715 MPT327709:MPU327715 MZP327709:MZQ327715 NJL327709:NJM327715 NTH327709:NTI327715 ODD327709:ODE327715 OMZ327709:ONA327715 OWV327709:OWW327715 PGR327709:PGS327715 PQN327709:PQO327715 QAJ327709:QAK327715 QKF327709:QKG327715 QUB327709:QUC327715 RDX327709:RDY327715 RNT327709:RNU327715 RXP327709:RXQ327715 SHL327709:SHM327715 SRH327709:SRI327715 TBD327709:TBE327715 TKZ327709:TLA327715 TUV327709:TUW327715 UER327709:UES327715 UON327709:UOO327715 UYJ327709:UYK327715 VIF327709:VIG327715 VSB327709:VSC327715 WBX327709:WBY327715 WLT327709:WLU327715 WVP327709:WVQ327715 H393245:I393251 JD393245:JE393251 SZ393245:TA393251 ACV393245:ACW393251 AMR393245:AMS393251 AWN393245:AWO393251 BGJ393245:BGK393251 BQF393245:BQG393251 CAB393245:CAC393251 CJX393245:CJY393251 CTT393245:CTU393251 DDP393245:DDQ393251 DNL393245:DNM393251 DXH393245:DXI393251 EHD393245:EHE393251 EQZ393245:ERA393251 FAV393245:FAW393251 FKR393245:FKS393251 FUN393245:FUO393251 GEJ393245:GEK393251 GOF393245:GOG393251 GYB393245:GYC393251 HHX393245:HHY393251 HRT393245:HRU393251 IBP393245:IBQ393251 ILL393245:ILM393251 IVH393245:IVI393251 JFD393245:JFE393251 JOZ393245:JPA393251 JYV393245:JYW393251 KIR393245:KIS393251 KSN393245:KSO393251 LCJ393245:LCK393251 LMF393245:LMG393251 LWB393245:LWC393251 MFX393245:MFY393251 MPT393245:MPU393251 MZP393245:MZQ393251 NJL393245:NJM393251 NTH393245:NTI393251 ODD393245:ODE393251 OMZ393245:ONA393251 OWV393245:OWW393251 PGR393245:PGS393251 PQN393245:PQO393251 QAJ393245:QAK393251 QKF393245:QKG393251 QUB393245:QUC393251 RDX393245:RDY393251 RNT393245:RNU393251 RXP393245:RXQ393251 SHL393245:SHM393251 SRH393245:SRI393251 TBD393245:TBE393251 TKZ393245:TLA393251 TUV393245:TUW393251 UER393245:UES393251 UON393245:UOO393251 UYJ393245:UYK393251 VIF393245:VIG393251 VSB393245:VSC393251 WBX393245:WBY393251 WLT393245:WLU393251 WVP393245:WVQ393251 H458781:I458787 JD458781:JE458787 SZ458781:TA458787 ACV458781:ACW458787 AMR458781:AMS458787 AWN458781:AWO458787 BGJ458781:BGK458787 BQF458781:BQG458787 CAB458781:CAC458787 CJX458781:CJY458787 CTT458781:CTU458787 DDP458781:DDQ458787 DNL458781:DNM458787 DXH458781:DXI458787 EHD458781:EHE458787 EQZ458781:ERA458787 FAV458781:FAW458787 FKR458781:FKS458787 FUN458781:FUO458787 GEJ458781:GEK458787 GOF458781:GOG458787 GYB458781:GYC458787 HHX458781:HHY458787 HRT458781:HRU458787 IBP458781:IBQ458787 ILL458781:ILM458787 IVH458781:IVI458787 JFD458781:JFE458787 JOZ458781:JPA458787 JYV458781:JYW458787 KIR458781:KIS458787 KSN458781:KSO458787 LCJ458781:LCK458787 LMF458781:LMG458787 LWB458781:LWC458787 MFX458781:MFY458787 MPT458781:MPU458787 MZP458781:MZQ458787 NJL458781:NJM458787 NTH458781:NTI458787 ODD458781:ODE458787 OMZ458781:ONA458787 OWV458781:OWW458787 PGR458781:PGS458787 PQN458781:PQO458787 QAJ458781:QAK458787 QKF458781:QKG458787 QUB458781:QUC458787 RDX458781:RDY458787 RNT458781:RNU458787 RXP458781:RXQ458787 SHL458781:SHM458787 SRH458781:SRI458787 TBD458781:TBE458787 TKZ458781:TLA458787 TUV458781:TUW458787 UER458781:UES458787 UON458781:UOO458787 UYJ458781:UYK458787 VIF458781:VIG458787 VSB458781:VSC458787 WBX458781:WBY458787 WLT458781:WLU458787 WVP458781:WVQ458787 H524317:I524323 JD524317:JE524323 SZ524317:TA524323 ACV524317:ACW524323 AMR524317:AMS524323 AWN524317:AWO524323 BGJ524317:BGK524323 BQF524317:BQG524323 CAB524317:CAC524323 CJX524317:CJY524323 CTT524317:CTU524323 DDP524317:DDQ524323 DNL524317:DNM524323 DXH524317:DXI524323 EHD524317:EHE524323 EQZ524317:ERA524323 FAV524317:FAW524323 FKR524317:FKS524323 FUN524317:FUO524323 GEJ524317:GEK524323 GOF524317:GOG524323 GYB524317:GYC524323 HHX524317:HHY524323 HRT524317:HRU524323 IBP524317:IBQ524323 ILL524317:ILM524323 IVH524317:IVI524323 JFD524317:JFE524323 JOZ524317:JPA524323 JYV524317:JYW524323 KIR524317:KIS524323 KSN524317:KSO524323 LCJ524317:LCK524323 LMF524317:LMG524323 LWB524317:LWC524323 MFX524317:MFY524323 MPT524317:MPU524323 MZP524317:MZQ524323 NJL524317:NJM524323 NTH524317:NTI524323 ODD524317:ODE524323 OMZ524317:ONA524323 OWV524317:OWW524323 PGR524317:PGS524323 PQN524317:PQO524323 QAJ524317:QAK524323 QKF524317:QKG524323 QUB524317:QUC524323 RDX524317:RDY524323 RNT524317:RNU524323 RXP524317:RXQ524323 SHL524317:SHM524323 SRH524317:SRI524323 TBD524317:TBE524323 TKZ524317:TLA524323 TUV524317:TUW524323 UER524317:UES524323 UON524317:UOO524323 UYJ524317:UYK524323 VIF524317:VIG524323 VSB524317:VSC524323 WBX524317:WBY524323 WLT524317:WLU524323 WVP524317:WVQ524323 H589853:I589859 JD589853:JE589859 SZ589853:TA589859 ACV589853:ACW589859 AMR589853:AMS589859 AWN589853:AWO589859 BGJ589853:BGK589859 BQF589853:BQG589859 CAB589853:CAC589859 CJX589853:CJY589859 CTT589853:CTU589859 DDP589853:DDQ589859 DNL589853:DNM589859 DXH589853:DXI589859 EHD589853:EHE589859 EQZ589853:ERA589859 FAV589853:FAW589859 FKR589853:FKS589859 FUN589853:FUO589859 GEJ589853:GEK589859 GOF589853:GOG589859 GYB589853:GYC589859 HHX589853:HHY589859 HRT589853:HRU589859 IBP589853:IBQ589859 ILL589853:ILM589859 IVH589853:IVI589859 JFD589853:JFE589859 JOZ589853:JPA589859 JYV589853:JYW589859 KIR589853:KIS589859 KSN589853:KSO589859 LCJ589853:LCK589859 LMF589853:LMG589859 LWB589853:LWC589859 MFX589853:MFY589859 MPT589853:MPU589859 MZP589853:MZQ589859 NJL589853:NJM589859 NTH589853:NTI589859 ODD589853:ODE589859 OMZ589853:ONA589859 OWV589853:OWW589859 PGR589853:PGS589859 PQN589853:PQO589859 QAJ589853:QAK589859 QKF589853:QKG589859 QUB589853:QUC589859 RDX589853:RDY589859 RNT589853:RNU589859 RXP589853:RXQ589859 SHL589853:SHM589859 SRH589853:SRI589859 TBD589853:TBE589859 TKZ589853:TLA589859 TUV589853:TUW589859 UER589853:UES589859 UON589853:UOO589859 UYJ589853:UYK589859 VIF589853:VIG589859 VSB589853:VSC589859 WBX589853:WBY589859 WLT589853:WLU589859 WVP589853:WVQ589859 H655389:I655395 JD655389:JE655395 SZ655389:TA655395 ACV655389:ACW655395 AMR655389:AMS655395 AWN655389:AWO655395 BGJ655389:BGK655395 BQF655389:BQG655395 CAB655389:CAC655395 CJX655389:CJY655395 CTT655389:CTU655395 DDP655389:DDQ655395 DNL655389:DNM655395 DXH655389:DXI655395 EHD655389:EHE655395 EQZ655389:ERA655395 FAV655389:FAW655395 FKR655389:FKS655395 FUN655389:FUO655395 GEJ655389:GEK655395 GOF655389:GOG655395 GYB655389:GYC655395 HHX655389:HHY655395 HRT655389:HRU655395 IBP655389:IBQ655395 ILL655389:ILM655395 IVH655389:IVI655395 JFD655389:JFE655395 JOZ655389:JPA655395 JYV655389:JYW655395 KIR655389:KIS655395 KSN655389:KSO655395 LCJ655389:LCK655395 LMF655389:LMG655395 LWB655389:LWC655395 MFX655389:MFY655395 MPT655389:MPU655395 MZP655389:MZQ655395 NJL655389:NJM655395 NTH655389:NTI655395 ODD655389:ODE655395 OMZ655389:ONA655395 OWV655389:OWW655395 PGR655389:PGS655395 PQN655389:PQO655395 QAJ655389:QAK655395 QKF655389:QKG655395 QUB655389:QUC655395 RDX655389:RDY655395 RNT655389:RNU655395 RXP655389:RXQ655395 SHL655389:SHM655395 SRH655389:SRI655395 TBD655389:TBE655395 TKZ655389:TLA655395 TUV655389:TUW655395 UER655389:UES655395 UON655389:UOO655395 UYJ655389:UYK655395 VIF655389:VIG655395 VSB655389:VSC655395 WBX655389:WBY655395 WLT655389:WLU655395 WVP655389:WVQ655395 H720925:I720931 JD720925:JE720931 SZ720925:TA720931 ACV720925:ACW720931 AMR720925:AMS720931 AWN720925:AWO720931 BGJ720925:BGK720931 BQF720925:BQG720931 CAB720925:CAC720931 CJX720925:CJY720931 CTT720925:CTU720931 DDP720925:DDQ720931 DNL720925:DNM720931 DXH720925:DXI720931 EHD720925:EHE720931 EQZ720925:ERA720931 FAV720925:FAW720931 FKR720925:FKS720931 FUN720925:FUO720931 GEJ720925:GEK720931 GOF720925:GOG720931 GYB720925:GYC720931 HHX720925:HHY720931 HRT720925:HRU720931 IBP720925:IBQ720931 ILL720925:ILM720931 IVH720925:IVI720931 JFD720925:JFE720931 JOZ720925:JPA720931 JYV720925:JYW720931 KIR720925:KIS720931 KSN720925:KSO720931 LCJ720925:LCK720931 LMF720925:LMG720931 LWB720925:LWC720931 MFX720925:MFY720931 MPT720925:MPU720931 MZP720925:MZQ720931 NJL720925:NJM720931 NTH720925:NTI720931 ODD720925:ODE720931 OMZ720925:ONA720931 OWV720925:OWW720931 PGR720925:PGS720931 PQN720925:PQO720931 QAJ720925:QAK720931 QKF720925:QKG720931 QUB720925:QUC720931 RDX720925:RDY720931 RNT720925:RNU720931 RXP720925:RXQ720931 SHL720925:SHM720931 SRH720925:SRI720931 TBD720925:TBE720931 TKZ720925:TLA720931 TUV720925:TUW720931 UER720925:UES720931 UON720925:UOO720931 UYJ720925:UYK720931 VIF720925:VIG720931 VSB720925:VSC720931 WBX720925:WBY720931 WLT720925:WLU720931 WVP720925:WVQ720931 H786461:I786467 JD786461:JE786467 SZ786461:TA786467 ACV786461:ACW786467 AMR786461:AMS786467 AWN786461:AWO786467 BGJ786461:BGK786467 BQF786461:BQG786467 CAB786461:CAC786467 CJX786461:CJY786467 CTT786461:CTU786467 DDP786461:DDQ786467 DNL786461:DNM786467 DXH786461:DXI786467 EHD786461:EHE786467 EQZ786461:ERA786467 FAV786461:FAW786467 FKR786461:FKS786467 FUN786461:FUO786467 GEJ786461:GEK786467 GOF786461:GOG786467 GYB786461:GYC786467 HHX786461:HHY786467 HRT786461:HRU786467 IBP786461:IBQ786467 ILL786461:ILM786467 IVH786461:IVI786467 JFD786461:JFE786467 JOZ786461:JPA786467 JYV786461:JYW786467 KIR786461:KIS786467 KSN786461:KSO786467 LCJ786461:LCK786467 LMF786461:LMG786467 LWB786461:LWC786467 MFX786461:MFY786467 MPT786461:MPU786467 MZP786461:MZQ786467 NJL786461:NJM786467 NTH786461:NTI786467 ODD786461:ODE786467 OMZ786461:ONA786467 OWV786461:OWW786467 PGR786461:PGS786467 PQN786461:PQO786467 QAJ786461:QAK786467 QKF786461:QKG786467 QUB786461:QUC786467 RDX786461:RDY786467 RNT786461:RNU786467 RXP786461:RXQ786467 SHL786461:SHM786467 SRH786461:SRI786467 TBD786461:TBE786467 TKZ786461:TLA786467 TUV786461:TUW786467 UER786461:UES786467 UON786461:UOO786467 UYJ786461:UYK786467 VIF786461:VIG786467 VSB786461:VSC786467 WBX786461:WBY786467 WLT786461:WLU786467 WVP786461:WVQ786467 H851997:I852003 JD851997:JE852003 SZ851997:TA852003 ACV851997:ACW852003 AMR851997:AMS852003 AWN851997:AWO852003 BGJ851997:BGK852003 BQF851997:BQG852003 CAB851997:CAC852003 CJX851997:CJY852003 CTT851997:CTU852003 DDP851997:DDQ852003 DNL851997:DNM852003 DXH851997:DXI852003 EHD851997:EHE852003 EQZ851997:ERA852003 FAV851997:FAW852003 FKR851997:FKS852003 FUN851997:FUO852003 GEJ851997:GEK852003 GOF851997:GOG852003 GYB851997:GYC852003 HHX851997:HHY852003 HRT851997:HRU852003 IBP851997:IBQ852003 ILL851997:ILM852003 IVH851997:IVI852003 JFD851997:JFE852003 JOZ851997:JPA852003 JYV851997:JYW852003 KIR851997:KIS852003 KSN851997:KSO852003 LCJ851997:LCK852003 LMF851997:LMG852003 LWB851997:LWC852003 MFX851997:MFY852003 MPT851997:MPU852003 MZP851997:MZQ852003 NJL851997:NJM852003 NTH851997:NTI852003 ODD851997:ODE852003 OMZ851997:ONA852003 OWV851997:OWW852003 PGR851997:PGS852003 PQN851997:PQO852003 QAJ851997:QAK852003 QKF851997:QKG852003 QUB851997:QUC852003 RDX851997:RDY852003 RNT851997:RNU852003 RXP851997:RXQ852003 SHL851997:SHM852003 SRH851997:SRI852003 TBD851997:TBE852003 TKZ851997:TLA852003 TUV851997:TUW852003 UER851997:UES852003 UON851997:UOO852003 UYJ851997:UYK852003 VIF851997:VIG852003 VSB851997:VSC852003 WBX851997:WBY852003 WLT851997:WLU852003 WVP851997:WVQ852003 H917533:I917539 JD917533:JE917539 SZ917533:TA917539 ACV917533:ACW917539 AMR917533:AMS917539 AWN917533:AWO917539 BGJ917533:BGK917539 BQF917533:BQG917539 CAB917533:CAC917539 CJX917533:CJY917539 CTT917533:CTU917539 DDP917533:DDQ917539 DNL917533:DNM917539 DXH917533:DXI917539 EHD917533:EHE917539 EQZ917533:ERA917539 FAV917533:FAW917539 FKR917533:FKS917539 FUN917533:FUO917539 GEJ917533:GEK917539 GOF917533:GOG917539 GYB917533:GYC917539 HHX917533:HHY917539 HRT917533:HRU917539 IBP917533:IBQ917539 ILL917533:ILM917539 IVH917533:IVI917539 JFD917533:JFE917539 JOZ917533:JPA917539 JYV917533:JYW917539 KIR917533:KIS917539 KSN917533:KSO917539 LCJ917533:LCK917539 LMF917533:LMG917539 LWB917533:LWC917539 MFX917533:MFY917539 MPT917533:MPU917539 MZP917533:MZQ917539 NJL917533:NJM917539 NTH917533:NTI917539 ODD917533:ODE917539 OMZ917533:ONA917539 OWV917533:OWW917539 PGR917533:PGS917539 PQN917533:PQO917539 QAJ917533:QAK917539 QKF917533:QKG917539 QUB917533:QUC917539 RDX917533:RDY917539 RNT917533:RNU917539 RXP917533:RXQ917539 SHL917533:SHM917539 SRH917533:SRI917539 TBD917533:TBE917539 TKZ917533:TLA917539 TUV917533:TUW917539 UER917533:UES917539 UON917533:UOO917539 UYJ917533:UYK917539 VIF917533:VIG917539 VSB917533:VSC917539 WBX917533:WBY917539 WLT917533:WLU917539 WVP917533:WVQ917539 H983069:I983075 JD983069:JE983075 SZ983069:TA983075 ACV983069:ACW983075 AMR983069:AMS983075 AWN983069:AWO983075 BGJ983069:BGK983075 BQF983069:BQG983075 CAB983069:CAC983075 CJX983069:CJY983075 CTT983069:CTU983075 DDP983069:DDQ983075 DNL983069:DNM983075 DXH983069:DXI983075 EHD983069:EHE983075 EQZ983069:ERA983075 FAV983069:FAW983075 FKR983069:FKS983075 FUN983069:FUO983075 GEJ983069:GEK983075 GOF983069:GOG983075 GYB983069:GYC983075 HHX983069:HHY983075 HRT983069:HRU983075 IBP983069:IBQ983075 ILL983069:ILM983075 IVH983069:IVI983075 JFD983069:JFE983075 JOZ983069:JPA983075 JYV983069:JYW983075 KIR983069:KIS983075 KSN983069:KSO983075 LCJ983069:LCK983075 LMF983069:LMG983075 LWB983069:LWC983075 MFX983069:MFY983075 MPT983069:MPU983075 MZP983069:MZQ983075 NJL983069:NJM983075 NTH983069:NTI983075 ODD983069:ODE983075 OMZ983069:ONA983075 OWV983069:OWW983075 PGR983069:PGS983075 PQN983069:PQO983075 QAJ983069:QAK983075 QKF983069:QKG983075 QUB983069:QUC983075 RDX983069:RDY983075 RNT983069:RNU983075 RXP983069:RXQ983075 SHL983069:SHM983075 SRH983069:SRI983075 TBD983069:TBE983075 TKZ983069:TLA983075 TUV983069:TUW983075 UER983069:UES983075 UON983069:UOO983075 UYJ983069:UYK983075 VIF983069:VIG983075 VSB983069:VSC983075 WBX983069:WBY983075 WLT983069:WLU983075 WVP983069:WVQ983075 H37:I43 JD37:JE43 SZ37:TA43 ACV37:ACW43 AMR37:AMS43 AWN37:AWO43 BGJ37:BGK43 BQF37:BQG43 CAB37:CAC43 CJX37:CJY43 CTT37:CTU43 DDP37:DDQ43 DNL37:DNM43 DXH37:DXI43 EHD37:EHE43 EQZ37:ERA43 FAV37:FAW43 FKR37:FKS43 FUN37:FUO43 GEJ37:GEK43 GOF37:GOG43 GYB37:GYC43 HHX37:HHY43 HRT37:HRU43 IBP37:IBQ43 ILL37:ILM43 IVH37:IVI43 JFD37:JFE43 JOZ37:JPA43 JYV37:JYW43 KIR37:KIS43 KSN37:KSO43 LCJ37:LCK43 LMF37:LMG43 LWB37:LWC43 MFX37:MFY43 MPT37:MPU43 MZP37:MZQ43 NJL37:NJM43 NTH37:NTI43 ODD37:ODE43 OMZ37:ONA43 OWV37:OWW43 PGR37:PGS43 PQN37:PQO43 QAJ37:QAK43 QKF37:QKG43 QUB37:QUC43 RDX37:RDY43 RNT37:RNU43 RXP37:RXQ43 SHL37:SHM43 SRH37:SRI43 TBD37:TBE43 TKZ37:TLA43 TUV37:TUW43 UER37:UES43 UON37:UOO43 UYJ37:UYK43 VIF37:VIG43 VSB37:VSC43 WBX37:WBY43 WLT37:WLU43 WVP37:WVQ43 H65573:I65579 JD65573:JE65579 SZ65573:TA65579 ACV65573:ACW65579 AMR65573:AMS65579 AWN65573:AWO65579 BGJ65573:BGK65579 BQF65573:BQG65579 CAB65573:CAC65579 CJX65573:CJY65579 CTT65573:CTU65579 DDP65573:DDQ65579 DNL65573:DNM65579 DXH65573:DXI65579 EHD65573:EHE65579 EQZ65573:ERA65579 FAV65573:FAW65579 FKR65573:FKS65579 FUN65573:FUO65579 GEJ65573:GEK65579 GOF65573:GOG65579 GYB65573:GYC65579 HHX65573:HHY65579 HRT65573:HRU65579 IBP65573:IBQ65579 ILL65573:ILM65579 IVH65573:IVI65579 JFD65573:JFE65579 JOZ65573:JPA65579 JYV65573:JYW65579 KIR65573:KIS65579 KSN65573:KSO65579 LCJ65573:LCK65579 LMF65573:LMG65579 LWB65573:LWC65579 MFX65573:MFY65579 MPT65573:MPU65579 MZP65573:MZQ65579 NJL65573:NJM65579 NTH65573:NTI65579 ODD65573:ODE65579 OMZ65573:ONA65579 OWV65573:OWW65579 PGR65573:PGS65579 PQN65573:PQO65579 QAJ65573:QAK65579 QKF65573:QKG65579 QUB65573:QUC65579 RDX65573:RDY65579 RNT65573:RNU65579 RXP65573:RXQ65579 SHL65573:SHM65579 SRH65573:SRI65579 TBD65573:TBE65579 TKZ65573:TLA65579 TUV65573:TUW65579 UER65573:UES65579 UON65573:UOO65579 UYJ65573:UYK65579 VIF65573:VIG65579 VSB65573:VSC65579 WBX65573:WBY65579 WLT65573:WLU65579 WVP65573:WVQ65579 H131109:I131115 JD131109:JE131115 SZ131109:TA131115 ACV131109:ACW131115 AMR131109:AMS131115 AWN131109:AWO131115 BGJ131109:BGK131115 BQF131109:BQG131115 CAB131109:CAC131115 CJX131109:CJY131115 CTT131109:CTU131115 DDP131109:DDQ131115 DNL131109:DNM131115 DXH131109:DXI131115 EHD131109:EHE131115 EQZ131109:ERA131115 FAV131109:FAW131115 FKR131109:FKS131115 FUN131109:FUO131115 GEJ131109:GEK131115 GOF131109:GOG131115 GYB131109:GYC131115 HHX131109:HHY131115 HRT131109:HRU131115 IBP131109:IBQ131115 ILL131109:ILM131115 IVH131109:IVI131115 JFD131109:JFE131115 JOZ131109:JPA131115 JYV131109:JYW131115 KIR131109:KIS131115 KSN131109:KSO131115 LCJ131109:LCK131115 LMF131109:LMG131115 LWB131109:LWC131115 MFX131109:MFY131115 MPT131109:MPU131115 MZP131109:MZQ131115 NJL131109:NJM131115 NTH131109:NTI131115 ODD131109:ODE131115 OMZ131109:ONA131115 OWV131109:OWW131115 PGR131109:PGS131115 PQN131109:PQO131115 QAJ131109:QAK131115 QKF131109:QKG131115 QUB131109:QUC131115 RDX131109:RDY131115 RNT131109:RNU131115 RXP131109:RXQ131115 SHL131109:SHM131115 SRH131109:SRI131115 TBD131109:TBE131115 TKZ131109:TLA131115 TUV131109:TUW131115 UER131109:UES131115 UON131109:UOO131115 UYJ131109:UYK131115 VIF131109:VIG131115 VSB131109:VSC131115 WBX131109:WBY131115 WLT131109:WLU131115 WVP131109:WVQ131115 H196645:I196651 JD196645:JE196651 SZ196645:TA196651 ACV196645:ACW196651 AMR196645:AMS196651 AWN196645:AWO196651 BGJ196645:BGK196651 BQF196645:BQG196651 CAB196645:CAC196651 CJX196645:CJY196651 CTT196645:CTU196651 DDP196645:DDQ196651 DNL196645:DNM196651 DXH196645:DXI196651 EHD196645:EHE196651 EQZ196645:ERA196651 FAV196645:FAW196651 FKR196645:FKS196651 FUN196645:FUO196651 GEJ196645:GEK196651 GOF196645:GOG196651 GYB196645:GYC196651 HHX196645:HHY196651 HRT196645:HRU196651 IBP196645:IBQ196651 ILL196645:ILM196651 IVH196645:IVI196651 JFD196645:JFE196651 JOZ196645:JPA196651 JYV196645:JYW196651 KIR196645:KIS196651 KSN196645:KSO196651 LCJ196645:LCK196651 LMF196645:LMG196651 LWB196645:LWC196651 MFX196645:MFY196651 MPT196645:MPU196651 MZP196645:MZQ196651 NJL196645:NJM196651 NTH196645:NTI196651 ODD196645:ODE196651 OMZ196645:ONA196651 OWV196645:OWW196651 PGR196645:PGS196651 PQN196645:PQO196651 QAJ196645:QAK196651 QKF196645:QKG196651 QUB196645:QUC196651 RDX196645:RDY196651 RNT196645:RNU196651 RXP196645:RXQ196651 SHL196645:SHM196651 SRH196645:SRI196651 TBD196645:TBE196651 TKZ196645:TLA196651 TUV196645:TUW196651 UER196645:UES196651 UON196645:UOO196651 UYJ196645:UYK196651 VIF196645:VIG196651 VSB196645:VSC196651 WBX196645:WBY196651 WLT196645:WLU196651 WVP196645:WVQ196651 H262181:I262187 JD262181:JE262187 SZ262181:TA262187 ACV262181:ACW262187 AMR262181:AMS262187 AWN262181:AWO262187 BGJ262181:BGK262187 BQF262181:BQG262187 CAB262181:CAC262187 CJX262181:CJY262187 CTT262181:CTU262187 DDP262181:DDQ262187 DNL262181:DNM262187 DXH262181:DXI262187 EHD262181:EHE262187 EQZ262181:ERA262187 FAV262181:FAW262187 FKR262181:FKS262187 FUN262181:FUO262187 GEJ262181:GEK262187 GOF262181:GOG262187 GYB262181:GYC262187 HHX262181:HHY262187 HRT262181:HRU262187 IBP262181:IBQ262187 ILL262181:ILM262187 IVH262181:IVI262187 JFD262181:JFE262187 JOZ262181:JPA262187 JYV262181:JYW262187 KIR262181:KIS262187 KSN262181:KSO262187 LCJ262181:LCK262187 LMF262181:LMG262187 LWB262181:LWC262187 MFX262181:MFY262187 MPT262181:MPU262187 MZP262181:MZQ262187 NJL262181:NJM262187 NTH262181:NTI262187 ODD262181:ODE262187 OMZ262181:ONA262187 OWV262181:OWW262187 PGR262181:PGS262187 PQN262181:PQO262187 QAJ262181:QAK262187 QKF262181:QKG262187 QUB262181:QUC262187 RDX262181:RDY262187 RNT262181:RNU262187 RXP262181:RXQ262187 SHL262181:SHM262187 SRH262181:SRI262187 TBD262181:TBE262187 TKZ262181:TLA262187 TUV262181:TUW262187 UER262181:UES262187 UON262181:UOO262187 UYJ262181:UYK262187 VIF262181:VIG262187 VSB262181:VSC262187 WBX262181:WBY262187 WLT262181:WLU262187 WVP262181:WVQ262187 H327717:I327723 JD327717:JE327723 SZ327717:TA327723 ACV327717:ACW327723 AMR327717:AMS327723 AWN327717:AWO327723 BGJ327717:BGK327723 BQF327717:BQG327723 CAB327717:CAC327723 CJX327717:CJY327723 CTT327717:CTU327723 DDP327717:DDQ327723 DNL327717:DNM327723 DXH327717:DXI327723 EHD327717:EHE327723 EQZ327717:ERA327723 FAV327717:FAW327723 FKR327717:FKS327723 FUN327717:FUO327723 GEJ327717:GEK327723 GOF327717:GOG327723 GYB327717:GYC327723 HHX327717:HHY327723 HRT327717:HRU327723 IBP327717:IBQ327723 ILL327717:ILM327723 IVH327717:IVI327723 JFD327717:JFE327723 JOZ327717:JPA327723 JYV327717:JYW327723 KIR327717:KIS327723 KSN327717:KSO327723 LCJ327717:LCK327723 LMF327717:LMG327723 LWB327717:LWC327723 MFX327717:MFY327723 MPT327717:MPU327723 MZP327717:MZQ327723 NJL327717:NJM327723 NTH327717:NTI327723 ODD327717:ODE327723 OMZ327717:ONA327723 OWV327717:OWW327723 PGR327717:PGS327723 PQN327717:PQO327723 QAJ327717:QAK327723 QKF327717:QKG327723 QUB327717:QUC327723 RDX327717:RDY327723 RNT327717:RNU327723 RXP327717:RXQ327723 SHL327717:SHM327723 SRH327717:SRI327723 TBD327717:TBE327723 TKZ327717:TLA327723 TUV327717:TUW327723 UER327717:UES327723 UON327717:UOO327723 UYJ327717:UYK327723 VIF327717:VIG327723 VSB327717:VSC327723 WBX327717:WBY327723 WLT327717:WLU327723 WVP327717:WVQ327723 H393253:I393259 JD393253:JE393259 SZ393253:TA393259 ACV393253:ACW393259 AMR393253:AMS393259 AWN393253:AWO393259 BGJ393253:BGK393259 BQF393253:BQG393259 CAB393253:CAC393259 CJX393253:CJY393259 CTT393253:CTU393259 DDP393253:DDQ393259 DNL393253:DNM393259 DXH393253:DXI393259 EHD393253:EHE393259 EQZ393253:ERA393259 FAV393253:FAW393259 FKR393253:FKS393259 FUN393253:FUO393259 GEJ393253:GEK393259 GOF393253:GOG393259 GYB393253:GYC393259 HHX393253:HHY393259 HRT393253:HRU393259 IBP393253:IBQ393259 ILL393253:ILM393259 IVH393253:IVI393259 JFD393253:JFE393259 JOZ393253:JPA393259 JYV393253:JYW393259 KIR393253:KIS393259 KSN393253:KSO393259 LCJ393253:LCK393259 LMF393253:LMG393259 LWB393253:LWC393259 MFX393253:MFY393259 MPT393253:MPU393259 MZP393253:MZQ393259 NJL393253:NJM393259 NTH393253:NTI393259 ODD393253:ODE393259 OMZ393253:ONA393259 OWV393253:OWW393259 PGR393253:PGS393259 PQN393253:PQO393259 QAJ393253:QAK393259 QKF393253:QKG393259 QUB393253:QUC393259 RDX393253:RDY393259 RNT393253:RNU393259 RXP393253:RXQ393259 SHL393253:SHM393259 SRH393253:SRI393259 TBD393253:TBE393259 TKZ393253:TLA393259 TUV393253:TUW393259 UER393253:UES393259 UON393253:UOO393259 UYJ393253:UYK393259 VIF393253:VIG393259 VSB393253:VSC393259 WBX393253:WBY393259 WLT393253:WLU393259 WVP393253:WVQ393259 H458789:I458795 JD458789:JE458795 SZ458789:TA458795 ACV458789:ACW458795 AMR458789:AMS458795 AWN458789:AWO458795 BGJ458789:BGK458795 BQF458789:BQG458795 CAB458789:CAC458795 CJX458789:CJY458795 CTT458789:CTU458795 DDP458789:DDQ458795 DNL458789:DNM458795 DXH458789:DXI458795 EHD458789:EHE458795 EQZ458789:ERA458795 FAV458789:FAW458795 FKR458789:FKS458795 FUN458789:FUO458795 GEJ458789:GEK458795 GOF458789:GOG458795 GYB458789:GYC458795 HHX458789:HHY458795 HRT458789:HRU458795 IBP458789:IBQ458795 ILL458789:ILM458795 IVH458789:IVI458795 JFD458789:JFE458795 JOZ458789:JPA458795 JYV458789:JYW458795 KIR458789:KIS458795 KSN458789:KSO458795 LCJ458789:LCK458795 LMF458789:LMG458795 LWB458789:LWC458795 MFX458789:MFY458795 MPT458789:MPU458795 MZP458789:MZQ458795 NJL458789:NJM458795 NTH458789:NTI458795 ODD458789:ODE458795 OMZ458789:ONA458795 OWV458789:OWW458795 PGR458789:PGS458795 PQN458789:PQO458795 QAJ458789:QAK458795 QKF458789:QKG458795 QUB458789:QUC458795 RDX458789:RDY458795 RNT458789:RNU458795 RXP458789:RXQ458795 SHL458789:SHM458795 SRH458789:SRI458795 TBD458789:TBE458795 TKZ458789:TLA458795 TUV458789:TUW458795 UER458789:UES458795 UON458789:UOO458795 UYJ458789:UYK458795 VIF458789:VIG458795 VSB458789:VSC458795 WBX458789:WBY458795 WLT458789:WLU458795 WVP458789:WVQ458795 H524325:I524331 JD524325:JE524331 SZ524325:TA524331 ACV524325:ACW524331 AMR524325:AMS524331 AWN524325:AWO524331 BGJ524325:BGK524331 BQF524325:BQG524331 CAB524325:CAC524331 CJX524325:CJY524331 CTT524325:CTU524331 DDP524325:DDQ524331 DNL524325:DNM524331 DXH524325:DXI524331 EHD524325:EHE524331 EQZ524325:ERA524331 FAV524325:FAW524331 FKR524325:FKS524331 FUN524325:FUO524331 GEJ524325:GEK524331 GOF524325:GOG524331 GYB524325:GYC524331 HHX524325:HHY524331 HRT524325:HRU524331 IBP524325:IBQ524331 ILL524325:ILM524331 IVH524325:IVI524331 JFD524325:JFE524331 JOZ524325:JPA524331 JYV524325:JYW524331 KIR524325:KIS524331 KSN524325:KSO524331 LCJ524325:LCK524331 LMF524325:LMG524331 LWB524325:LWC524331 MFX524325:MFY524331 MPT524325:MPU524331 MZP524325:MZQ524331 NJL524325:NJM524331 NTH524325:NTI524331 ODD524325:ODE524331 OMZ524325:ONA524331 OWV524325:OWW524331 PGR524325:PGS524331 PQN524325:PQO524331 QAJ524325:QAK524331 QKF524325:QKG524331 QUB524325:QUC524331 RDX524325:RDY524331 RNT524325:RNU524331 RXP524325:RXQ524331 SHL524325:SHM524331 SRH524325:SRI524331 TBD524325:TBE524331 TKZ524325:TLA524331 TUV524325:TUW524331 UER524325:UES524331 UON524325:UOO524331 UYJ524325:UYK524331 VIF524325:VIG524331 VSB524325:VSC524331 WBX524325:WBY524331 WLT524325:WLU524331 WVP524325:WVQ524331 H589861:I589867 JD589861:JE589867 SZ589861:TA589867 ACV589861:ACW589867 AMR589861:AMS589867 AWN589861:AWO589867 BGJ589861:BGK589867 BQF589861:BQG589867 CAB589861:CAC589867 CJX589861:CJY589867 CTT589861:CTU589867 DDP589861:DDQ589867 DNL589861:DNM589867 DXH589861:DXI589867 EHD589861:EHE589867 EQZ589861:ERA589867 FAV589861:FAW589867 FKR589861:FKS589867 FUN589861:FUO589867 GEJ589861:GEK589867 GOF589861:GOG589867 GYB589861:GYC589867 HHX589861:HHY589867 HRT589861:HRU589867 IBP589861:IBQ589867 ILL589861:ILM589867 IVH589861:IVI589867 JFD589861:JFE589867 JOZ589861:JPA589867 JYV589861:JYW589867 KIR589861:KIS589867 KSN589861:KSO589867 LCJ589861:LCK589867 LMF589861:LMG589867 LWB589861:LWC589867 MFX589861:MFY589867 MPT589861:MPU589867 MZP589861:MZQ589867 NJL589861:NJM589867 NTH589861:NTI589867 ODD589861:ODE589867 OMZ589861:ONA589867 OWV589861:OWW589867 PGR589861:PGS589867 PQN589861:PQO589867 QAJ589861:QAK589867 QKF589861:QKG589867 QUB589861:QUC589867 RDX589861:RDY589867 RNT589861:RNU589867 RXP589861:RXQ589867 SHL589861:SHM589867 SRH589861:SRI589867 TBD589861:TBE589867 TKZ589861:TLA589867 TUV589861:TUW589867 UER589861:UES589867 UON589861:UOO589867 UYJ589861:UYK589867 VIF589861:VIG589867 VSB589861:VSC589867 WBX589861:WBY589867 WLT589861:WLU589867 WVP589861:WVQ589867 H655397:I655403 JD655397:JE655403 SZ655397:TA655403 ACV655397:ACW655403 AMR655397:AMS655403 AWN655397:AWO655403 BGJ655397:BGK655403 BQF655397:BQG655403 CAB655397:CAC655403 CJX655397:CJY655403 CTT655397:CTU655403 DDP655397:DDQ655403 DNL655397:DNM655403 DXH655397:DXI655403 EHD655397:EHE655403 EQZ655397:ERA655403 FAV655397:FAW655403 FKR655397:FKS655403 FUN655397:FUO655403 GEJ655397:GEK655403 GOF655397:GOG655403 GYB655397:GYC655403 HHX655397:HHY655403 HRT655397:HRU655403 IBP655397:IBQ655403 ILL655397:ILM655403 IVH655397:IVI655403 JFD655397:JFE655403 JOZ655397:JPA655403 JYV655397:JYW655403 KIR655397:KIS655403 KSN655397:KSO655403 LCJ655397:LCK655403 LMF655397:LMG655403 LWB655397:LWC655403 MFX655397:MFY655403 MPT655397:MPU655403 MZP655397:MZQ655403 NJL655397:NJM655403 NTH655397:NTI655403 ODD655397:ODE655403 OMZ655397:ONA655403 OWV655397:OWW655403 PGR655397:PGS655403 PQN655397:PQO655403 QAJ655397:QAK655403 QKF655397:QKG655403 QUB655397:QUC655403 RDX655397:RDY655403 RNT655397:RNU655403 RXP655397:RXQ655403 SHL655397:SHM655403 SRH655397:SRI655403 TBD655397:TBE655403 TKZ655397:TLA655403 TUV655397:TUW655403 UER655397:UES655403 UON655397:UOO655403 UYJ655397:UYK655403 VIF655397:VIG655403 VSB655397:VSC655403 WBX655397:WBY655403 WLT655397:WLU655403 WVP655397:WVQ655403 H720933:I720939 JD720933:JE720939 SZ720933:TA720939 ACV720933:ACW720939 AMR720933:AMS720939 AWN720933:AWO720939 BGJ720933:BGK720939 BQF720933:BQG720939 CAB720933:CAC720939 CJX720933:CJY720939 CTT720933:CTU720939 DDP720933:DDQ720939 DNL720933:DNM720939 DXH720933:DXI720939 EHD720933:EHE720939 EQZ720933:ERA720939 FAV720933:FAW720939 FKR720933:FKS720939 FUN720933:FUO720939 GEJ720933:GEK720939 GOF720933:GOG720939 GYB720933:GYC720939 HHX720933:HHY720939 HRT720933:HRU720939 IBP720933:IBQ720939 ILL720933:ILM720939 IVH720933:IVI720939 JFD720933:JFE720939 JOZ720933:JPA720939 JYV720933:JYW720939 KIR720933:KIS720939 KSN720933:KSO720939 LCJ720933:LCK720939 LMF720933:LMG720939 LWB720933:LWC720939 MFX720933:MFY720939 MPT720933:MPU720939 MZP720933:MZQ720939 NJL720933:NJM720939 NTH720933:NTI720939 ODD720933:ODE720939 OMZ720933:ONA720939 OWV720933:OWW720939 PGR720933:PGS720939 PQN720933:PQO720939 QAJ720933:QAK720939 QKF720933:QKG720939 QUB720933:QUC720939 RDX720933:RDY720939 RNT720933:RNU720939 RXP720933:RXQ720939 SHL720933:SHM720939 SRH720933:SRI720939 TBD720933:TBE720939 TKZ720933:TLA720939 TUV720933:TUW720939 UER720933:UES720939 UON720933:UOO720939 UYJ720933:UYK720939 VIF720933:VIG720939 VSB720933:VSC720939 WBX720933:WBY720939 WLT720933:WLU720939 WVP720933:WVQ720939 H786469:I786475 JD786469:JE786475 SZ786469:TA786475 ACV786469:ACW786475 AMR786469:AMS786475 AWN786469:AWO786475 BGJ786469:BGK786475 BQF786469:BQG786475 CAB786469:CAC786475 CJX786469:CJY786475 CTT786469:CTU786475 DDP786469:DDQ786475 DNL786469:DNM786475 DXH786469:DXI786475 EHD786469:EHE786475 EQZ786469:ERA786475 FAV786469:FAW786475 FKR786469:FKS786475 FUN786469:FUO786475 GEJ786469:GEK786475 GOF786469:GOG786475 GYB786469:GYC786475 HHX786469:HHY786475 HRT786469:HRU786475 IBP786469:IBQ786475 ILL786469:ILM786475 IVH786469:IVI786475 JFD786469:JFE786475 JOZ786469:JPA786475 JYV786469:JYW786475 KIR786469:KIS786475 KSN786469:KSO786475 LCJ786469:LCK786475 LMF786469:LMG786475 LWB786469:LWC786475 MFX786469:MFY786475 MPT786469:MPU786475 MZP786469:MZQ786475 NJL786469:NJM786475 NTH786469:NTI786475 ODD786469:ODE786475 OMZ786469:ONA786475 OWV786469:OWW786475 PGR786469:PGS786475 PQN786469:PQO786475 QAJ786469:QAK786475 QKF786469:QKG786475 QUB786469:QUC786475 RDX786469:RDY786475 RNT786469:RNU786475 RXP786469:RXQ786475 SHL786469:SHM786475 SRH786469:SRI786475 TBD786469:TBE786475 TKZ786469:TLA786475 TUV786469:TUW786475 UER786469:UES786475 UON786469:UOO786475 UYJ786469:UYK786475 VIF786469:VIG786475 VSB786469:VSC786475 WBX786469:WBY786475 WLT786469:WLU786475 WVP786469:WVQ786475 H852005:I852011 JD852005:JE852011 SZ852005:TA852011 ACV852005:ACW852011 AMR852005:AMS852011 AWN852005:AWO852011 BGJ852005:BGK852011 BQF852005:BQG852011 CAB852005:CAC852011 CJX852005:CJY852011 CTT852005:CTU852011 DDP852005:DDQ852011 DNL852005:DNM852011 DXH852005:DXI852011 EHD852005:EHE852011 EQZ852005:ERA852011 FAV852005:FAW852011 FKR852005:FKS852011 FUN852005:FUO852011 GEJ852005:GEK852011 GOF852005:GOG852011 GYB852005:GYC852011 HHX852005:HHY852011 HRT852005:HRU852011 IBP852005:IBQ852011 ILL852005:ILM852011 IVH852005:IVI852011 JFD852005:JFE852011 JOZ852005:JPA852011 JYV852005:JYW852011 KIR852005:KIS852011 KSN852005:KSO852011 LCJ852005:LCK852011 LMF852005:LMG852011 LWB852005:LWC852011 MFX852005:MFY852011 MPT852005:MPU852011 MZP852005:MZQ852011 NJL852005:NJM852011 NTH852005:NTI852011 ODD852005:ODE852011 OMZ852005:ONA852011 OWV852005:OWW852011 PGR852005:PGS852011 PQN852005:PQO852011 QAJ852005:QAK852011 QKF852005:QKG852011 QUB852005:QUC852011 RDX852005:RDY852011 RNT852005:RNU852011 RXP852005:RXQ852011 SHL852005:SHM852011 SRH852005:SRI852011 TBD852005:TBE852011 TKZ852005:TLA852011 TUV852005:TUW852011 UER852005:UES852011 UON852005:UOO852011 UYJ852005:UYK852011 VIF852005:VIG852011 VSB852005:VSC852011 WBX852005:WBY852011 WLT852005:WLU852011 WVP852005:WVQ852011 H917541:I917547 JD917541:JE917547 SZ917541:TA917547 ACV917541:ACW917547 AMR917541:AMS917547 AWN917541:AWO917547 BGJ917541:BGK917547 BQF917541:BQG917547 CAB917541:CAC917547 CJX917541:CJY917547 CTT917541:CTU917547 DDP917541:DDQ917547 DNL917541:DNM917547 DXH917541:DXI917547 EHD917541:EHE917547 EQZ917541:ERA917547 FAV917541:FAW917547 FKR917541:FKS917547 FUN917541:FUO917547 GEJ917541:GEK917547 GOF917541:GOG917547 GYB917541:GYC917547 HHX917541:HHY917547 HRT917541:HRU917547 IBP917541:IBQ917547 ILL917541:ILM917547 IVH917541:IVI917547 JFD917541:JFE917547 JOZ917541:JPA917547 JYV917541:JYW917547 KIR917541:KIS917547 KSN917541:KSO917547 LCJ917541:LCK917547 LMF917541:LMG917547 LWB917541:LWC917547 MFX917541:MFY917547 MPT917541:MPU917547 MZP917541:MZQ917547 NJL917541:NJM917547 NTH917541:NTI917547 ODD917541:ODE917547 OMZ917541:ONA917547 OWV917541:OWW917547 PGR917541:PGS917547 PQN917541:PQO917547 QAJ917541:QAK917547 QKF917541:QKG917547 QUB917541:QUC917547 RDX917541:RDY917547 RNT917541:RNU917547 RXP917541:RXQ917547 SHL917541:SHM917547 SRH917541:SRI917547 TBD917541:TBE917547 TKZ917541:TLA917547 TUV917541:TUW917547 UER917541:UES917547 UON917541:UOO917547 UYJ917541:UYK917547 VIF917541:VIG917547 VSB917541:VSC917547 WBX917541:WBY917547 WLT917541:WLU917547 WVP917541:WVQ917547 H983077:I983083 JD983077:JE983083 SZ983077:TA983083 ACV983077:ACW983083 AMR983077:AMS983083 AWN983077:AWO983083 BGJ983077:BGK983083 BQF983077:BQG983083 CAB983077:CAC983083 CJX983077:CJY983083 CTT983077:CTU983083 DDP983077:DDQ983083 DNL983077:DNM983083 DXH983077:DXI983083 EHD983077:EHE983083 EQZ983077:ERA983083 FAV983077:FAW983083 FKR983077:FKS983083 FUN983077:FUO983083 GEJ983077:GEK983083 GOF983077:GOG983083 GYB983077:GYC983083 HHX983077:HHY983083 HRT983077:HRU983083 IBP983077:IBQ983083 ILL983077:ILM983083 IVH983077:IVI983083 JFD983077:JFE983083 JOZ983077:JPA983083 JYV983077:JYW983083 KIR983077:KIS983083 KSN983077:KSO983083 LCJ983077:LCK983083 LMF983077:LMG983083 LWB983077:LWC983083 MFX983077:MFY983083 MPT983077:MPU983083 MZP983077:MZQ983083 NJL983077:NJM983083 NTH983077:NTI983083 ODD983077:ODE983083 OMZ983077:ONA983083 OWV983077:OWW983083 PGR983077:PGS983083 PQN983077:PQO983083 QAJ983077:QAK983083 QKF983077:QKG983083 QUB983077:QUC983083 RDX983077:RDY983083 RNT983077:RNU983083 RXP983077:RXQ983083 SHL983077:SHM983083 SRH983077:SRI983083 TBD983077:TBE983083 TKZ983077:TLA983083 TUV983077:TUW983083 UER983077:UES983083 UON983077:UOO983083 UYJ983077:UYK983083 VIF983077:VIG983083 VSB983077:VSC983083 WBX983077:WBY983083 WLT983077:WLU983083 WVP983077:WVQ983083 H45:I45 JD45:JE45 SZ45:TA45 ACV45:ACW45 AMR45:AMS45 AWN45:AWO45 BGJ45:BGK45 BQF45:BQG45 CAB45:CAC45 CJX45:CJY45 CTT45:CTU45 DDP45:DDQ45 DNL45:DNM45 DXH45:DXI45 EHD45:EHE45 EQZ45:ERA45 FAV45:FAW45 FKR45:FKS45 FUN45:FUO45 GEJ45:GEK45 GOF45:GOG45 GYB45:GYC45 HHX45:HHY45 HRT45:HRU45 IBP45:IBQ45 ILL45:ILM45 IVH45:IVI45 JFD45:JFE45 JOZ45:JPA45 JYV45:JYW45 KIR45:KIS45 KSN45:KSO45 LCJ45:LCK45 LMF45:LMG45 LWB45:LWC45 MFX45:MFY45 MPT45:MPU45 MZP45:MZQ45 NJL45:NJM45 NTH45:NTI45 ODD45:ODE45 OMZ45:ONA45 OWV45:OWW45 PGR45:PGS45 PQN45:PQO45 QAJ45:QAK45 QKF45:QKG45 QUB45:QUC45 RDX45:RDY45 RNT45:RNU45 RXP45:RXQ45 SHL45:SHM45 SRH45:SRI45 TBD45:TBE45 TKZ45:TLA45 TUV45:TUW45 UER45:UES45 UON45:UOO45 UYJ45:UYK45 VIF45:VIG45 VSB45:VSC45 WBX45:WBY45 WLT45:WLU45 WVP45:WVQ45 H65581:I65581 JD65581:JE65581 SZ65581:TA65581 ACV65581:ACW65581 AMR65581:AMS65581 AWN65581:AWO65581 BGJ65581:BGK65581 BQF65581:BQG65581 CAB65581:CAC65581 CJX65581:CJY65581 CTT65581:CTU65581 DDP65581:DDQ65581 DNL65581:DNM65581 DXH65581:DXI65581 EHD65581:EHE65581 EQZ65581:ERA65581 FAV65581:FAW65581 FKR65581:FKS65581 FUN65581:FUO65581 GEJ65581:GEK65581 GOF65581:GOG65581 GYB65581:GYC65581 HHX65581:HHY65581 HRT65581:HRU65581 IBP65581:IBQ65581 ILL65581:ILM65581 IVH65581:IVI65581 JFD65581:JFE65581 JOZ65581:JPA65581 JYV65581:JYW65581 KIR65581:KIS65581 KSN65581:KSO65581 LCJ65581:LCK65581 LMF65581:LMG65581 LWB65581:LWC65581 MFX65581:MFY65581 MPT65581:MPU65581 MZP65581:MZQ65581 NJL65581:NJM65581 NTH65581:NTI65581 ODD65581:ODE65581 OMZ65581:ONA65581 OWV65581:OWW65581 PGR65581:PGS65581 PQN65581:PQO65581 QAJ65581:QAK65581 QKF65581:QKG65581 QUB65581:QUC65581 RDX65581:RDY65581 RNT65581:RNU65581 RXP65581:RXQ65581 SHL65581:SHM65581 SRH65581:SRI65581 TBD65581:TBE65581 TKZ65581:TLA65581 TUV65581:TUW65581 UER65581:UES65581 UON65581:UOO65581 UYJ65581:UYK65581 VIF65581:VIG65581 VSB65581:VSC65581 WBX65581:WBY65581 WLT65581:WLU65581 WVP65581:WVQ65581 H131117:I131117 JD131117:JE131117 SZ131117:TA131117 ACV131117:ACW131117 AMR131117:AMS131117 AWN131117:AWO131117 BGJ131117:BGK131117 BQF131117:BQG131117 CAB131117:CAC131117 CJX131117:CJY131117 CTT131117:CTU131117 DDP131117:DDQ131117 DNL131117:DNM131117 DXH131117:DXI131117 EHD131117:EHE131117 EQZ131117:ERA131117 FAV131117:FAW131117 FKR131117:FKS131117 FUN131117:FUO131117 GEJ131117:GEK131117 GOF131117:GOG131117 GYB131117:GYC131117 HHX131117:HHY131117 HRT131117:HRU131117 IBP131117:IBQ131117 ILL131117:ILM131117 IVH131117:IVI131117 JFD131117:JFE131117 JOZ131117:JPA131117 JYV131117:JYW131117 KIR131117:KIS131117 KSN131117:KSO131117 LCJ131117:LCK131117 LMF131117:LMG131117 LWB131117:LWC131117 MFX131117:MFY131117 MPT131117:MPU131117 MZP131117:MZQ131117 NJL131117:NJM131117 NTH131117:NTI131117 ODD131117:ODE131117 OMZ131117:ONA131117 OWV131117:OWW131117 PGR131117:PGS131117 PQN131117:PQO131117 QAJ131117:QAK131117 QKF131117:QKG131117 QUB131117:QUC131117 RDX131117:RDY131117 RNT131117:RNU131117 RXP131117:RXQ131117 SHL131117:SHM131117 SRH131117:SRI131117 TBD131117:TBE131117 TKZ131117:TLA131117 TUV131117:TUW131117 UER131117:UES131117 UON131117:UOO131117 UYJ131117:UYK131117 VIF131117:VIG131117 VSB131117:VSC131117 WBX131117:WBY131117 WLT131117:WLU131117 WVP131117:WVQ131117 H196653:I196653 JD196653:JE196653 SZ196653:TA196653 ACV196653:ACW196653 AMR196653:AMS196653 AWN196653:AWO196653 BGJ196653:BGK196653 BQF196653:BQG196653 CAB196653:CAC196653 CJX196653:CJY196653 CTT196653:CTU196653 DDP196653:DDQ196653 DNL196653:DNM196653 DXH196653:DXI196653 EHD196653:EHE196653 EQZ196653:ERA196653 FAV196653:FAW196653 FKR196653:FKS196653 FUN196653:FUO196653 GEJ196653:GEK196653 GOF196653:GOG196653 GYB196653:GYC196653 HHX196653:HHY196653 HRT196653:HRU196653 IBP196653:IBQ196653 ILL196653:ILM196653 IVH196653:IVI196653 JFD196653:JFE196653 JOZ196653:JPA196653 JYV196653:JYW196653 KIR196653:KIS196653 KSN196653:KSO196653 LCJ196653:LCK196653 LMF196653:LMG196653 LWB196653:LWC196653 MFX196653:MFY196653 MPT196653:MPU196653 MZP196653:MZQ196653 NJL196653:NJM196653 NTH196653:NTI196653 ODD196653:ODE196653 OMZ196653:ONA196653 OWV196653:OWW196653 PGR196653:PGS196653 PQN196653:PQO196653 QAJ196653:QAK196653 QKF196653:QKG196653 QUB196653:QUC196653 RDX196653:RDY196653 RNT196653:RNU196653 RXP196653:RXQ196653 SHL196653:SHM196653 SRH196653:SRI196653 TBD196653:TBE196653 TKZ196653:TLA196653 TUV196653:TUW196653 UER196653:UES196653 UON196653:UOO196653 UYJ196653:UYK196653 VIF196653:VIG196653 VSB196653:VSC196653 WBX196653:WBY196653 WLT196653:WLU196653 WVP196653:WVQ196653 H262189:I262189 JD262189:JE262189 SZ262189:TA262189 ACV262189:ACW262189 AMR262189:AMS262189 AWN262189:AWO262189 BGJ262189:BGK262189 BQF262189:BQG262189 CAB262189:CAC262189 CJX262189:CJY262189 CTT262189:CTU262189 DDP262189:DDQ262189 DNL262189:DNM262189 DXH262189:DXI262189 EHD262189:EHE262189 EQZ262189:ERA262189 FAV262189:FAW262189 FKR262189:FKS262189 FUN262189:FUO262189 GEJ262189:GEK262189 GOF262189:GOG262189 GYB262189:GYC262189 HHX262189:HHY262189 HRT262189:HRU262189 IBP262189:IBQ262189 ILL262189:ILM262189 IVH262189:IVI262189 JFD262189:JFE262189 JOZ262189:JPA262189 JYV262189:JYW262189 KIR262189:KIS262189 KSN262189:KSO262189 LCJ262189:LCK262189 LMF262189:LMG262189 LWB262189:LWC262189 MFX262189:MFY262189 MPT262189:MPU262189 MZP262189:MZQ262189 NJL262189:NJM262189 NTH262189:NTI262189 ODD262189:ODE262189 OMZ262189:ONA262189 OWV262189:OWW262189 PGR262189:PGS262189 PQN262189:PQO262189 QAJ262189:QAK262189 QKF262189:QKG262189 QUB262189:QUC262189 RDX262189:RDY262189 RNT262189:RNU262189 RXP262189:RXQ262189 SHL262189:SHM262189 SRH262189:SRI262189 TBD262189:TBE262189 TKZ262189:TLA262189 TUV262189:TUW262189 UER262189:UES262189 UON262189:UOO262189 UYJ262189:UYK262189 VIF262189:VIG262189 VSB262189:VSC262189 WBX262189:WBY262189 WLT262189:WLU262189 WVP262189:WVQ262189 H327725:I327725 JD327725:JE327725 SZ327725:TA327725 ACV327725:ACW327725 AMR327725:AMS327725 AWN327725:AWO327725 BGJ327725:BGK327725 BQF327725:BQG327725 CAB327725:CAC327725 CJX327725:CJY327725 CTT327725:CTU327725 DDP327725:DDQ327725 DNL327725:DNM327725 DXH327725:DXI327725 EHD327725:EHE327725 EQZ327725:ERA327725 FAV327725:FAW327725 FKR327725:FKS327725 FUN327725:FUO327725 GEJ327725:GEK327725 GOF327725:GOG327725 GYB327725:GYC327725 HHX327725:HHY327725 HRT327725:HRU327725 IBP327725:IBQ327725 ILL327725:ILM327725 IVH327725:IVI327725 JFD327725:JFE327725 JOZ327725:JPA327725 JYV327725:JYW327725 KIR327725:KIS327725 KSN327725:KSO327725 LCJ327725:LCK327725 LMF327725:LMG327725 LWB327725:LWC327725 MFX327725:MFY327725 MPT327725:MPU327725 MZP327725:MZQ327725 NJL327725:NJM327725 NTH327725:NTI327725 ODD327725:ODE327725 OMZ327725:ONA327725 OWV327725:OWW327725 PGR327725:PGS327725 PQN327725:PQO327725 QAJ327725:QAK327725 QKF327725:QKG327725 QUB327725:QUC327725 RDX327725:RDY327725 RNT327725:RNU327725 RXP327725:RXQ327725 SHL327725:SHM327725 SRH327725:SRI327725 TBD327725:TBE327725 TKZ327725:TLA327725 TUV327725:TUW327725 UER327725:UES327725 UON327725:UOO327725 UYJ327725:UYK327725 VIF327725:VIG327725 VSB327725:VSC327725 WBX327725:WBY327725 WLT327725:WLU327725 WVP327725:WVQ327725 H393261:I393261 JD393261:JE393261 SZ393261:TA393261 ACV393261:ACW393261 AMR393261:AMS393261 AWN393261:AWO393261 BGJ393261:BGK393261 BQF393261:BQG393261 CAB393261:CAC393261 CJX393261:CJY393261 CTT393261:CTU393261 DDP393261:DDQ393261 DNL393261:DNM393261 DXH393261:DXI393261 EHD393261:EHE393261 EQZ393261:ERA393261 FAV393261:FAW393261 FKR393261:FKS393261 FUN393261:FUO393261 GEJ393261:GEK393261 GOF393261:GOG393261 GYB393261:GYC393261 HHX393261:HHY393261 HRT393261:HRU393261 IBP393261:IBQ393261 ILL393261:ILM393261 IVH393261:IVI393261 JFD393261:JFE393261 JOZ393261:JPA393261 JYV393261:JYW393261 KIR393261:KIS393261 KSN393261:KSO393261 LCJ393261:LCK393261 LMF393261:LMG393261 LWB393261:LWC393261 MFX393261:MFY393261 MPT393261:MPU393261 MZP393261:MZQ393261 NJL393261:NJM393261 NTH393261:NTI393261 ODD393261:ODE393261 OMZ393261:ONA393261 OWV393261:OWW393261 PGR393261:PGS393261 PQN393261:PQO393261 QAJ393261:QAK393261 QKF393261:QKG393261 QUB393261:QUC393261 RDX393261:RDY393261 RNT393261:RNU393261 RXP393261:RXQ393261 SHL393261:SHM393261 SRH393261:SRI393261 TBD393261:TBE393261 TKZ393261:TLA393261 TUV393261:TUW393261 UER393261:UES393261 UON393261:UOO393261 UYJ393261:UYK393261 VIF393261:VIG393261 VSB393261:VSC393261 WBX393261:WBY393261 WLT393261:WLU393261 WVP393261:WVQ393261 H458797:I458797 JD458797:JE458797 SZ458797:TA458797 ACV458797:ACW458797 AMR458797:AMS458797 AWN458797:AWO458797 BGJ458797:BGK458797 BQF458797:BQG458797 CAB458797:CAC458797 CJX458797:CJY458797 CTT458797:CTU458797 DDP458797:DDQ458797 DNL458797:DNM458797 DXH458797:DXI458797 EHD458797:EHE458797 EQZ458797:ERA458797 FAV458797:FAW458797 FKR458797:FKS458797 FUN458797:FUO458797 GEJ458797:GEK458797 GOF458797:GOG458797 GYB458797:GYC458797 HHX458797:HHY458797 HRT458797:HRU458797 IBP458797:IBQ458797 ILL458797:ILM458797 IVH458797:IVI458797 JFD458797:JFE458797 JOZ458797:JPA458797 JYV458797:JYW458797 KIR458797:KIS458797 KSN458797:KSO458797 LCJ458797:LCK458797 LMF458797:LMG458797 LWB458797:LWC458797 MFX458797:MFY458797 MPT458797:MPU458797 MZP458797:MZQ458797 NJL458797:NJM458797 NTH458797:NTI458797 ODD458797:ODE458797 OMZ458797:ONA458797 OWV458797:OWW458797 PGR458797:PGS458797 PQN458797:PQO458797 QAJ458797:QAK458797 QKF458797:QKG458797 QUB458797:QUC458797 RDX458797:RDY458797 RNT458797:RNU458797 RXP458797:RXQ458797 SHL458797:SHM458797 SRH458797:SRI458797 TBD458797:TBE458797 TKZ458797:TLA458797 TUV458797:TUW458797 UER458797:UES458797 UON458797:UOO458797 UYJ458797:UYK458797 VIF458797:VIG458797 VSB458797:VSC458797 WBX458797:WBY458797 WLT458797:WLU458797 WVP458797:WVQ458797 H524333:I524333 JD524333:JE524333 SZ524333:TA524333 ACV524333:ACW524333 AMR524333:AMS524333 AWN524333:AWO524333 BGJ524333:BGK524333 BQF524333:BQG524333 CAB524333:CAC524333 CJX524333:CJY524333 CTT524333:CTU524333 DDP524333:DDQ524333 DNL524333:DNM524333 DXH524333:DXI524333 EHD524333:EHE524333 EQZ524333:ERA524333 FAV524333:FAW524333 FKR524333:FKS524333 FUN524333:FUO524333 GEJ524333:GEK524333 GOF524333:GOG524333 GYB524333:GYC524333 HHX524333:HHY524333 HRT524333:HRU524333 IBP524333:IBQ524333 ILL524333:ILM524333 IVH524333:IVI524333 JFD524333:JFE524333 JOZ524333:JPA524333 JYV524333:JYW524333 KIR524333:KIS524333 KSN524333:KSO524333 LCJ524333:LCK524333 LMF524333:LMG524333 LWB524333:LWC524333 MFX524333:MFY524333 MPT524333:MPU524333 MZP524333:MZQ524333 NJL524333:NJM524333 NTH524333:NTI524333 ODD524333:ODE524333 OMZ524333:ONA524333 OWV524333:OWW524333 PGR524333:PGS524333 PQN524333:PQO524333 QAJ524333:QAK524333 QKF524333:QKG524333 QUB524333:QUC524333 RDX524333:RDY524333 RNT524333:RNU524333 RXP524333:RXQ524333 SHL524333:SHM524333 SRH524333:SRI524333 TBD524333:TBE524333 TKZ524333:TLA524333 TUV524333:TUW524333 UER524333:UES524333 UON524333:UOO524333 UYJ524333:UYK524333 VIF524333:VIG524333 VSB524333:VSC524333 WBX524333:WBY524333 WLT524333:WLU524333 WVP524333:WVQ524333 H589869:I589869 JD589869:JE589869 SZ589869:TA589869 ACV589869:ACW589869 AMR589869:AMS589869 AWN589869:AWO589869 BGJ589869:BGK589869 BQF589869:BQG589869 CAB589869:CAC589869 CJX589869:CJY589869 CTT589869:CTU589869 DDP589869:DDQ589869 DNL589869:DNM589869 DXH589869:DXI589869 EHD589869:EHE589869 EQZ589869:ERA589869 FAV589869:FAW589869 FKR589869:FKS589869 FUN589869:FUO589869 GEJ589869:GEK589869 GOF589869:GOG589869 GYB589869:GYC589869 HHX589869:HHY589869 HRT589869:HRU589869 IBP589869:IBQ589869 ILL589869:ILM589869 IVH589869:IVI589869 JFD589869:JFE589869 JOZ589869:JPA589869 JYV589869:JYW589869 KIR589869:KIS589869 KSN589869:KSO589869 LCJ589869:LCK589869 LMF589869:LMG589869 LWB589869:LWC589869 MFX589869:MFY589869 MPT589869:MPU589869 MZP589869:MZQ589869 NJL589869:NJM589869 NTH589869:NTI589869 ODD589869:ODE589869 OMZ589869:ONA589869 OWV589869:OWW589869 PGR589869:PGS589869 PQN589869:PQO589869 QAJ589869:QAK589869 QKF589869:QKG589869 QUB589869:QUC589869 RDX589869:RDY589869 RNT589869:RNU589869 RXP589869:RXQ589869 SHL589869:SHM589869 SRH589869:SRI589869 TBD589869:TBE589869 TKZ589869:TLA589869 TUV589869:TUW589869 UER589869:UES589869 UON589869:UOO589869 UYJ589869:UYK589869 VIF589869:VIG589869 VSB589869:VSC589869 WBX589869:WBY589869 WLT589869:WLU589869 WVP589869:WVQ589869 H655405:I655405 JD655405:JE655405 SZ655405:TA655405 ACV655405:ACW655405 AMR655405:AMS655405 AWN655405:AWO655405 BGJ655405:BGK655405 BQF655405:BQG655405 CAB655405:CAC655405 CJX655405:CJY655405 CTT655405:CTU655405 DDP655405:DDQ655405 DNL655405:DNM655405 DXH655405:DXI655405 EHD655405:EHE655405 EQZ655405:ERA655405 FAV655405:FAW655405 FKR655405:FKS655405 FUN655405:FUO655405 GEJ655405:GEK655405 GOF655405:GOG655405 GYB655405:GYC655405 HHX655405:HHY655405 HRT655405:HRU655405 IBP655405:IBQ655405 ILL655405:ILM655405 IVH655405:IVI655405 JFD655405:JFE655405 JOZ655405:JPA655405 JYV655405:JYW655405 KIR655405:KIS655405 KSN655405:KSO655405 LCJ655405:LCK655405 LMF655405:LMG655405 LWB655405:LWC655405 MFX655405:MFY655405 MPT655405:MPU655405 MZP655405:MZQ655405 NJL655405:NJM655405 NTH655405:NTI655405 ODD655405:ODE655405 OMZ655405:ONA655405 OWV655405:OWW655405 PGR655405:PGS655405 PQN655405:PQO655405 QAJ655405:QAK655405 QKF655405:QKG655405 QUB655405:QUC655405 RDX655405:RDY655405 RNT655405:RNU655405 RXP655405:RXQ655405 SHL655405:SHM655405 SRH655405:SRI655405 TBD655405:TBE655405 TKZ655405:TLA655405 TUV655405:TUW655405 UER655405:UES655405 UON655405:UOO655405 UYJ655405:UYK655405 VIF655405:VIG655405 VSB655405:VSC655405 WBX655405:WBY655405 WLT655405:WLU655405 WVP655405:WVQ655405 H720941:I720941 JD720941:JE720941 SZ720941:TA720941 ACV720941:ACW720941 AMR720941:AMS720941 AWN720941:AWO720941 BGJ720941:BGK720941 BQF720941:BQG720941 CAB720941:CAC720941 CJX720941:CJY720941 CTT720941:CTU720941 DDP720941:DDQ720941 DNL720941:DNM720941 DXH720941:DXI720941 EHD720941:EHE720941 EQZ720941:ERA720941 FAV720941:FAW720941 FKR720941:FKS720941 FUN720941:FUO720941 GEJ720941:GEK720941 GOF720941:GOG720941 GYB720941:GYC720941 HHX720941:HHY720941 HRT720941:HRU720941 IBP720941:IBQ720941 ILL720941:ILM720941 IVH720941:IVI720941 JFD720941:JFE720941 JOZ720941:JPA720941 JYV720941:JYW720941 KIR720941:KIS720941 KSN720941:KSO720941 LCJ720941:LCK720941 LMF720941:LMG720941 LWB720941:LWC720941 MFX720941:MFY720941 MPT720941:MPU720941 MZP720941:MZQ720941 NJL720941:NJM720941 NTH720941:NTI720941 ODD720941:ODE720941 OMZ720941:ONA720941 OWV720941:OWW720941 PGR720941:PGS720941 PQN720941:PQO720941 QAJ720941:QAK720941 QKF720941:QKG720941 QUB720941:QUC720941 RDX720941:RDY720941 RNT720941:RNU720941 RXP720941:RXQ720941 SHL720941:SHM720941 SRH720941:SRI720941 TBD720941:TBE720941 TKZ720941:TLA720941 TUV720941:TUW720941 UER720941:UES720941 UON720941:UOO720941 UYJ720941:UYK720941 VIF720941:VIG720941 VSB720941:VSC720941 WBX720941:WBY720941 WLT720941:WLU720941 WVP720941:WVQ720941 H786477:I786477 JD786477:JE786477 SZ786477:TA786477 ACV786477:ACW786477 AMR786477:AMS786477 AWN786477:AWO786477 BGJ786477:BGK786477 BQF786477:BQG786477 CAB786477:CAC786477 CJX786477:CJY786477 CTT786477:CTU786477 DDP786477:DDQ786477 DNL786477:DNM786477 DXH786477:DXI786477 EHD786477:EHE786477 EQZ786477:ERA786477 FAV786477:FAW786477 FKR786477:FKS786477 FUN786477:FUO786477 GEJ786477:GEK786477 GOF786477:GOG786477 GYB786477:GYC786477 HHX786477:HHY786477 HRT786477:HRU786477 IBP786477:IBQ786477 ILL786477:ILM786477 IVH786477:IVI786477 JFD786477:JFE786477 JOZ786477:JPA786477 JYV786477:JYW786477 KIR786477:KIS786477 KSN786477:KSO786477 LCJ786477:LCK786477 LMF786477:LMG786477 LWB786477:LWC786477 MFX786477:MFY786477 MPT786477:MPU786477 MZP786477:MZQ786477 NJL786477:NJM786477 NTH786477:NTI786477 ODD786477:ODE786477 OMZ786477:ONA786477 OWV786477:OWW786477 PGR786477:PGS786477 PQN786477:PQO786477 QAJ786477:QAK786477 QKF786477:QKG786477 QUB786477:QUC786477 RDX786477:RDY786477 RNT786477:RNU786477 RXP786477:RXQ786477 SHL786477:SHM786477 SRH786477:SRI786477 TBD786477:TBE786477 TKZ786477:TLA786477 TUV786477:TUW786477 UER786477:UES786477 UON786477:UOO786477 UYJ786477:UYK786477 VIF786477:VIG786477 VSB786477:VSC786477 WBX786477:WBY786477 WLT786477:WLU786477 WVP786477:WVQ786477 H852013:I852013 JD852013:JE852013 SZ852013:TA852013 ACV852013:ACW852013 AMR852013:AMS852013 AWN852013:AWO852013 BGJ852013:BGK852013 BQF852013:BQG852013 CAB852013:CAC852013 CJX852013:CJY852013 CTT852013:CTU852013 DDP852013:DDQ852013 DNL852013:DNM852013 DXH852013:DXI852013 EHD852013:EHE852013 EQZ852013:ERA852013 FAV852013:FAW852013 FKR852013:FKS852013 FUN852013:FUO852013 GEJ852013:GEK852013 GOF852013:GOG852013 GYB852013:GYC852013 HHX852013:HHY852013 HRT852013:HRU852013 IBP852013:IBQ852013 ILL852013:ILM852013 IVH852013:IVI852013 JFD852013:JFE852013 JOZ852013:JPA852013 JYV852013:JYW852013 KIR852013:KIS852013 KSN852013:KSO852013 LCJ852013:LCK852013 LMF852013:LMG852013 LWB852013:LWC852013 MFX852013:MFY852013 MPT852013:MPU852013 MZP852013:MZQ852013 NJL852013:NJM852013 NTH852013:NTI852013 ODD852013:ODE852013 OMZ852013:ONA852013 OWV852013:OWW852013 PGR852013:PGS852013 PQN852013:PQO852013 QAJ852013:QAK852013 QKF852013:QKG852013 QUB852013:QUC852013 RDX852013:RDY852013 RNT852013:RNU852013 RXP852013:RXQ852013 SHL852013:SHM852013 SRH852013:SRI852013 TBD852013:TBE852013 TKZ852013:TLA852013 TUV852013:TUW852013 UER852013:UES852013 UON852013:UOO852013 UYJ852013:UYK852013 VIF852013:VIG852013 VSB852013:VSC852013 WBX852013:WBY852013 WLT852013:WLU852013 WVP852013:WVQ852013 H917549:I917549 JD917549:JE917549 SZ917549:TA917549 ACV917549:ACW917549 AMR917549:AMS917549 AWN917549:AWO917549 BGJ917549:BGK917549 BQF917549:BQG917549 CAB917549:CAC917549 CJX917549:CJY917549 CTT917549:CTU917549 DDP917549:DDQ917549 DNL917549:DNM917549 DXH917549:DXI917549 EHD917549:EHE917549 EQZ917549:ERA917549 FAV917549:FAW917549 FKR917549:FKS917549 FUN917549:FUO917549 GEJ917549:GEK917549 GOF917549:GOG917549 GYB917549:GYC917549 HHX917549:HHY917549 HRT917549:HRU917549 IBP917549:IBQ917549 ILL917549:ILM917549 IVH917549:IVI917549 JFD917549:JFE917549 JOZ917549:JPA917549 JYV917549:JYW917549 KIR917549:KIS917549 KSN917549:KSO917549 LCJ917549:LCK917549 LMF917549:LMG917549 LWB917549:LWC917549 MFX917549:MFY917549 MPT917549:MPU917549 MZP917549:MZQ917549 NJL917549:NJM917549 NTH917549:NTI917549 ODD917549:ODE917549 OMZ917549:ONA917549 OWV917549:OWW917549 PGR917549:PGS917549 PQN917549:PQO917549 QAJ917549:QAK917549 QKF917549:QKG917549 QUB917549:QUC917549 RDX917549:RDY917549 RNT917549:RNU917549 RXP917549:RXQ917549 SHL917549:SHM917549 SRH917549:SRI917549 TBD917549:TBE917549 TKZ917549:TLA917549 TUV917549:TUW917549 UER917549:UES917549 UON917549:UOO917549 UYJ917549:UYK917549 VIF917549:VIG917549 VSB917549:VSC917549 WBX917549:WBY917549 WLT917549:WLU917549 WVP917549:WVQ917549 H983085:I983085 JD983085:JE983085 SZ983085:TA983085 ACV983085:ACW983085 AMR983085:AMS983085 AWN983085:AWO983085 BGJ983085:BGK983085 BQF983085:BQG983085 CAB983085:CAC983085 CJX983085:CJY983085 CTT983085:CTU983085 DDP983085:DDQ983085 DNL983085:DNM983085 DXH983085:DXI983085 EHD983085:EHE983085 EQZ983085:ERA983085 FAV983085:FAW983085 FKR983085:FKS983085 FUN983085:FUO983085 GEJ983085:GEK983085 GOF983085:GOG983085 GYB983085:GYC983085 HHX983085:HHY983085 HRT983085:HRU983085 IBP983085:IBQ983085 ILL983085:ILM983085 IVH983085:IVI983085 JFD983085:JFE983085 JOZ983085:JPA983085 JYV983085:JYW983085 KIR983085:KIS983085 KSN983085:KSO983085 LCJ983085:LCK983085 LMF983085:LMG983085 LWB983085:LWC983085 MFX983085:MFY983085 MPT983085:MPU983085 MZP983085:MZQ983085 NJL983085:NJM983085 NTH983085:NTI983085 ODD983085:ODE983085 OMZ983085:ONA983085 OWV983085:OWW983085 PGR983085:PGS983085 PQN983085:PQO983085 QAJ983085:QAK983085 QKF983085:QKG983085 QUB983085:QUC983085 RDX983085:RDY983085 RNT983085:RNU983085 RXP983085:RXQ983085 SHL983085:SHM983085 SRH983085:SRI983085 TBD983085:TBE983085 TKZ983085:TLA983085 TUV983085:TUW983085 UER983085:UES983085 UON983085:UOO983085 UYJ983085:UYK983085 VIF983085:VIG983085 VSB983085:VSC983085 WBX983085:WBY983085 WLT983085:WLU983085 WVP983085:WVQ983085 H49:I50 JD49:JE50 SZ49:TA50 ACV49:ACW50 AMR49:AMS50 AWN49:AWO50 BGJ49:BGK50 BQF49:BQG50 CAB49:CAC50 CJX49:CJY50 CTT49:CTU50 DDP49:DDQ50 DNL49:DNM50 DXH49:DXI50 EHD49:EHE50 EQZ49:ERA50 FAV49:FAW50 FKR49:FKS50 FUN49:FUO50 GEJ49:GEK50 GOF49:GOG50 GYB49:GYC50 HHX49:HHY50 HRT49:HRU50 IBP49:IBQ50 ILL49:ILM50 IVH49:IVI50 JFD49:JFE50 JOZ49:JPA50 JYV49:JYW50 KIR49:KIS50 KSN49:KSO50 LCJ49:LCK50 LMF49:LMG50 LWB49:LWC50 MFX49:MFY50 MPT49:MPU50 MZP49:MZQ50 NJL49:NJM50 NTH49:NTI50 ODD49:ODE50 OMZ49:ONA50 OWV49:OWW50 PGR49:PGS50 PQN49:PQO50 QAJ49:QAK50 QKF49:QKG50 QUB49:QUC50 RDX49:RDY50 RNT49:RNU50 RXP49:RXQ50 SHL49:SHM50 SRH49:SRI50 TBD49:TBE50 TKZ49:TLA50 TUV49:TUW50 UER49:UES50 UON49:UOO50 UYJ49:UYK50 VIF49:VIG50 VSB49:VSC50 WBX49:WBY50 WLT49:WLU50 WVP49:WVQ50 H65585:I65586 JD65585:JE65586 SZ65585:TA65586 ACV65585:ACW65586 AMR65585:AMS65586 AWN65585:AWO65586 BGJ65585:BGK65586 BQF65585:BQG65586 CAB65585:CAC65586 CJX65585:CJY65586 CTT65585:CTU65586 DDP65585:DDQ65586 DNL65585:DNM65586 DXH65585:DXI65586 EHD65585:EHE65586 EQZ65585:ERA65586 FAV65585:FAW65586 FKR65585:FKS65586 FUN65585:FUO65586 GEJ65585:GEK65586 GOF65585:GOG65586 GYB65585:GYC65586 HHX65585:HHY65586 HRT65585:HRU65586 IBP65585:IBQ65586 ILL65585:ILM65586 IVH65585:IVI65586 JFD65585:JFE65586 JOZ65585:JPA65586 JYV65585:JYW65586 KIR65585:KIS65586 KSN65585:KSO65586 LCJ65585:LCK65586 LMF65585:LMG65586 LWB65585:LWC65586 MFX65585:MFY65586 MPT65585:MPU65586 MZP65585:MZQ65586 NJL65585:NJM65586 NTH65585:NTI65586 ODD65585:ODE65586 OMZ65585:ONA65586 OWV65585:OWW65586 PGR65585:PGS65586 PQN65585:PQO65586 QAJ65585:QAK65586 QKF65585:QKG65586 QUB65585:QUC65586 RDX65585:RDY65586 RNT65585:RNU65586 RXP65585:RXQ65586 SHL65585:SHM65586 SRH65585:SRI65586 TBD65585:TBE65586 TKZ65585:TLA65586 TUV65585:TUW65586 UER65585:UES65586 UON65585:UOO65586 UYJ65585:UYK65586 VIF65585:VIG65586 VSB65585:VSC65586 WBX65585:WBY65586 WLT65585:WLU65586 WVP65585:WVQ65586 H131121:I131122 JD131121:JE131122 SZ131121:TA131122 ACV131121:ACW131122 AMR131121:AMS131122 AWN131121:AWO131122 BGJ131121:BGK131122 BQF131121:BQG131122 CAB131121:CAC131122 CJX131121:CJY131122 CTT131121:CTU131122 DDP131121:DDQ131122 DNL131121:DNM131122 DXH131121:DXI131122 EHD131121:EHE131122 EQZ131121:ERA131122 FAV131121:FAW131122 FKR131121:FKS131122 FUN131121:FUO131122 GEJ131121:GEK131122 GOF131121:GOG131122 GYB131121:GYC131122 HHX131121:HHY131122 HRT131121:HRU131122 IBP131121:IBQ131122 ILL131121:ILM131122 IVH131121:IVI131122 JFD131121:JFE131122 JOZ131121:JPA131122 JYV131121:JYW131122 KIR131121:KIS131122 KSN131121:KSO131122 LCJ131121:LCK131122 LMF131121:LMG131122 LWB131121:LWC131122 MFX131121:MFY131122 MPT131121:MPU131122 MZP131121:MZQ131122 NJL131121:NJM131122 NTH131121:NTI131122 ODD131121:ODE131122 OMZ131121:ONA131122 OWV131121:OWW131122 PGR131121:PGS131122 PQN131121:PQO131122 QAJ131121:QAK131122 QKF131121:QKG131122 QUB131121:QUC131122 RDX131121:RDY131122 RNT131121:RNU131122 RXP131121:RXQ131122 SHL131121:SHM131122 SRH131121:SRI131122 TBD131121:TBE131122 TKZ131121:TLA131122 TUV131121:TUW131122 UER131121:UES131122 UON131121:UOO131122 UYJ131121:UYK131122 VIF131121:VIG131122 VSB131121:VSC131122 WBX131121:WBY131122 WLT131121:WLU131122 WVP131121:WVQ131122 H196657:I196658 JD196657:JE196658 SZ196657:TA196658 ACV196657:ACW196658 AMR196657:AMS196658 AWN196657:AWO196658 BGJ196657:BGK196658 BQF196657:BQG196658 CAB196657:CAC196658 CJX196657:CJY196658 CTT196657:CTU196658 DDP196657:DDQ196658 DNL196657:DNM196658 DXH196657:DXI196658 EHD196657:EHE196658 EQZ196657:ERA196658 FAV196657:FAW196658 FKR196657:FKS196658 FUN196657:FUO196658 GEJ196657:GEK196658 GOF196657:GOG196658 GYB196657:GYC196658 HHX196657:HHY196658 HRT196657:HRU196658 IBP196657:IBQ196658 ILL196657:ILM196658 IVH196657:IVI196658 JFD196657:JFE196658 JOZ196657:JPA196658 JYV196657:JYW196658 KIR196657:KIS196658 KSN196657:KSO196658 LCJ196657:LCK196658 LMF196657:LMG196658 LWB196657:LWC196658 MFX196657:MFY196658 MPT196657:MPU196658 MZP196657:MZQ196658 NJL196657:NJM196658 NTH196657:NTI196658 ODD196657:ODE196658 OMZ196657:ONA196658 OWV196657:OWW196658 PGR196657:PGS196658 PQN196657:PQO196658 QAJ196657:QAK196658 QKF196657:QKG196658 QUB196657:QUC196658 RDX196657:RDY196658 RNT196657:RNU196658 RXP196657:RXQ196658 SHL196657:SHM196658 SRH196657:SRI196658 TBD196657:TBE196658 TKZ196657:TLA196658 TUV196657:TUW196658 UER196657:UES196658 UON196657:UOO196658 UYJ196657:UYK196658 VIF196657:VIG196658 VSB196657:VSC196658 WBX196657:WBY196658 WLT196657:WLU196658 WVP196657:WVQ196658 H262193:I262194 JD262193:JE262194 SZ262193:TA262194 ACV262193:ACW262194 AMR262193:AMS262194 AWN262193:AWO262194 BGJ262193:BGK262194 BQF262193:BQG262194 CAB262193:CAC262194 CJX262193:CJY262194 CTT262193:CTU262194 DDP262193:DDQ262194 DNL262193:DNM262194 DXH262193:DXI262194 EHD262193:EHE262194 EQZ262193:ERA262194 FAV262193:FAW262194 FKR262193:FKS262194 FUN262193:FUO262194 GEJ262193:GEK262194 GOF262193:GOG262194 GYB262193:GYC262194 HHX262193:HHY262194 HRT262193:HRU262194 IBP262193:IBQ262194 ILL262193:ILM262194 IVH262193:IVI262194 JFD262193:JFE262194 JOZ262193:JPA262194 JYV262193:JYW262194 KIR262193:KIS262194 KSN262193:KSO262194 LCJ262193:LCK262194 LMF262193:LMG262194 LWB262193:LWC262194 MFX262193:MFY262194 MPT262193:MPU262194 MZP262193:MZQ262194 NJL262193:NJM262194 NTH262193:NTI262194 ODD262193:ODE262194 OMZ262193:ONA262194 OWV262193:OWW262194 PGR262193:PGS262194 PQN262193:PQO262194 QAJ262193:QAK262194 QKF262193:QKG262194 QUB262193:QUC262194 RDX262193:RDY262194 RNT262193:RNU262194 RXP262193:RXQ262194 SHL262193:SHM262194 SRH262193:SRI262194 TBD262193:TBE262194 TKZ262193:TLA262194 TUV262193:TUW262194 UER262193:UES262194 UON262193:UOO262194 UYJ262193:UYK262194 VIF262193:VIG262194 VSB262193:VSC262194 WBX262193:WBY262194 WLT262193:WLU262194 WVP262193:WVQ262194 H327729:I327730 JD327729:JE327730 SZ327729:TA327730 ACV327729:ACW327730 AMR327729:AMS327730 AWN327729:AWO327730 BGJ327729:BGK327730 BQF327729:BQG327730 CAB327729:CAC327730 CJX327729:CJY327730 CTT327729:CTU327730 DDP327729:DDQ327730 DNL327729:DNM327730 DXH327729:DXI327730 EHD327729:EHE327730 EQZ327729:ERA327730 FAV327729:FAW327730 FKR327729:FKS327730 FUN327729:FUO327730 GEJ327729:GEK327730 GOF327729:GOG327730 GYB327729:GYC327730 HHX327729:HHY327730 HRT327729:HRU327730 IBP327729:IBQ327730 ILL327729:ILM327730 IVH327729:IVI327730 JFD327729:JFE327730 JOZ327729:JPA327730 JYV327729:JYW327730 KIR327729:KIS327730 KSN327729:KSO327730 LCJ327729:LCK327730 LMF327729:LMG327730 LWB327729:LWC327730 MFX327729:MFY327730 MPT327729:MPU327730 MZP327729:MZQ327730 NJL327729:NJM327730 NTH327729:NTI327730 ODD327729:ODE327730 OMZ327729:ONA327730 OWV327729:OWW327730 PGR327729:PGS327730 PQN327729:PQO327730 QAJ327729:QAK327730 QKF327729:QKG327730 QUB327729:QUC327730 RDX327729:RDY327730 RNT327729:RNU327730 RXP327729:RXQ327730 SHL327729:SHM327730 SRH327729:SRI327730 TBD327729:TBE327730 TKZ327729:TLA327730 TUV327729:TUW327730 UER327729:UES327730 UON327729:UOO327730 UYJ327729:UYK327730 VIF327729:VIG327730 VSB327729:VSC327730 WBX327729:WBY327730 WLT327729:WLU327730 WVP327729:WVQ327730 H393265:I393266 JD393265:JE393266 SZ393265:TA393266 ACV393265:ACW393266 AMR393265:AMS393266 AWN393265:AWO393266 BGJ393265:BGK393266 BQF393265:BQG393266 CAB393265:CAC393266 CJX393265:CJY393266 CTT393265:CTU393266 DDP393265:DDQ393266 DNL393265:DNM393266 DXH393265:DXI393266 EHD393265:EHE393266 EQZ393265:ERA393266 FAV393265:FAW393266 FKR393265:FKS393266 FUN393265:FUO393266 GEJ393265:GEK393266 GOF393265:GOG393266 GYB393265:GYC393266 HHX393265:HHY393266 HRT393265:HRU393266 IBP393265:IBQ393266 ILL393265:ILM393266 IVH393265:IVI393266 JFD393265:JFE393266 JOZ393265:JPA393266 JYV393265:JYW393266 KIR393265:KIS393266 KSN393265:KSO393266 LCJ393265:LCK393266 LMF393265:LMG393266 LWB393265:LWC393266 MFX393265:MFY393266 MPT393265:MPU393266 MZP393265:MZQ393266 NJL393265:NJM393266 NTH393265:NTI393266 ODD393265:ODE393266 OMZ393265:ONA393266 OWV393265:OWW393266 PGR393265:PGS393266 PQN393265:PQO393266 QAJ393265:QAK393266 QKF393265:QKG393266 QUB393265:QUC393266 RDX393265:RDY393266 RNT393265:RNU393266 RXP393265:RXQ393266 SHL393265:SHM393266 SRH393265:SRI393266 TBD393265:TBE393266 TKZ393265:TLA393266 TUV393265:TUW393266 UER393265:UES393266 UON393265:UOO393266 UYJ393265:UYK393266 VIF393265:VIG393266 VSB393265:VSC393266 WBX393265:WBY393266 WLT393265:WLU393266 WVP393265:WVQ393266 H458801:I458802 JD458801:JE458802 SZ458801:TA458802 ACV458801:ACW458802 AMR458801:AMS458802 AWN458801:AWO458802 BGJ458801:BGK458802 BQF458801:BQG458802 CAB458801:CAC458802 CJX458801:CJY458802 CTT458801:CTU458802 DDP458801:DDQ458802 DNL458801:DNM458802 DXH458801:DXI458802 EHD458801:EHE458802 EQZ458801:ERA458802 FAV458801:FAW458802 FKR458801:FKS458802 FUN458801:FUO458802 GEJ458801:GEK458802 GOF458801:GOG458802 GYB458801:GYC458802 HHX458801:HHY458802 HRT458801:HRU458802 IBP458801:IBQ458802 ILL458801:ILM458802 IVH458801:IVI458802 JFD458801:JFE458802 JOZ458801:JPA458802 JYV458801:JYW458802 KIR458801:KIS458802 KSN458801:KSO458802 LCJ458801:LCK458802 LMF458801:LMG458802 LWB458801:LWC458802 MFX458801:MFY458802 MPT458801:MPU458802 MZP458801:MZQ458802 NJL458801:NJM458802 NTH458801:NTI458802 ODD458801:ODE458802 OMZ458801:ONA458802 OWV458801:OWW458802 PGR458801:PGS458802 PQN458801:PQO458802 QAJ458801:QAK458802 QKF458801:QKG458802 QUB458801:QUC458802 RDX458801:RDY458802 RNT458801:RNU458802 RXP458801:RXQ458802 SHL458801:SHM458802 SRH458801:SRI458802 TBD458801:TBE458802 TKZ458801:TLA458802 TUV458801:TUW458802 UER458801:UES458802 UON458801:UOO458802 UYJ458801:UYK458802 VIF458801:VIG458802 VSB458801:VSC458802 WBX458801:WBY458802 WLT458801:WLU458802 WVP458801:WVQ458802 H524337:I524338 JD524337:JE524338 SZ524337:TA524338 ACV524337:ACW524338 AMR524337:AMS524338 AWN524337:AWO524338 BGJ524337:BGK524338 BQF524337:BQG524338 CAB524337:CAC524338 CJX524337:CJY524338 CTT524337:CTU524338 DDP524337:DDQ524338 DNL524337:DNM524338 DXH524337:DXI524338 EHD524337:EHE524338 EQZ524337:ERA524338 FAV524337:FAW524338 FKR524337:FKS524338 FUN524337:FUO524338 GEJ524337:GEK524338 GOF524337:GOG524338 GYB524337:GYC524338 HHX524337:HHY524338 HRT524337:HRU524338 IBP524337:IBQ524338 ILL524337:ILM524338 IVH524337:IVI524338 JFD524337:JFE524338 JOZ524337:JPA524338 JYV524337:JYW524338 KIR524337:KIS524338 KSN524337:KSO524338 LCJ524337:LCK524338 LMF524337:LMG524338 LWB524337:LWC524338 MFX524337:MFY524338 MPT524337:MPU524338 MZP524337:MZQ524338 NJL524337:NJM524338 NTH524337:NTI524338 ODD524337:ODE524338 OMZ524337:ONA524338 OWV524337:OWW524338 PGR524337:PGS524338 PQN524337:PQO524338 QAJ524337:QAK524338 QKF524337:QKG524338 QUB524337:QUC524338 RDX524337:RDY524338 RNT524337:RNU524338 RXP524337:RXQ524338 SHL524337:SHM524338 SRH524337:SRI524338 TBD524337:TBE524338 TKZ524337:TLA524338 TUV524337:TUW524338 UER524337:UES524338 UON524337:UOO524338 UYJ524337:UYK524338 VIF524337:VIG524338 VSB524337:VSC524338 WBX524337:WBY524338 WLT524337:WLU524338 WVP524337:WVQ524338 H589873:I589874 JD589873:JE589874 SZ589873:TA589874 ACV589873:ACW589874 AMR589873:AMS589874 AWN589873:AWO589874 BGJ589873:BGK589874 BQF589873:BQG589874 CAB589873:CAC589874 CJX589873:CJY589874 CTT589873:CTU589874 DDP589873:DDQ589874 DNL589873:DNM589874 DXH589873:DXI589874 EHD589873:EHE589874 EQZ589873:ERA589874 FAV589873:FAW589874 FKR589873:FKS589874 FUN589873:FUO589874 GEJ589873:GEK589874 GOF589873:GOG589874 GYB589873:GYC589874 HHX589873:HHY589874 HRT589873:HRU589874 IBP589873:IBQ589874 ILL589873:ILM589874 IVH589873:IVI589874 JFD589873:JFE589874 JOZ589873:JPA589874 JYV589873:JYW589874 KIR589873:KIS589874 KSN589873:KSO589874 LCJ589873:LCK589874 LMF589873:LMG589874 LWB589873:LWC589874 MFX589873:MFY589874 MPT589873:MPU589874 MZP589873:MZQ589874 NJL589873:NJM589874 NTH589873:NTI589874 ODD589873:ODE589874 OMZ589873:ONA589874 OWV589873:OWW589874 PGR589873:PGS589874 PQN589873:PQO589874 QAJ589873:QAK589874 QKF589873:QKG589874 QUB589873:QUC589874 RDX589873:RDY589874 RNT589873:RNU589874 RXP589873:RXQ589874 SHL589873:SHM589874 SRH589873:SRI589874 TBD589873:TBE589874 TKZ589873:TLA589874 TUV589873:TUW589874 UER589873:UES589874 UON589873:UOO589874 UYJ589873:UYK589874 VIF589873:VIG589874 VSB589873:VSC589874 WBX589873:WBY589874 WLT589873:WLU589874 WVP589873:WVQ589874 H655409:I655410 JD655409:JE655410 SZ655409:TA655410 ACV655409:ACW655410 AMR655409:AMS655410 AWN655409:AWO655410 BGJ655409:BGK655410 BQF655409:BQG655410 CAB655409:CAC655410 CJX655409:CJY655410 CTT655409:CTU655410 DDP655409:DDQ655410 DNL655409:DNM655410 DXH655409:DXI655410 EHD655409:EHE655410 EQZ655409:ERA655410 FAV655409:FAW655410 FKR655409:FKS655410 FUN655409:FUO655410 GEJ655409:GEK655410 GOF655409:GOG655410 GYB655409:GYC655410 HHX655409:HHY655410 HRT655409:HRU655410 IBP655409:IBQ655410 ILL655409:ILM655410 IVH655409:IVI655410 JFD655409:JFE655410 JOZ655409:JPA655410 JYV655409:JYW655410 KIR655409:KIS655410 KSN655409:KSO655410 LCJ655409:LCK655410 LMF655409:LMG655410 LWB655409:LWC655410 MFX655409:MFY655410 MPT655409:MPU655410 MZP655409:MZQ655410 NJL655409:NJM655410 NTH655409:NTI655410 ODD655409:ODE655410 OMZ655409:ONA655410 OWV655409:OWW655410 PGR655409:PGS655410 PQN655409:PQO655410 QAJ655409:QAK655410 QKF655409:QKG655410 QUB655409:QUC655410 RDX655409:RDY655410 RNT655409:RNU655410 RXP655409:RXQ655410 SHL655409:SHM655410 SRH655409:SRI655410 TBD655409:TBE655410 TKZ655409:TLA655410 TUV655409:TUW655410 UER655409:UES655410 UON655409:UOO655410 UYJ655409:UYK655410 VIF655409:VIG655410 VSB655409:VSC655410 WBX655409:WBY655410 WLT655409:WLU655410 WVP655409:WVQ655410 H720945:I720946 JD720945:JE720946 SZ720945:TA720946 ACV720945:ACW720946 AMR720945:AMS720946 AWN720945:AWO720946 BGJ720945:BGK720946 BQF720945:BQG720946 CAB720945:CAC720946 CJX720945:CJY720946 CTT720945:CTU720946 DDP720945:DDQ720946 DNL720945:DNM720946 DXH720945:DXI720946 EHD720945:EHE720946 EQZ720945:ERA720946 FAV720945:FAW720946 FKR720945:FKS720946 FUN720945:FUO720946 GEJ720945:GEK720946 GOF720945:GOG720946 GYB720945:GYC720946 HHX720945:HHY720946 HRT720945:HRU720946 IBP720945:IBQ720946 ILL720945:ILM720946 IVH720945:IVI720946 JFD720945:JFE720946 JOZ720945:JPA720946 JYV720945:JYW720946 KIR720945:KIS720946 KSN720945:KSO720946 LCJ720945:LCK720946 LMF720945:LMG720946 LWB720945:LWC720946 MFX720945:MFY720946 MPT720945:MPU720946 MZP720945:MZQ720946 NJL720945:NJM720946 NTH720945:NTI720946 ODD720945:ODE720946 OMZ720945:ONA720946 OWV720945:OWW720946 PGR720945:PGS720946 PQN720945:PQO720946 QAJ720945:QAK720946 QKF720945:QKG720946 QUB720945:QUC720946 RDX720945:RDY720946 RNT720945:RNU720946 RXP720945:RXQ720946 SHL720945:SHM720946 SRH720945:SRI720946 TBD720945:TBE720946 TKZ720945:TLA720946 TUV720945:TUW720946 UER720945:UES720946 UON720945:UOO720946 UYJ720945:UYK720946 VIF720945:VIG720946 VSB720945:VSC720946 WBX720945:WBY720946 WLT720945:WLU720946 WVP720945:WVQ720946 H786481:I786482 JD786481:JE786482 SZ786481:TA786482 ACV786481:ACW786482 AMR786481:AMS786482 AWN786481:AWO786482 BGJ786481:BGK786482 BQF786481:BQG786482 CAB786481:CAC786482 CJX786481:CJY786482 CTT786481:CTU786482 DDP786481:DDQ786482 DNL786481:DNM786482 DXH786481:DXI786482 EHD786481:EHE786482 EQZ786481:ERA786482 FAV786481:FAW786482 FKR786481:FKS786482 FUN786481:FUO786482 GEJ786481:GEK786482 GOF786481:GOG786482 GYB786481:GYC786482 HHX786481:HHY786482 HRT786481:HRU786482 IBP786481:IBQ786482 ILL786481:ILM786482 IVH786481:IVI786482 JFD786481:JFE786482 JOZ786481:JPA786482 JYV786481:JYW786482 KIR786481:KIS786482 KSN786481:KSO786482 LCJ786481:LCK786482 LMF786481:LMG786482 LWB786481:LWC786482 MFX786481:MFY786482 MPT786481:MPU786482 MZP786481:MZQ786482 NJL786481:NJM786482 NTH786481:NTI786482 ODD786481:ODE786482 OMZ786481:ONA786482 OWV786481:OWW786482 PGR786481:PGS786482 PQN786481:PQO786482 QAJ786481:QAK786482 QKF786481:QKG786482 QUB786481:QUC786482 RDX786481:RDY786482 RNT786481:RNU786482 RXP786481:RXQ786482 SHL786481:SHM786482 SRH786481:SRI786482 TBD786481:TBE786482 TKZ786481:TLA786482 TUV786481:TUW786482 UER786481:UES786482 UON786481:UOO786482 UYJ786481:UYK786482 VIF786481:VIG786482 VSB786481:VSC786482 WBX786481:WBY786482 WLT786481:WLU786482 WVP786481:WVQ786482 H852017:I852018 JD852017:JE852018 SZ852017:TA852018 ACV852017:ACW852018 AMR852017:AMS852018 AWN852017:AWO852018 BGJ852017:BGK852018 BQF852017:BQG852018 CAB852017:CAC852018 CJX852017:CJY852018 CTT852017:CTU852018 DDP852017:DDQ852018 DNL852017:DNM852018 DXH852017:DXI852018 EHD852017:EHE852018 EQZ852017:ERA852018 FAV852017:FAW852018 FKR852017:FKS852018 FUN852017:FUO852018 GEJ852017:GEK852018 GOF852017:GOG852018 GYB852017:GYC852018 HHX852017:HHY852018 HRT852017:HRU852018 IBP852017:IBQ852018 ILL852017:ILM852018 IVH852017:IVI852018 JFD852017:JFE852018 JOZ852017:JPA852018 JYV852017:JYW852018 KIR852017:KIS852018 KSN852017:KSO852018 LCJ852017:LCK852018 LMF852017:LMG852018 LWB852017:LWC852018 MFX852017:MFY852018 MPT852017:MPU852018 MZP852017:MZQ852018 NJL852017:NJM852018 NTH852017:NTI852018 ODD852017:ODE852018 OMZ852017:ONA852018 OWV852017:OWW852018 PGR852017:PGS852018 PQN852017:PQO852018 QAJ852017:QAK852018 QKF852017:QKG852018 QUB852017:QUC852018 RDX852017:RDY852018 RNT852017:RNU852018 RXP852017:RXQ852018 SHL852017:SHM852018 SRH852017:SRI852018 TBD852017:TBE852018 TKZ852017:TLA852018 TUV852017:TUW852018 UER852017:UES852018 UON852017:UOO852018 UYJ852017:UYK852018 VIF852017:VIG852018 VSB852017:VSC852018 WBX852017:WBY852018 WLT852017:WLU852018 WVP852017:WVQ852018 H917553:I917554 JD917553:JE917554 SZ917553:TA917554 ACV917553:ACW917554 AMR917553:AMS917554 AWN917553:AWO917554 BGJ917553:BGK917554 BQF917553:BQG917554 CAB917553:CAC917554 CJX917553:CJY917554 CTT917553:CTU917554 DDP917553:DDQ917554 DNL917553:DNM917554 DXH917553:DXI917554 EHD917553:EHE917554 EQZ917553:ERA917554 FAV917553:FAW917554 FKR917553:FKS917554 FUN917553:FUO917554 GEJ917553:GEK917554 GOF917553:GOG917554 GYB917553:GYC917554 HHX917553:HHY917554 HRT917553:HRU917554 IBP917553:IBQ917554 ILL917553:ILM917554 IVH917553:IVI917554 JFD917553:JFE917554 JOZ917553:JPA917554 JYV917553:JYW917554 KIR917553:KIS917554 KSN917553:KSO917554 LCJ917553:LCK917554 LMF917553:LMG917554 LWB917553:LWC917554 MFX917553:MFY917554 MPT917553:MPU917554 MZP917553:MZQ917554 NJL917553:NJM917554 NTH917553:NTI917554 ODD917553:ODE917554 OMZ917553:ONA917554 OWV917553:OWW917554 PGR917553:PGS917554 PQN917553:PQO917554 QAJ917553:QAK917554 QKF917553:QKG917554 QUB917553:QUC917554 RDX917553:RDY917554 RNT917553:RNU917554 RXP917553:RXQ917554 SHL917553:SHM917554 SRH917553:SRI917554 TBD917553:TBE917554 TKZ917553:TLA917554 TUV917553:TUW917554 UER917553:UES917554 UON917553:UOO917554 UYJ917553:UYK917554 VIF917553:VIG917554 VSB917553:VSC917554 WBX917553:WBY917554 WLT917553:WLU917554 WVP917553:WVQ917554 H983089:I983090 JD983089:JE983090 SZ983089:TA983090 ACV983089:ACW983090 AMR983089:AMS983090 AWN983089:AWO983090 BGJ983089:BGK983090 BQF983089:BQG983090 CAB983089:CAC983090 CJX983089:CJY983090 CTT983089:CTU983090 DDP983089:DDQ983090 DNL983089:DNM983090 DXH983089:DXI983090 EHD983089:EHE983090 EQZ983089:ERA983090 FAV983089:FAW983090 FKR983089:FKS983090 FUN983089:FUO983090 GEJ983089:GEK983090 GOF983089:GOG983090 GYB983089:GYC983090 HHX983089:HHY983090 HRT983089:HRU983090 IBP983089:IBQ983090 ILL983089:ILM983090 IVH983089:IVI983090 JFD983089:JFE983090 JOZ983089:JPA983090 JYV983089:JYW983090 KIR983089:KIS983090 KSN983089:KSO983090 LCJ983089:LCK983090 LMF983089:LMG983090 LWB983089:LWC983090 MFX983089:MFY983090 MPT983089:MPU983090 MZP983089:MZQ983090 NJL983089:NJM983090 NTH983089:NTI983090 ODD983089:ODE983090 OMZ983089:ONA983090 OWV983089:OWW983090 PGR983089:PGS983090 PQN983089:PQO983090 QAJ983089:QAK983090 QKF983089:QKG983090 QUB983089:QUC983090 RDX983089:RDY983090 RNT983089:RNU983090 RXP983089:RXQ983090 SHL983089:SHM983090 SRH983089:SRI983090 TBD983089:TBE983090 TKZ983089:TLA983090 TUV983089:TUW983090 UER983089:UES983090 UON983089:UOO983090 UYJ983089:UYK983090 VIF983089:VIG983090 VSB983089:VSC983090 WBX983089:WBY983090 WLT983089:WLU983090 WVP983089:WVQ983090 I51:I52 JE51:JE52 TA51:TA52 ACW51:ACW52 AMS51:AMS52 AWO51:AWO52 BGK51:BGK52 BQG51:BQG52 CAC51:CAC52 CJY51:CJY52 CTU51:CTU52 DDQ51:DDQ52 DNM51:DNM52 DXI51:DXI52 EHE51:EHE52 ERA51:ERA52 FAW51:FAW52 FKS51:FKS52 FUO51:FUO52 GEK51:GEK52 GOG51:GOG52 GYC51:GYC52 HHY51:HHY52 HRU51:HRU52 IBQ51:IBQ52 ILM51:ILM52 IVI51:IVI52 JFE51:JFE52 JPA51:JPA52 JYW51:JYW52 KIS51:KIS52 KSO51:KSO52 LCK51:LCK52 LMG51:LMG52 LWC51:LWC52 MFY51:MFY52 MPU51:MPU52 MZQ51:MZQ52 NJM51:NJM52 NTI51:NTI52 ODE51:ODE52 ONA51:ONA52 OWW51:OWW52 PGS51:PGS52 PQO51:PQO52 QAK51:QAK52 QKG51:QKG52 QUC51:QUC52 RDY51:RDY52 RNU51:RNU52 RXQ51:RXQ52 SHM51:SHM52 SRI51:SRI52 TBE51:TBE52 TLA51:TLA52 TUW51:TUW52 UES51:UES52 UOO51:UOO52 UYK51:UYK52 VIG51:VIG52 VSC51:VSC52 WBY51:WBY52 WLU51:WLU52 WVQ51:WVQ52 I65587:I65588 JE65587:JE65588 TA65587:TA65588 ACW65587:ACW65588 AMS65587:AMS65588 AWO65587:AWO65588 BGK65587:BGK65588 BQG65587:BQG65588 CAC65587:CAC65588 CJY65587:CJY65588 CTU65587:CTU65588 DDQ65587:DDQ65588 DNM65587:DNM65588 DXI65587:DXI65588 EHE65587:EHE65588 ERA65587:ERA65588 FAW65587:FAW65588 FKS65587:FKS65588 FUO65587:FUO65588 GEK65587:GEK65588 GOG65587:GOG65588 GYC65587:GYC65588 HHY65587:HHY65588 HRU65587:HRU65588 IBQ65587:IBQ65588 ILM65587:ILM65588 IVI65587:IVI65588 JFE65587:JFE65588 JPA65587:JPA65588 JYW65587:JYW65588 KIS65587:KIS65588 KSO65587:KSO65588 LCK65587:LCK65588 LMG65587:LMG65588 LWC65587:LWC65588 MFY65587:MFY65588 MPU65587:MPU65588 MZQ65587:MZQ65588 NJM65587:NJM65588 NTI65587:NTI65588 ODE65587:ODE65588 ONA65587:ONA65588 OWW65587:OWW65588 PGS65587:PGS65588 PQO65587:PQO65588 QAK65587:QAK65588 QKG65587:QKG65588 QUC65587:QUC65588 RDY65587:RDY65588 RNU65587:RNU65588 RXQ65587:RXQ65588 SHM65587:SHM65588 SRI65587:SRI65588 TBE65587:TBE65588 TLA65587:TLA65588 TUW65587:TUW65588 UES65587:UES65588 UOO65587:UOO65588 UYK65587:UYK65588 VIG65587:VIG65588 VSC65587:VSC65588 WBY65587:WBY65588 WLU65587:WLU65588 WVQ65587:WVQ65588 I131123:I131124 JE131123:JE131124 TA131123:TA131124 ACW131123:ACW131124 AMS131123:AMS131124 AWO131123:AWO131124 BGK131123:BGK131124 BQG131123:BQG131124 CAC131123:CAC131124 CJY131123:CJY131124 CTU131123:CTU131124 DDQ131123:DDQ131124 DNM131123:DNM131124 DXI131123:DXI131124 EHE131123:EHE131124 ERA131123:ERA131124 FAW131123:FAW131124 FKS131123:FKS131124 FUO131123:FUO131124 GEK131123:GEK131124 GOG131123:GOG131124 GYC131123:GYC131124 HHY131123:HHY131124 HRU131123:HRU131124 IBQ131123:IBQ131124 ILM131123:ILM131124 IVI131123:IVI131124 JFE131123:JFE131124 JPA131123:JPA131124 JYW131123:JYW131124 KIS131123:KIS131124 KSO131123:KSO131124 LCK131123:LCK131124 LMG131123:LMG131124 LWC131123:LWC131124 MFY131123:MFY131124 MPU131123:MPU131124 MZQ131123:MZQ131124 NJM131123:NJM131124 NTI131123:NTI131124 ODE131123:ODE131124 ONA131123:ONA131124 OWW131123:OWW131124 PGS131123:PGS131124 PQO131123:PQO131124 QAK131123:QAK131124 QKG131123:QKG131124 QUC131123:QUC131124 RDY131123:RDY131124 RNU131123:RNU131124 RXQ131123:RXQ131124 SHM131123:SHM131124 SRI131123:SRI131124 TBE131123:TBE131124 TLA131123:TLA131124 TUW131123:TUW131124 UES131123:UES131124 UOO131123:UOO131124 UYK131123:UYK131124 VIG131123:VIG131124 VSC131123:VSC131124 WBY131123:WBY131124 WLU131123:WLU131124 WVQ131123:WVQ131124 I196659:I196660 JE196659:JE196660 TA196659:TA196660 ACW196659:ACW196660 AMS196659:AMS196660 AWO196659:AWO196660 BGK196659:BGK196660 BQG196659:BQG196660 CAC196659:CAC196660 CJY196659:CJY196660 CTU196659:CTU196660 DDQ196659:DDQ196660 DNM196659:DNM196660 DXI196659:DXI196660 EHE196659:EHE196660 ERA196659:ERA196660 FAW196659:FAW196660 FKS196659:FKS196660 FUO196659:FUO196660 GEK196659:GEK196660 GOG196659:GOG196660 GYC196659:GYC196660 HHY196659:HHY196660 HRU196659:HRU196660 IBQ196659:IBQ196660 ILM196659:ILM196660 IVI196659:IVI196660 JFE196659:JFE196660 JPA196659:JPA196660 JYW196659:JYW196660 KIS196659:KIS196660 KSO196659:KSO196660 LCK196659:LCK196660 LMG196659:LMG196660 LWC196659:LWC196660 MFY196659:MFY196660 MPU196659:MPU196660 MZQ196659:MZQ196660 NJM196659:NJM196660 NTI196659:NTI196660 ODE196659:ODE196660 ONA196659:ONA196660 OWW196659:OWW196660 PGS196659:PGS196660 PQO196659:PQO196660 QAK196659:QAK196660 QKG196659:QKG196660 QUC196659:QUC196660 RDY196659:RDY196660 RNU196659:RNU196660 RXQ196659:RXQ196660 SHM196659:SHM196660 SRI196659:SRI196660 TBE196659:TBE196660 TLA196659:TLA196660 TUW196659:TUW196660 UES196659:UES196660 UOO196659:UOO196660 UYK196659:UYK196660 VIG196659:VIG196660 VSC196659:VSC196660 WBY196659:WBY196660 WLU196659:WLU196660 WVQ196659:WVQ196660 I262195:I262196 JE262195:JE262196 TA262195:TA262196 ACW262195:ACW262196 AMS262195:AMS262196 AWO262195:AWO262196 BGK262195:BGK262196 BQG262195:BQG262196 CAC262195:CAC262196 CJY262195:CJY262196 CTU262195:CTU262196 DDQ262195:DDQ262196 DNM262195:DNM262196 DXI262195:DXI262196 EHE262195:EHE262196 ERA262195:ERA262196 FAW262195:FAW262196 FKS262195:FKS262196 FUO262195:FUO262196 GEK262195:GEK262196 GOG262195:GOG262196 GYC262195:GYC262196 HHY262195:HHY262196 HRU262195:HRU262196 IBQ262195:IBQ262196 ILM262195:ILM262196 IVI262195:IVI262196 JFE262195:JFE262196 JPA262195:JPA262196 JYW262195:JYW262196 KIS262195:KIS262196 KSO262195:KSO262196 LCK262195:LCK262196 LMG262195:LMG262196 LWC262195:LWC262196 MFY262195:MFY262196 MPU262195:MPU262196 MZQ262195:MZQ262196 NJM262195:NJM262196 NTI262195:NTI262196 ODE262195:ODE262196 ONA262195:ONA262196 OWW262195:OWW262196 PGS262195:PGS262196 PQO262195:PQO262196 QAK262195:QAK262196 QKG262195:QKG262196 QUC262195:QUC262196 RDY262195:RDY262196 RNU262195:RNU262196 RXQ262195:RXQ262196 SHM262195:SHM262196 SRI262195:SRI262196 TBE262195:TBE262196 TLA262195:TLA262196 TUW262195:TUW262196 UES262195:UES262196 UOO262195:UOO262196 UYK262195:UYK262196 VIG262195:VIG262196 VSC262195:VSC262196 WBY262195:WBY262196 WLU262195:WLU262196 WVQ262195:WVQ262196 I327731:I327732 JE327731:JE327732 TA327731:TA327732 ACW327731:ACW327732 AMS327731:AMS327732 AWO327731:AWO327732 BGK327731:BGK327732 BQG327731:BQG327732 CAC327731:CAC327732 CJY327731:CJY327732 CTU327731:CTU327732 DDQ327731:DDQ327732 DNM327731:DNM327732 DXI327731:DXI327732 EHE327731:EHE327732 ERA327731:ERA327732 FAW327731:FAW327732 FKS327731:FKS327732 FUO327731:FUO327732 GEK327731:GEK327732 GOG327731:GOG327732 GYC327731:GYC327732 HHY327731:HHY327732 HRU327731:HRU327732 IBQ327731:IBQ327732 ILM327731:ILM327732 IVI327731:IVI327732 JFE327731:JFE327732 JPA327731:JPA327732 JYW327731:JYW327732 KIS327731:KIS327732 KSO327731:KSO327732 LCK327731:LCK327732 LMG327731:LMG327732 LWC327731:LWC327732 MFY327731:MFY327732 MPU327731:MPU327732 MZQ327731:MZQ327732 NJM327731:NJM327732 NTI327731:NTI327732 ODE327731:ODE327732 ONA327731:ONA327732 OWW327731:OWW327732 PGS327731:PGS327732 PQO327731:PQO327732 QAK327731:QAK327732 QKG327731:QKG327732 QUC327731:QUC327732 RDY327731:RDY327732 RNU327731:RNU327732 RXQ327731:RXQ327732 SHM327731:SHM327732 SRI327731:SRI327732 TBE327731:TBE327732 TLA327731:TLA327732 TUW327731:TUW327732 UES327731:UES327732 UOO327731:UOO327732 UYK327731:UYK327732 VIG327731:VIG327732 VSC327731:VSC327732 WBY327731:WBY327732 WLU327731:WLU327732 WVQ327731:WVQ327732 I393267:I393268 JE393267:JE393268 TA393267:TA393268 ACW393267:ACW393268 AMS393267:AMS393268 AWO393267:AWO393268 BGK393267:BGK393268 BQG393267:BQG393268 CAC393267:CAC393268 CJY393267:CJY393268 CTU393267:CTU393268 DDQ393267:DDQ393268 DNM393267:DNM393268 DXI393267:DXI393268 EHE393267:EHE393268 ERA393267:ERA393268 FAW393267:FAW393268 FKS393267:FKS393268 FUO393267:FUO393268 GEK393267:GEK393268 GOG393267:GOG393268 GYC393267:GYC393268 HHY393267:HHY393268 HRU393267:HRU393268 IBQ393267:IBQ393268 ILM393267:ILM393268 IVI393267:IVI393268 JFE393267:JFE393268 JPA393267:JPA393268 JYW393267:JYW393268 KIS393267:KIS393268 KSO393267:KSO393268 LCK393267:LCK393268 LMG393267:LMG393268 LWC393267:LWC393268 MFY393267:MFY393268 MPU393267:MPU393268 MZQ393267:MZQ393268 NJM393267:NJM393268 NTI393267:NTI393268 ODE393267:ODE393268 ONA393267:ONA393268 OWW393267:OWW393268 PGS393267:PGS393268 PQO393267:PQO393268 QAK393267:QAK393268 QKG393267:QKG393268 QUC393267:QUC393268 RDY393267:RDY393268 RNU393267:RNU393268 RXQ393267:RXQ393268 SHM393267:SHM393268 SRI393267:SRI393268 TBE393267:TBE393268 TLA393267:TLA393268 TUW393267:TUW393268 UES393267:UES393268 UOO393267:UOO393268 UYK393267:UYK393268 VIG393267:VIG393268 VSC393267:VSC393268 WBY393267:WBY393268 WLU393267:WLU393268 WVQ393267:WVQ393268 I458803:I458804 JE458803:JE458804 TA458803:TA458804 ACW458803:ACW458804 AMS458803:AMS458804 AWO458803:AWO458804 BGK458803:BGK458804 BQG458803:BQG458804 CAC458803:CAC458804 CJY458803:CJY458804 CTU458803:CTU458804 DDQ458803:DDQ458804 DNM458803:DNM458804 DXI458803:DXI458804 EHE458803:EHE458804 ERA458803:ERA458804 FAW458803:FAW458804 FKS458803:FKS458804 FUO458803:FUO458804 GEK458803:GEK458804 GOG458803:GOG458804 GYC458803:GYC458804 HHY458803:HHY458804 HRU458803:HRU458804 IBQ458803:IBQ458804 ILM458803:ILM458804 IVI458803:IVI458804 JFE458803:JFE458804 JPA458803:JPA458804 JYW458803:JYW458804 KIS458803:KIS458804 KSO458803:KSO458804 LCK458803:LCK458804 LMG458803:LMG458804 LWC458803:LWC458804 MFY458803:MFY458804 MPU458803:MPU458804 MZQ458803:MZQ458804 NJM458803:NJM458804 NTI458803:NTI458804 ODE458803:ODE458804 ONA458803:ONA458804 OWW458803:OWW458804 PGS458803:PGS458804 PQO458803:PQO458804 QAK458803:QAK458804 QKG458803:QKG458804 QUC458803:QUC458804 RDY458803:RDY458804 RNU458803:RNU458804 RXQ458803:RXQ458804 SHM458803:SHM458804 SRI458803:SRI458804 TBE458803:TBE458804 TLA458803:TLA458804 TUW458803:TUW458804 UES458803:UES458804 UOO458803:UOO458804 UYK458803:UYK458804 VIG458803:VIG458804 VSC458803:VSC458804 WBY458803:WBY458804 WLU458803:WLU458804 WVQ458803:WVQ458804 I524339:I524340 JE524339:JE524340 TA524339:TA524340 ACW524339:ACW524340 AMS524339:AMS524340 AWO524339:AWO524340 BGK524339:BGK524340 BQG524339:BQG524340 CAC524339:CAC524340 CJY524339:CJY524340 CTU524339:CTU524340 DDQ524339:DDQ524340 DNM524339:DNM524340 DXI524339:DXI524340 EHE524339:EHE524340 ERA524339:ERA524340 FAW524339:FAW524340 FKS524339:FKS524340 FUO524339:FUO524340 GEK524339:GEK524340 GOG524339:GOG524340 GYC524339:GYC524340 HHY524339:HHY524340 HRU524339:HRU524340 IBQ524339:IBQ524340 ILM524339:ILM524340 IVI524339:IVI524340 JFE524339:JFE524340 JPA524339:JPA524340 JYW524339:JYW524340 KIS524339:KIS524340 KSO524339:KSO524340 LCK524339:LCK524340 LMG524339:LMG524340 LWC524339:LWC524340 MFY524339:MFY524340 MPU524339:MPU524340 MZQ524339:MZQ524340 NJM524339:NJM524340 NTI524339:NTI524340 ODE524339:ODE524340 ONA524339:ONA524340 OWW524339:OWW524340 PGS524339:PGS524340 PQO524339:PQO524340 QAK524339:QAK524340 QKG524339:QKG524340 QUC524339:QUC524340 RDY524339:RDY524340 RNU524339:RNU524340 RXQ524339:RXQ524340 SHM524339:SHM524340 SRI524339:SRI524340 TBE524339:TBE524340 TLA524339:TLA524340 TUW524339:TUW524340 UES524339:UES524340 UOO524339:UOO524340 UYK524339:UYK524340 VIG524339:VIG524340 VSC524339:VSC524340 WBY524339:WBY524340 WLU524339:WLU524340 WVQ524339:WVQ524340 I589875:I589876 JE589875:JE589876 TA589875:TA589876 ACW589875:ACW589876 AMS589875:AMS589876 AWO589875:AWO589876 BGK589875:BGK589876 BQG589875:BQG589876 CAC589875:CAC589876 CJY589875:CJY589876 CTU589875:CTU589876 DDQ589875:DDQ589876 DNM589875:DNM589876 DXI589875:DXI589876 EHE589875:EHE589876 ERA589875:ERA589876 FAW589875:FAW589876 FKS589875:FKS589876 FUO589875:FUO589876 GEK589875:GEK589876 GOG589875:GOG589876 GYC589875:GYC589876 HHY589875:HHY589876 HRU589875:HRU589876 IBQ589875:IBQ589876 ILM589875:ILM589876 IVI589875:IVI589876 JFE589875:JFE589876 JPA589875:JPA589876 JYW589875:JYW589876 KIS589875:KIS589876 KSO589875:KSO589876 LCK589875:LCK589876 LMG589875:LMG589876 LWC589875:LWC589876 MFY589875:MFY589876 MPU589875:MPU589876 MZQ589875:MZQ589876 NJM589875:NJM589876 NTI589875:NTI589876 ODE589875:ODE589876 ONA589875:ONA589876 OWW589875:OWW589876 PGS589875:PGS589876 PQO589875:PQO589876 QAK589875:QAK589876 QKG589875:QKG589876 QUC589875:QUC589876 RDY589875:RDY589876 RNU589875:RNU589876 RXQ589875:RXQ589876 SHM589875:SHM589876 SRI589875:SRI589876 TBE589875:TBE589876 TLA589875:TLA589876 TUW589875:TUW589876 UES589875:UES589876 UOO589875:UOO589876 UYK589875:UYK589876 VIG589875:VIG589876 VSC589875:VSC589876 WBY589875:WBY589876 WLU589875:WLU589876 WVQ589875:WVQ589876 I655411:I655412 JE655411:JE655412 TA655411:TA655412 ACW655411:ACW655412 AMS655411:AMS655412 AWO655411:AWO655412 BGK655411:BGK655412 BQG655411:BQG655412 CAC655411:CAC655412 CJY655411:CJY655412 CTU655411:CTU655412 DDQ655411:DDQ655412 DNM655411:DNM655412 DXI655411:DXI655412 EHE655411:EHE655412 ERA655411:ERA655412 FAW655411:FAW655412 FKS655411:FKS655412 FUO655411:FUO655412 GEK655411:GEK655412 GOG655411:GOG655412 GYC655411:GYC655412 HHY655411:HHY655412 HRU655411:HRU655412 IBQ655411:IBQ655412 ILM655411:ILM655412 IVI655411:IVI655412 JFE655411:JFE655412 JPA655411:JPA655412 JYW655411:JYW655412 KIS655411:KIS655412 KSO655411:KSO655412 LCK655411:LCK655412 LMG655411:LMG655412 LWC655411:LWC655412 MFY655411:MFY655412 MPU655411:MPU655412 MZQ655411:MZQ655412 NJM655411:NJM655412 NTI655411:NTI655412 ODE655411:ODE655412 ONA655411:ONA655412 OWW655411:OWW655412 PGS655411:PGS655412 PQO655411:PQO655412 QAK655411:QAK655412 QKG655411:QKG655412 QUC655411:QUC655412 RDY655411:RDY655412 RNU655411:RNU655412 RXQ655411:RXQ655412 SHM655411:SHM655412 SRI655411:SRI655412 TBE655411:TBE655412 TLA655411:TLA655412 TUW655411:TUW655412 UES655411:UES655412 UOO655411:UOO655412 UYK655411:UYK655412 VIG655411:VIG655412 VSC655411:VSC655412 WBY655411:WBY655412 WLU655411:WLU655412 WVQ655411:WVQ655412 I720947:I720948 JE720947:JE720948 TA720947:TA720948 ACW720947:ACW720948 AMS720947:AMS720948 AWO720947:AWO720948 BGK720947:BGK720948 BQG720947:BQG720948 CAC720947:CAC720948 CJY720947:CJY720948 CTU720947:CTU720948 DDQ720947:DDQ720948 DNM720947:DNM720948 DXI720947:DXI720948 EHE720947:EHE720948 ERA720947:ERA720948 FAW720947:FAW720948 FKS720947:FKS720948 FUO720947:FUO720948 GEK720947:GEK720948 GOG720947:GOG720948 GYC720947:GYC720948 HHY720947:HHY720948 HRU720947:HRU720948 IBQ720947:IBQ720948 ILM720947:ILM720948 IVI720947:IVI720948 JFE720947:JFE720948 JPA720947:JPA720948 JYW720947:JYW720948 KIS720947:KIS720948 KSO720947:KSO720948 LCK720947:LCK720948 LMG720947:LMG720948 LWC720947:LWC720948 MFY720947:MFY720948 MPU720947:MPU720948 MZQ720947:MZQ720948 NJM720947:NJM720948 NTI720947:NTI720948 ODE720947:ODE720948 ONA720947:ONA720948 OWW720947:OWW720948 PGS720947:PGS720948 PQO720947:PQO720948 QAK720947:QAK720948 QKG720947:QKG720948 QUC720947:QUC720948 RDY720947:RDY720948 RNU720947:RNU720948 RXQ720947:RXQ720948 SHM720947:SHM720948 SRI720947:SRI720948 TBE720947:TBE720948 TLA720947:TLA720948 TUW720947:TUW720948 UES720947:UES720948 UOO720947:UOO720948 UYK720947:UYK720948 VIG720947:VIG720948 VSC720947:VSC720948 WBY720947:WBY720948 WLU720947:WLU720948 WVQ720947:WVQ720948 I786483:I786484 JE786483:JE786484 TA786483:TA786484 ACW786483:ACW786484 AMS786483:AMS786484 AWO786483:AWO786484 BGK786483:BGK786484 BQG786483:BQG786484 CAC786483:CAC786484 CJY786483:CJY786484 CTU786483:CTU786484 DDQ786483:DDQ786484 DNM786483:DNM786484 DXI786483:DXI786484 EHE786483:EHE786484 ERA786483:ERA786484 FAW786483:FAW786484 FKS786483:FKS786484 FUO786483:FUO786484 GEK786483:GEK786484 GOG786483:GOG786484 GYC786483:GYC786484 HHY786483:HHY786484 HRU786483:HRU786484 IBQ786483:IBQ786484 ILM786483:ILM786484 IVI786483:IVI786484 JFE786483:JFE786484 JPA786483:JPA786484 JYW786483:JYW786484 KIS786483:KIS786484 KSO786483:KSO786484 LCK786483:LCK786484 LMG786483:LMG786484 LWC786483:LWC786484 MFY786483:MFY786484 MPU786483:MPU786484 MZQ786483:MZQ786484 NJM786483:NJM786484 NTI786483:NTI786484 ODE786483:ODE786484 ONA786483:ONA786484 OWW786483:OWW786484 PGS786483:PGS786484 PQO786483:PQO786484 QAK786483:QAK786484 QKG786483:QKG786484 QUC786483:QUC786484 RDY786483:RDY786484 RNU786483:RNU786484 RXQ786483:RXQ786484 SHM786483:SHM786484 SRI786483:SRI786484 TBE786483:TBE786484 TLA786483:TLA786484 TUW786483:TUW786484 UES786483:UES786484 UOO786483:UOO786484 UYK786483:UYK786484 VIG786483:VIG786484 VSC786483:VSC786484 WBY786483:WBY786484 WLU786483:WLU786484 WVQ786483:WVQ786484 I852019:I852020 JE852019:JE852020 TA852019:TA852020 ACW852019:ACW852020 AMS852019:AMS852020 AWO852019:AWO852020 BGK852019:BGK852020 BQG852019:BQG852020 CAC852019:CAC852020 CJY852019:CJY852020 CTU852019:CTU852020 DDQ852019:DDQ852020 DNM852019:DNM852020 DXI852019:DXI852020 EHE852019:EHE852020 ERA852019:ERA852020 FAW852019:FAW852020 FKS852019:FKS852020 FUO852019:FUO852020 GEK852019:GEK852020 GOG852019:GOG852020 GYC852019:GYC852020 HHY852019:HHY852020 HRU852019:HRU852020 IBQ852019:IBQ852020 ILM852019:ILM852020 IVI852019:IVI852020 JFE852019:JFE852020 JPA852019:JPA852020 JYW852019:JYW852020 KIS852019:KIS852020 KSO852019:KSO852020 LCK852019:LCK852020 LMG852019:LMG852020 LWC852019:LWC852020 MFY852019:MFY852020 MPU852019:MPU852020 MZQ852019:MZQ852020 NJM852019:NJM852020 NTI852019:NTI852020 ODE852019:ODE852020 ONA852019:ONA852020 OWW852019:OWW852020 PGS852019:PGS852020 PQO852019:PQO852020 QAK852019:QAK852020 QKG852019:QKG852020 QUC852019:QUC852020 RDY852019:RDY852020 RNU852019:RNU852020 RXQ852019:RXQ852020 SHM852019:SHM852020 SRI852019:SRI852020 TBE852019:TBE852020 TLA852019:TLA852020 TUW852019:TUW852020 UES852019:UES852020 UOO852019:UOO852020 UYK852019:UYK852020 VIG852019:VIG852020 VSC852019:VSC852020 WBY852019:WBY852020 WLU852019:WLU852020 WVQ852019:WVQ852020 I917555:I917556 JE917555:JE917556 TA917555:TA917556 ACW917555:ACW917556 AMS917555:AMS917556 AWO917555:AWO917556 BGK917555:BGK917556 BQG917555:BQG917556 CAC917555:CAC917556 CJY917555:CJY917556 CTU917555:CTU917556 DDQ917555:DDQ917556 DNM917555:DNM917556 DXI917555:DXI917556 EHE917555:EHE917556 ERA917555:ERA917556 FAW917555:FAW917556 FKS917555:FKS917556 FUO917555:FUO917556 GEK917555:GEK917556 GOG917555:GOG917556 GYC917555:GYC917556 HHY917555:HHY917556 HRU917555:HRU917556 IBQ917555:IBQ917556 ILM917555:ILM917556 IVI917555:IVI917556 JFE917555:JFE917556 JPA917555:JPA917556 JYW917555:JYW917556 KIS917555:KIS917556 KSO917555:KSO917556 LCK917555:LCK917556 LMG917555:LMG917556 LWC917555:LWC917556 MFY917555:MFY917556 MPU917555:MPU917556 MZQ917555:MZQ917556 NJM917555:NJM917556 NTI917555:NTI917556 ODE917555:ODE917556 ONA917555:ONA917556 OWW917555:OWW917556 PGS917555:PGS917556 PQO917555:PQO917556 QAK917555:QAK917556 QKG917555:QKG917556 QUC917555:QUC917556 RDY917555:RDY917556 RNU917555:RNU917556 RXQ917555:RXQ917556 SHM917555:SHM917556 SRI917555:SRI917556 TBE917555:TBE917556 TLA917555:TLA917556 TUW917555:TUW917556 UES917555:UES917556 UOO917555:UOO917556 UYK917555:UYK917556 VIG917555:VIG917556 VSC917555:VSC917556 WBY917555:WBY917556 WLU917555:WLU917556 WVQ917555:WVQ917556 I983091:I983092 JE983091:JE983092 TA983091:TA983092 ACW983091:ACW983092 AMS983091:AMS983092 AWO983091:AWO983092 BGK983091:BGK983092 BQG983091:BQG983092 CAC983091:CAC983092 CJY983091:CJY983092 CTU983091:CTU983092 DDQ983091:DDQ983092 DNM983091:DNM983092 DXI983091:DXI983092 EHE983091:EHE983092 ERA983091:ERA983092 FAW983091:FAW983092 FKS983091:FKS983092 FUO983091:FUO983092 GEK983091:GEK983092 GOG983091:GOG983092 GYC983091:GYC983092 HHY983091:HHY983092 HRU983091:HRU983092 IBQ983091:IBQ983092 ILM983091:ILM983092 IVI983091:IVI983092 JFE983091:JFE983092 JPA983091:JPA983092 JYW983091:JYW983092 KIS983091:KIS983092 KSO983091:KSO983092 LCK983091:LCK983092 LMG983091:LMG983092 LWC983091:LWC983092 MFY983091:MFY983092 MPU983091:MPU983092 MZQ983091:MZQ983092 NJM983091:NJM983092 NTI983091:NTI983092 ODE983091:ODE983092 ONA983091:ONA983092 OWW983091:OWW983092 PGS983091:PGS983092 PQO983091:PQO983092 QAK983091:QAK983092 QKG983091:QKG983092 QUC983091:QUC983092 RDY983091:RDY983092 RNU983091:RNU983092 RXQ983091:RXQ983092 SHM983091:SHM983092 SRI983091:SRI983092 TBE983091:TBE983092 TLA983091:TLA983092 TUW983091:TUW983092 UES983091:UES983092 UOO983091:UOO983092 UYK983091:UYK983092 VIG983091:VIG983092 VSC983091:VSC983092 WBY983091:WBY983092 WLU983091:WLU983092 WVQ983091:WVQ983092">
      <formula1>"Yes,No,NA"</formula1>
    </dataValidation>
    <dataValidation type="list" allowBlank="1" showInputMessage="1" showErrorMessage="1" sqref="WVP983076:WVQ983076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H65572:I65572 JD65572:JE65572 SZ65572:TA65572 ACV65572:ACW65572 AMR65572:AMS65572 AWN65572:AWO65572 BGJ65572:BGK65572 BQF65572:BQG65572 CAB65572:CAC65572 CJX65572:CJY65572 CTT65572:CTU65572 DDP65572:DDQ65572 DNL65572:DNM65572 DXH65572:DXI65572 EHD65572:EHE65572 EQZ65572:ERA65572 FAV65572:FAW65572 FKR65572:FKS65572 FUN65572:FUO65572 GEJ65572:GEK65572 GOF65572:GOG65572 GYB65572:GYC65572 HHX65572:HHY65572 HRT65572:HRU65572 IBP65572:IBQ65572 ILL65572:ILM65572 IVH65572:IVI65572 JFD65572:JFE65572 JOZ65572:JPA65572 JYV65572:JYW65572 KIR65572:KIS65572 KSN65572:KSO65572 LCJ65572:LCK65572 LMF65572:LMG65572 LWB65572:LWC65572 MFX65572:MFY65572 MPT65572:MPU65572 MZP65572:MZQ65572 NJL65572:NJM65572 NTH65572:NTI65572 ODD65572:ODE65572 OMZ65572:ONA65572 OWV65572:OWW65572 PGR65572:PGS65572 PQN65572:PQO65572 QAJ65572:QAK65572 QKF65572:QKG65572 QUB65572:QUC65572 RDX65572:RDY65572 RNT65572:RNU65572 RXP65572:RXQ65572 SHL65572:SHM65572 SRH65572:SRI65572 TBD65572:TBE65572 TKZ65572:TLA65572 TUV65572:TUW65572 UER65572:UES65572 UON65572:UOO65572 UYJ65572:UYK65572 VIF65572:VIG65572 VSB65572:VSC65572 WBX65572:WBY65572 WLT65572:WLU65572 WVP65572:WVQ65572 H131108:I131108 JD131108:JE131108 SZ131108:TA131108 ACV131108:ACW131108 AMR131108:AMS131108 AWN131108:AWO131108 BGJ131108:BGK131108 BQF131108:BQG131108 CAB131108:CAC131108 CJX131108:CJY131108 CTT131108:CTU131108 DDP131108:DDQ131108 DNL131108:DNM131108 DXH131108:DXI131108 EHD131108:EHE131108 EQZ131108:ERA131108 FAV131108:FAW131108 FKR131108:FKS131108 FUN131108:FUO131108 GEJ131108:GEK131108 GOF131108:GOG131108 GYB131108:GYC131108 HHX131108:HHY131108 HRT131108:HRU131108 IBP131108:IBQ131108 ILL131108:ILM131108 IVH131108:IVI131108 JFD131108:JFE131108 JOZ131108:JPA131108 JYV131108:JYW131108 KIR131108:KIS131108 KSN131108:KSO131108 LCJ131108:LCK131108 LMF131108:LMG131108 LWB131108:LWC131108 MFX131108:MFY131108 MPT131108:MPU131108 MZP131108:MZQ131108 NJL131108:NJM131108 NTH131108:NTI131108 ODD131108:ODE131108 OMZ131108:ONA131108 OWV131108:OWW131108 PGR131108:PGS131108 PQN131108:PQO131108 QAJ131108:QAK131108 QKF131108:QKG131108 QUB131108:QUC131108 RDX131108:RDY131108 RNT131108:RNU131108 RXP131108:RXQ131108 SHL131108:SHM131108 SRH131108:SRI131108 TBD131108:TBE131108 TKZ131108:TLA131108 TUV131108:TUW131108 UER131108:UES131108 UON131108:UOO131108 UYJ131108:UYK131108 VIF131108:VIG131108 VSB131108:VSC131108 WBX131108:WBY131108 WLT131108:WLU131108 WVP131108:WVQ131108 H196644:I196644 JD196644:JE196644 SZ196644:TA196644 ACV196644:ACW196644 AMR196644:AMS196644 AWN196644:AWO196644 BGJ196644:BGK196644 BQF196644:BQG196644 CAB196644:CAC196644 CJX196644:CJY196644 CTT196644:CTU196644 DDP196644:DDQ196644 DNL196644:DNM196644 DXH196644:DXI196644 EHD196644:EHE196644 EQZ196644:ERA196644 FAV196644:FAW196644 FKR196644:FKS196644 FUN196644:FUO196644 GEJ196644:GEK196644 GOF196644:GOG196644 GYB196644:GYC196644 HHX196644:HHY196644 HRT196644:HRU196644 IBP196644:IBQ196644 ILL196644:ILM196644 IVH196644:IVI196644 JFD196644:JFE196644 JOZ196644:JPA196644 JYV196644:JYW196644 KIR196644:KIS196644 KSN196644:KSO196644 LCJ196644:LCK196644 LMF196644:LMG196644 LWB196644:LWC196644 MFX196644:MFY196644 MPT196644:MPU196644 MZP196644:MZQ196644 NJL196644:NJM196644 NTH196644:NTI196644 ODD196644:ODE196644 OMZ196644:ONA196644 OWV196644:OWW196644 PGR196644:PGS196644 PQN196644:PQO196644 QAJ196644:QAK196644 QKF196644:QKG196644 QUB196644:QUC196644 RDX196644:RDY196644 RNT196644:RNU196644 RXP196644:RXQ196644 SHL196644:SHM196644 SRH196644:SRI196644 TBD196644:TBE196644 TKZ196644:TLA196644 TUV196644:TUW196644 UER196644:UES196644 UON196644:UOO196644 UYJ196644:UYK196644 VIF196644:VIG196644 VSB196644:VSC196644 WBX196644:WBY196644 WLT196644:WLU196644 WVP196644:WVQ196644 H262180:I262180 JD262180:JE262180 SZ262180:TA262180 ACV262180:ACW262180 AMR262180:AMS262180 AWN262180:AWO262180 BGJ262180:BGK262180 BQF262180:BQG262180 CAB262180:CAC262180 CJX262180:CJY262180 CTT262180:CTU262180 DDP262180:DDQ262180 DNL262180:DNM262180 DXH262180:DXI262180 EHD262180:EHE262180 EQZ262180:ERA262180 FAV262180:FAW262180 FKR262180:FKS262180 FUN262180:FUO262180 GEJ262180:GEK262180 GOF262180:GOG262180 GYB262180:GYC262180 HHX262180:HHY262180 HRT262180:HRU262180 IBP262180:IBQ262180 ILL262180:ILM262180 IVH262180:IVI262180 JFD262180:JFE262180 JOZ262180:JPA262180 JYV262180:JYW262180 KIR262180:KIS262180 KSN262180:KSO262180 LCJ262180:LCK262180 LMF262180:LMG262180 LWB262180:LWC262180 MFX262180:MFY262180 MPT262180:MPU262180 MZP262180:MZQ262180 NJL262180:NJM262180 NTH262180:NTI262180 ODD262180:ODE262180 OMZ262180:ONA262180 OWV262180:OWW262180 PGR262180:PGS262180 PQN262180:PQO262180 QAJ262180:QAK262180 QKF262180:QKG262180 QUB262180:QUC262180 RDX262180:RDY262180 RNT262180:RNU262180 RXP262180:RXQ262180 SHL262180:SHM262180 SRH262180:SRI262180 TBD262180:TBE262180 TKZ262180:TLA262180 TUV262180:TUW262180 UER262180:UES262180 UON262180:UOO262180 UYJ262180:UYK262180 VIF262180:VIG262180 VSB262180:VSC262180 WBX262180:WBY262180 WLT262180:WLU262180 WVP262180:WVQ262180 H327716:I327716 JD327716:JE327716 SZ327716:TA327716 ACV327716:ACW327716 AMR327716:AMS327716 AWN327716:AWO327716 BGJ327716:BGK327716 BQF327716:BQG327716 CAB327716:CAC327716 CJX327716:CJY327716 CTT327716:CTU327716 DDP327716:DDQ327716 DNL327716:DNM327716 DXH327716:DXI327716 EHD327716:EHE327716 EQZ327716:ERA327716 FAV327716:FAW327716 FKR327716:FKS327716 FUN327716:FUO327716 GEJ327716:GEK327716 GOF327716:GOG327716 GYB327716:GYC327716 HHX327716:HHY327716 HRT327716:HRU327716 IBP327716:IBQ327716 ILL327716:ILM327716 IVH327716:IVI327716 JFD327716:JFE327716 JOZ327716:JPA327716 JYV327716:JYW327716 KIR327716:KIS327716 KSN327716:KSO327716 LCJ327716:LCK327716 LMF327716:LMG327716 LWB327716:LWC327716 MFX327716:MFY327716 MPT327716:MPU327716 MZP327716:MZQ327716 NJL327716:NJM327716 NTH327716:NTI327716 ODD327716:ODE327716 OMZ327716:ONA327716 OWV327716:OWW327716 PGR327716:PGS327716 PQN327716:PQO327716 QAJ327716:QAK327716 QKF327716:QKG327716 QUB327716:QUC327716 RDX327716:RDY327716 RNT327716:RNU327716 RXP327716:RXQ327716 SHL327716:SHM327716 SRH327716:SRI327716 TBD327716:TBE327716 TKZ327716:TLA327716 TUV327716:TUW327716 UER327716:UES327716 UON327716:UOO327716 UYJ327716:UYK327716 VIF327716:VIG327716 VSB327716:VSC327716 WBX327716:WBY327716 WLT327716:WLU327716 WVP327716:WVQ327716 H393252:I393252 JD393252:JE393252 SZ393252:TA393252 ACV393252:ACW393252 AMR393252:AMS393252 AWN393252:AWO393252 BGJ393252:BGK393252 BQF393252:BQG393252 CAB393252:CAC393252 CJX393252:CJY393252 CTT393252:CTU393252 DDP393252:DDQ393252 DNL393252:DNM393252 DXH393252:DXI393252 EHD393252:EHE393252 EQZ393252:ERA393252 FAV393252:FAW393252 FKR393252:FKS393252 FUN393252:FUO393252 GEJ393252:GEK393252 GOF393252:GOG393252 GYB393252:GYC393252 HHX393252:HHY393252 HRT393252:HRU393252 IBP393252:IBQ393252 ILL393252:ILM393252 IVH393252:IVI393252 JFD393252:JFE393252 JOZ393252:JPA393252 JYV393252:JYW393252 KIR393252:KIS393252 KSN393252:KSO393252 LCJ393252:LCK393252 LMF393252:LMG393252 LWB393252:LWC393252 MFX393252:MFY393252 MPT393252:MPU393252 MZP393252:MZQ393252 NJL393252:NJM393252 NTH393252:NTI393252 ODD393252:ODE393252 OMZ393252:ONA393252 OWV393252:OWW393252 PGR393252:PGS393252 PQN393252:PQO393252 QAJ393252:QAK393252 QKF393252:QKG393252 QUB393252:QUC393252 RDX393252:RDY393252 RNT393252:RNU393252 RXP393252:RXQ393252 SHL393252:SHM393252 SRH393252:SRI393252 TBD393252:TBE393252 TKZ393252:TLA393252 TUV393252:TUW393252 UER393252:UES393252 UON393252:UOO393252 UYJ393252:UYK393252 VIF393252:VIG393252 VSB393252:VSC393252 WBX393252:WBY393252 WLT393252:WLU393252 WVP393252:WVQ393252 H458788:I458788 JD458788:JE458788 SZ458788:TA458788 ACV458788:ACW458788 AMR458788:AMS458788 AWN458788:AWO458788 BGJ458788:BGK458788 BQF458788:BQG458788 CAB458788:CAC458788 CJX458788:CJY458788 CTT458788:CTU458788 DDP458788:DDQ458788 DNL458788:DNM458788 DXH458788:DXI458788 EHD458788:EHE458788 EQZ458788:ERA458788 FAV458788:FAW458788 FKR458788:FKS458788 FUN458788:FUO458788 GEJ458788:GEK458788 GOF458788:GOG458788 GYB458788:GYC458788 HHX458788:HHY458788 HRT458788:HRU458788 IBP458788:IBQ458788 ILL458788:ILM458788 IVH458788:IVI458788 JFD458788:JFE458788 JOZ458788:JPA458788 JYV458788:JYW458788 KIR458788:KIS458788 KSN458788:KSO458788 LCJ458788:LCK458788 LMF458788:LMG458788 LWB458788:LWC458788 MFX458788:MFY458788 MPT458788:MPU458788 MZP458788:MZQ458788 NJL458788:NJM458788 NTH458788:NTI458788 ODD458788:ODE458788 OMZ458788:ONA458788 OWV458788:OWW458788 PGR458788:PGS458788 PQN458788:PQO458788 QAJ458788:QAK458788 QKF458788:QKG458788 QUB458788:QUC458788 RDX458788:RDY458788 RNT458788:RNU458788 RXP458788:RXQ458788 SHL458788:SHM458788 SRH458788:SRI458788 TBD458788:TBE458788 TKZ458788:TLA458788 TUV458788:TUW458788 UER458788:UES458788 UON458788:UOO458788 UYJ458788:UYK458788 VIF458788:VIG458788 VSB458788:VSC458788 WBX458788:WBY458788 WLT458788:WLU458788 WVP458788:WVQ458788 H524324:I524324 JD524324:JE524324 SZ524324:TA524324 ACV524324:ACW524324 AMR524324:AMS524324 AWN524324:AWO524324 BGJ524324:BGK524324 BQF524324:BQG524324 CAB524324:CAC524324 CJX524324:CJY524324 CTT524324:CTU524324 DDP524324:DDQ524324 DNL524324:DNM524324 DXH524324:DXI524324 EHD524324:EHE524324 EQZ524324:ERA524324 FAV524324:FAW524324 FKR524324:FKS524324 FUN524324:FUO524324 GEJ524324:GEK524324 GOF524324:GOG524324 GYB524324:GYC524324 HHX524324:HHY524324 HRT524324:HRU524324 IBP524324:IBQ524324 ILL524324:ILM524324 IVH524324:IVI524324 JFD524324:JFE524324 JOZ524324:JPA524324 JYV524324:JYW524324 KIR524324:KIS524324 KSN524324:KSO524324 LCJ524324:LCK524324 LMF524324:LMG524324 LWB524324:LWC524324 MFX524324:MFY524324 MPT524324:MPU524324 MZP524324:MZQ524324 NJL524324:NJM524324 NTH524324:NTI524324 ODD524324:ODE524324 OMZ524324:ONA524324 OWV524324:OWW524324 PGR524324:PGS524324 PQN524324:PQO524324 QAJ524324:QAK524324 QKF524324:QKG524324 QUB524324:QUC524324 RDX524324:RDY524324 RNT524324:RNU524324 RXP524324:RXQ524324 SHL524324:SHM524324 SRH524324:SRI524324 TBD524324:TBE524324 TKZ524324:TLA524324 TUV524324:TUW524324 UER524324:UES524324 UON524324:UOO524324 UYJ524324:UYK524324 VIF524324:VIG524324 VSB524324:VSC524324 WBX524324:WBY524324 WLT524324:WLU524324 WVP524324:WVQ524324 H589860:I589860 JD589860:JE589860 SZ589860:TA589860 ACV589860:ACW589860 AMR589860:AMS589860 AWN589860:AWO589860 BGJ589860:BGK589860 BQF589860:BQG589860 CAB589860:CAC589860 CJX589860:CJY589860 CTT589860:CTU589860 DDP589860:DDQ589860 DNL589860:DNM589860 DXH589860:DXI589860 EHD589860:EHE589860 EQZ589860:ERA589860 FAV589860:FAW589860 FKR589860:FKS589860 FUN589860:FUO589860 GEJ589860:GEK589860 GOF589860:GOG589860 GYB589860:GYC589860 HHX589860:HHY589860 HRT589860:HRU589860 IBP589860:IBQ589860 ILL589860:ILM589860 IVH589860:IVI589860 JFD589860:JFE589860 JOZ589860:JPA589860 JYV589860:JYW589860 KIR589860:KIS589860 KSN589860:KSO589860 LCJ589860:LCK589860 LMF589860:LMG589860 LWB589860:LWC589860 MFX589860:MFY589860 MPT589860:MPU589860 MZP589860:MZQ589860 NJL589860:NJM589860 NTH589860:NTI589860 ODD589860:ODE589860 OMZ589860:ONA589860 OWV589860:OWW589860 PGR589860:PGS589860 PQN589860:PQO589860 QAJ589860:QAK589860 QKF589860:QKG589860 QUB589860:QUC589860 RDX589860:RDY589860 RNT589860:RNU589860 RXP589860:RXQ589860 SHL589860:SHM589860 SRH589860:SRI589860 TBD589860:TBE589860 TKZ589860:TLA589860 TUV589860:TUW589860 UER589860:UES589860 UON589860:UOO589860 UYJ589860:UYK589860 VIF589860:VIG589860 VSB589860:VSC589860 WBX589860:WBY589860 WLT589860:WLU589860 WVP589860:WVQ589860 H655396:I655396 JD655396:JE655396 SZ655396:TA655396 ACV655396:ACW655396 AMR655396:AMS655396 AWN655396:AWO655396 BGJ655396:BGK655396 BQF655396:BQG655396 CAB655396:CAC655396 CJX655396:CJY655396 CTT655396:CTU655396 DDP655396:DDQ655396 DNL655396:DNM655396 DXH655396:DXI655396 EHD655396:EHE655396 EQZ655396:ERA655396 FAV655396:FAW655396 FKR655396:FKS655396 FUN655396:FUO655396 GEJ655396:GEK655396 GOF655396:GOG655396 GYB655396:GYC655396 HHX655396:HHY655396 HRT655396:HRU655396 IBP655396:IBQ655396 ILL655396:ILM655396 IVH655396:IVI655396 JFD655396:JFE655396 JOZ655396:JPA655396 JYV655396:JYW655396 KIR655396:KIS655396 KSN655396:KSO655396 LCJ655396:LCK655396 LMF655396:LMG655396 LWB655396:LWC655396 MFX655396:MFY655396 MPT655396:MPU655396 MZP655396:MZQ655396 NJL655396:NJM655396 NTH655396:NTI655396 ODD655396:ODE655396 OMZ655396:ONA655396 OWV655396:OWW655396 PGR655396:PGS655396 PQN655396:PQO655396 QAJ655396:QAK655396 QKF655396:QKG655396 QUB655396:QUC655396 RDX655396:RDY655396 RNT655396:RNU655396 RXP655396:RXQ655396 SHL655396:SHM655396 SRH655396:SRI655396 TBD655396:TBE655396 TKZ655396:TLA655396 TUV655396:TUW655396 UER655396:UES655396 UON655396:UOO655396 UYJ655396:UYK655396 VIF655396:VIG655396 VSB655396:VSC655396 WBX655396:WBY655396 WLT655396:WLU655396 WVP655396:WVQ655396 H720932:I720932 JD720932:JE720932 SZ720932:TA720932 ACV720932:ACW720932 AMR720932:AMS720932 AWN720932:AWO720932 BGJ720932:BGK720932 BQF720932:BQG720932 CAB720932:CAC720932 CJX720932:CJY720932 CTT720932:CTU720932 DDP720932:DDQ720932 DNL720932:DNM720932 DXH720932:DXI720932 EHD720932:EHE720932 EQZ720932:ERA720932 FAV720932:FAW720932 FKR720932:FKS720932 FUN720932:FUO720932 GEJ720932:GEK720932 GOF720932:GOG720932 GYB720932:GYC720932 HHX720932:HHY720932 HRT720932:HRU720932 IBP720932:IBQ720932 ILL720932:ILM720932 IVH720932:IVI720932 JFD720932:JFE720932 JOZ720932:JPA720932 JYV720932:JYW720932 KIR720932:KIS720932 KSN720932:KSO720932 LCJ720932:LCK720932 LMF720932:LMG720932 LWB720932:LWC720932 MFX720932:MFY720932 MPT720932:MPU720932 MZP720932:MZQ720932 NJL720932:NJM720932 NTH720932:NTI720932 ODD720932:ODE720932 OMZ720932:ONA720932 OWV720932:OWW720932 PGR720932:PGS720932 PQN720932:PQO720932 QAJ720932:QAK720932 QKF720932:QKG720932 QUB720932:QUC720932 RDX720932:RDY720932 RNT720932:RNU720932 RXP720932:RXQ720932 SHL720932:SHM720932 SRH720932:SRI720932 TBD720932:TBE720932 TKZ720932:TLA720932 TUV720932:TUW720932 UER720932:UES720932 UON720932:UOO720932 UYJ720932:UYK720932 VIF720932:VIG720932 VSB720932:VSC720932 WBX720932:WBY720932 WLT720932:WLU720932 WVP720932:WVQ720932 H786468:I786468 JD786468:JE786468 SZ786468:TA786468 ACV786468:ACW786468 AMR786468:AMS786468 AWN786468:AWO786468 BGJ786468:BGK786468 BQF786468:BQG786468 CAB786468:CAC786468 CJX786468:CJY786468 CTT786468:CTU786468 DDP786468:DDQ786468 DNL786468:DNM786468 DXH786468:DXI786468 EHD786468:EHE786468 EQZ786468:ERA786468 FAV786468:FAW786468 FKR786468:FKS786468 FUN786468:FUO786468 GEJ786468:GEK786468 GOF786468:GOG786468 GYB786468:GYC786468 HHX786468:HHY786468 HRT786468:HRU786468 IBP786468:IBQ786468 ILL786468:ILM786468 IVH786468:IVI786468 JFD786468:JFE786468 JOZ786468:JPA786468 JYV786468:JYW786468 KIR786468:KIS786468 KSN786468:KSO786468 LCJ786468:LCK786468 LMF786468:LMG786468 LWB786468:LWC786468 MFX786468:MFY786468 MPT786468:MPU786468 MZP786468:MZQ786468 NJL786468:NJM786468 NTH786468:NTI786468 ODD786468:ODE786468 OMZ786468:ONA786468 OWV786468:OWW786468 PGR786468:PGS786468 PQN786468:PQO786468 QAJ786468:QAK786468 QKF786468:QKG786468 QUB786468:QUC786468 RDX786468:RDY786468 RNT786468:RNU786468 RXP786468:RXQ786468 SHL786468:SHM786468 SRH786468:SRI786468 TBD786468:TBE786468 TKZ786468:TLA786468 TUV786468:TUW786468 UER786468:UES786468 UON786468:UOO786468 UYJ786468:UYK786468 VIF786468:VIG786468 VSB786468:VSC786468 WBX786468:WBY786468 WLT786468:WLU786468 WVP786468:WVQ786468 H852004:I852004 JD852004:JE852004 SZ852004:TA852004 ACV852004:ACW852004 AMR852004:AMS852004 AWN852004:AWO852004 BGJ852004:BGK852004 BQF852004:BQG852004 CAB852004:CAC852004 CJX852004:CJY852004 CTT852004:CTU852004 DDP852004:DDQ852004 DNL852004:DNM852004 DXH852004:DXI852004 EHD852004:EHE852004 EQZ852004:ERA852004 FAV852004:FAW852004 FKR852004:FKS852004 FUN852004:FUO852004 GEJ852004:GEK852004 GOF852004:GOG852004 GYB852004:GYC852004 HHX852004:HHY852004 HRT852004:HRU852004 IBP852004:IBQ852004 ILL852004:ILM852004 IVH852004:IVI852004 JFD852004:JFE852004 JOZ852004:JPA852004 JYV852004:JYW852004 KIR852004:KIS852004 KSN852004:KSO852004 LCJ852004:LCK852004 LMF852004:LMG852004 LWB852004:LWC852004 MFX852004:MFY852004 MPT852004:MPU852004 MZP852004:MZQ852004 NJL852004:NJM852004 NTH852004:NTI852004 ODD852004:ODE852004 OMZ852004:ONA852004 OWV852004:OWW852004 PGR852004:PGS852004 PQN852004:PQO852004 QAJ852004:QAK852004 QKF852004:QKG852004 QUB852004:QUC852004 RDX852004:RDY852004 RNT852004:RNU852004 RXP852004:RXQ852004 SHL852004:SHM852004 SRH852004:SRI852004 TBD852004:TBE852004 TKZ852004:TLA852004 TUV852004:TUW852004 UER852004:UES852004 UON852004:UOO852004 UYJ852004:UYK852004 VIF852004:VIG852004 VSB852004:VSC852004 WBX852004:WBY852004 WLT852004:WLU852004 WVP852004:WVQ852004 H917540:I917540 JD917540:JE917540 SZ917540:TA917540 ACV917540:ACW917540 AMR917540:AMS917540 AWN917540:AWO917540 BGJ917540:BGK917540 BQF917540:BQG917540 CAB917540:CAC917540 CJX917540:CJY917540 CTT917540:CTU917540 DDP917540:DDQ917540 DNL917540:DNM917540 DXH917540:DXI917540 EHD917540:EHE917540 EQZ917540:ERA917540 FAV917540:FAW917540 FKR917540:FKS917540 FUN917540:FUO917540 GEJ917540:GEK917540 GOF917540:GOG917540 GYB917540:GYC917540 HHX917540:HHY917540 HRT917540:HRU917540 IBP917540:IBQ917540 ILL917540:ILM917540 IVH917540:IVI917540 JFD917540:JFE917540 JOZ917540:JPA917540 JYV917540:JYW917540 KIR917540:KIS917540 KSN917540:KSO917540 LCJ917540:LCK917540 LMF917540:LMG917540 LWB917540:LWC917540 MFX917540:MFY917540 MPT917540:MPU917540 MZP917540:MZQ917540 NJL917540:NJM917540 NTH917540:NTI917540 ODD917540:ODE917540 OMZ917540:ONA917540 OWV917540:OWW917540 PGR917540:PGS917540 PQN917540:PQO917540 QAJ917540:QAK917540 QKF917540:QKG917540 QUB917540:QUC917540 RDX917540:RDY917540 RNT917540:RNU917540 RXP917540:RXQ917540 SHL917540:SHM917540 SRH917540:SRI917540 TBD917540:TBE917540 TKZ917540:TLA917540 TUV917540:TUW917540 UER917540:UES917540 UON917540:UOO917540 UYJ917540:UYK917540 VIF917540:VIG917540 VSB917540:VSC917540 WBX917540:WBY917540 WLT917540:WLU917540 WVP917540:WVQ917540 H983076:I983076 JD983076:JE983076 SZ983076:TA983076 ACV983076:ACW983076 AMR983076:AMS983076 AWN983076:AWO983076 BGJ983076:BGK983076 BQF983076:BQG983076 CAB983076:CAC983076 CJX983076:CJY983076 CTT983076:CTU983076 DDP983076:DDQ983076 DNL983076:DNM983076 DXH983076:DXI983076 EHD983076:EHE983076 EQZ983076:ERA983076 FAV983076:FAW983076 FKR983076:FKS983076 FUN983076:FUO983076 GEJ983076:GEK983076 GOF983076:GOG983076 GYB983076:GYC983076 HHX983076:HHY983076 HRT983076:HRU983076 IBP983076:IBQ983076 ILL983076:ILM983076 IVH983076:IVI983076 JFD983076:JFE983076 JOZ983076:JPA983076 JYV983076:JYW983076 KIR983076:KIS983076 KSN983076:KSO983076 LCJ983076:LCK983076 LMF983076:LMG983076 LWB983076:LWC983076 MFX983076:MFY983076 MPT983076:MPU983076 MZP983076:MZQ983076 NJL983076:NJM983076 NTH983076:NTI983076 ODD983076:ODE983076 OMZ983076:ONA983076 OWV983076:OWW983076 PGR983076:PGS983076 PQN983076:PQO983076 QAJ983076:QAK983076 QKF983076:QKG983076 QUB983076:QUC983076 RDX983076:RDY983076 RNT983076:RNU983076 RXP983076:RXQ983076 SHL983076:SHM983076 SRH983076:SRI983076 TBD983076:TBE983076 TKZ983076:TLA983076 TUV983076:TUW983076 UER983076:UES983076 UON983076:UOO983076 UYJ983076:UYK983076 VIF983076:VIG983076 VSB983076:VSC983076 WBX983076:WBY983076 WLT983076:WLU983076">
      <formula1>$Q$68:$Q$71</formula1>
    </dataValidation>
  </dataValidations>
  <hyperlinks>
    <hyperlink ref="A1" location="'Table Of Contents'!A1" display="TOC"/>
  </hyperlinks>
  <pageMargins left="0.25" right="0.25" top="0.75" bottom="0.75" header="0.3" footer="0.3"/>
  <pageSetup scale="47" orientation="portrait" r:id="rId1"/>
  <headerFooter alignWithMargins="0"/>
  <rowBreaks count="1" manualBreakCount="1">
    <brk id="47" min="1" max="9"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9FF99"/>
    <pageSetUpPr fitToPage="1"/>
  </sheetPr>
  <dimension ref="A1:BC184"/>
  <sheetViews>
    <sheetView showGridLines="0" view="pageBreakPreview" zoomScaleNormal="100" zoomScaleSheetLayoutView="100" workbookViewId="0">
      <selection activeCell="G28" sqref="G28:G35"/>
    </sheetView>
  </sheetViews>
  <sheetFormatPr defaultRowHeight="12.75"/>
  <cols>
    <col min="1" max="1" width="9.140625" style="1313" customWidth="1"/>
    <col min="2" max="2" width="20" style="953" customWidth="1"/>
    <col min="3" max="5" width="17.5703125" style="953" customWidth="1"/>
    <col min="6" max="6" width="35.7109375" style="953" customWidth="1"/>
    <col min="7" max="7" width="12" style="953" customWidth="1"/>
    <col min="8" max="8" width="7.42578125" style="953" customWidth="1"/>
    <col min="9" max="9" width="11" style="953" customWidth="1"/>
    <col min="10" max="10" width="35.28515625" style="953" customWidth="1"/>
    <col min="11" max="11" width="9.140625" style="1313"/>
    <col min="12" max="12" width="65.28515625" style="953" customWidth="1"/>
    <col min="13" max="13" width="24.7109375" style="953" customWidth="1"/>
    <col min="14" max="14" width="16.28515625" style="953" bestFit="1" customWidth="1"/>
    <col min="15" max="16" width="9.140625" style="953"/>
    <col min="17" max="17" width="9.140625" style="953" hidden="1" customWidth="1"/>
    <col min="18" max="256" width="9.140625" style="953"/>
    <col min="257" max="257" width="9.140625" style="953" customWidth="1"/>
    <col min="258" max="258" width="20" style="953" customWidth="1"/>
    <col min="259" max="261" width="17.5703125" style="953" customWidth="1"/>
    <col min="262" max="262" width="35.7109375" style="953" customWidth="1"/>
    <col min="263" max="263" width="12" style="953" customWidth="1"/>
    <col min="264" max="264" width="7.42578125" style="953" customWidth="1"/>
    <col min="265" max="265" width="11" style="953" customWidth="1"/>
    <col min="266" max="266" width="35.28515625" style="953" customWidth="1"/>
    <col min="267" max="267" width="9.140625" style="953"/>
    <col min="268" max="268" width="65.28515625" style="953" customWidth="1"/>
    <col min="269" max="269" width="24.7109375" style="953" customWidth="1"/>
    <col min="270" max="270" width="16.28515625" style="953" bestFit="1" customWidth="1"/>
    <col min="271" max="272" width="9.140625" style="953"/>
    <col min="273" max="273" width="0" style="953" hidden="1" customWidth="1"/>
    <col min="274" max="512" width="9.140625" style="953"/>
    <col min="513" max="513" width="9.140625" style="953" customWidth="1"/>
    <col min="514" max="514" width="20" style="953" customWidth="1"/>
    <col min="515" max="517" width="17.5703125" style="953" customWidth="1"/>
    <col min="518" max="518" width="35.7109375" style="953" customWidth="1"/>
    <col min="519" max="519" width="12" style="953" customWidth="1"/>
    <col min="520" max="520" width="7.42578125" style="953" customWidth="1"/>
    <col min="521" max="521" width="11" style="953" customWidth="1"/>
    <col min="522" max="522" width="35.28515625" style="953" customWidth="1"/>
    <col min="523" max="523" width="9.140625" style="953"/>
    <col min="524" max="524" width="65.28515625" style="953" customWidth="1"/>
    <col min="525" max="525" width="24.7109375" style="953" customWidth="1"/>
    <col min="526" max="526" width="16.28515625" style="953" bestFit="1" customWidth="1"/>
    <col min="527" max="528" width="9.140625" style="953"/>
    <col min="529" max="529" width="0" style="953" hidden="1" customWidth="1"/>
    <col min="530" max="768" width="9.140625" style="953"/>
    <col min="769" max="769" width="9.140625" style="953" customWidth="1"/>
    <col min="770" max="770" width="20" style="953" customWidth="1"/>
    <col min="771" max="773" width="17.5703125" style="953" customWidth="1"/>
    <col min="774" max="774" width="35.7109375" style="953" customWidth="1"/>
    <col min="775" max="775" width="12" style="953" customWidth="1"/>
    <col min="776" max="776" width="7.42578125" style="953" customWidth="1"/>
    <col min="777" max="777" width="11" style="953" customWidth="1"/>
    <col min="778" max="778" width="35.28515625" style="953" customWidth="1"/>
    <col min="779" max="779" width="9.140625" style="953"/>
    <col min="780" max="780" width="65.28515625" style="953" customWidth="1"/>
    <col min="781" max="781" width="24.7109375" style="953" customWidth="1"/>
    <col min="782" max="782" width="16.28515625" style="953" bestFit="1" customWidth="1"/>
    <col min="783" max="784" width="9.140625" style="953"/>
    <col min="785" max="785" width="0" style="953" hidden="1" customWidth="1"/>
    <col min="786" max="1024" width="9.140625" style="953"/>
    <col min="1025" max="1025" width="9.140625" style="953" customWidth="1"/>
    <col min="1026" max="1026" width="20" style="953" customWidth="1"/>
    <col min="1027" max="1029" width="17.5703125" style="953" customWidth="1"/>
    <col min="1030" max="1030" width="35.7109375" style="953" customWidth="1"/>
    <col min="1031" max="1031" width="12" style="953" customWidth="1"/>
    <col min="1032" max="1032" width="7.42578125" style="953" customWidth="1"/>
    <col min="1033" max="1033" width="11" style="953" customWidth="1"/>
    <col min="1034" max="1034" width="35.28515625" style="953" customWidth="1"/>
    <col min="1035" max="1035" width="9.140625" style="953"/>
    <col min="1036" max="1036" width="65.28515625" style="953" customWidth="1"/>
    <col min="1037" max="1037" width="24.7109375" style="953" customWidth="1"/>
    <col min="1038" max="1038" width="16.28515625" style="953" bestFit="1" customWidth="1"/>
    <col min="1039" max="1040" width="9.140625" style="953"/>
    <col min="1041" max="1041" width="0" style="953" hidden="1" customWidth="1"/>
    <col min="1042" max="1280" width="9.140625" style="953"/>
    <col min="1281" max="1281" width="9.140625" style="953" customWidth="1"/>
    <col min="1282" max="1282" width="20" style="953" customWidth="1"/>
    <col min="1283" max="1285" width="17.5703125" style="953" customWidth="1"/>
    <col min="1286" max="1286" width="35.7109375" style="953" customWidth="1"/>
    <col min="1287" max="1287" width="12" style="953" customWidth="1"/>
    <col min="1288" max="1288" width="7.42578125" style="953" customWidth="1"/>
    <col min="1289" max="1289" width="11" style="953" customWidth="1"/>
    <col min="1290" max="1290" width="35.28515625" style="953" customWidth="1"/>
    <col min="1291" max="1291" width="9.140625" style="953"/>
    <col min="1292" max="1292" width="65.28515625" style="953" customWidth="1"/>
    <col min="1293" max="1293" width="24.7109375" style="953" customWidth="1"/>
    <col min="1294" max="1294" width="16.28515625" style="953" bestFit="1" customWidth="1"/>
    <col min="1295" max="1296" width="9.140625" style="953"/>
    <col min="1297" max="1297" width="0" style="953" hidden="1" customWidth="1"/>
    <col min="1298" max="1536" width="9.140625" style="953"/>
    <col min="1537" max="1537" width="9.140625" style="953" customWidth="1"/>
    <col min="1538" max="1538" width="20" style="953" customWidth="1"/>
    <col min="1539" max="1541" width="17.5703125" style="953" customWidth="1"/>
    <col min="1542" max="1542" width="35.7109375" style="953" customWidth="1"/>
    <col min="1543" max="1543" width="12" style="953" customWidth="1"/>
    <col min="1544" max="1544" width="7.42578125" style="953" customWidth="1"/>
    <col min="1545" max="1545" width="11" style="953" customWidth="1"/>
    <col min="1546" max="1546" width="35.28515625" style="953" customWidth="1"/>
    <col min="1547" max="1547" width="9.140625" style="953"/>
    <col min="1548" max="1548" width="65.28515625" style="953" customWidth="1"/>
    <col min="1549" max="1549" width="24.7109375" style="953" customWidth="1"/>
    <col min="1550" max="1550" width="16.28515625" style="953" bestFit="1" customWidth="1"/>
    <col min="1551" max="1552" width="9.140625" style="953"/>
    <col min="1553" max="1553" width="0" style="953" hidden="1" customWidth="1"/>
    <col min="1554" max="1792" width="9.140625" style="953"/>
    <col min="1793" max="1793" width="9.140625" style="953" customWidth="1"/>
    <col min="1794" max="1794" width="20" style="953" customWidth="1"/>
    <col min="1795" max="1797" width="17.5703125" style="953" customWidth="1"/>
    <col min="1798" max="1798" width="35.7109375" style="953" customWidth="1"/>
    <col min="1799" max="1799" width="12" style="953" customWidth="1"/>
    <col min="1800" max="1800" width="7.42578125" style="953" customWidth="1"/>
    <col min="1801" max="1801" width="11" style="953" customWidth="1"/>
    <col min="1802" max="1802" width="35.28515625" style="953" customWidth="1"/>
    <col min="1803" max="1803" width="9.140625" style="953"/>
    <col min="1804" max="1804" width="65.28515625" style="953" customWidth="1"/>
    <col min="1805" max="1805" width="24.7109375" style="953" customWidth="1"/>
    <col min="1806" max="1806" width="16.28515625" style="953" bestFit="1" customWidth="1"/>
    <col min="1807" max="1808" width="9.140625" style="953"/>
    <col min="1809" max="1809" width="0" style="953" hidden="1" customWidth="1"/>
    <col min="1810" max="2048" width="9.140625" style="953"/>
    <col min="2049" max="2049" width="9.140625" style="953" customWidth="1"/>
    <col min="2050" max="2050" width="20" style="953" customWidth="1"/>
    <col min="2051" max="2053" width="17.5703125" style="953" customWidth="1"/>
    <col min="2054" max="2054" width="35.7109375" style="953" customWidth="1"/>
    <col min="2055" max="2055" width="12" style="953" customWidth="1"/>
    <col min="2056" max="2056" width="7.42578125" style="953" customWidth="1"/>
    <col min="2057" max="2057" width="11" style="953" customWidth="1"/>
    <col min="2058" max="2058" width="35.28515625" style="953" customWidth="1"/>
    <col min="2059" max="2059" width="9.140625" style="953"/>
    <col min="2060" max="2060" width="65.28515625" style="953" customWidth="1"/>
    <col min="2061" max="2061" width="24.7109375" style="953" customWidth="1"/>
    <col min="2062" max="2062" width="16.28515625" style="953" bestFit="1" customWidth="1"/>
    <col min="2063" max="2064" width="9.140625" style="953"/>
    <col min="2065" max="2065" width="0" style="953" hidden="1" customWidth="1"/>
    <col min="2066" max="2304" width="9.140625" style="953"/>
    <col min="2305" max="2305" width="9.140625" style="953" customWidth="1"/>
    <col min="2306" max="2306" width="20" style="953" customWidth="1"/>
    <col min="2307" max="2309" width="17.5703125" style="953" customWidth="1"/>
    <col min="2310" max="2310" width="35.7109375" style="953" customWidth="1"/>
    <col min="2311" max="2311" width="12" style="953" customWidth="1"/>
    <col min="2312" max="2312" width="7.42578125" style="953" customWidth="1"/>
    <col min="2313" max="2313" width="11" style="953" customWidth="1"/>
    <col min="2314" max="2314" width="35.28515625" style="953" customWidth="1"/>
    <col min="2315" max="2315" width="9.140625" style="953"/>
    <col min="2316" max="2316" width="65.28515625" style="953" customWidth="1"/>
    <col min="2317" max="2317" width="24.7109375" style="953" customWidth="1"/>
    <col min="2318" max="2318" width="16.28515625" style="953" bestFit="1" customWidth="1"/>
    <col min="2319" max="2320" width="9.140625" style="953"/>
    <col min="2321" max="2321" width="0" style="953" hidden="1" customWidth="1"/>
    <col min="2322" max="2560" width="9.140625" style="953"/>
    <col min="2561" max="2561" width="9.140625" style="953" customWidth="1"/>
    <col min="2562" max="2562" width="20" style="953" customWidth="1"/>
    <col min="2563" max="2565" width="17.5703125" style="953" customWidth="1"/>
    <col min="2566" max="2566" width="35.7109375" style="953" customWidth="1"/>
    <col min="2567" max="2567" width="12" style="953" customWidth="1"/>
    <col min="2568" max="2568" width="7.42578125" style="953" customWidth="1"/>
    <col min="2569" max="2569" width="11" style="953" customWidth="1"/>
    <col min="2570" max="2570" width="35.28515625" style="953" customWidth="1"/>
    <col min="2571" max="2571" width="9.140625" style="953"/>
    <col min="2572" max="2572" width="65.28515625" style="953" customWidth="1"/>
    <col min="2573" max="2573" width="24.7109375" style="953" customWidth="1"/>
    <col min="2574" max="2574" width="16.28515625" style="953" bestFit="1" customWidth="1"/>
    <col min="2575" max="2576" width="9.140625" style="953"/>
    <col min="2577" max="2577" width="0" style="953" hidden="1" customWidth="1"/>
    <col min="2578" max="2816" width="9.140625" style="953"/>
    <col min="2817" max="2817" width="9.140625" style="953" customWidth="1"/>
    <col min="2818" max="2818" width="20" style="953" customWidth="1"/>
    <col min="2819" max="2821" width="17.5703125" style="953" customWidth="1"/>
    <col min="2822" max="2822" width="35.7109375" style="953" customWidth="1"/>
    <col min="2823" max="2823" width="12" style="953" customWidth="1"/>
    <col min="2824" max="2824" width="7.42578125" style="953" customWidth="1"/>
    <col min="2825" max="2825" width="11" style="953" customWidth="1"/>
    <col min="2826" max="2826" width="35.28515625" style="953" customWidth="1"/>
    <col min="2827" max="2827" width="9.140625" style="953"/>
    <col min="2828" max="2828" width="65.28515625" style="953" customWidth="1"/>
    <col min="2829" max="2829" width="24.7109375" style="953" customWidth="1"/>
    <col min="2830" max="2830" width="16.28515625" style="953" bestFit="1" customWidth="1"/>
    <col min="2831" max="2832" width="9.140625" style="953"/>
    <col min="2833" max="2833" width="0" style="953" hidden="1" customWidth="1"/>
    <col min="2834" max="3072" width="9.140625" style="953"/>
    <col min="3073" max="3073" width="9.140625" style="953" customWidth="1"/>
    <col min="3074" max="3074" width="20" style="953" customWidth="1"/>
    <col min="3075" max="3077" width="17.5703125" style="953" customWidth="1"/>
    <col min="3078" max="3078" width="35.7109375" style="953" customWidth="1"/>
    <col min="3079" max="3079" width="12" style="953" customWidth="1"/>
    <col min="3080" max="3080" width="7.42578125" style="953" customWidth="1"/>
    <col min="3081" max="3081" width="11" style="953" customWidth="1"/>
    <col min="3082" max="3082" width="35.28515625" style="953" customWidth="1"/>
    <col min="3083" max="3083" width="9.140625" style="953"/>
    <col min="3084" max="3084" width="65.28515625" style="953" customWidth="1"/>
    <col min="3085" max="3085" width="24.7109375" style="953" customWidth="1"/>
    <col min="3086" max="3086" width="16.28515625" style="953" bestFit="1" customWidth="1"/>
    <col min="3087" max="3088" width="9.140625" style="953"/>
    <col min="3089" max="3089" width="0" style="953" hidden="1" customWidth="1"/>
    <col min="3090" max="3328" width="9.140625" style="953"/>
    <col min="3329" max="3329" width="9.140625" style="953" customWidth="1"/>
    <col min="3330" max="3330" width="20" style="953" customWidth="1"/>
    <col min="3331" max="3333" width="17.5703125" style="953" customWidth="1"/>
    <col min="3334" max="3334" width="35.7109375" style="953" customWidth="1"/>
    <col min="3335" max="3335" width="12" style="953" customWidth="1"/>
    <col min="3336" max="3336" width="7.42578125" style="953" customWidth="1"/>
    <col min="3337" max="3337" width="11" style="953" customWidth="1"/>
    <col min="3338" max="3338" width="35.28515625" style="953" customWidth="1"/>
    <col min="3339" max="3339" width="9.140625" style="953"/>
    <col min="3340" max="3340" width="65.28515625" style="953" customWidth="1"/>
    <col min="3341" max="3341" width="24.7109375" style="953" customWidth="1"/>
    <col min="3342" max="3342" width="16.28515625" style="953" bestFit="1" customWidth="1"/>
    <col min="3343" max="3344" width="9.140625" style="953"/>
    <col min="3345" max="3345" width="0" style="953" hidden="1" customWidth="1"/>
    <col min="3346" max="3584" width="9.140625" style="953"/>
    <col min="3585" max="3585" width="9.140625" style="953" customWidth="1"/>
    <col min="3586" max="3586" width="20" style="953" customWidth="1"/>
    <col min="3587" max="3589" width="17.5703125" style="953" customWidth="1"/>
    <col min="3590" max="3590" width="35.7109375" style="953" customWidth="1"/>
    <col min="3591" max="3591" width="12" style="953" customWidth="1"/>
    <col min="3592" max="3592" width="7.42578125" style="953" customWidth="1"/>
    <col min="3593" max="3593" width="11" style="953" customWidth="1"/>
    <col min="3594" max="3594" width="35.28515625" style="953" customWidth="1"/>
    <col min="3595" max="3595" width="9.140625" style="953"/>
    <col min="3596" max="3596" width="65.28515625" style="953" customWidth="1"/>
    <col min="3597" max="3597" width="24.7109375" style="953" customWidth="1"/>
    <col min="3598" max="3598" width="16.28515625" style="953" bestFit="1" customWidth="1"/>
    <col min="3599" max="3600" width="9.140625" style="953"/>
    <col min="3601" max="3601" width="0" style="953" hidden="1" customWidth="1"/>
    <col min="3602" max="3840" width="9.140625" style="953"/>
    <col min="3841" max="3841" width="9.140625" style="953" customWidth="1"/>
    <col min="3842" max="3842" width="20" style="953" customWidth="1"/>
    <col min="3843" max="3845" width="17.5703125" style="953" customWidth="1"/>
    <col min="3846" max="3846" width="35.7109375" style="953" customWidth="1"/>
    <col min="3847" max="3847" width="12" style="953" customWidth="1"/>
    <col min="3848" max="3848" width="7.42578125" style="953" customWidth="1"/>
    <col min="3849" max="3849" width="11" style="953" customWidth="1"/>
    <col min="3850" max="3850" width="35.28515625" style="953" customWidth="1"/>
    <col min="3851" max="3851" width="9.140625" style="953"/>
    <col min="3852" max="3852" width="65.28515625" style="953" customWidth="1"/>
    <col min="3853" max="3853" width="24.7109375" style="953" customWidth="1"/>
    <col min="3854" max="3854" width="16.28515625" style="953" bestFit="1" customWidth="1"/>
    <col min="3855" max="3856" width="9.140625" style="953"/>
    <col min="3857" max="3857" width="0" style="953" hidden="1" customWidth="1"/>
    <col min="3858" max="4096" width="9.140625" style="953"/>
    <col min="4097" max="4097" width="9.140625" style="953" customWidth="1"/>
    <col min="4098" max="4098" width="20" style="953" customWidth="1"/>
    <col min="4099" max="4101" width="17.5703125" style="953" customWidth="1"/>
    <col min="4102" max="4102" width="35.7109375" style="953" customWidth="1"/>
    <col min="4103" max="4103" width="12" style="953" customWidth="1"/>
    <col min="4104" max="4104" width="7.42578125" style="953" customWidth="1"/>
    <col min="4105" max="4105" width="11" style="953" customWidth="1"/>
    <col min="4106" max="4106" width="35.28515625" style="953" customWidth="1"/>
    <col min="4107" max="4107" width="9.140625" style="953"/>
    <col min="4108" max="4108" width="65.28515625" style="953" customWidth="1"/>
    <col min="4109" max="4109" width="24.7109375" style="953" customWidth="1"/>
    <col min="4110" max="4110" width="16.28515625" style="953" bestFit="1" customWidth="1"/>
    <col min="4111" max="4112" width="9.140625" style="953"/>
    <col min="4113" max="4113" width="0" style="953" hidden="1" customWidth="1"/>
    <col min="4114" max="4352" width="9.140625" style="953"/>
    <col min="4353" max="4353" width="9.140625" style="953" customWidth="1"/>
    <col min="4354" max="4354" width="20" style="953" customWidth="1"/>
    <col min="4355" max="4357" width="17.5703125" style="953" customWidth="1"/>
    <col min="4358" max="4358" width="35.7109375" style="953" customWidth="1"/>
    <col min="4359" max="4359" width="12" style="953" customWidth="1"/>
    <col min="4360" max="4360" width="7.42578125" style="953" customWidth="1"/>
    <col min="4361" max="4361" width="11" style="953" customWidth="1"/>
    <col min="4362" max="4362" width="35.28515625" style="953" customWidth="1"/>
    <col min="4363" max="4363" width="9.140625" style="953"/>
    <col min="4364" max="4364" width="65.28515625" style="953" customWidth="1"/>
    <col min="4365" max="4365" width="24.7109375" style="953" customWidth="1"/>
    <col min="4366" max="4366" width="16.28515625" style="953" bestFit="1" customWidth="1"/>
    <col min="4367" max="4368" width="9.140625" style="953"/>
    <col min="4369" max="4369" width="0" style="953" hidden="1" customWidth="1"/>
    <col min="4370" max="4608" width="9.140625" style="953"/>
    <col min="4609" max="4609" width="9.140625" style="953" customWidth="1"/>
    <col min="4610" max="4610" width="20" style="953" customWidth="1"/>
    <col min="4611" max="4613" width="17.5703125" style="953" customWidth="1"/>
    <col min="4614" max="4614" width="35.7109375" style="953" customWidth="1"/>
    <col min="4615" max="4615" width="12" style="953" customWidth="1"/>
    <col min="4616" max="4616" width="7.42578125" style="953" customWidth="1"/>
    <col min="4617" max="4617" width="11" style="953" customWidth="1"/>
    <col min="4618" max="4618" width="35.28515625" style="953" customWidth="1"/>
    <col min="4619" max="4619" width="9.140625" style="953"/>
    <col min="4620" max="4620" width="65.28515625" style="953" customWidth="1"/>
    <col min="4621" max="4621" width="24.7109375" style="953" customWidth="1"/>
    <col min="4622" max="4622" width="16.28515625" style="953" bestFit="1" customWidth="1"/>
    <col min="4623" max="4624" width="9.140625" style="953"/>
    <col min="4625" max="4625" width="0" style="953" hidden="1" customWidth="1"/>
    <col min="4626" max="4864" width="9.140625" style="953"/>
    <col min="4865" max="4865" width="9.140625" style="953" customWidth="1"/>
    <col min="4866" max="4866" width="20" style="953" customWidth="1"/>
    <col min="4867" max="4869" width="17.5703125" style="953" customWidth="1"/>
    <col min="4870" max="4870" width="35.7109375" style="953" customWidth="1"/>
    <col min="4871" max="4871" width="12" style="953" customWidth="1"/>
    <col min="4872" max="4872" width="7.42578125" style="953" customWidth="1"/>
    <col min="4873" max="4873" width="11" style="953" customWidth="1"/>
    <col min="4874" max="4874" width="35.28515625" style="953" customWidth="1"/>
    <col min="4875" max="4875" width="9.140625" style="953"/>
    <col min="4876" max="4876" width="65.28515625" style="953" customWidth="1"/>
    <col min="4877" max="4877" width="24.7109375" style="953" customWidth="1"/>
    <col min="4878" max="4878" width="16.28515625" style="953" bestFit="1" customWidth="1"/>
    <col min="4879" max="4880" width="9.140625" style="953"/>
    <col min="4881" max="4881" width="0" style="953" hidden="1" customWidth="1"/>
    <col min="4882" max="5120" width="9.140625" style="953"/>
    <col min="5121" max="5121" width="9.140625" style="953" customWidth="1"/>
    <col min="5122" max="5122" width="20" style="953" customWidth="1"/>
    <col min="5123" max="5125" width="17.5703125" style="953" customWidth="1"/>
    <col min="5126" max="5126" width="35.7109375" style="953" customWidth="1"/>
    <col min="5127" max="5127" width="12" style="953" customWidth="1"/>
    <col min="5128" max="5128" width="7.42578125" style="953" customWidth="1"/>
    <col min="5129" max="5129" width="11" style="953" customWidth="1"/>
    <col min="5130" max="5130" width="35.28515625" style="953" customWidth="1"/>
    <col min="5131" max="5131" width="9.140625" style="953"/>
    <col min="5132" max="5132" width="65.28515625" style="953" customWidth="1"/>
    <col min="5133" max="5133" width="24.7109375" style="953" customWidth="1"/>
    <col min="5134" max="5134" width="16.28515625" style="953" bestFit="1" customWidth="1"/>
    <col min="5135" max="5136" width="9.140625" style="953"/>
    <col min="5137" max="5137" width="0" style="953" hidden="1" customWidth="1"/>
    <col min="5138" max="5376" width="9.140625" style="953"/>
    <col min="5377" max="5377" width="9.140625" style="953" customWidth="1"/>
    <col min="5378" max="5378" width="20" style="953" customWidth="1"/>
    <col min="5379" max="5381" width="17.5703125" style="953" customWidth="1"/>
    <col min="5382" max="5382" width="35.7109375" style="953" customWidth="1"/>
    <col min="5383" max="5383" width="12" style="953" customWidth="1"/>
    <col min="5384" max="5384" width="7.42578125" style="953" customWidth="1"/>
    <col min="5385" max="5385" width="11" style="953" customWidth="1"/>
    <col min="5386" max="5386" width="35.28515625" style="953" customWidth="1"/>
    <col min="5387" max="5387" width="9.140625" style="953"/>
    <col min="5388" max="5388" width="65.28515625" style="953" customWidth="1"/>
    <col min="5389" max="5389" width="24.7109375" style="953" customWidth="1"/>
    <col min="5390" max="5390" width="16.28515625" style="953" bestFit="1" customWidth="1"/>
    <col min="5391" max="5392" width="9.140625" style="953"/>
    <col min="5393" max="5393" width="0" style="953" hidden="1" customWidth="1"/>
    <col min="5394" max="5632" width="9.140625" style="953"/>
    <col min="5633" max="5633" width="9.140625" style="953" customWidth="1"/>
    <col min="5634" max="5634" width="20" style="953" customWidth="1"/>
    <col min="5635" max="5637" width="17.5703125" style="953" customWidth="1"/>
    <col min="5638" max="5638" width="35.7109375" style="953" customWidth="1"/>
    <col min="5639" max="5639" width="12" style="953" customWidth="1"/>
    <col min="5640" max="5640" width="7.42578125" style="953" customWidth="1"/>
    <col min="5641" max="5641" width="11" style="953" customWidth="1"/>
    <col min="5642" max="5642" width="35.28515625" style="953" customWidth="1"/>
    <col min="5643" max="5643" width="9.140625" style="953"/>
    <col min="5644" max="5644" width="65.28515625" style="953" customWidth="1"/>
    <col min="5645" max="5645" width="24.7109375" style="953" customWidth="1"/>
    <col min="5646" max="5646" width="16.28515625" style="953" bestFit="1" customWidth="1"/>
    <col min="5647" max="5648" width="9.140625" style="953"/>
    <col min="5649" max="5649" width="0" style="953" hidden="1" customWidth="1"/>
    <col min="5650" max="5888" width="9.140625" style="953"/>
    <col min="5889" max="5889" width="9.140625" style="953" customWidth="1"/>
    <col min="5890" max="5890" width="20" style="953" customWidth="1"/>
    <col min="5891" max="5893" width="17.5703125" style="953" customWidth="1"/>
    <col min="5894" max="5894" width="35.7109375" style="953" customWidth="1"/>
    <col min="5895" max="5895" width="12" style="953" customWidth="1"/>
    <col min="5896" max="5896" width="7.42578125" style="953" customWidth="1"/>
    <col min="5897" max="5897" width="11" style="953" customWidth="1"/>
    <col min="5898" max="5898" width="35.28515625" style="953" customWidth="1"/>
    <col min="5899" max="5899" width="9.140625" style="953"/>
    <col min="5900" max="5900" width="65.28515625" style="953" customWidth="1"/>
    <col min="5901" max="5901" width="24.7109375" style="953" customWidth="1"/>
    <col min="5902" max="5902" width="16.28515625" style="953" bestFit="1" customWidth="1"/>
    <col min="5903" max="5904" width="9.140625" style="953"/>
    <col min="5905" max="5905" width="0" style="953" hidden="1" customWidth="1"/>
    <col min="5906" max="6144" width="9.140625" style="953"/>
    <col min="6145" max="6145" width="9.140625" style="953" customWidth="1"/>
    <col min="6146" max="6146" width="20" style="953" customWidth="1"/>
    <col min="6147" max="6149" width="17.5703125" style="953" customWidth="1"/>
    <col min="6150" max="6150" width="35.7109375" style="953" customWidth="1"/>
    <col min="6151" max="6151" width="12" style="953" customWidth="1"/>
    <col min="6152" max="6152" width="7.42578125" style="953" customWidth="1"/>
    <col min="6153" max="6153" width="11" style="953" customWidth="1"/>
    <col min="6154" max="6154" width="35.28515625" style="953" customWidth="1"/>
    <col min="6155" max="6155" width="9.140625" style="953"/>
    <col min="6156" max="6156" width="65.28515625" style="953" customWidth="1"/>
    <col min="6157" max="6157" width="24.7109375" style="953" customWidth="1"/>
    <col min="6158" max="6158" width="16.28515625" style="953" bestFit="1" customWidth="1"/>
    <col min="6159" max="6160" width="9.140625" style="953"/>
    <col min="6161" max="6161" width="0" style="953" hidden="1" customWidth="1"/>
    <col min="6162" max="6400" width="9.140625" style="953"/>
    <col min="6401" max="6401" width="9.140625" style="953" customWidth="1"/>
    <col min="6402" max="6402" width="20" style="953" customWidth="1"/>
    <col min="6403" max="6405" width="17.5703125" style="953" customWidth="1"/>
    <col min="6406" max="6406" width="35.7109375" style="953" customWidth="1"/>
    <col min="6407" max="6407" width="12" style="953" customWidth="1"/>
    <col min="6408" max="6408" width="7.42578125" style="953" customWidth="1"/>
    <col min="6409" max="6409" width="11" style="953" customWidth="1"/>
    <col min="6410" max="6410" width="35.28515625" style="953" customWidth="1"/>
    <col min="6411" max="6411" width="9.140625" style="953"/>
    <col min="6412" max="6412" width="65.28515625" style="953" customWidth="1"/>
    <col min="6413" max="6413" width="24.7109375" style="953" customWidth="1"/>
    <col min="6414" max="6414" width="16.28515625" style="953" bestFit="1" customWidth="1"/>
    <col min="6415" max="6416" width="9.140625" style="953"/>
    <col min="6417" max="6417" width="0" style="953" hidden="1" customWidth="1"/>
    <col min="6418" max="6656" width="9.140625" style="953"/>
    <col min="6657" max="6657" width="9.140625" style="953" customWidth="1"/>
    <col min="6658" max="6658" width="20" style="953" customWidth="1"/>
    <col min="6659" max="6661" width="17.5703125" style="953" customWidth="1"/>
    <col min="6662" max="6662" width="35.7109375" style="953" customWidth="1"/>
    <col min="6663" max="6663" width="12" style="953" customWidth="1"/>
    <col min="6664" max="6664" width="7.42578125" style="953" customWidth="1"/>
    <col min="6665" max="6665" width="11" style="953" customWidth="1"/>
    <col min="6666" max="6666" width="35.28515625" style="953" customWidth="1"/>
    <col min="6667" max="6667" width="9.140625" style="953"/>
    <col min="6668" max="6668" width="65.28515625" style="953" customWidth="1"/>
    <col min="6669" max="6669" width="24.7109375" style="953" customWidth="1"/>
    <col min="6670" max="6670" width="16.28515625" style="953" bestFit="1" customWidth="1"/>
    <col min="6671" max="6672" width="9.140625" style="953"/>
    <col min="6673" max="6673" width="0" style="953" hidden="1" customWidth="1"/>
    <col min="6674" max="6912" width="9.140625" style="953"/>
    <col min="6913" max="6913" width="9.140625" style="953" customWidth="1"/>
    <col min="6914" max="6914" width="20" style="953" customWidth="1"/>
    <col min="6915" max="6917" width="17.5703125" style="953" customWidth="1"/>
    <col min="6918" max="6918" width="35.7109375" style="953" customWidth="1"/>
    <col min="6919" max="6919" width="12" style="953" customWidth="1"/>
    <col min="6920" max="6920" width="7.42578125" style="953" customWidth="1"/>
    <col min="6921" max="6921" width="11" style="953" customWidth="1"/>
    <col min="6922" max="6922" width="35.28515625" style="953" customWidth="1"/>
    <col min="6923" max="6923" width="9.140625" style="953"/>
    <col min="6924" max="6924" width="65.28515625" style="953" customWidth="1"/>
    <col min="6925" max="6925" width="24.7109375" style="953" customWidth="1"/>
    <col min="6926" max="6926" width="16.28515625" style="953" bestFit="1" customWidth="1"/>
    <col min="6927" max="6928" width="9.140625" style="953"/>
    <col min="6929" max="6929" width="0" style="953" hidden="1" customWidth="1"/>
    <col min="6930" max="7168" width="9.140625" style="953"/>
    <col min="7169" max="7169" width="9.140625" style="953" customWidth="1"/>
    <col min="7170" max="7170" width="20" style="953" customWidth="1"/>
    <col min="7171" max="7173" width="17.5703125" style="953" customWidth="1"/>
    <col min="7174" max="7174" width="35.7109375" style="953" customWidth="1"/>
    <col min="7175" max="7175" width="12" style="953" customWidth="1"/>
    <col min="7176" max="7176" width="7.42578125" style="953" customWidth="1"/>
    <col min="7177" max="7177" width="11" style="953" customWidth="1"/>
    <col min="7178" max="7178" width="35.28515625" style="953" customWidth="1"/>
    <col min="7179" max="7179" width="9.140625" style="953"/>
    <col min="7180" max="7180" width="65.28515625" style="953" customWidth="1"/>
    <col min="7181" max="7181" width="24.7109375" style="953" customWidth="1"/>
    <col min="7182" max="7182" width="16.28515625" style="953" bestFit="1" customWidth="1"/>
    <col min="7183" max="7184" width="9.140625" style="953"/>
    <col min="7185" max="7185" width="0" style="953" hidden="1" customWidth="1"/>
    <col min="7186" max="7424" width="9.140625" style="953"/>
    <col min="7425" max="7425" width="9.140625" style="953" customWidth="1"/>
    <col min="7426" max="7426" width="20" style="953" customWidth="1"/>
    <col min="7427" max="7429" width="17.5703125" style="953" customWidth="1"/>
    <col min="7430" max="7430" width="35.7109375" style="953" customWidth="1"/>
    <col min="7431" max="7431" width="12" style="953" customWidth="1"/>
    <col min="7432" max="7432" width="7.42578125" style="953" customWidth="1"/>
    <col min="7433" max="7433" width="11" style="953" customWidth="1"/>
    <col min="7434" max="7434" width="35.28515625" style="953" customWidth="1"/>
    <col min="7435" max="7435" width="9.140625" style="953"/>
    <col min="7436" max="7436" width="65.28515625" style="953" customWidth="1"/>
    <col min="7437" max="7437" width="24.7109375" style="953" customWidth="1"/>
    <col min="7438" max="7438" width="16.28515625" style="953" bestFit="1" customWidth="1"/>
    <col min="7439" max="7440" width="9.140625" style="953"/>
    <col min="7441" max="7441" width="0" style="953" hidden="1" customWidth="1"/>
    <col min="7442" max="7680" width="9.140625" style="953"/>
    <col min="7681" max="7681" width="9.140625" style="953" customWidth="1"/>
    <col min="7682" max="7682" width="20" style="953" customWidth="1"/>
    <col min="7683" max="7685" width="17.5703125" style="953" customWidth="1"/>
    <col min="7686" max="7686" width="35.7109375" style="953" customWidth="1"/>
    <col min="7687" max="7687" width="12" style="953" customWidth="1"/>
    <col min="7688" max="7688" width="7.42578125" style="953" customWidth="1"/>
    <col min="7689" max="7689" width="11" style="953" customWidth="1"/>
    <col min="7690" max="7690" width="35.28515625" style="953" customWidth="1"/>
    <col min="7691" max="7691" width="9.140625" style="953"/>
    <col min="7692" max="7692" width="65.28515625" style="953" customWidth="1"/>
    <col min="7693" max="7693" width="24.7109375" style="953" customWidth="1"/>
    <col min="7694" max="7694" width="16.28515625" style="953" bestFit="1" customWidth="1"/>
    <col min="7695" max="7696" width="9.140625" style="953"/>
    <col min="7697" max="7697" width="0" style="953" hidden="1" customWidth="1"/>
    <col min="7698" max="7936" width="9.140625" style="953"/>
    <col min="7937" max="7937" width="9.140625" style="953" customWidth="1"/>
    <col min="7938" max="7938" width="20" style="953" customWidth="1"/>
    <col min="7939" max="7941" width="17.5703125" style="953" customWidth="1"/>
    <col min="7942" max="7942" width="35.7109375" style="953" customWidth="1"/>
    <col min="7943" max="7943" width="12" style="953" customWidth="1"/>
    <col min="7944" max="7944" width="7.42578125" style="953" customWidth="1"/>
    <col min="7945" max="7945" width="11" style="953" customWidth="1"/>
    <col min="7946" max="7946" width="35.28515625" style="953" customWidth="1"/>
    <col min="7947" max="7947" width="9.140625" style="953"/>
    <col min="7948" max="7948" width="65.28515625" style="953" customWidth="1"/>
    <col min="7949" max="7949" width="24.7109375" style="953" customWidth="1"/>
    <col min="7950" max="7950" width="16.28515625" style="953" bestFit="1" customWidth="1"/>
    <col min="7951" max="7952" width="9.140625" style="953"/>
    <col min="7953" max="7953" width="0" style="953" hidden="1" customWidth="1"/>
    <col min="7954" max="8192" width="9.140625" style="953"/>
    <col min="8193" max="8193" width="9.140625" style="953" customWidth="1"/>
    <col min="8194" max="8194" width="20" style="953" customWidth="1"/>
    <col min="8195" max="8197" width="17.5703125" style="953" customWidth="1"/>
    <col min="8198" max="8198" width="35.7109375" style="953" customWidth="1"/>
    <col min="8199" max="8199" width="12" style="953" customWidth="1"/>
    <col min="8200" max="8200" width="7.42578125" style="953" customWidth="1"/>
    <col min="8201" max="8201" width="11" style="953" customWidth="1"/>
    <col min="8202" max="8202" width="35.28515625" style="953" customWidth="1"/>
    <col min="8203" max="8203" width="9.140625" style="953"/>
    <col min="8204" max="8204" width="65.28515625" style="953" customWidth="1"/>
    <col min="8205" max="8205" width="24.7109375" style="953" customWidth="1"/>
    <col min="8206" max="8206" width="16.28515625" style="953" bestFit="1" customWidth="1"/>
    <col min="8207" max="8208" width="9.140625" style="953"/>
    <col min="8209" max="8209" width="0" style="953" hidden="1" customWidth="1"/>
    <col min="8210" max="8448" width="9.140625" style="953"/>
    <col min="8449" max="8449" width="9.140625" style="953" customWidth="1"/>
    <col min="8450" max="8450" width="20" style="953" customWidth="1"/>
    <col min="8451" max="8453" width="17.5703125" style="953" customWidth="1"/>
    <col min="8454" max="8454" width="35.7109375" style="953" customWidth="1"/>
    <col min="8455" max="8455" width="12" style="953" customWidth="1"/>
    <col min="8456" max="8456" width="7.42578125" style="953" customWidth="1"/>
    <col min="8457" max="8457" width="11" style="953" customWidth="1"/>
    <col min="8458" max="8458" width="35.28515625" style="953" customWidth="1"/>
    <col min="8459" max="8459" width="9.140625" style="953"/>
    <col min="8460" max="8460" width="65.28515625" style="953" customWidth="1"/>
    <col min="8461" max="8461" width="24.7109375" style="953" customWidth="1"/>
    <col min="8462" max="8462" width="16.28515625" style="953" bestFit="1" customWidth="1"/>
    <col min="8463" max="8464" width="9.140625" style="953"/>
    <col min="8465" max="8465" width="0" style="953" hidden="1" customWidth="1"/>
    <col min="8466" max="8704" width="9.140625" style="953"/>
    <col min="8705" max="8705" width="9.140625" style="953" customWidth="1"/>
    <col min="8706" max="8706" width="20" style="953" customWidth="1"/>
    <col min="8707" max="8709" width="17.5703125" style="953" customWidth="1"/>
    <col min="8710" max="8710" width="35.7109375" style="953" customWidth="1"/>
    <col min="8711" max="8711" width="12" style="953" customWidth="1"/>
    <col min="8712" max="8712" width="7.42578125" style="953" customWidth="1"/>
    <col min="8713" max="8713" width="11" style="953" customWidth="1"/>
    <col min="8714" max="8714" width="35.28515625" style="953" customWidth="1"/>
    <col min="8715" max="8715" width="9.140625" style="953"/>
    <col min="8716" max="8716" width="65.28515625" style="953" customWidth="1"/>
    <col min="8717" max="8717" width="24.7109375" style="953" customWidth="1"/>
    <col min="8718" max="8718" width="16.28515625" style="953" bestFit="1" customWidth="1"/>
    <col min="8719" max="8720" width="9.140625" style="953"/>
    <col min="8721" max="8721" width="0" style="953" hidden="1" customWidth="1"/>
    <col min="8722" max="8960" width="9.140625" style="953"/>
    <col min="8961" max="8961" width="9.140625" style="953" customWidth="1"/>
    <col min="8962" max="8962" width="20" style="953" customWidth="1"/>
    <col min="8963" max="8965" width="17.5703125" style="953" customWidth="1"/>
    <col min="8966" max="8966" width="35.7109375" style="953" customWidth="1"/>
    <col min="8967" max="8967" width="12" style="953" customWidth="1"/>
    <col min="8968" max="8968" width="7.42578125" style="953" customWidth="1"/>
    <col min="8969" max="8969" width="11" style="953" customWidth="1"/>
    <col min="8970" max="8970" width="35.28515625" style="953" customWidth="1"/>
    <col min="8971" max="8971" width="9.140625" style="953"/>
    <col min="8972" max="8972" width="65.28515625" style="953" customWidth="1"/>
    <col min="8973" max="8973" width="24.7109375" style="953" customWidth="1"/>
    <col min="8974" max="8974" width="16.28515625" style="953" bestFit="1" customWidth="1"/>
    <col min="8975" max="8976" width="9.140625" style="953"/>
    <col min="8977" max="8977" width="0" style="953" hidden="1" customWidth="1"/>
    <col min="8978" max="9216" width="9.140625" style="953"/>
    <col min="9217" max="9217" width="9.140625" style="953" customWidth="1"/>
    <col min="9218" max="9218" width="20" style="953" customWidth="1"/>
    <col min="9219" max="9221" width="17.5703125" style="953" customWidth="1"/>
    <col min="9222" max="9222" width="35.7109375" style="953" customWidth="1"/>
    <col min="9223" max="9223" width="12" style="953" customWidth="1"/>
    <col min="9224" max="9224" width="7.42578125" style="953" customWidth="1"/>
    <col min="9225" max="9225" width="11" style="953" customWidth="1"/>
    <col min="9226" max="9226" width="35.28515625" style="953" customWidth="1"/>
    <col min="9227" max="9227" width="9.140625" style="953"/>
    <col min="9228" max="9228" width="65.28515625" style="953" customWidth="1"/>
    <col min="9229" max="9229" width="24.7109375" style="953" customWidth="1"/>
    <col min="9230" max="9230" width="16.28515625" style="953" bestFit="1" customWidth="1"/>
    <col min="9231" max="9232" width="9.140625" style="953"/>
    <col min="9233" max="9233" width="0" style="953" hidden="1" customWidth="1"/>
    <col min="9234" max="9472" width="9.140625" style="953"/>
    <col min="9473" max="9473" width="9.140625" style="953" customWidth="1"/>
    <col min="9474" max="9474" width="20" style="953" customWidth="1"/>
    <col min="9475" max="9477" width="17.5703125" style="953" customWidth="1"/>
    <col min="9478" max="9478" width="35.7109375" style="953" customWidth="1"/>
    <col min="9479" max="9479" width="12" style="953" customWidth="1"/>
    <col min="9480" max="9480" width="7.42578125" style="953" customWidth="1"/>
    <col min="9481" max="9481" width="11" style="953" customWidth="1"/>
    <col min="9482" max="9482" width="35.28515625" style="953" customWidth="1"/>
    <col min="9483" max="9483" width="9.140625" style="953"/>
    <col min="9484" max="9484" width="65.28515625" style="953" customWidth="1"/>
    <col min="9485" max="9485" width="24.7109375" style="953" customWidth="1"/>
    <col min="9486" max="9486" width="16.28515625" style="953" bestFit="1" customWidth="1"/>
    <col min="9487" max="9488" width="9.140625" style="953"/>
    <col min="9489" max="9489" width="0" style="953" hidden="1" customWidth="1"/>
    <col min="9490" max="9728" width="9.140625" style="953"/>
    <col min="9729" max="9729" width="9.140625" style="953" customWidth="1"/>
    <col min="9730" max="9730" width="20" style="953" customWidth="1"/>
    <col min="9731" max="9733" width="17.5703125" style="953" customWidth="1"/>
    <col min="9734" max="9734" width="35.7109375" style="953" customWidth="1"/>
    <col min="9735" max="9735" width="12" style="953" customWidth="1"/>
    <col min="9736" max="9736" width="7.42578125" style="953" customWidth="1"/>
    <col min="9737" max="9737" width="11" style="953" customWidth="1"/>
    <col min="9738" max="9738" width="35.28515625" style="953" customWidth="1"/>
    <col min="9739" max="9739" width="9.140625" style="953"/>
    <col min="9740" max="9740" width="65.28515625" style="953" customWidth="1"/>
    <col min="9741" max="9741" width="24.7109375" style="953" customWidth="1"/>
    <col min="9742" max="9742" width="16.28515625" style="953" bestFit="1" customWidth="1"/>
    <col min="9743" max="9744" width="9.140625" style="953"/>
    <col min="9745" max="9745" width="0" style="953" hidden="1" customWidth="1"/>
    <col min="9746" max="9984" width="9.140625" style="953"/>
    <col min="9985" max="9985" width="9.140625" style="953" customWidth="1"/>
    <col min="9986" max="9986" width="20" style="953" customWidth="1"/>
    <col min="9987" max="9989" width="17.5703125" style="953" customWidth="1"/>
    <col min="9990" max="9990" width="35.7109375" style="953" customWidth="1"/>
    <col min="9991" max="9991" width="12" style="953" customWidth="1"/>
    <col min="9992" max="9992" width="7.42578125" style="953" customWidth="1"/>
    <col min="9993" max="9993" width="11" style="953" customWidth="1"/>
    <col min="9994" max="9994" width="35.28515625" style="953" customWidth="1"/>
    <col min="9995" max="9995" width="9.140625" style="953"/>
    <col min="9996" max="9996" width="65.28515625" style="953" customWidth="1"/>
    <col min="9997" max="9997" width="24.7109375" style="953" customWidth="1"/>
    <col min="9998" max="9998" width="16.28515625" style="953" bestFit="1" customWidth="1"/>
    <col min="9999" max="10000" width="9.140625" style="953"/>
    <col min="10001" max="10001" width="0" style="953" hidden="1" customWidth="1"/>
    <col min="10002" max="10240" width="9.140625" style="953"/>
    <col min="10241" max="10241" width="9.140625" style="953" customWidth="1"/>
    <col min="10242" max="10242" width="20" style="953" customWidth="1"/>
    <col min="10243" max="10245" width="17.5703125" style="953" customWidth="1"/>
    <col min="10246" max="10246" width="35.7109375" style="953" customWidth="1"/>
    <col min="10247" max="10247" width="12" style="953" customWidth="1"/>
    <col min="10248" max="10248" width="7.42578125" style="953" customWidth="1"/>
    <col min="10249" max="10249" width="11" style="953" customWidth="1"/>
    <col min="10250" max="10250" width="35.28515625" style="953" customWidth="1"/>
    <col min="10251" max="10251" width="9.140625" style="953"/>
    <col min="10252" max="10252" width="65.28515625" style="953" customWidth="1"/>
    <col min="10253" max="10253" width="24.7109375" style="953" customWidth="1"/>
    <col min="10254" max="10254" width="16.28515625" style="953" bestFit="1" customWidth="1"/>
    <col min="10255" max="10256" width="9.140625" style="953"/>
    <col min="10257" max="10257" width="0" style="953" hidden="1" customWidth="1"/>
    <col min="10258" max="10496" width="9.140625" style="953"/>
    <col min="10497" max="10497" width="9.140625" style="953" customWidth="1"/>
    <col min="10498" max="10498" width="20" style="953" customWidth="1"/>
    <col min="10499" max="10501" width="17.5703125" style="953" customWidth="1"/>
    <col min="10502" max="10502" width="35.7109375" style="953" customWidth="1"/>
    <col min="10503" max="10503" width="12" style="953" customWidth="1"/>
    <col min="10504" max="10504" width="7.42578125" style="953" customWidth="1"/>
    <col min="10505" max="10505" width="11" style="953" customWidth="1"/>
    <col min="10506" max="10506" width="35.28515625" style="953" customWidth="1"/>
    <col min="10507" max="10507" width="9.140625" style="953"/>
    <col min="10508" max="10508" width="65.28515625" style="953" customWidth="1"/>
    <col min="10509" max="10509" width="24.7109375" style="953" customWidth="1"/>
    <col min="10510" max="10510" width="16.28515625" style="953" bestFit="1" customWidth="1"/>
    <col min="10511" max="10512" width="9.140625" style="953"/>
    <col min="10513" max="10513" width="0" style="953" hidden="1" customWidth="1"/>
    <col min="10514" max="10752" width="9.140625" style="953"/>
    <col min="10753" max="10753" width="9.140625" style="953" customWidth="1"/>
    <col min="10754" max="10754" width="20" style="953" customWidth="1"/>
    <col min="10755" max="10757" width="17.5703125" style="953" customWidth="1"/>
    <col min="10758" max="10758" width="35.7109375" style="953" customWidth="1"/>
    <col min="10759" max="10759" width="12" style="953" customWidth="1"/>
    <col min="10760" max="10760" width="7.42578125" style="953" customWidth="1"/>
    <col min="10761" max="10761" width="11" style="953" customWidth="1"/>
    <col min="10762" max="10762" width="35.28515625" style="953" customWidth="1"/>
    <col min="10763" max="10763" width="9.140625" style="953"/>
    <col min="10764" max="10764" width="65.28515625" style="953" customWidth="1"/>
    <col min="10765" max="10765" width="24.7109375" style="953" customWidth="1"/>
    <col min="10766" max="10766" width="16.28515625" style="953" bestFit="1" customWidth="1"/>
    <col min="10767" max="10768" width="9.140625" style="953"/>
    <col min="10769" max="10769" width="0" style="953" hidden="1" customWidth="1"/>
    <col min="10770" max="11008" width="9.140625" style="953"/>
    <col min="11009" max="11009" width="9.140625" style="953" customWidth="1"/>
    <col min="11010" max="11010" width="20" style="953" customWidth="1"/>
    <col min="11011" max="11013" width="17.5703125" style="953" customWidth="1"/>
    <col min="11014" max="11014" width="35.7109375" style="953" customWidth="1"/>
    <col min="11015" max="11015" width="12" style="953" customWidth="1"/>
    <col min="11016" max="11016" width="7.42578125" style="953" customWidth="1"/>
    <col min="11017" max="11017" width="11" style="953" customWidth="1"/>
    <col min="11018" max="11018" width="35.28515625" style="953" customWidth="1"/>
    <col min="11019" max="11019" width="9.140625" style="953"/>
    <col min="11020" max="11020" width="65.28515625" style="953" customWidth="1"/>
    <col min="11021" max="11021" width="24.7109375" style="953" customWidth="1"/>
    <col min="11022" max="11022" width="16.28515625" style="953" bestFit="1" customWidth="1"/>
    <col min="11023" max="11024" width="9.140625" style="953"/>
    <col min="11025" max="11025" width="0" style="953" hidden="1" customWidth="1"/>
    <col min="11026" max="11264" width="9.140625" style="953"/>
    <col min="11265" max="11265" width="9.140625" style="953" customWidth="1"/>
    <col min="11266" max="11266" width="20" style="953" customWidth="1"/>
    <col min="11267" max="11269" width="17.5703125" style="953" customWidth="1"/>
    <col min="11270" max="11270" width="35.7109375" style="953" customWidth="1"/>
    <col min="11271" max="11271" width="12" style="953" customWidth="1"/>
    <col min="11272" max="11272" width="7.42578125" style="953" customWidth="1"/>
    <col min="11273" max="11273" width="11" style="953" customWidth="1"/>
    <col min="11274" max="11274" width="35.28515625" style="953" customWidth="1"/>
    <col min="11275" max="11275" width="9.140625" style="953"/>
    <col min="11276" max="11276" width="65.28515625" style="953" customWidth="1"/>
    <col min="11277" max="11277" width="24.7109375" style="953" customWidth="1"/>
    <col min="11278" max="11278" width="16.28515625" style="953" bestFit="1" customWidth="1"/>
    <col min="11279" max="11280" width="9.140625" style="953"/>
    <col min="11281" max="11281" width="0" style="953" hidden="1" customWidth="1"/>
    <col min="11282" max="11520" width="9.140625" style="953"/>
    <col min="11521" max="11521" width="9.140625" style="953" customWidth="1"/>
    <col min="11522" max="11522" width="20" style="953" customWidth="1"/>
    <col min="11523" max="11525" width="17.5703125" style="953" customWidth="1"/>
    <col min="11526" max="11526" width="35.7109375" style="953" customWidth="1"/>
    <col min="11527" max="11527" width="12" style="953" customWidth="1"/>
    <col min="11528" max="11528" width="7.42578125" style="953" customWidth="1"/>
    <col min="11529" max="11529" width="11" style="953" customWidth="1"/>
    <col min="11530" max="11530" width="35.28515625" style="953" customWidth="1"/>
    <col min="11531" max="11531" width="9.140625" style="953"/>
    <col min="11532" max="11532" width="65.28515625" style="953" customWidth="1"/>
    <col min="11533" max="11533" width="24.7109375" style="953" customWidth="1"/>
    <col min="11534" max="11534" width="16.28515625" style="953" bestFit="1" customWidth="1"/>
    <col min="11535" max="11536" width="9.140625" style="953"/>
    <col min="11537" max="11537" width="0" style="953" hidden="1" customWidth="1"/>
    <col min="11538" max="11776" width="9.140625" style="953"/>
    <col min="11777" max="11777" width="9.140625" style="953" customWidth="1"/>
    <col min="11778" max="11778" width="20" style="953" customWidth="1"/>
    <col min="11779" max="11781" width="17.5703125" style="953" customWidth="1"/>
    <col min="11782" max="11782" width="35.7109375" style="953" customWidth="1"/>
    <col min="11783" max="11783" width="12" style="953" customWidth="1"/>
    <col min="11784" max="11784" width="7.42578125" style="953" customWidth="1"/>
    <col min="11785" max="11785" width="11" style="953" customWidth="1"/>
    <col min="11786" max="11786" width="35.28515625" style="953" customWidth="1"/>
    <col min="11787" max="11787" width="9.140625" style="953"/>
    <col min="11788" max="11788" width="65.28515625" style="953" customWidth="1"/>
    <col min="11789" max="11789" width="24.7109375" style="953" customWidth="1"/>
    <col min="11790" max="11790" width="16.28515625" style="953" bestFit="1" customWidth="1"/>
    <col min="11791" max="11792" width="9.140625" style="953"/>
    <col min="11793" max="11793" width="0" style="953" hidden="1" customWidth="1"/>
    <col min="11794" max="12032" width="9.140625" style="953"/>
    <col min="12033" max="12033" width="9.140625" style="953" customWidth="1"/>
    <col min="12034" max="12034" width="20" style="953" customWidth="1"/>
    <col min="12035" max="12037" width="17.5703125" style="953" customWidth="1"/>
    <col min="12038" max="12038" width="35.7109375" style="953" customWidth="1"/>
    <col min="12039" max="12039" width="12" style="953" customWidth="1"/>
    <col min="12040" max="12040" width="7.42578125" style="953" customWidth="1"/>
    <col min="12041" max="12041" width="11" style="953" customWidth="1"/>
    <col min="12042" max="12042" width="35.28515625" style="953" customWidth="1"/>
    <col min="12043" max="12043" width="9.140625" style="953"/>
    <col min="12044" max="12044" width="65.28515625" style="953" customWidth="1"/>
    <col min="12045" max="12045" width="24.7109375" style="953" customWidth="1"/>
    <col min="12046" max="12046" width="16.28515625" style="953" bestFit="1" customWidth="1"/>
    <col min="12047" max="12048" width="9.140625" style="953"/>
    <col min="12049" max="12049" width="0" style="953" hidden="1" customWidth="1"/>
    <col min="12050" max="12288" width="9.140625" style="953"/>
    <col min="12289" max="12289" width="9.140625" style="953" customWidth="1"/>
    <col min="12290" max="12290" width="20" style="953" customWidth="1"/>
    <col min="12291" max="12293" width="17.5703125" style="953" customWidth="1"/>
    <col min="12294" max="12294" width="35.7109375" style="953" customWidth="1"/>
    <col min="12295" max="12295" width="12" style="953" customWidth="1"/>
    <col min="12296" max="12296" width="7.42578125" style="953" customWidth="1"/>
    <col min="12297" max="12297" width="11" style="953" customWidth="1"/>
    <col min="12298" max="12298" width="35.28515625" style="953" customWidth="1"/>
    <col min="12299" max="12299" width="9.140625" style="953"/>
    <col min="12300" max="12300" width="65.28515625" style="953" customWidth="1"/>
    <col min="12301" max="12301" width="24.7109375" style="953" customWidth="1"/>
    <col min="12302" max="12302" width="16.28515625" style="953" bestFit="1" customWidth="1"/>
    <col min="12303" max="12304" width="9.140625" style="953"/>
    <col min="12305" max="12305" width="0" style="953" hidden="1" customWidth="1"/>
    <col min="12306" max="12544" width="9.140625" style="953"/>
    <col min="12545" max="12545" width="9.140625" style="953" customWidth="1"/>
    <col min="12546" max="12546" width="20" style="953" customWidth="1"/>
    <col min="12547" max="12549" width="17.5703125" style="953" customWidth="1"/>
    <col min="12550" max="12550" width="35.7109375" style="953" customWidth="1"/>
    <col min="12551" max="12551" width="12" style="953" customWidth="1"/>
    <col min="12552" max="12552" width="7.42578125" style="953" customWidth="1"/>
    <col min="12553" max="12553" width="11" style="953" customWidth="1"/>
    <col min="12554" max="12554" width="35.28515625" style="953" customWidth="1"/>
    <col min="12555" max="12555" width="9.140625" style="953"/>
    <col min="12556" max="12556" width="65.28515625" style="953" customWidth="1"/>
    <col min="12557" max="12557" width="24.7109375" style="953" customWidth="1"/>
    <col min="12558" max="12558" width="16.28515625" style="953" bestFit="1" customWidth="1"/>
    <col min="12559" max="12560" width="9.140625" style="953"/>
    <col min="12561" max="12561" width="0" style="953" hidden="1" customWidth="1"/>
    <col min="12562" max="12800" width="9.140625" style="953"/>
    <col min="12801" max="12801" width="9.140625" style="953" customWidth="1"/>
    <col min="12802" max="12802" width="20" style="953" customWidth="1"/>
    <col min="12803" max="12805" width="17.5703125" style="953" customWidth="1"/>
    <col min="12806" max="12806" width="35.7109375" style="953" customWidth="1"/>
    <col min="12807" max="12807" width="12" style="953" customWidth="1"/>
    <col min="12808" max="12808" width="7.42578125" style="953" customWidth="1"/>
    <col min="12809" max="12809" width="11" style="953" customWidth="1"/>
    <col min="12810" max="12810" width="35.28515625" style="953" customWidth="1"/>
    <col min="12811" max="12811" width="9.140625" style="953"/>
    <col min="12812" max="12812" width="65.28515625" style="953" customWidth="1"/>
    <col min="12813" max="12813" width="24.7109375" style="953" customWidth="1"/>
    <col min="12814" max="12814" width="16.28515625" style="953" bestFit="1" customWidth="1"/>
    <col min="12815" max="12816" width="9.140625" style="953"/>
    <col min="12817" max="12817" width="0" style="953" hidden="1" customWidth="1"/>
    <col min="12818" max="13056" width="9.140625" style="953"/>
    <col min="13057" max="13057" width="9.140625" style="953" customWidth="1"/>
    <col min="13058" max="13058" width="20" style="953" customWidth="1"/>
    <col min="13059" max="13061" width="17.5703125" style="953" customWidth="1"/>
    <col min="13062" max="13062" width="35.7109375" style="953" customWidth="1"/>
    <col min="13063" max="13063" width="12" style="953" customWidth="1"/>
    <col min="13064" max="13064" width="7.42578125" style="953" customWidth="1"/>
    <col min="13065" max="13065" width="11" style="953" customWidth="1"/>
    <col min="13066" max="13066" width="35.28515625" style="953" customWidth="1"/>
    <col min="13067" max="13067" width="9.140625" style="953"/>
    <col min="13068" max="13068" width="65.28515625" style="953" customWidth="1"/>
    <col min="13069" max="13069" width="24.7109375" style="953" customWidth="1"/>
    <col min="13070" max="13070" width="16.28515625" style="953" bestFit="1" customWidth="1"/>
    <col min="13071" max="13072" width="9.140625" style="953"/>
    <col min="13073" max="13073" width="0" style="953" hidden="1" customWidth="1"/>
    <col min="13074" max="13312" width="9.140625" style="953"/>
    <col min="13313" max="13313" width="9.140625" style="953" customWidth="1"/>
    <col min="13314" max="13314" width="20" style="953" customWidth="1"/>
    <col min="13315" max="13317" width="17.5703125" style="953" customWidth="1"/>
    <col min="13318" max="13318" width="35.7109375" style="953" customWidth="1"/>
    <col min="13319" max="13319" width="12" style="953" customWidth="1"/>
    <col min="13320" max="13320" width="7.42578125" style="953" customWidth="1"/>
    <col min="13321" max="13321" width="11" style="953" customWidth="1"/>
    <col min="13322" max="13322" width="35.28515625" style="953" customWidth="1"/>
    <col min="13323" max="13323" width="9.140625" style="953"/>
    <col min="13324" max="13324" width="65.28515625" style="953" customWidth="1"/>
    <col min="13325" max="13325" width="24.7109375" style="953" customWidth="1"/>
    <col min="13326" max="13326" width="16.28515625" style="953" bestFit="1" customWidth="1"/>
    <col min="13327" max="13328" width="9.140625" style="953"/>
    <col min="13329" max="13329" width="0" style="953" hidden="1" customWidth="1"/>
    <col min="13330" max="13568" width="9.140625" style="953"/>
    <col min="13569" max="13569" width="9.140625" style="953" customWidth="1"/>
    <col min="13570" max="13570" width="20" style="953" customWidth="1"/>
    <col min="13571" max="13573" width="17.5703125" style="953" customWidth="1"/>
    <col min="13574" max="13574" width="35.7109375" style="953" customWidth="1"/>
    <col min="13575" max="13575" width="12" style="953" customWidth="1"/>
    <col min="13576" max="13576" width="7.42578125" style="953" customWidth="1"/>
    <col min="13577" max="13577" width="11" style="953" customWidth="1"/>
    <col min="13578" max="13578" width="35.28515625" style="953" customWidth="1"/>
    <col min="13579" max="13579" width="9.140625" style="953"/>
    <col min="13580" max="13580" width="65.28515625" style="953" customWidth="1"/>
    <col min="13581" max="13581" width="24.7109375" style="953" customWidth="1"/>
    <col min="13582" max="13582" width="16.28515625" style="953" bestFit="1" customWidth="1"/>
    <col min="13583" max="13584" width="9.140625" style="953"/>
    <col min="13585" max="13585" width="0" style="953" hidden="1" customWidth="1"/>
    <col min="13586" max="13824" width="9.140625" style="953"/>
    <col min="13825" max="13825" width="9.140625" style="953" customWidth="1"/>
    <col min="13826" max="13826" width="20" style="953" customWidth="1"/>
    <col min="13827" max="13829" width="17.5703125" style="953" customWidth="1"/>
    <col min="13830" max="13830" width="35.7109375" style="953" customWidth="1"/>
    <col min="13831" max="13831" width="12" style="953" customWidth="1"/>
    <col min="13832" max="13832" width="7.42578125" style="953" customWidth="1"/>
    <col min="13833" max="13833" width="11" style="953" customWidth="1"/>
    <col min="13834" max="13834" width="35.28515625" style="953" customWidth="1"/>
    <col min="13835" max="13835" width="9.140625" style="953"/>
    <col min="13836" max="13836" width="65.28515625" style="953" customWidth="1"/>
    <col min="13837" max="13837" width="24.7109375" style="953" customWidth="1"/>
    <col min="13838" max="13838" width="16.28515625" style="953" bestFit="1" customWidth="1"/>
    <col min="13839" max="13840" width="9.140625" style="953"/>
    <col min="13841" max="13841" width="0" style="953" hidden="1" customWidth="1"/>
    <col min="13842" max="14080" width="9.140625" style="953"/>
    <col min="14081" max="14081" width="9.140625" style="953" customWidth="1"/>
    <col min="14082" max="14082" width="20" style="953" customWidth="1"/>
    <col min="14083" max="14085" width="17.5703125" style="953" customWidth="1"/>
    <col min="14086" max="14086" width="35.7109375" style="953" customWidth="1"/>
    <col min="14087" max="14087" width="12" style="953" customWidth="1"/>
    <col min="14088" max="14088" width="7.42578125" style="953" customWidth="1"/>
    <col min="14089" max="14089" width="11" style="953" customWidth="1"/>
    <col min="14090" max="14090" width="35.28515625" style="953" customWidth="1"/>
    <col min="14091" max="14091" width="9.140625" style="953"/>
    <col min="14092" max="14092" width="65.28515625" style="953" customWidth="1"/>
    <col min="14093" max="14093" width="24.7109375" style="953" customWidth="1"/>
    <col min="14094" max="14094" width="16.28515625" style="953" bestFit="1" customWidth="1"/>
    <col min="14095" max="14096" width="9.140625" style="953"/>
    <col min="14097" max="14097" width="0" style="953" hidden="1" customWidth="1"/>
    <col min="14098" max="14336" width="9.140625" style="953"/>
    <col min="14337" max="14337" width="9.140625" style="953" customWidth="1"/>
    <col min="14338" max="14338" width="20" style="953" customWidth="1"/>
    <col min="14339" max="14341" width="17.5703125" style="953" customWidth="1"/>
    <col min="14342" max="14342" width="35.7109375" style="953" customWidth="1"/>
    <col min="14343" max="14343" width="12" style="953" customWidth="1"/>
    <col min="14344" max="14344" width="7.42578125" style="953" customWidth="1"/>
    <col min="14345" max="14345" width="11" style="953" customWidth="1"/>
    <col min="14346" max="14346" width="35.28515625" style="953" customWidth="1"/>
    <col min="14347" max="14347" width="9.140625" style="953"/>
    <col min="14348" max="14348" width="65.28515625" style="953" customWidth="1"/>
    <col min="14349" max="14349" width="24.7109375" style="953" customWidth="1"/>
    <col min="14350" max="14350" width="16.28515625" style="953" bestFit="1" customWidth="1"/>
    <col min="14351" max="14352" width="9.140625" style="953"/>
    <col min="14353" max="14353" width="0" style="953" hidden="1" customWidth="1"/>
    <col min="14354" max="14592" width="9.140625" style="953"/>
    <col min="14593" max="14593" width="9.140625" style="953" customWidth="1"/>
    <col min="14594" max="14594" width="20" style="953" customWidth="1"/>
    <col min="14595" max="14597" width="17.5703125" style="953" customWidth="1"/>
    <col min="14598" max="14598" width="35.7109375" style="953" customWidth="1"/>
    <col min="14599" max="14599" width="12" style="953" customWidth="1"/>
    <col min="14600" max="14600" width="7.42578125" style="953" customWidth="1"/>
    <col min="14601" max="14601" width="11" style="953" customWidth="1"/>
    <col min="14602" max="14602" width="35.28515625" style="953" customWidth="1"/>
    <col min="14603" max="14603" width="9.140625" style="953"/>
    <col min="14604" max="14604" width="65.28515625" style="953" customWidth="1"/>
    <col min="14605" max="14605" width="24.7109375" style="953" customWidth="1"/>
    <col min="14606" max="14606" width="16.28515625" style="953" bestFit="1" customWidth="1"/>
    <col min="14607" max="14608" width="9.140625" style="953"/>
    <col min="14609" max="14609" width="0" style="953" hidden="1" customWidth="1"/>
    <col min="14610" max="14848" width="9.140625" style="953"/>
    <col min="14849" max="14849" width="9.140625" style="953" customWidth="1"/>
    <col min="14850" max="14850" width="20" style="953" customWidth="1"/>
    <col min="14851" max="14853" width="17.5703125" style="953" customWidth="1"/>
    <col min="14854" max="14854" width="35.7109375" style="953" customWidth="1"/>
    <col min="14855" max="14855" width="12" style="953" customWidth="1"/>
    <col min="14856" max="14856" width="7.42578125" style="953" customWidth="1"/>
    <col min="14857" max="14857" width="11" style="953" customWidth="1"/>
    <col min="14858" max="14858" width="35.28515625" style="953" customWidth="1"/>
    <col min="14859" max="14859" width="9.140625" style="953"/>
    <col min="14860" max="14860" width="65.28515625" style="953" customWidth="1"/>
    <col min="14861" max="14861" width="24.7109375" style="953" customWidth="1"/>
    <col min="14862" max="14862" width="16.28515625" style="953" bestFit="1" customWidth="1"/>
    <col min="14863" max="14864" width="9.140625" style="953"/>
    <col min="14865" max="14865" width="0" style="953" hidden="1" customWidth="1"/>
    <col min="14866" max="15104" width="9.140625" style="953"/>
    <col min="15105" max="15105" width="9.140625" style="953" customWidth="1"/>
    <col min="15106" max="15106" width="20" style="953" customWidth="1"/>
    <col min="15107" max="15109" width="17.5703125" style="953" customWidth="1"/>
    <col min="15110" max="15110" width="35.7109375" style="953" customWidth="1"/>
    <col min="15111" max="15111" width="12" style="953" customWidth="1"/>
    <col min="15112" max="15112" width="7.42578125" style="953" customWidth="1"/>
    <col min="15113" max="15113" width="11" style="953" customWidth="1"/>
    <col min="15114" max="15114" width="35.28515625" style="953" customWidth="1"/>
    <col min="15115" max="15115" width="9.140625" style="953"/>
    <col min="15116" max="15116" width="65.28515625" style="953" customWidth="1"/>
    <col min="15117" max="15117" width="24.7109375" style="953" customWidth="1"/>
    <col min="15118" max="15118" width="16.28515625" style="953" bestFit="1" customWidth="1"/>
    <col min="15119" max="15120" width="9.140625" style="953"/>
    <col min="15121" max="15121" width="0" style="953" hidden="1" customWidth="1"/>
    <col min="15122" max="15360" width="9.140625" style="953"/>
    <col min="15361" max="15361" width="9.140625" style="953" customWidth="1"/>
    <col min="15362" max="15362" width="20" style="953" customWidth="1"/>
    <col min="15363" max="15365" width="17.5703125" style="953" customWidth="1"/>
    <col min="15366" max="15366" width="35.7109375" style="953" customWidth="1"/>
    <col min="15367" max="15367" width="12" style="953" customWidth="1"/>
    <col min="15368" max="15368" width="7.42578125" style="953" customWidth="1"/>
    <col min="15369" max="15369" width="11" style="953" customWidth="1"/>
    <col min="15370" max="15370" width="35.28515625" style="953" customWidth="1"/>
    <col min="15371" max="15371" width="9.140625" style="953"/>
    <col min="15372" max="15372" width="65.28515625" style="953" customWidth="1"/>
    <col min="15373" max="15373" width="24.7109375" style="953" customWidth="1"/>
    <col min="15374" max="15374" width="16.28515625" style="953" bestFit="1" customWidth="1"/>
    <col min="15375" max="15376" width="9.140625" style="953"/>
    <col min="15377" max="15377" width="0" style="953" hidden="1" customWidth="1"/>
    <col min="15378" max="15616" width="9.140625" style="953"/>
    <col min="15617" max="15617" width="9.140625" style="953" customWidth="1"/>
    <col min="15618" max="15618" width="20" style="953" customWidth="1"/>
    <col min="15619" max="15621" width="17.5703125" style="953" customWidth="1"/>
    <col min="15622" max="15622" width="35.7109375" style="953" customWidth="1"/>
    <col min="15623" max="15623" width="12" style="953" customWidth="1"/>
    <col min="15624" max="15624" width="7.42578125" style="953" customWidth="1"/>
    <col min="15625" max="15625" width="11" style="953" customWidth="1"/>
    <col min="15626" max="15626" width="35.28515625" style="953" customWidth="1"/>
    <col min="15627" max="15627" width="9.140625" style="953"/>
    <col min="15628" max="15628" width="65.28515625" style="953" customWidth="1"/>
    <col min="15629" max="15629" width="24.7109375" style="953" customWidth="1"/>
    <col min="15630" max="15630" width="16.28515625" style="953" bestFit="1" customWidth="1"/>
    <col min="15631" max="15632" width="9.140625" style="953"/>
    <col min="15633" max="15633" width="0" style="953" hidden="1" customWidth="1"/>
    <col min="15634" max="15872" width="9.140625" style="953"/>
    <col min="15873" max="15873" width="9.140625" style="953" customWidth="1"/>
    <col min="15874" max="15874" width="20" style="953" customWidth="1"/>
    <col min="15875" max="15877" width="17.5703125" style="953" customWidth="1"/>
    <col min="15878" max="15878" width="35.7109375" style="953" customWidth="1"/>
    <col min="15879" max="15879" width="12" style="953" customWidth="1"/>
    <col min="15880" max="15880" width="7.42578125" style="953" customWidth="1"/>
    <col min="15881" max="15881" width="11" style="953" customWidth="1"/>
    <col min="15882" max="15882" width="35.28515625" style="953" customWidth="1"/>
    <col min="15883" max="15883" width="9.140625" style="953"/>
    <col min="15884" max="15884" width="65.28515625" style="953" customWidth="1"/>
    <col min="15885" max="15885" width="24.7109375" style="953" customWidth="1"/>
    <col min="15886" max="15886" width="16.28515625" style="953" bestFit="1" customWidth="1"/>
    <col min="15887" max="15888" width="9.140625" style="953"/>
    <col min="15889" max="15889" width="0" style="953" hidden="1" customWidth="1"/>
    <col min="15890" max="16128" width="9.140625" style="953"/>
    <col min="16129" max="16129" width="9.140625" style="953" customWidth="1"/>
    <col min="16130" max="16130" width="20" style="953" customWidth="1"/>
    <col min="16131" max="16133" width="17.5703125" style="953" customWidth="1"/>
    <col min="16134" max="16134" width="35.7109375" style="953" customWidth="1"/>
    <col min="16135" max="16135" width="12" style="953" customWidth="1"/>
    <col min="16136" max="16136" width="7.42578125" style="953" customWidth="1"/>
    <col min="16137" max="16137" width="11" style="953" customWidth="1"/>
    <col min="16138" max="16138" width="35.28515625" style="953" customWidth="1"/>
    <col min="16139" max="16139" width="9.140625" style="953"/>
    <col min="16140" max="16140" width="65.28515625" style="953" customWidth="1"/>
    <col min="16141" max="16141" width="24.7109375" style="953" customWidth="1"/>
    <col min="16142" max="16142" width="16.28515625" style="953" bestFit="1" customWidth="1"/>
    <col min="16143" max="16144" width="9.140625" style="953"/>
    <col min="16145" max="16145" width="0" style="953" hidden="1" customWidth="1"/>
    <col min="16146" max="16384" width="9.140625" style="953"/>
  </cols>
  <sheetData>
    <row r="1" spans="1:55" ht="26.25" customHeight="1">
      <c r="A1" s="1437" t="s">
        <v>1597</v>
      </c>
      <c r="B1" s="1438" t="s">
        <v>1598</v>
      </c>
      <c r="C1" s="1439"/>
      <c r="D1" s="1439"/>
      <c r="E1" s="1439"/>
      <c r="F1" s="1441"/>
      <c r="G1" s="1439"/>
      <c r="H1" s="1439"/>
      <c r="I1" s="1439"/>
      <c r="J1" s="1439"/>
      <c r="K1" s="953"/>
    </row>
    <row r="2" spans="1:55" ht="26.25" customHeight="1">
      <c r="A2" s="953"/>
      <c r="B2" s="1438" t="s">
        <v>1599</v>
      </c>
      <c r="C2" s="1439"/>
      <c r="D2" s="1439"/>
      <c r="E2" s="1439"/>
      <c r="F2" s="1441"/>
      <c r="G2" s="1439"/>
      <c r="H2" s="1439"/>
      <c r="I2" s="1439"/>
      <c r="J2" s="1439"/>
      <c r="K2" s="953"/>
    </row>
    <row r="3" spans="1:55" ht="26.25" customHeight="1">
      <c r="A3" s="953"/>
      <c r="B3" s="1440" t="s">
        <v>409</v>
      </c>
      <c r="C3" s="1440">
        <f>'Project Info'!$C$3</f>
        <v>0</v>
      </c>
      <c r="D3" s="1440"/>
      <c r="E3" s="1439"/>
      <c r="F3" s="1441"/>
      <c r="G3" s="1439"/>
      <c r="H3" s="1439"/>
      <c r="I3" s="1439"/>
      <c r="J3" s="1439"/>
      <c r="K3" s="953"/>
    </row>
    <row r="4" spans="1:55" ht="26.25" customHeight="1">
      <c r="A4" s="1460"/>
      <c r="B4" s="1449"/>
      <c r="C4" s="1449"/>
      <c r="D4" s="1449"/>
      <c r="E4" s="1457"/>
      <c r="F4" s="1470"/>
      <c r="G4" s="1449"/>
      <c r="H4" s="1449"/>
      <c r="I4" s="1449"/>
      <c r="J4" s="1449"/>
      <c r="K4" s="1460"/>
    </row>
    <row r="5" spans="1:55" s="1543" customFormat="1" ht="15.75">
      <c r="A5" s="1442"/>
      <c r="B5" s="1443" t="s">
        <v>1722</v>
      </c>
      <c r="C5" s="1444"/>
      <c r="D5" s="1444"/>
      <c r="E5" s="1445"/>
      <c r="F5" s="1495"/>
      <c r="G5" s="1542"/>
      <c r="H5" s="2626" t="s">
        <v>1601</v>
      </c>
      <c r="I5" s="2627"/>
      <c r="J5" s="1447" t="s">
        <v>1602</v>
      </c>
      <c r="K5" s="1442"/>
      <c r="L5" s="1442"/>
      <c r="M5" s="1442"/>
      <c r="N5" s="1442"/>
      <c r="O5" s="1475"/>
      <c r="P5" s="1475"/>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row>
    <row r="6" spans="1:55" s="1520" customFormat="1">
      <c r="A6" s="1519"/>
      <c r="B6" s="1450"/>
      <c r="C6" s="1450"/>
      <c r="D6" s="1450"/>
      <c r="E6" s="1450"/>
      <c r="F6" s="1450"/>
      <c r="G6" s="1450"/>
      <c r="H6" s="2632" t="s">
        <v>1603</v>
      </c>
      <c r="I6" s="2651"/>
      <c r="J6" s="1122"/>
      <c r="K6" s="1521"/>
      <c r="L6" s="1313"/>
      <c r="M6" s="1313"/>
      <c r="N6" s="1313"/>
    </row>
    <row r="7" spans="1:55" s="1520" customFormat="1">
      <c r="A7" s="1519"/>
      <c r="B7" s="1544"/>
      <c r="C7" s="1545"/>
      <c r="D7" s="1450"/>
      <c r="E7" s="1450"/>
      <c r="F7" s="1450"/>
      <c r="G7" s="1450"/>
      <c r="H7" s="2669"/>
      <c r="I7" s="2651"/>
      <c r="J7" s="1260"/>
      <c r="K7" s="1521"/>
      <c r="L7" s="1313"/>
      <c r="M7" s="1313"/>
      <c r="N7" s="1313"/>
    </row>
    <row r="8" spans="1:55">
      <c r="A8" s="1460"/>
      <c r="B8" s="1545" t="s">
        <v>1604</v>
      </c>
      <c r="C8" s="1450"/>
      <c r="D8" s="1450"/>
      <c r="E8" s="1450"/>
      <c r="F8" s="1450"/>
      <c r="G8" s="1450"/>
      <c r="H8" s="2669"/>
      <c r="I8" s="2651"/>
      <c r="J8" s="1260"/>
      <c r="K8" s="1460"/>
      <c r="L8" s="1313"/>
      <c r="M8" s="1313"/>
      <c r="N8" s="1313"/>
      <c r="O8" s="1313"/>
      <c r="P8" s="1313"/>
      <c r="Q8" s="1313"/>
      <c r="R8" s="1313"/>
      <c r="S8" s="1313"/>
      <c r="T8" s="1313"/>
      <c r="U8" s="1313"/>
      <c r="V8" s="1313"/>
      <c r="W8" s="1313"/>
      <c r="X8" s="1313"/>
      <c r="Y8" s="1313"/>
      <c r="Z8" s="1313"/>
      <c r="AA8" s="1313"/>
      <c r="AB8" s="1313"/>
      <c r="AC8" s="1313"/>
      <c r="AD8" s="1313"/>
      <c r="AE8" s="1313"/>
      <c r="AF8" s="1313"/>
      <c r="AG8" s="1313"/>
      <c r="AH8" s="1313"/>
      <c r="AI8" s="1313"/>
      <c r="AJ8" s="1313"/>
      <c r="AK8" s="1313"/>
      <c r="AL8" s="1313"/>
      <c r="AM8" s="1313"/>
      <c r="AN8" s="1313"/>
      <c r="AO8" s="1313"/>
      <c r="AP8" s="1313"/>
      <c r="AQ8" s="1313"/>
      <c r="AR8" s="1313"/>
      <c r="AS8" s="1313"/>
      <c r="AT8" s="1313"/>
      <c r="AU8" s="1313"/>
      <c r="AV8" s="1313"/>
      <c r="AW8" s="1313"/>
      <c r="AX8" s="1313"/>
      <c r="AY8" s="1313"/>
      <c r="AZ8" s="1313"/>
      <c r="BA8" s="1313"/>
    </row>
    <row r="9" spans="1:55" ht="13.5" customHeight="1">
      <c r="A9" s="1460"/>
      <c r="B9" s="2585" t="s">
        <v>1723</v>
      </c>
      <c r="C9" s="2585"/>
      <c r="D9" s="2585"/>
      <c r="E9" s="2585"/>
      <c r="F9" s="2585"/>
      <c r="G9" s="2585"/>
      <c r="H9" s="1449"/>
      <c r="I9" s="1449"/>
      <c r="J9" s="1452"/>
      <c r="K9" s="1460"/>
      <c r="L9" s="1313"/>
      <c r="M9" s="1313"/>
      <c r="N9" s="1313"/>
      <c r="O9" s="1313"/>
      <c r="P9" s="1313"/>
      <c r="Q9" s="1313"/>
      <c r="R9" s="1313"/>
      <c r="S9" s="1313"/>
      <c r="T9" s="1313"/>
      <c r="U9" s="1313"/>
      <c r="V9" s="1313"/>
      <c r="W9" s="1313"/>
      <c r="X9" s="1313"/>
      <c r="Y9" s="1313"/>
      <c r="Z9" s="1313"/>
      <c r="AA9" s="1313"/>
      <c r="AB9" s="1313"/>
      <c r="AC9" s="1313"/>
      <c r="AD9" s="1313"/>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1313"/>
      <c r="BA9" s="1313"/>
    </row>
    <row r="10" spans="1:55" ht="26.25" customHeight="1">
      <c r="A10" s="1460"/>
      <c r="B10" s="2585" t="s">
        <v>1724</v>
      </c>
      <c r="C10" s="2585"/>
      <c r="D10" s="2585"/>
      <c r="E10" s="2585"/>
      <c r="F10" s="2585"/>
      <c r="G10" s="2585"/>
      <c r="H10" s="1449"/>
      <c r="I10" s="1449"/>
      <c r="J10" s="1452"/>
      <c r="K10" s="1460"/>
      <c r="L10" s="1313"/>
      <c r="M10" s="1313"/>
      <c r="N10" s="1313"/>
      <c r="O10" s="1313"/>
      <c r="P10" s="1313"/>
      <c r="Q10" s="1313"/>
      <c r="R10" s="1313"/>
      <c r="S10" s="1313"/>
      <c r="T10" s="1313"/>
      <c r="U10" s="1313"/>
      <c r="V10" s="1313"/>
      <c r="W10" s="1313"/>
      <c r="X10" s="1313"/>
      <c r="Y10" s="1313"/>
      <c r="Z10" s="1313"/>
      <c r="AA10" s="1313"/>
      <c r="AB10" s="1313"/>
      <c r="AC10" s="1313"/>
      <c r="AD10" s="1313"/>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row>
    <row r="11" spans="1:55" ht="16.5" customHeight="1">
      <c r="A11" s="1460"/>
      <c r="B11" s="2585" t="s">
        <v>1725</v>
      </c>
      <c r="C11" s="2585"/>
      <c r="D11" s="2585"/>
      <c r="E11" s="2585"/>
      <c r="F11" s="2585"/>
      <c r="G11" s="2585"/>
      <c r="H11" s="1449"/>
      <c r="I11" s="1449"/>
      <c r="J11" s="1452"/>
      <c r="K11" s="1460"/>
      <c r="O11" s="1313"/>
      <c r="P11" s="1313"/>
      <c r="Q11" s="1313"/>
      <c r="R11" s="1313"/>
      <c r="S11" s="1313"/>
      <c r="T11" s="1313"/>
      <c r="U11" s="1313"/>
      <c r="V11" s="1313"/>
      <c r="W11" s="1313"/>
      <c r="X11" s="1313"/>
      <c r="Y11" s="1313"/>
      <c r="Z11" s="131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row>
    <row r="12" spans="1:55">
      <c r="A12" s="1460"/>
      <c r="B12" s="1450"/>
      <c r="C12" s="1450"/>
      <c r="D12" s="1450"/>
      <c r="E12" s="1450"/>
      <c r="F12" s="1450"/>
      <c r="G12" s="1450"/>
      <c r="H12" s="1449"/>
      <c r="I12" s="1449"/>
      <c r="J12" s="1452"/>
      <c r="K12" s="1460"/>
    </row>
    <row r="13" spans="1:55">
      <c r="A13" s="1460"/>
      <c r="B13" s="1545" t="s">
        <v>1607</v>
      </c>
      <c r="C13" s="1450"/>
      <c r="D13" s="1450"/>
      <c r="E13" s="1450"/>
      <c r="F13" s="1450"/>
      <c r="G13" s="1450"/>
      <c r="H13" s="1449"/>
      <c r="I13" s="1449"/>
      <c r="J13" s="1452"/>
      <c r="K13" s="1460"/>
    </row>
    <row r="14" spans="1:55">
      <c r="A14" s="1460"/>
      <c r="B14" s="1450" t="s">
        <v>1608</v>
      </c>
      <c r="C14" s="1450"/>
      <c r="D14" s="1450"/>
      <c r="E14" s="1450"/>
      <c r="F14" s="1450"/>
      <c r="G14" s="1450"/>
      <c r="H14" s="1449"/>
      <c r="I14" s="1449"/>
      <c r="J14" s="1449"/>
      <c r="K14" s="1460"/>
    </row>
    <row r="15" spans="1:55">
      <c r="A15" s="1460"/>
      <c r="B15" s="1544" t="s">
        <v>1674</v>
      </c>
      <c r="C15" s="1450"/>
      <c r="D15" s="1450"/>
      <c r="E15" s="1450"/>
      <c r="F15" s="1450"/>
      <c r="G15" s="1450"/>
      <c r="H15" s="1449"/>
      <c r="I15" s="1449"/>
      <c r="J15" s="1449"/>
      <c r="K15" s="1460"/>
    </row>
    <row r="16" spans="1:55">
      <c r="A16" s="1460"/>
      <c r="B16" s="1544" t="s">
        <v>1678</v>
      </c>
      <c r="C16" s="1450"/>
      <c r="D16" s="1450"/>
      <c r="E16" s="1450"/>
      <c r="F16" s="1450"/>
      <c r="G16" s="1450"/>
      <c r="H16" s="1449"/>
      <c r="I16" s="1449"/>
      <c r="J16" s="1449"/>
      <c r="K16" s="1460"/>
    </row>
    <row r="17" spans="1:17">
      <c r="A17" s="1460"/>
      <c r="B17" s="1544" t="s">
        <v>1726</v>
      </c>
      <c r="C17" s="1450"/>
      <c r="D17" s="1450"/>
      <c r="E17" s="1450"/>
      <c r="F17" s="1450"/>
      <c r="G17" s="1450"/>
      <c r="H17" s="1449"/>
      <c r="I17" s="1449"/>
      <c r="J17" s="1449"/>
      <c r="K17" s="1460"/>
    </row>
    <row r="18" spans="1:17">
      <c r="A18" s="1460"/>
      <c r="B18" s="1450"/>
      <c r="C18" s="1450"/>
      <c r="D18" s="1450"/>
      <c r="E18" s="1450"/>
      <c r="F18" s="1450"/>
      <c r="G18" s="1450"/>
      <c r="H18" s="1449"/>
      <c r="I18" s="1449"/>
      <c r="J18" s="1449"/>
      <c r="K18" s="1460"/>
    </row>
    <row r="19" spans="1:17">
      <c r="A19" s="1460"/>
      <c r="B19" s="1545" t="s">
        <v>1611</v>
      </c>
      <c r="C19" s="1450"/>
      <c r="D19" s="1450"/>
      <c r="E19" s="1450"/>
      <c r="F19" s="1450"/>
      <c r="G19" s="1450"/>
      <c r="H19" s="1449"/>
      <c r="I19" s="1449"/>
      <c r="J19" s="1449"/>
      <c r="K19" s="1460"/>
    </row>
    <row r="20" spans="1:17" ht="38.25" customHeight="1">
      <c r="A20" s="1460"/>
      <c r="B20" s="2585" t="s">
        <v>1727</v>
      </c>
      <c r="C20" s="2585"/>
      <c r="D20" s="2585"/>
      <c r="E20" s="2585"/>
      <c r="F20" s="2585"/>
      <c r="G20" s="2585"/>
      <c r="H20" s="1449"/>
      <c r="I20" s="1449"/>
      <c r="J20" s="1449"/>
      <c r="K20" s="1460"/>
    </row>
    <row r="21" spans="1:17" ht="69.75" customHeight="1">
      <c r="A21" s="1460"/>
      <c r="B21" s="2585" t="s">
        <v>1728</v>
      </c>
      <c r="C21" s="2585"/>
      <c r="D21" s="2585"/>
      <c r="E21" s="2585"/>
      <c r="F21" s="2585"/>
      <c r="G21" s="2585"/>
      <c r="H21" s="1449"/>
      <c r="I21" s="1449"/>
      <c r="J21" s="1449"/>
      <c r="K21" s="1460"/>
    </row>
    <row r="22" spans="1:17" ht="56.25" customHeight="1">
      <c r="A22" s="1460"/>
      <c r="B22" s="2585" t="s">
        <v>1692</v>
      </c>
      <c r="C22" s="2585"/>
      <c r="D22" s="2585"/>
      <c r="E22" s="2585"/>
      <c r="F22" s="2585"/>
      <c r="G22" s="2585"/>
      <c r="H22" s="1449"/>
      <c r="I22" s="1449"/>
      <c r="J22" s="1449"/>
      <c r="K22" s="1460"/>
      <c r="L22" s="1457"/>
      <c r="M22" s="1457"/>
      <c r="N22" s="1457"/>
    </row>
    <row r="23" spans="1:17" ht="12" customHeight="1">
      <c r="A23" s="1460"/>
      <c r="B23" s="2644" t="s">
        <v>1694</v>
      </c>
      <c r="C23" s="2644"/>
      <c r="D23" s="2644"/>
      <c r="E23" s="2644"/>
      <c r="F23" s="2644"/>
      <c r="G23" s="2644"/>
      <c r="H23" s="1449"/>
      <c r="I23" s="1449"/>
      <c r="J23" s="1449"/>
      <c r="K23" s="1460"/>
      <c r="L23" s="1509"/>
      <c r="M23" s="1509"/>
      <c r="N23" s="1509"/>
      <c r="O23" s="1457"/>
      <c r="P23" s="1457"/>
      <c r="Q23" s="1457"/>
    </row>
    <row r="24" spans="1:17" ht="126.75" customHeight="1">
      <c r="A24" s="1460"/>
      <c r="B24" s="2609" t="s">
        <v>1729</v>
      </c>
      <c r="C24" s="2662"/>
      <c r="D24" s="2662"/>
      <c r="E24" s="2662"/>
      <c r="F24" s="2662"/>
      <c r="G24" s="2662"/>
      <c r="H24" s="1449"/>
      <c r="I24" s="1449"/>
      <c r="J24" s="1449"/>
      <c r="K24" s="1460"/>
      <c r="L24" s="1457"/>
      <c r="M24" s="1457"/>
      <c r="N24" s="1457"/>
      <c r="O24" s="1457"/>
      <c r="P24" s="1457"/>
      <c r="Q24" s="1457"/>
    </row>
    <row r="25" spans="1:17" s="1466" customFormat="1" ht="87" customHeight="1">
      <c r="A25" s="1546"/>
      <c r="B25" s="1456" t="s">
        <v>1617</v>
      </c>
      <c r="C25" s="1459"/>
      <c r="D25" s="1459"/>
      <c r="E25" s="1459"/>
      <c r="F25" s="1459" t="s">
        <v>1626</v>
      </c>
      <c r="G25" s="1459" t="s">
        <v>1627</v>
      </c>
      <c r="H25" s="1465" t="s">
        <v>1628</v>
      </c>
      <c r="I25" s="1465"/>
      <c r="J25" s="1541"/>
      <c r="K25" s="1546"/>
      <c r="L25" s="1457"/>
      <c r="M25" s="1457"/>
      <c r="N25" s="1457"/>
    </row>
    <row r="26" spans="1:17" ht="287.25" customHeight="1">
      <c r="A26" s="1321"/>
      <c r="B26" s="2575" t="s">
        <v>1730</v>
      </c>
      <c r="C26" s="2589"/>
      <c r="D26" s="2589"/>
      <c r="E26" s="2647"/>
      <c r="F26" s="1267"/>
      <c r="G26" s="1268"/>
      <c r="H26" s="1121"/>
      <c r="I26" s="1547"/>
      <c r="J26" s="1538"/>
      <c r="K26" s="1457"/>
    </row>
    <row r="27" spans="1:17" ht="82.5" customHeight="1">
      <c r="A27" s="1460"/>
      <c r="B27" s="2663" t="s">
        <v>1731</v>
      </c>
      <c r="C27" s="2663"/>
      <c r="D27" s="2663"/>
      <c r="E27" s="2663"/>
      <c r="F27" s="1463" t="s">
        <v>1732</v>
      </c>
      <c r="G27" s="1459" t="s">
        <v>1627</v>
      </c>
      <c r="H27" s="1465" t="s">
        <v>1628</v>
      </c>
      <c r="I27" s="1465" t="s">
        <v>1629</v>
      </c>
      <c r="J27" s="1463" t="s">
        <v>1630</v>
      </c>
      <c r="K27" s="1460"/>
      <c r="L27" s="1501" t="s">
        <v>1675</v>
      </c>
      <c r="M27" s="1502" t="s">
        <v>1676</v>
      </c>
      <c r="N27" s="1501" t="s">
        <v>1677</v>
      </c>
    </row>
    <row r="28" spans="1:17" s="1466" customFormat="1" ht="15" customHeight="1">
      <c r="A28" s="1536"/>
      <c r="B28" s="1548" t="s">
        <v>1733</v>
      </c>
      <c r="C28" s="1517"/>
      <c r="D28" s="1517"/>
      <c r="E28" s="1518" t="s">
        <v>1706</v>
      </c>
      <c r="F28" s="1274"/>
      <c r="G28" s="2666"/>
      <c r="H28" s="1274"/>
      <c r="I28" s="1273"/>
      <c r="J28" s="1251"/>
      <c r="K28" s="1462"/>
      <c r="L28" s="1503" t="s">
        <v>1679</v>
      </c>
      <c r="M28" s="1504">
        <v>5</v>
      </c>
      <c r="N28" s="1503" t="s">
        <v>1680</v>
      </c>
    </row>
    <row r="29" spans="1:17" s="1466" customFormat="1">
      <c r="A29" s="1462"/>
      <c r="B29" s="1549" t="s">
        <v>1734</v>
      </c>
      <c r="C29" s="1523"/>
      <c r="D29" s="1523"/>
      <c r="E29" s="1524" t="s">
        <v>1707</v>
      </c>
      <c r="F29" s="1274"/>
      <c r="G29" s="2667"/>
      <c r="H29" s="1274"/>
      <c r="I29" s="1273"/>
      <c r="J29" s="1251"/>
      <c r="K29" s="1462"/>
      <c r="L29" s="1503" t="s">
        <v>1682</v>
      </c>
      <c r="M29" s="1505">
        <v>5.6</v>
      </c>
      <c r="N29" s="1503" t="s">
        <v>1683</v>
      </c>
    </row>
    <row r="30" spans="1:17" s="1466" customFormat="1">
      <c r="A30" s="1462"/>
      <c r="B30" s="1549" t="s">
        <v>1735</v>
      </c>
      <c r="C30" s="1523"/>
      <c r="D30" s="1523"/>
      <c r="E30" s="1524" t="s">
        <v>1708</v>
      </c>
      <c r="F30" s="1274"/>
      <c r="G30" s="2667"/>
      <c r="H30" s="1274"/>
      <c r="I30" s="1273"/>
      <c r="J30" s="1251"/>
      <c r="K30" s="1462"/>
      <c r="L30" s="1503" t="s">
        <v>1684</v>
      </c>
      <c r="M30" s="1505">
        <v>3.4</v>
      </c>
      <c r="N30" s="1503" t="s">
        <v>1685</v>
      </c>
    </row>
    <row r="31" spans="1:17" s="1466" customFormat="1">
      <c r="A31" s="1462"/>
      <c r="B31" s="1522"/>
      <c r="C31" s="1523"/>
      <c r="D31" s="1523"/>
      <c r="E31" s="1524" t="s">
        <v>1709</v>
      </c>
      <c r="F31" s="1274"/>
      <c r="G31" s="2667"/>
      <c r="H31" s="1274"/>
      <c r="I31" s="1273"/>
      <c r="J31" s="1251"/>
      <c r="K31" s="1462"/>
      <c r="L31" s="1503" t="s">
        <v>1686</v>
      </c>
      <c r="M31" s="1505">
        <v>3.4</v>
      </c>
      <c r="N31" s="1503" t="s">
        <v>1685</v>
      </c>
    </row>
    <row r="32" spans="1:17" s="1550" customFormat="1">
      <c r="A32" s="1515"/>
      <c r="B32" s="1522"/>
      <c r="C32" s="1523"/>
      <c r="D32" s="1523"/>
      <c r="E32" s="1524" t="s">
        <v>1710</v>
      </c>
      <c r="F32" s="1274"/>
      <c r="G32" s="2667"/>
      <c r="H32" s="1274"/>
      <c r="I32" s="1273"/>
      <c r="J32" s="1251"/>
      <c r="K32" s="1515"/>
      <c r="L32" s="1506" t="s">
        <v>1688</v>
      </c>
      <c r="M32" s="1504">
        <v>3.2</v>
      </c>
      <c r="N32" s="1503" t="s">
        <v>1685</v>
      </c>
    </row>
    <row r="33" spans="1:18" s="1466" customFormat="1">
      <c r="A33" s="1462"/>
      <c r="B33" s="1522"/>
      <c r="C33" s="1523"/>
      <c r="D33" s="1523"/>
      <c r="E33" s="1524" t="s">
        <v>1736</v>
      </c>
      <c r="F33" s="1274"/>
      <c r="G33" s="2667"/>
      <c r="H33" s="1274"/>
      <c r="I33" s="1273"/>
      <c r="J33" s="1251"/>
      <c r="K33" s="1462"/>
      <c r="L33" s="1506" t="s">
        <v>1690</v>
      </c>
      <c r="M33" s="1504" t="s">
        <v>1691</v>
      </c>
      <c r="N33" s="1503" t="s">
        <v>1685</v>
      </c>
    </row>
    <row r="34" spans="1:18" s="1466" customFormat="1">
      <c r="A34" s="1462"/>
      <c r="B34" s="1526"/>
      <c r="C34" s="1527"/>
      <c r="D34" s="1527"/>
      <c r="E34" s="1528"/>
      <c r="F34" s="1274"/>
      <c r="G34" s="2667"/>
      <c r="H34" s="1274"/>
      <c r="I34" s="1273"/>
      <c r="J34" s="1251"/>
      <c r="K34" s="1462"/>
      <c r="L34" s="1506" t="s">
        <v>1693</v>
      </c>
      <c r="M34" s="1504">
        <v>3.2</v>
      </c>
      <c r="N34" s="1503" t="s">
        <v>1685</v>
      </c>
    </row>
    <row r="35" spans="1:18" s="1466" customFormat="1">
      <c r="A35" s="1462"/>
      <c r="B35" s="1532" t="s">
        <v>1737</v>
      </c>
      <c r="C35" s="1527"/>
      <c r="D35" s="1527"/>
      <c r="E35" s="1551" t="s">
        <v>1712</v>
      </c>
      <c r="F35" s="1264"/>
      <c r="G35" s="2668"/>
      <c r="H35" s="1274"/>
      <c r="I35" s="1273"/>
      <c r="J35" s="1125"/>
      <c r="K35" s="1462"/>
      <c r="L35" s="1503" t="s">
        <v>1695</v>
      </c>
      <c r="M35" s="1505">
        <v>6.5</v>
      </c>
      <c r="N35" s="1503" t="s">
        <v>1696</v>
      </c>
    </row>
    <row r="36" spans="1:18" s="1552" customFormat="1">
      <c r="B36" s="1132"/>
      <c r="C36" s="1126"/>
      <c r="D36" s="1126"/>
      <c r="E36" s="1553"/>
      <c r="F36" s="1554"/>
      <c r="G36" s="1126"/>
      <c r="H36" s="1554"/>
      <c r="I36" s="1554"/>
      <c r="J36" s="1555"/>
      <c r="L36" s="1503" t="s">
        <v>1698</v>
      </c>
      <c r="M36" s="1504">
        <v>4</v>
      </c>
      <c r="N36" s="1503" t="s">
        <v>1699</v>
      </c>
    </row>
    <row r="37" spans="1:18" s="1466" customFormat="1" ht="12.75" customHeight="1">
      <c r="A37" s="1462"/>
      <c r="B37" s="1548" t="s">
        <v>1738</v>
      </c>
      <c r="C37" s="1517"/>
      <c r="D37" s="1517"/>
      <c r="E37" s="1518" t="s">
        <v>1706</v>
      </c>
      <c r="F37" s="1274"/>
      <c r="G37" s="2661"/>
      <c r="H37" s="1274"/>
      <c r="I37" s="1273"/>
      <c r="J37" s="1251"/>
      <c r="K37" s="1462"/>
      <c r="L37" s="953"/>
      <c r="M37" s="953"/>
      <c r="N37" s="953"/>
    </row>
    <row r="38" spans="1:18" s="1466" customFormat="1">
      <c r="A38" s="1462"/>
      <c r="B38" s="1549" t="s">
        <v>1734</v>
      </c>
      <c r="C38" s="1523"/>
      <c r="D38" s="1523"/>
      <c r="E38" s="1524" t="s">
        <v>1707</v>
      </c>
      <c r="F38" s="1274"/>
      <c r="G38" s="2661"/>
      <c r="H38" s="1274"/>
      <c r="I38" s="1273"/>
      <c r="J38" s="1251"/>
      <c r="K38" s="1462"/>
      <c r="L38" s="953"/>
      <c r="M38" s="953"/>
      <c r="N38" s="953"/>
    </row>
    <row r="39" spans="1:18" s="1466" customFormat="1">
      <c r="A39" s="1462"/>
      <c r="B39" s="1549" t="s">
        <v>1735</v>
      </c>
      <c r="C39" s="1523"/>
      <c r="D39" s="1523"/>
      <c r="E39" s="1524" t="s">
        <v>1708</v>
      </c>
      <c r="F39" s="1274"/>
      <c r="G39" s="2661"/>
      <c r="H39" s="1274"/>
      <c r="I39" s="1273"/>
      <c r="J39" s="1251"/>
      <c r="K39" s="1462"/>
      <c r="L39" s="953"/>
      <c r="M39" s="953"/>
      <c r="N39" s="953"/>
    </row>
    <row r="40" spans="1:18" s="1550" customFormat="1">
      <c r="A40" s="1515"/>
      <c r="B40" s="1522"/>
      <c r="C40" s="1523"/>
      <c r="D40" s="1523"/>
      <c r="E40" s="1524" t="s">
        <v>1709</v>
      </c>
      <c r="F40" s="1274"/>
      <c r="G40" s="2661"/>
      <c r="H40" s="1274"/>
      <c r="I40" s="1273"/>
      <c r="J40" s="1251"/>
      <c r="K40" s="1515"/>
      <c r="L40" s="953"/>
      <c r="M40" s="953"/>
      <c r="N40" s="953"/>
    </row>
    <row r="41" spans="1:18" s="1466" customFormat="1">
      <c r="A41" s="1462"/>
      <c r="B41" s="1522"/>
      <c r="C41" s="1523"/>
      <c r="D41" s="1523"/>
      <c r="E41" s="1524" t="s">
        <v>1710</v>
      </c>
      <c r="F41" s="1274"/>
      <c r="G41" s="2661"/>
      <c r="H41" s="1274"/>
      <c r="I41" s="1273"/>
      <c r="J41" s="1251"/>
      <c r="K41" s="1462"/>
      <c r="L41" s="953"/>
      <c r="M41" s="953"/>
      <c r="N41" s="953"/>
    </row>
    <row r="42" spans="1:18" s="1466" customFormat="1">
      <c r="A42" s="1462"/>
      <c r="B42" s="1522"/>
      <c r="C42" s="1523"/>
      <c r="D42" s="1523"/>
      <c r="E42" s="1524" t="s">
        <v>1736</v>
      </c>
      <c r="F42" s="1274"/>
      <c r="G42" s="2661"/>
      <c r="H42" s="1274"/>
      <c r="I42" s="1273"/>
      <c r="J42" s="1251"/>
      <c r="K42" s="1462"/>
      <c r="L42" s="953"/>
      <c r="M42" s="953"/>
      <c r="N42" s="953"/>
    </row>
    <row r="43" spans="1:18" s="1466" customFormat="1">
      <c r="A43" s="1462"/>
      <c r="B43" s="1522"/>
      <c r="C43" s="1523"/>
      <c r="D43" s="1523"/>
      <c r="E43" s="1528"/>
      <c r="F43" s="1274"/>
      <c r="G43" s="2661"/>
      <c r="H43" s="1274"/>
      <c r="I43" s="1273"/>
      <c r="J43" s="1251"/>
      <c r="K43" s="1462"/>
      <c r="L43" s="953"/>
      <c r="M43" s="953"/>
      <c r="N43" s="953"/>
    </row>
    <row r="44" spans="1:18" s="1466" customFormat="1">
      <c r="A44" s="1462"/>
      <c r="B44" s="1529" t="s">
        <v>1739</v>
      </c>
      <c r="C44" s="1556"/>
      <c r="D44" s="1556"/>
      <c r="E44" s="1531" t="s">
        <v>1712</v>
      </c>
      <c r="F44" s="1274"/>
      <c r="G44" s="2661"/>
      <c r="H44" s="1274"/>
      <c r="I44" s="1273"/>
      <c r="J44" s="1251"/>
      <c r="K44" s="1462"/>
      <c r="L44" s="953"/>
      <c r="M44" s="953"/>
      <c r="N44" s="953"/>
    </row>
    <row r="45" spans="1:18" s="1520" customFormat="1" ht="97.5" customHeight="1">
      <c r="A45" s="1521"/>
      <c r="B45" s="2664"/>
      <c r="C45" s="2665"/>
      <c r="D45" s="1459" t="s">
        <v>1619</v>
      </c>
      <c r="E45" s="1459" t="s">
        <v>1714</v>
      </c>
      <c r="F45" s="1459" t="s">
        <v>1740</v>
      </c>
      <c r="G45" s="1459" t="s">
        <v>1703</v>
      </c>
      <c r="H45" s="1465" t="s">
        <v>1628</v>
      </c>
      <c r="I45" s="1465" t="s">
        <v>1629</v>
      </c>
      <c r="J45" s="1535"/>
      <c r="K45" s="1519"/>
      <c r="O45" s="1514"/>
      <c r="P45" s="1514"/>
      <c r="Q45" s="1514"/>
      <c r="R45" s="1514"/>
    </row>
    <row r="46" spans="1:18" s="1520" customFormat="1" ht="248.25" customHeight="1">
      <c r="A46" s="1521"/>
      <c r="B46" s="2611" t="s">
        <v>1741</v>
      </c>
      <c r="C46" s="2654"/>
      <c r="D46" s="1133" t="str">
        <f>IF('Project Info'!$C$4='Project Info'!$P$32,'Mod Prescriptive Path Checklist'!C27,IF('Project Info'!C4='Project Info'!P33,#REF!,"&lt;Select compliance path on the 'Project Info' tab&gt;"))</f>
        <v>Assembly U-value determinations must follow ASHRAE 90.1-2007, Appendix A.
See Tables 2 and 3 for climate specific envelope requirements for the following components: roof insulation; above grade and below grade wall insulation; floor and slab insulation; exterior doors; and vertical glazing.</v>
      </c>
      <c r="E46" s="1133">
        <f>ERMs!C22</f>
        <v>0</v>
      </c>
      <c r="F46" s="1284"/>
      <c r="G46" s="1284"/>
      <c r="H46" s="1253"/>
      <c r="I46" s="1134"/>
      <c r="J46" s="1252"/>
      <c r="K46" s="1519"/>
      <c r="O46" s="1514"/>
      <c r="P46" s="1514"/>
      <c r="Q46" s="1514"/>
      <c r="R46" s="1514"/>
    </row>
    <row r="47" spans="1:18" s="1552" customFormat="1">
      <c r="B47" s="1132"/>
      <c r="C47" s="1126"/>
      <c r="D47" s="1126"/>
      <c r="E47" s="1553"/>
      <c r="F47" s="1534"/>
      <c r="G47" s="1126"/>
      <c r="H47" s="1534"/>
      <c r="I47" s="1534"/>
      <c r="J47" s="1535"/>
      <c r="L47" s="953"/>
      <c r="M47" s="953"/>
      <c r="N47" s="953"/>
    </row>
    <row r="48" spans="1:18" s="1466" customFormat="1" ht="12.75" customHeight="1">
      <c r="A48" s="1462"/>
      <c r="B48" s="1548" t="s">
        <v>1742</v>
      </c>
      <c r="C48" s="1517"/>
      <c r="D48" s="1557"/>
      <c r="E48" s="1518" t="s">
        <v>1706</v>
      </c>
      <c r="F48" s="1277"/>
      <c r="G48" s="2661"/>
      <c r="H48" s="1274"/>
      <c r="I48" s="1273"/>
      <c r="J48" s="1251"/>
      <c r="K48" s="1462"/>
      <c r="L48" s="953"/>
      <c r="M48" s="953"/>
      <c r="N48" s="953"/>
    </row>
    <row r="49" spans="1:18" s="1466" customFormat="1">
      <c r="A49" s="1462"/>
      <c r="B49" s="1558"/>
      <c r="C49" s="1559"/>
      <c r="D49" s="1559"/>
      <c r="E49" s="1524" t="s">
        <v>1707</v>
      </c>
      <c r="F49" s="1274"/>
      <c r="G49" s="2661"/>
      <c r="H49" s="1274"/>
      <c r="I49" s="1273"/>
      <c r="J49" s="1251"/>
      <c r="K49" s="1462"/>
      <c r="L49" s="953"/>
      <c r="M49" s="953"/>
      <c r="N49" s="953"/>
    </row>
    <row r="50" spans="1:18" s="1466" customFormat="1">
      <c r="A50" s="1462"/>
      <c r="B50" s="1558"/>
      <c r="C50" s="1559"/>
      <c r="D50" s="1559"/>
      <c r="E50" s="1524" t="s">
        <v>1708</v>
      </c>
      <c r="F50" s="1274"/>
      <c r="G50" s="2661"/>
      <c r="H50" s="1274"/>
      <c r="I50" s="1273"/>
      <c r="J50" s="1251"/>
      <c r="K50" s="1462"/>
      <c r="L50" s="953"/>
      <c r="M50" s="953"/>
      <c r="N50" s="953"/>
    </row>
    <row r="51" spans="1:18" s="1466" customFormat="1">
      <c r="A51" s="1462"/>
      <c r="B51" s="1558"/>
      <c r="C51" s="1559"/>
      <c r="D51" s="1559"/>
      <c r="E51" s="1524" t="s">
        <v>1709</v>
      </c>
      <c r="F51" s="1274"/>
      <c r="G51" s="2661"/>
      <c r="H51" s="1274"/>
      <c r="I51" s="1273"/>
      <c r="J51" s="1251"/>
      <c r="K51" s="1462"/>
      <c r="L51" s="1457"/>
      <c r="M51" s="1457"/>
      <c r="N51" s="1457"/>
    </row>
    <row r="52" spans="1:18" s="1466" customFormat="1">
      <c r="A52" s="1462"/>
      <c r="B52" s="1529" t="s">
        <v>1743</v>
      </c>
      <c r="C52" s="1560"/>
      <c r="D52" s="1560"/>
      <c r="E52" s="1531" t="s">
        <v>1712</v>
      </c>
      <c r="F52" s="1274"/>
      <c r="G52" s="2661"/>
      <c r="H52" s="1274"/>
      <c r="I52" s="1273"/>
      <c r="J52" s="1251"/>
      <c r="K52" s="1462"/>
      <c r="L52" s="1457"/>
      <c r="M52" s="1457"/>
      <c r="N52" s="1457"/>
    </row>
    <row r="53" spans="1:18" s="1466" customFormat="1">
      <c r="A53" s="1462"/>
      <c r="B53" s="1532"/>
      <c r="C53" s="1126"/>
      <c r="D53" s="1126"/>
      <c r="E53" s="1553"/>
      <c r="F53" s="1554"/>
      <c r="G53" s="1561"/>
      <c r="H53" s="1554"/>
      <c r="I53" s="1554"/>
      <c r="J53" s="1555"/>
      <c r="K53" s="1462"/>
      <c r="L53" s="1457"/>
      <c r="M53" s="1457"/>
      <c r="N53" s="1457"/>
    </row>
    <row r="54" spans="1:18" s="1466" customFormat="1" ht="12.75" customHeight="1">
      <c r="A54" s="1462"/>
      <c r="B54" s="1548" t="s">
        <v>1744</v>
      </c>
      <c r="C54" s="1517"/>
      <c r="D54" s="1557"/>
      <c r="E54" s="1518" t="s">
        <v>1706</v>
      </c>
      <c r="F54" s="1274"/>
      <c r="G54" s="1135"/>
      <c r="H54" s="1274"/>
      <c r="I54" s="1273"/>
      <c r="J54" s="1251"/>
      <c r="K54" s="1462"/>
      <c r="L54" s="1514"/>
      <c r="M54" s="1514"/>
      <c r="N54" s="1514"/>
    </row>
    <row r="55" spans="1:18" s="1466" customFormat="1">
      <c r="A55" s="1462"/>
      <c r="B55" s="1558"/>
      <c r="C55" s="1559"/>
      <c r="D55" s="1559"/>
      <c r="E55" s="1524" t="s">
        <v>1707</v>
      </c>
      <c r="F55" s="1274"/>
      <c r="G55" s="1135"/>
      <c r="H55" s="1274"/>
      <c r="I55" s="1273"/>
      <c r="J55" s="1251"/>
      <c r="K55" s="1462"/>
      <c r="L55" s="1457"/>
      <c r="M55" s="1457"/>
      <c r="N55" s="1457"/>
    </row>
    <row r="56" spans="1:18" s="1466" customFormat="1" ht="14.25">
      <c r="A56" s="1462"/>
      <c r="B56" s="1558"/>
      <c r="C56" s="1559"/>
      <c r="D56" s="1559"/>
      <c r="E56" s="1524" t="s">
        <v>1708</v>
      </c>
      <c r="F56" s="1274"/>
      <c r="G56" s="1135"/>
      <c r="H56" s="1274"/>
      <c r="I56" s="1273"/>
      <c r="J56" s="1251"/>
      <c r="K56" s="1462"/>
      <c r="L56" s="1537"/>
      <c r="M56" s="1537"/>
      <c r="N56" s="1537"/>
    </row>
    <row r="57" spans="1:18" s="1466" customFormat="1">
      <c r="A57" s="1462"/>
      <c r="B57" s="1558"/>
      <c r="C57" s="1559"/>
      <c r="D57" s="1559"/>
      <c r="E57" s="1524" t="s">
        <v>1709</v>
      </c>
      <c r="F57" s="1274"/>
      <c r="G57" s="1135"/>
      <c r="H57" s="1274"/>
      <c r="I57" s="1273"/>
      <c r="J57" s="1251"/>
      <c r="K57" s="1462"/>
      <c r="L57" s="1457"/>
      <c r="M57" s="1457"/>
      <c r="N57" s="1457"/>
    </row>
    <row r="58" spans="1:18" s="1466" customFormat="1">
      <c r="A58" s="1462"/>
      <c r="B58" s="1529" t="s">
        <v>1745</v>
      </c>
      <c r="C58" s="1560"/>
      <c r="D58" s="1560"/>
      <c r="E58" s="1531" t="s">
        <v>1712</v>
      </c>
      <c r="F58" s="1274"/>
      <c r="G58" s="1135"/>
      <c r="H58" s="1274"/>
      <c r="I58" s="1273"/>
      <c r="J58" s="1251"/>
      <c r="K58" s="1462"/>
      <c r="L58" s="1457"/>
      <c r="M58" s="1457"/>
      <c r="N58" s="1457"/>
    </row>
    <row r="59" spans="1:18" s="1520" customFormat="1" ht="97.5" customHeight="1">
      <c r="A59" s="1521"/>
      <c r="B59" s="2652"/>
      <c r="C59" s="2653"/>
      <c r="D59" s="1459" t="s">
        <v>1619</v>
      </c>
      <c r="E59" s="1459" t="s">
        <v>1714</v>
      </c>
      <c r="F59" s="1459" t="s">
        <v>1746</v>
      </c>
      <c r="G59" s="1459" t="s">
        <v>1703</v>
      </c>
      <c r="H59" s="1465" t="s">
        <v>1628</v>
      </c>
      <c r="I59" s="1465" t="s">
        <v>1629</v>
      </c>
      <c r="J59" s="1535"/>
      <c r="K59" s="1519"/>
      <c r="O59" s="1514"/>
      <c r="P59" s="1514"/>
      <c r="Q59" s="1514"/>
      <c r="R59" s="1514"/>
    </row>
    <row r="60" spans="1:18" s="1520" customFormat="1" ht="246" customHeight="1">
      <c r="A60" s="1521"/>
      <c r="B60" s="2611" t="s">
        <v>1747</v>
      </c>
      <c r="C60" s="2654"/>
      <c r="D60" s="1133" t="str">
        <f>IF('Project Info'!$C$4='Project Info'!$P$32,'Mod Prescriptive Path Checklist'!C27,IF('Project Info'!C4='Project Info'!P33,#REF!,"&lt;Select compliance path on the 'Project Info' tab&gt;"))</f>
        <v>Assembly U-value determinations must follow ASHRAE 90.1-2007, Appendix A.
See Tables 2 and 3 for climate specific envelope requirements for the following components: roof insulation; above grade and below grade wall insulation; floor and slab insulation; exterior doors; and vertical glazing.</v>
      </c>
      <c r="E60" s="1133">
        <f>ERMs!C23</f>
        <v>0</v>
      </c>
      <c r="F60" s="1284"/>
      <c r="G60" s="1284"/>
      <c r="H60" s="1253"/>
      <c r="I60" s="1134"/>
      <c r="J60" s="1252"/>
      <c r="K60" s="1519"/>
      <c r="O60" s="1514"/>
      <c r="P60" s="1514"/>
      <c r="Q60" s="1514"/>
      <c r="R60" s="1514"/>
    </row>
    <row r="61" spans="1:18" ht="94.5" customHeight="1">
      <c r="A61" s="1562"/>
      <c r="B61" s="1459" t="s">
        <v>1633</v>
      </c>
      <c r="C61" s="1459"/>
      <c r="D61" s="2643" t="s">
        <v>1619</v>
      </c>
      <c r="E61" s="2643"/>
      <c r="F61" s="1459" t="s">
        <v>1626</v>
      </c>
      <c r="G61" s="1459" t="s">
        <v>1627</v>
      </c>
      <c r="H61" s="1465" t="s">
        <v>1628</v>
      </c>
      <c r="I61" s="1465" t="s">
        <v>1629</v>
      </c>
      <c r="J61" s="1541" t="s">
        <v>1716</v>
      </c>
    </row>
    <row r="62" spans="1:18" ht="42" customHeight="1">
      <c r="A62" s="1467"/>
      <c r="B62" s="2611" t="s">
        <v>1748</v>
      </c>
      <c r="C62" s="2640"/>
      <c r="D62" s="2640"/>
      <c r="E62" s="2640"/>
      <c r="F62" s="1284"/>
      <c r="G62" s="1284"/>
      <c r="H62" s="1253"/>
      <c r="I62" s="1134"/>
      <c r="J62" s="1283"/>
      <c r="K62" s="1460"/>
      <c r="O62" s="1457"/>
      <c r="P62" s="1457"/>
      <c r="Q62" s="1457"/>
    </row>
    <row r="63" spans="1:18" ht="157.5" customHeight="1">
      <c r="A63" s="1467"/>
      <c r="B63" s="2655" t="s">
        <v>1749</v>
      </c>
      <c r="C63" s="2656"/>
      <c r="D63" s="2657" t="str">
        <f>IF('Project Info'!C4='Project Info'!P32,'Mod Prescriptive Path Checklist'!C37,IF('Project Info'!C4='Project Info'!P33,#REF!,"&lt;Select compliance path on the 'Project Info' tab&gt;"))</f>
        <v>The envelope components must comply with ASHRAE 90.1-2007 Sections 5.4.
All roof, wall, floor and slab insulation shall achieve RESNET-defined Grade I installation or, alternatively, Grade II for surfaces with continuous insulation (≥R-3 in CZ1-4 and ≥R-5 in CZ 5-8).</v>
      </c>
      <c r="E63" s="2658"/>
      <c r="F63" s="1129"/>
      <c r="G63" s="1129"/>
      <c r="H63" s="1136"/>
      <c r="I63" s="1131"/>
      <c r="J63" s="1131"/>
      <c r="K63" s="1460"/>
      <c r="O63" s="1457"/>
      <c r="P63" s="1457"/>
      <c r="Q63" s="1457"/>
    </row>
    <row r="64" spans="1:18" ht="153.75" customHeight="1">
      <c r="A64" s="1467"/>
      <c r="B64" s="2588" t="s">
        <v>1750</v>
      </c>
      <c r="C64" s="2598"/>
      <c r="D64" s="2659"/>
      <c r="E64" s="2660"/>
      <c r="F64" s="1284"/>
      <c r="G64" s="1284"/>
      <c r="H64" s="1253"/>
      <c r="I64" s="1278"/>
      <c r="J64" s="1278"/>
      <c r="K64" s="1460"/>
      <c r="O64" s="1457"/>
      <c r="P64" s="1457"/>
      <c r="Q64" s="1457"/>
    </row>
    <row r="65" spans="1:17" ht="60" customHeight="1">
      <c r="B65" s="2588" t="s">
        <v>1751</v>
      </c>
      <c r="C65" s="2589"/>
      <c r="D65" s="2589"/>
      <c r="E65" s="2647"/>
      <c r="F65" s="1284"/>
      <c r="G65" s="1284"/>
      <c r="H65" s="1253"/>
      <c r="I65" s="1278"/>
      <c r="J65" s="1278"/>
      <c r="K65" s="1540"/>
      <c r="O65" s="1457"/>
      <c r="P65" s="1457"/>
      <c r="Q65" s="1457"/>
    </row>
    <row r="66" spans="1:17" ht="44.25" customHeight="1">
      <c r="A66" s="1467"/>
      <c r="B66" s="2575" t="s">
        <v>1752</v>
      </c>
      <c r="C66" s="2576"/>
      <c r="D66" s="2576"/>
      <c r="E66" s="2576"/>
      <c r="F66" s="2569"/>
      <c r="G66" s="2569"/>
      <c r="H66" s="2569"/>
      <c r="I66" s="1278"/>
      <c r="J66" s="1278"/>
      <c r="K66" s="1460"/>
      <c r="O66" s="1457"/>
      <c r="P66" s="1457"/>
      <c r="Q66" s="1457"/>
    </row>
    <row r="67" spans="1:17" ht="30" customHeight="1">
      <c r="A67" s="1536"/>
      <c r="B67" s="2575" t="s">
        <v>1720</v>
      </c>
      <c r="C67" s="2576"/>
      <c r="D67" s="2576"/>
      <c r="E67" s="2576"/>
      <c r="F67" s="2576"/>
      <c r="G67" s="2576"/>
      <c r="H67" s="2576"/>
      <c r="I67" s="1278"/>
      <c r="J67" s="1278"/>
      <c r="K67" s="1460"/>
      <c r="O67" s="1457"/>
      <c r="P67" s="1457"/>
      <c r="Q67" s="1457"/>
    </row>
    <row r="68" spans="1:17" ht="29.25" customHeight="1">
      <c r="A68" s="953"/>
      <c r="B68" s="2585" t="s">
        <v>1721</v>
      </c>
      <c r="C68" s="2585"/>
      <c r="D68" s="2585"/>
      <c r="E68" s="2585"/>
      <c r="F68" s="2585"/>
      <c r="G68" s="2585"/>
      <c r="H68" s="2585"/>
      <c r="I68" s="2585"/>
      <c r="J68" s="2585"/>
      <c r="K68" s="953"/>
    </row>
    <row r="69" spans="1:17" ht="25.5">
      <c r="A69" s="953"/>
      <c r="C69" s="1468"/>
      <c r="K69" s="953"/>
      <c r="Q69" s="1321" t="s">
        <v>403</v>
      </c>
    </row>
    <row r="70" spans="1:17" ht="25.5">
      <c r="A70" s="953"/>
      <c r="C70" s="1468"/>
      <c r="K70" s="953"/>
      <c r="Q70" s="1321" t="s">
        <v>405</v>
      </c>
    </row>
    <row r="71" spans="1:17" ht="25.5">
      <c r="C71" s="1468"/>
      <c r="Q71" s="1321" t="s">
        <v>404</v>
      </c>
    </row>
    <row r="184" spans="2:2" ht="18">
      <c r="B184" s="1323"/>
    </row>
  </sheetData>
  <sheetProtection sheet="1" objects="1" scenarios="1" formatCells="0" formatColumns="0" formatRows="0" insertColumns="0" insertRows="0"/>
  <mergeCells count="30">
    <mergeCell ref="B10:G10"/>
    <mergeCell ref="H5:I5"/>
    <mergeCell ref="H6:I6"/>
    <mergeCell ref="H7:I7"/>
    <mergeCell ref="H8:I8"/>
    <mergeCell ref="B9:G9"/>
    <mergeCell ref="G48:G52"/>
    <mergeCell ref="B11:G11"/>
    <mergeCell ref="B20:G20"/>
    <mergeCell ref="B21:G21"/>
    <mergeCell ref="B22:G22"/>
    <mergeCell ref="B23:G23"/>
    <mergeCell ref="B24:G24"/>
    <mergeCell ref="B26:E26"/>
    <mergeCell ref="B27:E27"/>
    <mergeCell ref="G37:G44"/>
    <mergeCell ref="B45:C45"/>
    <mergeCell ref="B46:C46"/>
    <mergeCell ref="G28:G35"/>
    <mergeCell ref="B65:E65"/>
    <mergeCell ref="B66:H66"/>
    <mergeCell ref="B67:H67"/>
    <mergeCell ref="B68:J68"/>
    <mergeCell ref="B59:C59"/>
    <mergeCell ref="B60:C60"/>
    <mergeCell ref="D61:E61"/>
    <mergeCell ref="B62:E62"/>
    <mergeCell ref="B63:C63"/>
    <mergeCell ref="D63:E64"/>
    <mergeCell ref="B64:C64"/>
  </mergeCells>
  <dataValidations count="3">
    <dataValidation type="list" allowBlank="1" showInputMessage="1" showErrorMessage="1" sqref="WVQ98306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formula1>#REF!</formula1>
    </dataValidation>
    <dataValidation type="list" allowBlank="1" showInputMessage="1" showErrorMessage="1" sqref="H36:I36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H65572:I65572 JD65572:JE65572 SZ65572:TA65572 ACV65572:ACW65572 AMR65572:AMS65572 AWN65572:AWO65572 BGJ65572:BGK65572 BQF65572:BQG65572 CAB65572:CAC65572 CJX65572:CJY65572 CTT65572:CTU65572 DDP65572:DDQ65572 DNL65572:DNM65572 DXH65572:DXI65572 EHD65572:EHE65572 EQZ65572:ERA65572 FAV65572:FAW65572 FKR65572:FKS65572 FUN65572:FUO65572 GEJ65572:GEK65572 GOF65572:GOG65572 GYB65572:GYC65572 HHX65572:HHY65572 HRT65572:HRU65572 IBP65572:IBQ65572 ILL65572:ILM65572 IVH65572:IVI65572 JFD65572:JFE65572 JOZ65572:JPA65572 JYV65572:JYW65572 KIR65572:KIS65572 KSN65572:KSO65572 LCJ65572:LCK65572 LMF65572:LMG65572 LWB65572:LWC65572 MFX65572:MFY65572 MPT65572:MPU65572 MZP65572:MZQ65572 NJL65572:NJM65572 NTH65572:NTI65572 ODD65572:ODE65572 OMZ65572:ONA65572 OWV65572:OWW65572 PGR65572:PGS65572 PQN65572:PQO65572 QAJ65572:QAK65572 QKF65572:QKG65572 QUB65572:QUC65572 RDX65572:RDY65572 RNT65572:RNU65572 RXP65572:RXQ65572 SHL65572:SHM65572 SRH65572:SRI65572 TBD65572:TBE65572 TKZ65572:TLA65572 TUV65572:TUW65572 UER65572:UES65572 UON65572:UOO65572 UYJ65572:UYK65572 VIF65572:VIG65572 VSB65572:VSC65572 WBX65572:WBY65572 WLT65572:WLU65572 WVP65572:WVQ65572 H131108:I131108 JD131108:JE131108 SZ131108:TA131108 ACV131108:ACW131108 AMR131108:AMS131108 AWN131108:AWO131108 BGJ131108:BGK131108 BQF131108:BQG131108 CAB131108:CAC131108 CJX131108:CJY131108 CTT131108:CTU131108 DDP131108:DDQ131108 DNL131108:DNM131108 DXH131108:DXI131108 EHD131108:EHE131108 EQZ131108:ERA131108 FAV131108:FAW131108 FKR131108:FKS131108 FUN131108:FUO131108 GEJ131108:GEK131108 GOF131108:GOG131108 GYB131108:GYC131108 HHX131108:HHY131108 HRT131108:HRU131108 IBP131108:IBQ131108 ILL131108:ILM131108 IVH131108:IVI131108 JFD131108:JFE131108 JOZ131108:JPA131108 JYV131108:JYW131108 KIR131108:KIS131108 KSN131108:KSO131108 LCJ131108:LCK131108 LMF131108:LMG131108 LWB131108:LWC131108 MFX131108:MFY131108 MPT131108:MPU131108 MZP131108:MZQ131108 NJL131108:NJM131108 NTH131108:NTI131108 ODD131108:ODE131108 OMZ131108:ONA131108 OWV131108:OWW131108 PGR131108:PGS131108 PQN131108:PQO131108 QAJ131108:QAK131108 QKF131108:QKG131108 QUB131108:QUC131108 RDX131108:RDY131108 RNT131108:RNU131108 RXP131108:RXQ131108 SHL131108:SHM131108 SRH131108:SRI131108 TBD131108:TBE131108 TKZ131108:TLA131108 TUV131108:TUW131108 UER131108:UES131108 UON131108:UOO131108 UYJ131108:UYK131108 VIF131108:VIG131108 VSB131108:VSC131108 WBX131108:WBY131108 WLT131108:WLU131108 WVP131108:WVQ131108 H196644:I196644 JD196644:JE196644 SZ196644:TA196644 ACV196644:ACW196644 AMR196644:AMS196644 AWN196644:AWO196644 BGJ196644:BGK196644 BQF196644:BQG196644 CAB196644:CAC196644 CJX196644:CJY196644 CTT196644:CTU196644 DDP196644:DDQ196644 DNL196644:DNM196644 DXH196644:DXI196644 EHD196644:EHE196644 EQZ196644:ERA196644 FAV196644:FAW196644 FKR196644:FKS196644 FUN196644:FUO196644 GEJ196644:GEK196644 GOF196644:GOG196644 GYB196644:GYC196644 HHX196644:HHY196644 HRT196644:HRU196644 IBP196644:IBQ196644 ILL196644:ILM196644 IVH196644:IVI196644 JFD196644:JFE196644 JOZ196644:JPA196644 JYV196644:JYW196644 KIR196644:KIS196644 KSN196644:KSO196644 LCJ196644:LCK196644 LMF196644:LMG196644 LWB196644:LWC196644 MFX196644:MFY196644 MPT196644:MPU196644 MZP196644:MZQ196644 NJL196644:NJM196644 NTH196644:NTI196644 ODD196644:ODE196644 OMZ196644:ONA196644 OWV196644:OWW196644 PGR196644:PGS196644 PQN196644:PQO196644 QAJ196644:QAK196644 QKF196644:QKG196644 QUB196644:QUC196644 RDX196644:RDY196644 RNT196644:RNU196644 RXP196644:RXQ196644 SHL196644:SHM196644 SRH196644:SRI196644 TBD196644:TBE196644 TKZ196644:TLA196644 TUV196644:TUW196644 UER196644:UES196644 UON196644:UOO196644 UYJ196644:UYK196644 VIF196644:VIG196644 VSB196644:VSC196644 WBX196644:WBY196644 WLT196644:WLU196644 WVP196644:WVQ196644 H262180:I262180 JD262180:JE262180 SZ262180:TA262180 ACV262180:ACW262180 AMR262180:AMS262180 AWN262180:AWO262180 BGJ262180:BGK262180 BQF262180:BQG262180 CAB262180:CAC262180 CJX262180:CJY262180 CTT262180:CTU262180 DDP262180:DDQ262180 DNL262180:DNM262180 DXH262180:DXI262180 EHD262180:EHE262180 EQZ262180:ERA262180 FAV262180:FAW262180 FKR262180:FKS262180 FUN262180:FUO262180 GEJ262180:GEK262180 GOF262180:GOG262180 GYB262180:GYC262180 HHX262180:HHY262180 HRT262180:HRU262180 IBP262180:IBQ262180 ILL262180:ILM262180 IVH262180:IVI262180 JFD262180:JFE262180 JOZ262180:JPA262180 JYV262180:JYW262180 KIR262180:KIS262180 KSN262180:KSO262180 LCJ262180:LCK262180 LMF262180:LMG262180 LWB262180:LWC262180 MFX262180:MFY262180 MPT262180:MPU262180 MZP262180:MZQ262180 NJL262180:NJM262180 NTH262180:NTI262180 ODD262180:ODE262180 OMZ262180:ONA262180 OWV262180:OWW262180 PGR262180:PGS262180 PQN262180:PQO262180 QAJ262180:QAK262180 QKF262180:QKG262180 QUB262180:QUC262180 RDX262180:RDY262180 RNT262180:RNU262180 RXP262180:RXQ262180 SHL262180:SHM262180 SRH262180:SRI262180 TBD262180:TBE262180 TKZ262180:TLA262180 TUV262180:TUW262180 UER262180:UES262180 UON262180:UOO262180 UYJ262180:UYK262180 VIF262180:VIG262180 VSB262180:VSC262180 WBX262180:WBY262180 WLT262180:WLU262180 WVP262180:WVQ262180 H327716:I327716 JD327716:JE327716 SZ327716:TA327716 ACV327716:ACW327716 AMR327716:AMS327716 AWN327716:AWO327716 BGJ327716:BGK327716 BQF327716:BQG327716 CAB327716:CAC327716 CJX327716:CJY327716 CTT327716:CTU327716 DDP327716:DDQ327716 DNL327716:DNM327716 DXH327716:DXI327716 EHD327716:EHE327716 EQZ327716:ERA327716 FAV327716:FAW327716 FKR327716:FKS327716 FUN327716:FUO327716 GEJ327716:GEK327716 GOF327716:GOG327716 GYB327716:GYC327716 HHX327716:HHY327716 HRT327716:HRU327716 IBP327716:IBQ327716 ILL327716:ILM327716 IVH327716:IVI327716 JFD327716:JFE327716 JOZ327716:JPA327716 JYV327716:JYW327716 KIR327716:KIS327716 KSN327716:KSO327716 LCJ327716:LCK327716 LMF327716:LMG327716 LWB327716:LWC327716 MFX327716:MFY327716 MPT327716:MPU327716 MZP327716:MZQ327716 NJL327716:NJM327716 NTH327716:NTI327716 ODD327716:ODE327716 OMZ327716:ONA327716 OWV327716:OWW327716 PGR327716:PGS327716 PQN327716:PQO327716 QAJ327716:QAK327716 QKF327716:QKG327716 QUB327716:QUC327716 RDX327716:RDY327716 RNT327716:RNU327716 RXP327716:RXQ327716 SHL327716:SHM327716 SRH327716:SRI327716 TBD327716:TBE327716 TKZ327716:TLA327716 TUV327716:TUW327716 UER327716:UES327716 UON327716:UOO327716 UYJ327716:UYK327716 VIF327716:VIG327716 VSB327716:VSC327716 WBX327716:WBY327716 WLT327716:WLU327716 WVP327716:WVQ327716 H393252:I393252 JD393252:JE393252 SZ393252:TA393252 ACV393252:ACW393252 AMR393252:AMS393252 AWN393252:AWO393252 BGJ393252:BGK393252 BQF393252:BQG393252 CAB393252:CAC393252 CJX393252:CJY393252 CTT393252:CTU393252 DDP393252:DDQ393252 DNL393252:DNM393252 DXH393252:DXI393252 EHD393252:EHE393252 EQZ393252:ERA393252 FAV393252:FAW393252 FKR393252:FKS393252 FUN393252:FUO393252 GEJ393252:GEK393252 GOF393252:GOG393252 GYB393252:GYC393252 HHX393252:HHY393252 HRT393252:HRU393252 IBP393252:IBQ393252 ILL393252:ILM393252 IVH393252:IVI393252 JFD393252:JFE393252 JOZ393252:JPA393252 JYV393252:JYW393252 KIR393252:KIS393252 KSN393252:KSO393252 LCJ393252:LCK393252 LMF393252:LMG393252 LWB393252:LWC393252 MFX393252:MFY393252 MPT393252:MPU393252 MZP393252:MZQ393252 NJL393252:NJM393252 NTH393252:NTI393252 ODD393252:ODE393252 OMZ393252:ONA393252 OWV393252:OWW393252 PGR393252:PGS393252 PQN393252:PQO393252 QAJ393252:QAK393252 QKF393252:QKG393252 QUB393252:QUC393252 RDX393252:RDY393252 RNT393252:RNU393252 RXP393252:RXQ393252 SHL393252:SHM393252 SRH393252:SRI393252 TBD393252:TBE393252 TKZ393252:TLA393252 TUV393252:TUW393252 UER393252:UES393252 UON393252:UOO393252 UYJ393252:UYK393252 VIF393252:VIG393252 VSB393252:VSC393252 WBX393252:WBY393252 WLT393252:WLU393252 WVP393252:WVQ393252 H458788:I458788 JD458788:JE458788 SZ458788:TA458788 ACV458788:ACW458788 AMR458788:AMS458788 AWN458788:AWO458788 BGJ458788:BGK458788 BQF458788:BQG458788 CAB458788:CAC458788 CJX458788:CJY458788 CTT458788:CTU458788 DDP458788:DDQ458788 DNL458788:DNM458788 DXH458788:DXI458788 EHD458788:EHE458788 EQZ458788:ERA458788 FAV458788:FAW458788 FKR458788:FKS458788 FUN458788:FUO458788 GEJ458788:GEK458788 GOF458788:GOG458788 GYB458788:GYC458788 HHX458788:HHY458788 HRT458788:HRU458788 IBP458788:IBQ458788 ILL458788:ILM458788 IVH458788:IVI458788 JFD458788:JFE458788 JOZ458788:JPA458788 JYV458788:JYW458788 KIR458788:KIS458788 KSN458788:KSO458788 LCJ458788:LCK458788 LMF458788:LMG458788 LWB458788:LWC458788 MFX458788:MFY458788 MPT458788:MPU458788 MZP458788:MZQ458788 NJL458788:NJM458788 NTH458788:NTI458788 ODD458788:ODE458788 OMZ458788:ONA458788 OWV458788:OWW458788 PGR458788:PGS458788 PQN458788:PQO458788 QAJ458788:QAK458788 QKF458788:QKG458788 QUB458788:QUC458788 RDX458788:RDY458788 RNT458788:RNU458788 RXP458788:RXQ458788 SHL458788:SHM458788 SRH458788:SRI458788 TBD458788:TBE458788 TKZ458788:TLA458788 TUV458788:TUW458788 UER458788:UES458788 UON458788:UOO458788 UYJ458788:UYK458788 VIF458788:VIG458788 VSB458788:VSC458788 WBX458788:WBY458788 WLT458788:WLU458788 WVP458788:WVQ458788 H524324:I524324 JD524324:JE524324 SZ524324:TA524324 ACV524324:ACW524324 AMR524324:AMS524324 AWN524324:AWO524324 BGJ524324:BGK524324 BQF524324:BQG524324 CAB524324:CAC524324 CJX524324:CJY524324 CTT524324:CTU524324 DDP524324:DDQ524324 DNL524324:DNM524324 DXH524324:DXI524324 EHD524324:EHE524324 EQZ524324:ERA524324 FAV524324:FAW524324 FKR524324:FKS524324 FUN524324:FUO524324 GEJ524324:GEK524324 GOF524324:GOG524324 GYB524324:GYC524324 HHX524324:HHY524324 HRT524324:HRU524324 IBP524324:IBQ524324 ILL524324:ILM524324 IVH524324:IVI524324 JFD524324:JFE524324 JOZ524324:JPA524324 JYV524324:JYW524324 KIR524324:KIS524324 KSN524324:KSO524324 LCJ524324:LCK524324 LMF524324:LMG524324 LWB524324:LWC524324 MFX524324:MFY524324 MPT524324:MPU524324 MZP524324:MZQ524324 NJL524324:NJM524324 NTH524324:NTI524324 ODD524324:ODE524324 OMZ524324:ONA524324 OWV524324:OWW524324 PGR524324:PGS524324 PQN524324:PQO524324 QAJ524324:QAK524324 QKF524324:QKG524324 QUB524324:QUC524324 RDX524324:RDY524324 RNT524324:RNU524324 RXP524324:RXQ524324 SHL524324:SHM524324 SRH524324:SRI524324 TBD524324:TBE524324 TKZ524324:TLA524324 TUV524324:TUW524324 UER524324:UES524324 UON524324:UOO524324 UYJ524324:UYK524324 VIF524324:VIG524324 VSB524324:VSC524324 WBX524324:WBY524324 WLT524324:WLU524324 WVP524324:WVQ524324 H589860:I589860 JD589860:JE589860 SZ589860:TA589860 ACV589860:ACW589860 AMR589860:AMS589860 AWN589860:AWO589860 BGJ589860:BGK589860 BQF589860:BQG589860 CAB589860:CAC589860 CJX589860:CJY589860 CTT589860:CTU589860 DDP589860:DDQ589860 DNL589860:DNM589860 DXH589860:DXI589860 EHD589860:EHE589860 EQZ589860:ERA589860 FAV589860:FAW589860 FKR589860:FKS589860 FUN589860:FUO589860 GEJ589860:GEK589860 GOF589860:GOG589860 GYB589860:GYC589860 HHX589860:HHY589860 HRT589860:HRU589860 IBP589860:IBQ589860 ILL589860:ILM589860 IVH589860:IVI589860 JFD589860:JFE589860 JOZ589860:JPA589860 JYV589860:JYW589860 KIR589860:KIS589860 KSN589860:KSO589860 LCJ589860:LCK589860 LMF589860:LMG589860 LWB589860:LWC589860 MFX589860:MFY589860 MPT589860:MPU589860 MZP589860:MZQ589860 NJL589860:NJM589860 NTH589860:NTI589860 ODD589860:ODE589860 OMZ589860:ONA589860 OWV589860:OWW589860 PGR589860:PGS589860 PQN589860:PQO589860 QAJ589860:QAK589860 QKF589860:QKG589860 QUB589860:QUC589860 RDX589860:RDY589860 RNT589860:RNU589860 RXP589860:RXQ589860 SHL589860:SHM589860 SRH589860:SRI589860 TBD589860:TBE589860 TKZ589860:TLA589860 TUV589860:TUW589860 UER589860:UES589860 UON589860:UOO589860 UYJ589860:UYK589860 VIF589860:VIG589860 VSB589860:VSC589860 WBX589860:WBY589860 WLT589860:WLU589860 WVP589860:WVQ589860 H655396:I655396 JD655396:JE655396 SZ655396:TA655396 ACV655396:ACW655396 AMR655396:AMS655396 AWN655396:AWO655396 BGJ655396:BGK655396 BQF655396:BQG655396 CAB655396:CAC655396 CJX655396:CJY655396 CTT655396:CTU655396 DDP655396:DDQ655396 DNL655396:DNM655396 DXH655396:DXI655396 EHD655396:EHE655396 EQZ655396:ERA655396 FAV655396:FAW655396 FKR655396:FKS655396 FUN655396:FUO655396 GEJ655396:GEK655396 GOF655396:GOG655396 GYB655396:GYC655396 HHX655396:HHY655396 HRT655396:HRU655396 IBP655396:IBQ655396 ILL655396:ILM655396 IVH655396:IVI655396 JFD655396:JFE655396 JOZ655396:JPA655396 JYV655396:JYW655396 KIR655396:KIS655396 KSN655396:KSO655396 LCJ655396:LCK655396 LMF655396:LMG655396 LWB655396:LWC655396 MFX655396:MFY655396 MPT655396:MPU655396 MZP655396:MZQ655396 NJL655396:NJM655396 NTH655396:NTI655396 ODD655396:ODE655396 OMZ655396:ONA655396 OWV655396:OWW655396 PGR655396:PGS655396 PQN655396:PQO655396 QAJ655396:QAK655396 QKF655396:QKG655396 QUB655396:QUC655396 RDX655396:RDY655396 RNT655396:RNU655396 RXP655396:RXQ655396 SHL655396:SHM655396 SRH655396:SRI655396 TBD655396:TBE655396 TKZ655396:TLA655396 TUV655396:TUW655396 UER655396:UES655396 UON655396:UOO655396 UYJ655396:UYK655396 VIF655396:VIG655396 VSB655396:VSC655396 WBX655396:WBY655396 WLT655396:WLU655396 WVP655396:WVQ655396 H720932:I720932 JD720932:JE720932 SZ720932:TA720932 ACV720932:ACW720932 AMR720932:AMS720932 AWN720932:AWO720932 BGJ720932:BGK720932 BQF720932:BQG720932 CAB720932:CAC720932 CJX720932:CJY720932 CTT720932:CTU720932 DDP720932:DDQ720932 DNL720932:DNM720932 DXH720932:DXI720932 EHD720932:EHE720932 EQZ720932:ERA720932 FAV720932:FAW720932 FKR720932:FKS720932 FUN720932:FUO720932 GEJ720932:GEK720932 GOF720932:GOG720932 GYB720932:GYC720932 HHX720932:HHY720932 HRT720932:HRU720932 IBP720932:IBQ720932 ILL720932:ILM720932 IVH720932:IVI720932 JFD720932:JFE720932 JOZ720932:JPA720932 JYV720932:JYW720932 KIR720932:KIS720932 KSN720932:KSO720932 LCJ720932:LCK720932 LMF720932:LMG720932 LWB720932:LWC720932 MFX720932:MFY720932 MPT720932:MPU720932 MZP720932:MZQ720932 NJL720932:NJM720932 NTH720932:NTI720932 ODD720932:ODE720932 OMZ720932:ONA720932 OWV720932:OWW720932 PGR720932:PGS720932 PQN720932:PQO720932 QAJ720932:QAK720932 QKF720932:QKG720932 QUB720932:QUC720932 RDX720932:RDY720932 RNT720932:RNU720932 RXP720932:RXQ720932 SHL720932:SHM720932 SRH720932:SRI720932 TBD720932:TBE720932 TKZ720932:TLA720932 TUV720932:TUW720932 UER720932:UES720932 UON720932:UOO720932 UYJ720932:UYK720932 VIF720932:VIG720932 VSB720932:VSC720932 WBX720932:WBY720932 WLT720932:WLU720932 WVP720932:WVQ720932 H786468:I786468 JD786468:JE786468 SZ786468:TA786468 ACV786468:ACW786468 AMR786468:AMS786468 AWN786468:AWO786468 BGJ786468:BGK786468 BQF786468:BQG786468 CAB786468:CAC786468 CJX786468:CJY786468 CTT786468:CTU786468 DDP786468:DDQ786468 DNL786468:DNM786468 DXH786468:DXI786468 EHD786468:EHE786468 EQZ786468:ERA786468 FAV786468:FAW786468 FKR786468:FKS786468 FUN786468:FUO786468 GEJ786468:GEK786468 GOF786468:GOG786468 GYB786468:GYC786468 HHX786468:HHY786468 HRT786468:HRU786468 IBP786468:IBQ786468 ILL786468:ILM786468 IVH786468:IVI786468 JFD786468:JFE786468 JOZ786468:JPA786468 JYV786468:JYW786468 KIR786468:KIS786468 KSN786468:KSO786468 LCJ786468:LCK786468 LMF786468:LMG786468 LWB786468:LWC786468 MFX786468:MFY786468 MPT786468:MPU786468 MZP786468:MZQ786468 NJL786468:NJM786468 NTH786468:NTI786468 ODD786468:ODE786468 OMZ786468:ONA786468 OWV786468:OWW786468 PGR786468:PGS786468 PQN786468:PQO786468 QAJ786468:QAK786468 QKF786468:QKG786468 QUB786468:QUC786468 RDX786468:RDY786468 RNT786468:RNU786468 RXP786468:RXQ786468 SHL786468:SHM786468 SRH786468:SRI786468 TBD786468:TBE786468 TKZ786468:TLA786468 TUV786468:TUW786468 UER786468:UES786468 UON786468:UOO786468 UYJ786468:UYK786468 VIF786468:VIG786468 VSB786468:VSC786468 WBX786468:WBY786468 WLT786468:WLU786468 WVP786468:WVQ786468 H852004:I852004 JD852004:JE852004 SZ852004:TA852004 ACV852004:ACW852004 AMR852004:AMS852004 AWN852004:AWO852004 BGJ852004:BGK852004 BQF852004:BQG852004 CAB852004:CAC852004 CJX852004:CJY852004 CTT852004:CTU852004 DDP852004:DDQ852004 DNL852004:DNM852004 DXH852004:DXI852004 EHD852004:EHE852004 EQZ852004:ERA852004 FAV852004:FAW852004 FKR852004:FKS852004 FUN852004:FUO852004 GEJ852004:GEK852004 GOF852004:GOG852004 GYB852004:GYC852004 HHX852004:HHY852004 HRT852004:HRU852004 IBP852004:IBQ852004 ILL852004:ILM852004 IVH852004:IVI852004 JFD852004:JFE852004 JOZ852004:JPA852004 JYV852004:JYW852004 KIR852004:KIS852004 KSN852004:KSO852004 LCJ852004:LCK852004 LMF852004:LMG852004 LWB852004:LWC852004 MFX852004:MFY852004 MPT852004:MPU852004 MZP852004:MZQ852004 NJL852004:NJM852004 NTH852004:NTI852004 ODD852004:ODE852004 OMZ852004:ONA852004 OWV852004:OWW852004 PGR852004:PGS852004 PQN852004:PQO852004 QAJ852004:QAK852004 QKF852004:QKG852004 QUB852004:QUC852004 RDX852004:RDY852004 RNT852004:RNU852004 RXP852004:RXQ852004 SHL852004:SHM852004 SRH852004:SRI852004 TBD852004:TBE852004 TKZ852004:TLA852004 TUV852004:TUW852004 UER852004:UES852004 UON852004:UOO852004 UYJ852004:UYK852004 VIF852004:VIG852004 VSB852004:VSC852004 WBX852004:WBY852004 WLT852004:WLU852004 WVP852004:WVQ852004 H917540:I917540 JD917540:JE917540 SZ917540:TA917540 ACV917540:ACW917540 AMR917540:AMS917540 AWN917540:AWO917540 BGJ917540:BGK917540 BQF917540:BQG917540 CAB917540:CAC917540 CJX917540:CJY917540 CTT917540:CTU917540 DDP917540:DDQ917540 DNL917540:DNM917540 DXH917540:DXI917540 EHD917540:EHE917540 EQZ917540:ERA917540 FAV917540:FAW917540 FKR917540:FKS917540 FUN917540:FUO917540 GEJ917540:GEK917540 GOF917540:GOG917540 GYB917540:GYC917540 HHX917540:HHY917540 HRT917540:HRU917540 IBP917540:IBQ917540 ILL917540:ILM917540 IVH917540:IVI917540 JFD917540:JFE917540 JOZ917540:JPA917540 JYV917540:JYW917540 KIR917540:KIS917540 KSN917540:KSO917540 LCJ917540:LCK917540 LMF917540:LMG917540 LWB917540:LWC917540 MFX917540:MFY917540 MPT917540:MPU917540 MZP917540:MZQ917540 NJL917540:NJM917540 NTH917540:NTI917540 ODD917540:ODE917540 OMZ917540:ONA917540 OWV917540:OWW917540 PGR917540:PGS917540 PQN917540:PQO917540 QAJ917540:QAK917540 QKF917540:QKG917540 QUB917540:QUC917540 RDX917540:RDY917540 RNT917540:RNU917540 RXP917540:RXQ917540 SHL917540:SHM917540 SRH917540:SRI917540 TBD917540:TBE917540 TKZ917540:TLA917540 TUV917540:TUW917540 UER917540:UES917540 UON917540:UOO917540 UYJ917540:UYK917540 VIF917540:VIG917540 VSB917540:VSC917540 WBX917540:WBY917540 WLT917540:WLU917540 WVP917540:WVQ917540 H983076:I983076 JD983076:JE983076 SZ983076:TA983076 ACV983076:ACW983076 AMR983076:AMS983076 AWN983076:AWO983076 BGJ983076:BGK983076 BQF983076:BQG983076 CAB983076:CAC983076 CJX983076:CJY983076 CTT983076:CTU983076 DDP983076:DDQ983076 DNL983076:DNM983076 DXH983076:DXI983076 EHD983076:EHE983076 EQZ983076:ERA983076 FAV983076:FAW983076 FKR983076:FKS983076 FUN983076:FUO983076 GEJ983076:GEK983076 GOF983076:GOG983076 GYB983076:GYC983076 HHX983076:HHY983076 HRT983076:HRU983076 IBP983076:IBQ983076 ILL983076:ILM983076 IVH983076:IVI983076 JFD983076:JFE983076 JOZ983076:JPA983076 JYV983076:JYW983076 KIR983076:KIS983076 KSN983076:KSO983076 LCJ983076:LCK983076 LMF983076:LMG983076 LWB983076:LWC983076 MFX983076:MFY983076 MPT983076:MPU983076 MZP983076:MZQ983076 NJL983076:NJM983076 NTH983076:NTI983076 ODD983076:ODE983076 OMZ983076:ONA983076 OWV983076:OWW983076 PGR983076:PGS983076 PQN983076:PQO983076 QAJ983076:QAK983076 QKF983076:QKG983076 QUB983076:QUC983076 RDX983076:RDY983076 RNT983076:RNU983076 RXP983076:RXQ983076 SHL983076:SHM983076 SRH983076:SRI983076 TBD983076:TBE983076 TKZ983076:TLA983076 TUV983076:TUW983076 UER983076:UES983076 UON983076:UOO983076 UYJ983076:UYK983076 VIF983076:VIG983076 VSB983076:VSC983076 WBX983076:WBY983076 WLT983076:WLU983076 WVP983076:WVQ983076 H47:I47 JD47:JE47 SZ47:TA47 ACV47:ACW47 AMR47:AMS47 AWN47:AWO47 BGJ47:BGK47 BQF47:BQG47 CAB47:CAC47 CJX47:CJY47 CTT47:CTU47 DDP47:DDQ47 DNL47:DNM47 DXH47:DXI47 EHD47:EHE47 EQZ47:ERA47 FAV47:FAW47 FKR47:FKS47 FUN47:FUO47 GEJ47:GEK47 GOF47:GOG47 GYB47:GYC47 HHX47:HHY47 HRT47:HRU47 IBP47:IBQ47 ILL47:ILM47 IVH47:IVI47 JFD47:JFE47 JOZ47:JPA47 JYV47:JYW47 KIR47:KIS47 KSN47:KSO47 LCJ47:LCK47 LMF47:LMG47 LWB47:LWC47 MFX47:MFY47 MPT47:MPU47 MZP47:MZQ47 NJL47:NJM47 NTH47:NTI47 ODD47:ODE47 OMZ47:ONA47 OWV47:OWW47 PGR47:PGS47 PQN47:PQO47 QAJ47:QAK47 QKF47:QKG47 QUB47:QUC47 RDX47:RDY47 RNT47:RNU47 RXP47:RXQ47 SHL47:SHM47 SRH47:SRI47 TBD47:TBE47 TKZ47:TLA47 TUV47:TUW47 UER47:UES47 UON47:UOO47 UYJ47:UYK47 VIF47:VIG47 VSB47:VSC47 WBX47:WBY47 WLT47:WLU47 WVP47:WVQ47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H53:I53 JD53:JE53 SZ53:TA53 ACV53:ACW53 AMR53:AMS53 AWN53:AWO53 BGJ53:BGK53 BQF53:BQG53 CAB53:CAC53 CJX53:CJY53 CTT53:CTU53 DDP53:DDQ53 DNL53:DNM53 DXH53:DXI53 EHD53:EHE53 EQZ53:ERA53 FAV53:FAW53 FKR53:FKS53 FUN53:FUO53 GEJ53:GEK53 GOF53:GOG53 GYB53:GYC53 HHX53:HHY53 HRT53:HRU53 IBP53:IBQ53 ILL53:ILM53 IVH53:IVI53 JFD53:JFE53 JOZ53:JPA53 JYV53:JYW53 KIR53:KIS53 KSN53:KSO53 LCJ53:LCK53 LMF53:LMG53 LWB53:LWC53 MFX53:MFY53 MPT53:MPU53 MZP53:MZQ53 NJL53:NJM53 NTH53:NTI53 ODD53:ODE53 OMZ53:ONA53 OWV53:OWW53 PGR53:PGS53 PQN53:PQO53 QAJ53:QAK53 QKF53:QKG53 QUB53:QUC53 RDX53:RDY53 RNT53:RNU53 RXP53:RXQ53 SHL53:SHM53 SRH53:SRI53 TBD53:TBE53 TKZ53:TLA53 TUV53:TUW53 UER53:UES53 UON53:UOO53 UYJ53:UYK53 VIF53:VIG53 VSB53:VSC53 WBX53:WBY53 WLT53:WLU53 WVP53:WVQ53 H65589:I65589 JD65589:JE65589 SZ65589:TA65589 ACV65589:ACW65589 AMR65589:AMS65589 AWN65589:AWO65589 BGJ65589:BGK65589 BQF65589:BQG65589 CAB65589:CAC65589 CJX65589:CJY65589 CTT65589:CTU65589 DDP65589:DDQ65589 DNL65589:DNM65589 DXH65589:DXI65589 EHD65589:EHE65589 EQZ65589:ERA65589 FAV65589:FAW65589 FKR65589:FKS65589 FUN65589:FUO65589 GEJ65589:GEK65589 GOF65589:GOG65589 GYB65589:GYC65589 HHX65589:HHY65589 HRT65589:HRU65589 IBP65589:IBQ65589 ILL65589:ILM65589 IVH65589:IVI65589 JFD65589:JFE65589 JOZ65589:JPA65589 JYV65589:JYW65589 KIR65589:KIS65589 KSN65589:KSO65589 LCJ65589:LCK65589 LMF65589:LMG65589 LWB65589:LWC65589 MFX65589:MFY65589 MPT65589:MPU65589 MZP65589:MZQ65589 NJL65589:NJM65589 NTH65589:NTI65589 ODD65589:ODE65589 OMZ65589:ONA65589 OWV65589:OWW65589 PGR65589:PGS65589 PQN65589:PQO65589 QAJ65589:QAK65589 QKF65589:QKG65589 QUB65589:QUC65589 RDX65589:RDY65589 RNT65589:RNU65589 RXP65589:RXQ65589 SHL65589:SHM65589 SRH65589:SRI65589 TBD65589:TBE65589 TKZ65589:TLA65589 TUV65589:TUW65589 UER65589:UES65589 UON65589:UOO65589 UYJ65589:UYK65589 VIF65589:VIG65589 VSB65589:VSC65589 WBX65589:WBY65589 WLT65589:WLU65589 WVP65589:WVQ65589 H131125:I131125 JD131125:JE131125 SZ131125:TA131125 ACV131125:ACW131125 AMR131125:AMS131125 AWN131125:AWO131125 BGJ131125:BGK131125 BQF131125:BQG131125 CAB131125:CAC131125 CJX131125:CJY131125 CTT131125:CTU131125 DDP131125:DDQ131125 DNL131125:DNM131125 DXH131125:DXI131125 EHD131125:EHE131125 EQZ131125:ERA131125 FAV131125:FAW131125 FKR131125:FKS131125 FUN131125:FUO131125 GEJ131125:GEK131125 GOF131125:GOG131125 GYB131125:GYC131125 HHX131125:HHY131125 HRT131125:HRU131125 IBP131125:IBQ131125 ILL131125:ILM131125 IVH131125:IVI131125 JFD131125:JFE131125 JOZ131125:JPA131125 JYV131125:JYW131125 KIR131125:KIS131125 KSN131125:KSO131125 LCJ131125:LCK131125 LMF131125:LMG131125 LWB131125:LWC131125 MFX131125:MFY131125 MPT131125:MPU131125 MZP131125:MZQ131125 NJL131125:NJM131125 NTH131125:NTI131125 ODD131125:ODE131125 OMZ131125:ONA131125 OWV131125:OWW131125 PGR131125:PGS131125 PQN131125:PQO131125 QAJ131125:QAK131125 QKF131125:QKG131125 QUB131125:QUC131125 RDX131125:RDY131125 RNT131125:RNU131125 RXP131125:RXQ131125 SHL131125:SHM131125 SRH131125:SRI131125 TBD131125:TBE131125 TKZ131125:TLA131125 TUV131125:TUW131125 UER131125:UES131125 UON131125:UOO131125 UYJ131125:UYK131125 VIF131125:VIG131125 VSB131125:VSC131125 WBX131125:WBY131125 WLT131125:WLU131125 WVP131125:WVQ131125 H196661:I196661 JD196661:JE196661 SZ196661:TA196661 ACV196661:ACW196661 AMR196661:AMS196661 AWN196661:AWO196661 BGJ196661:BGK196661 BQF196661:BQG196661 CAB196661:CAC196661 CJX196661:CJY196661 CTT196661:CTU196661 DDP196661:DDQ196661 DNL196661:DNM196661 DXH196661:DXI196661 EHD196661:EHE196661 EQZ196661:ERA196661 FAV196661:FAW196661 FKR196661:FKS196661 FUN196661:FUO196661 GEJ196661:GEK196661 GOF196661:GOG196661 GYB196661:GYC196661 HHX196661:HHY196661 HRT196661:HRU196661 IBP196661:IBQ196661 ILL196661:ILM196661 IVH196661:IVI196661 JFD196661:JFE196661 JOZ196661:JPA196661 JYV196661:JYW196661 KIR196661:KIS196661 KSN196661:KSO196661 LCJ196661:LCK196661 LMF196661:LMG196661 LWB196661:LWC196661 MFX196661:MFY196661 MPT196661:MPU196661 MZP196661:MZQ196661 NJL196661:NJM196661 NTH196661:NTI196661 ODD196661:ODE196661 OMZ196661:ONA196661 OWV196661:OWW196661 PGR196661:PGS196661 PQN196661:PQO196661 QAJ196661:QAK196661 QKF196661:QKG196661 QUB196661:QUC196661 RDX196661:RDY196661 RNT196661:RNU196661 RXP196661:RXQ196661 SHL196661:SHM196661 SRH196661:SRI196661 TBD196661:TBE196661 TKZ196661:TLA196661 TUV196661:TUW196661 UER196661:UES196661 UON196661:UOO196661 UYJ196661:UYK196661 VIF196661:VIG196661 VSB196661:VSC196661 WBX196661:WBY196661 WLT196661:WLU196661 WVP196661:WVQ196661 H262197:I262197 JD262197:JE262197 SZ262197:TA262197 ACV262197:ACW262197 AMR262197:AMS262197 AWN262197:AWO262197 BGJ262197:BGK262197 BQF262197:BQG262197 CAB262197:CAC262197 CJX262197:CJY262197 CTT262197:CTU262197 DDP262197:DDQ262197 DNL262197:DNM262197 DXH262197:DXI262197 EHD262197:EHE262197 EQZ262197:ERA262197 FAV262197:FAW262197 FKR262197:FKS262197 FUN262197:FUO262197 GEJ262197:GEK262197 GOF262197:GOG262197 GYB262197:GYC262197 HHX262197:HHY262197 HRT262197:HRU262197 IBP262197:IBQ262197 ILL262197:ILM262197 IVH262197:IVI262197 JFD262197:JFE262197 JOZ262197:JPA262197 JYV262197:JYW262197 KIR262197:KIS262197 KSN262197:KSO262197 LCJ262197:LCK262197 LMF262197:LMG262197 LWB262197:LWC262197 MFX262197:MFY262197 MPT262197:MPU262197 MZP262197:MZQ262197 NJL262197:NJM262197 NTH262197:NTI262197 ODD262197:ODE262197 OMZ262197:ONA262197 OWV262197:OWW262197 PGR262197:PGS262197 PQN262197:PQO262197 QAJ262197:QAK262197 QKF262197:QKG262197 QUB262197:QUC262197 RDX262197:RDY262197 RNT262197:RNU262197 RXP262197:RXQ262197 SHL262197:SHM262197 SRH262197:SRI262197 TBD262197:TBE262197 TKZ262197:TLA262197 TUV262197:TUW262197 UER262197:UES262197 UON262197:UOO262197 UYJ262197:UYK262197 VIF262197:VIG262197 VSB262197:VSC262197 WBX262197:WBY262197 WLT262197:WLU262197 WVP262197:WVQ262197 H327733:I327733 JD327733:JE327733 SZ327733:TA327733 ACV327733:ACW327733 AMR327733:AMS327733 AWN327733:AWO327733 BGJ327733:BGK327733 BQF327733:BQG327733 CAB327733:CAC327733 CJX327733:CJY327733 CTT327733:CTU327733 DDP327733:DDQ327733 DNL327733:DNM327733 DXH327733:DXI327733 EHD327733:EHE327733 EQZ327733:ERA327733 FAV327733:FAW327733 FKR327733:FKS327733 FUN327733:FUO327733 GEJ327733:GEK327733 GOF327733:GOG327733 GYB327733:GYC327733 HHX327733:HHY327733 HRT327733:HRU327733 IBP327733:IBQ327733 ILL327733:ILM327733 IVH327733:IVI327733 JFD327733:JFE327733 JOZ327733:JPA327733 JYV327733:JYW327733 KIR327733:KIS327733 KSN327733:KSO327733 LCJ327733:LCK327733 LMF327733:LMG327733 LWB327733:LWC327733 MFX327733:MFY327733 MPT327733:MPU327733 MZP327733:MZQ327733 NJL327733:NJM327733 NTH327733:NTI327733 ODD327733:ODE327733 OMZ327733:ONA327733 OWV327733:OWW327733 PGR327733:PGS327733 PQN327733:PQO327733 QAJ327733:QAK327733 QKF327733:QKG327733 QUB327733:QUC327733 RDX327733:RDY327733 RNT327733:RNU327733 RXP327733:RXQ327733 SHL327733:SHM327733 SRH327733:SRI327733 TBD327733:TBE327733 TKZ327733:TLA327733 TUV327733:TUW327733 UER327733:UES327733 UON327733:UOO327733 UYJ327733:UYK327733 VIF327733:VIG327733 VSB327733:VSC327733 WBX327733:WBY327733 WLT327733:WLU327733 WVP327733:WVQ327733 H393269:I393269 JD393269:JE393269 SZ393269:TA393269 ACV393269:ACW393269 AMR393269:AMS393269 AWN393269:AWO393269 BGJ393269:BGK393269 BQF393269:BQG393269 CAB393269:CAC393269 CJX393269:CJY393269 CTT393269:CTU393269 DDP393269:DDQ393269 DNL393269:DNM393269 DXH393269:DXI393269 EHD393269:EHE393269 EQZ393269:ERA393269 FAV393269:FAW393269 FKR393269:FKS393269 FUN393269:FUO393269 GEJ393269:GEK393269 GOF393269:GOG393269 GYB393269:GYC393269 HHX393269:HHY393269 HRT393269:HRU393269 IBP393269:IBQ393269 ILL393269:ILM393269 IVH393269:IVI393269 JFD393269:JFE393269 JOZ393269:JPA393269 JYV393269:JYW393269 KIR393269:KIS393269 KSN393269:KSO393269 LCJ393269:LCK393269 LMF393269:LMG393269 LWB393269:LWC393269 MFX393269:MFY393269 MPT393269:MPU393269 MZP393269:MZQ393269 NJL393269:NJM393269 NTH393269:NTI393269 ODD393269:ODE393269 OMZ393269:ONA393269 OWV393269:OWW393269 PGR393269:PGS393269 PQN393269:PQO393269 QAJ393269:QAK393269 QKF393269:QKG393269 QUB393269:QUC393269 RDX393269:RDY393269 RNT393269:RNU393269 RXP393269:RXQ393269 SHL393269:SHM393269 SRH393269:SRI393269 TBD393269:TBE393269 TKZ393269:TLA393269 TUV393269:TUW393269 UER393269:UES393269 UON393269:UOO393269 UYJ393269:UYK393269 VIF393269:VIG393269 VSB393269:VSC393269 WBX393269:WBY393269 WLT393269:WLU393269 WVP393269:WVQ393269 H458805:I458805 JD458805:JE458805 SZ458805:TA458805 ACV458805:ACW458805 AMR458805:AMS458805 AWN458805:AWO458805 BGJ458805:BGK458805 BQF458805:BQG458805 CAB458805:CAC458805 CJX458805:CJY458805 CTT458805:CTU458805 DDP458805:DDQ458805 DNL458805:DNM458805 DXH458805:DXI458805 EHD458805:EHE458805 EQZ458805:ERA458805 FAV458805:FAW458805 FKR458805:FKS458805 FUN458805:FUO458805 GEJ458805:GEK458805 GOF458805:GOG458805 GYB458805:GYC458805 HHX458805:HHY458805 HRT458805:HRU458805 IBP458805:IBQ458805 ILL458805:ILM458805 IVH458805:IVI458805 JFD458805:JFE458805 JOZ458805:JPA458805 JYV458805:JYW458805 KIR458805:KIS458805 KSN458805:KSO458805 LCJ458805:LCK458805 LMF458805:LMG458805 LWB458805:LWC458805 MFX458805:MFY458805 MPT458805:MPU458805 MZP458805:MZQ458805 NJL458805:NJM458805 NTH458805:NTI458805 ODD458805:ODE458805 OMZ458805:ONA458805 OWV458805:OWW458805 PGR458805:PGS458805 PQN458805:PQO458805 QAJ458805:QAK458805 QKF458805:QKG458805 QUB458805:QUC458805 RDX458805:RDY458805 RNT458805:RNU458805 RXP458805:RXQ458805 SHL458805:SHM458805 SRH458805:SRI458805 TBD458805:TBE458805 TKZ458805:TLA458805 TUV458805:TUW458805 UER458805:UES458805 UON458805:UOO458805 UYJ458805:UYK458805 VIF458805:VIG458805 VSB458805:VSC458805 WBX458805:WBY458805 WLT458805:WLU458805 WVP458805:WVQ458805 H524341:I524341 JD524341:JE524341 SZ524341:TA524341 ACV524341:ACW524341 AMR524341:AMS524341 AWN524341:AWO524341 BGJ524341:BGK524341 BQF524341:BQG524341 CAB524341:CAC524341 CJX524341:CJY524341 CTT524341:CTU524341 DDP524341:DDQ524341 DNL524341:DNM524341 DXH524341:DXI524341 EHD524341:EHE524341 EQZ524341:ERA524341 FAV524341:FAW524341 FKR524341:FKS524341 FUN524341:FUO524341 GEJ524341:GEK524341 GOF524341:GOG524341 GYB524341:GYC524341 HHX524341:HHY524341 HRT524341:HRU524341 IBP524341:IBQ524341 ILL524341:ILM524341 IVH524341:IVI524341 JFD524341:JFE524341 JOZ524341:JPA524341 JYV524341:JYW524341 KIR524341:KIS524341 KSN524341:KSO524341 LCJ524341:LCK524341 LMF524341:LMG524341 LWB524341:LWC524341 MFX524341:MFY524341 MPT524341:MPU524341 MZP524341:MZQ524341 NJL524341:NJM524341 NTH524341:NTI524341 ODD524341:ODE524341 OMZ524341:ONA524341 OWV524341:OWW524341 PGR524341:PGS524341 PQN524341:PQO524341 QAJ524341:QAK524341 QKF524341:QKG524341 QUB524341:QUC524341 RDX524341:RDY524341 RNT524341:RNU524341 RXP524341:RXQ524341 SHL524341:SHM524341 SRH524341:SRI524341 TBD524341:TBE524341 TKZ524341:TLA524341 TUV524341:TUW524341 UER524341:UES524341 UON524341:UOO524341 UYJ524341:UYK524341 VIF524341:VIG524341 VSB524341:VSC524341 WBX524341:WBY524341 WLT524341:WLU524341 WVP524341:WVQ524341 H589877:I589877 JD589877:JE589877 SZ589877:TA589877 ACV589877:ACW589877 AMR589877:AMS589877 AWN589877:AWO589877 BGJ589877:BGK589877 BQF589877:BQG589877 CAB589877:CAC589877 CJX589877:CJY589877 CTT589877:CTU589877 DDP589877:DDQ589877 DNL589877:DNM589877 DXH589877:DXI589877 EHD589877:EHE589877 EQZ589877:ERA589877 FAV589877:FAW589877 FKR589877:FKS589877 FUN589877:FUO589877 GEJ589877:GEK589877 GOF589877:GOG589877 GYB589877:GYC589877 HHX589877:HHY589877 HRT589877:HRU589877 IBP589877:IBQ589877 ILL589877:ILM589877 IVH589877:IVI589877 JFD589877:JFE589877 JOZ589877:JPA589877 JYV589877:JYW589877 KIR589877:KIS589877 KSN589877:KSO589877 LCJ589877:LCK589877 LMF589877:LMG589877 LWB589877:LWC589877 MFX589877:MFY589877 MPT589877:MPU589877 MZP589877:MZQ589877 NJL589877:NJM589877 NTH589877:NTI589877 ODD589877:ODE589877 OMZ589877:ONA589877 OWV589877:OWW589877 PGR589877:PGS589877 PQN589877:PQO589877 QAJ589877:QAK589877 QKF589877:QKG589877 QUB589877:QUC589877 RDX589877:RDY589877 RNT589877:RNU589877 RXP589877:RXQ589877 SHL589877:SHM589877 SRH589877:SRI589877 TBD589877:TBE589877 TKZ589877:TLA589877 TUV589877:TUW589877 UER589877:UES589877 UON589877:UOO589877 UYJ589877:UYK589877 VIF589877:VIG589877 VSB589877:VSC589877 WBX589877:WBY589877 WLT589877:WLU589877 WVP589877:WVQ589877 H655413:I655413 JD655413:JE655413 SZ655413:TA655413 ACV655413:ACW655413 AMR655413:AMS655413 AWN655413:AWO655413 BGJ655413:BGK655413 BQF655413:BQG655413 CAB655413:CAC655413 CJX655413:CJY655413 CTT655413:CTU655413 DDP655413:DDQ655413 DNL655413:DNM655413 DXH655413:DXI655413 EHD655413:EHE655413 EQZ655413:ERA655413 FAV655413:FAW655413 FKR655413:FKS655413 FUN655413:FUO655413 GEJ655413:GEK655413 GOF655413:GOG655413 GYB655413:GYC655413 HHX655413:HHY655413 HRT655413:HRU655413 IBP655413:IBQ655413 ILL655413:ILM655413 IVH655413:IVI655413 JFD655413:JFE655413 JOZ655413:JPA655413 JYV655413:JYW655413 KIR655413:KIS655413 KSN655413:KSO655413 LCJ655413:LCK655413 LMF655413:LMG655413 LWB655413:LWC655413 MFX655413:MFY655413 MPT655413:MPU655413 MZP655413:MZQ655413 NJL655413:NJM655413 NTH655413:NTI655413 ODD655413:ODE655413 OMZ655413:ONA655413 OWV655413:OWW655413 PGR655413:PGS655413 PQN655413:PQO655413 QAJ655413:QAK655413 QKF655413:QKG655413 QUB655413:QUC655413 RDX655413:RDY655413 RNT655413:RNU655413 RXP655413:RXQ655413 SHL655413:SHM655413 SRH655413:SRI655413 TBD655413:TBE655413 TKZ655413:TLA655413 TUV655413:TUW655413 UER655413:UES655413 UON655413:UOO655413 UYJ655413:UYK655413 VIF655413:VIG655413 VSB655413:VSC655413 WBX655413:WBY655413 WLT655413:WLU655413 WVP655413:WVQ655413 H720949:I720949 JD720949:JE720949 SZ720949:TA720949 ACV720949:ACW720949 AMR720949:AMS720949 AWN720949:AWO720949 BGJ720949:BGK720949 BQF720949:BQG720949 CAB720949:CAC720949 CJX720949:CJY720949 CTT720949:CTU720949 DDP720949:DDQ720949 DNL720949:DNM720949 DXH720949:DXI720949 EHD720949:EHE720949 EQZ720949:ERA720949 FAV720949:FAW720949 FKR720949:FKS720949 FUN720949:FUO720949 GEJ720949:GEK720949 GOF720949:GOG720949 GYB720949:GYC720949 HHX720949:HHY720949 HRT720949:HRU720949 IBP720949:IBQ720949 ILL720949:ILM720949 IVH720949:IVI720949 JFD720949:JFE720949 JOZ720949:JPA720949 JYV720949:JYW720949 KIR720949:KIS720949 KSN720949:KSO720949 LCJ720949:LCK720949 LMF720949:LMG720949 LWB720949:LWC720949 MFX720949:MFY720949 MPT720949:MPU720949 MZP720949:MZQ720949 NJL720949:NJM720949 NTH720949:NTI720949 ODD720949:ODE720949 OMZ720949:ONA720949 OWV720949:OWW720949 PGR720949:PGS720949 PQN720949:PQO720949 QAJ720949:QAK720949 QKF720949:QKG720949 QUB720949:QUC720949 RDX720949:RDY720949 RNT720949:RNU720949 RXP720949:RXQ720949 SHL720949:SHM720949 SRH720949:SRI720949 TBD720949:TBE720949 TKZ720949:TLA720949 TUV720949:TUW720949 UER720949:UES720949 UON720949:UOO720949 UYJ720949:UYK720949 VIF720949:VIG720949 VSB720949:VSC720949 WBX720949:WBY720949 WLT720949:WLU720949 WVP720949:WVQ720949 H786485:I786485 JD786485:JE786485 SZ786485:TA786485 ACV786485:ACW786485 AMR786485:AMS786485 AWN786485:AWO786485 BGJ786485:BGK786485 BQF786485:BQG786485 CAB786485:CAC786485 CJX786485:CJY786485 CTT786485:CTU786485 DDP786485:DDQ786485 DNL786485:DNM786485 DXH786485:DXI786485 EHD786485:EHE786485 EQZ786485:ERA786485 FAV786485:FAW786485 FKR786485:FKS786485 FUN786485:FUO786485 GEJ786485:GEK786485 GOF786485:GOG786485 GYB786485:GYC786485 HHX786485:HHY786485 HRT786485:HRU786485 IBP786485:IBQ786485 ILL786485:ILM786485 IVH786485:IVI786485 JFD786485:JFE786485 JOZ786485:JPA786485 JYV786485:JYW786485 KIR786485:KIS786485 KSN786485:KSO786485 LCJ786485:LCK786485 LMF786485:LMG786485 LWB786485:LWC786485 MFX786485:MFY786485 MPT786485:MPU786485 MZP786485:MZQ786485 NJL786485:NJM786485 NTH786485:NTI786485 ODD786485:ODE786485 OMZ786485:ONA786485 OWV786485:OWW786485 PGR786485:PGS786485 PQN786485:PQO786485 QAJ786485:QAK786485 QKF786485:QKG786485 QUB786485:QUC786485 RDX786485:RDY786485 RNT786485:RNU786485 RXP786485:RXQ786485 SHL786485:SHM786485 SRH786485:SRI786485 TBD786485:TBE786485 TKZ786485:TLA786485 TUV786485:TUW786485 UER786485:UES786485 UON786485:UOO786485 UYJ786485:UYK786485 VIF786485:VIG786485 VSB786485:VSC786485 WBX786485:WBY786485 WLT786485:WLU786485 WVP786485:WVQ786485 H852021:I852021 JD852021:JE852021 SZ852021:TA852021 ACV852021:ACW852021 AMR852021:AMS852021 AWN852021:AWO852021 BGJ852021:BGK852021 BQF852021:BQG852021 CAB852021:CAC852021 CJX852021:CJY852021 CTT852021:CTU852021 DDP852021:DDQ852021 DNL852021:DNM852021 DXH852021:DXI852021 EHD852021:EHE852021 EQZ852021:ERA852021 FAV852021:FAW852021 FKR852021:FKS852021 FUN852021:FUO852021 GEJ852021:GEK852021 GOF852021:GOG852021 GYB852021:GYC852021 HHX852021:HHY852021 HRT852021:HRU852021 IBP852021:IBQ852021 ILL852021:ILM852021 IVH852021:IVI852021 JFD852021:JFE852021 JOZ852021:JPA852021 JYV852021:JYW852021 KIR852021:KIS852021 KSN852021:KSO852021 LCJ852021:LCK852021 LMF852021:LMG852021 LWB852021:LWC852021 MFX852021:MFY852021 MPT852021:MPU852021 MZP852021:MZQ852021 NJL852021:NJM852021 NTH852021:NTI852021 ODD852021:ODE852021 OMZ852021:ONA852021 OWV852021:OWW852021 PGR852021:PGS852021 PQN852021:PQO852021 QAJ852021:QAK852021 QKF852021:QKG852021 QUB852021:QUC852021 RDX852021:RDY852021 RNT852021:RNU852021 RXP852021:RXQ852021 SHL852021:SHM852021 SRH852021:SRI852021 TBD852021:TBE852021 TKZ852021:TLA852021 TUV852021:TUW852021 UER852021:UES852021 UON852021:UOO852021 UYJ852021:UYK852021 VIF852021:VIG852021 VSB852021:VSC852021 WBX852021:WBY852021 WLT852021:WLU852021 WVP852021:WVQ852021 H917557:I917557 JD917557:JE917557 SZ917557:TA917557 ACV917557:ACW917557 AMR917557:AMS917557 AWN917557:AWO917557 BGJ917557:BGK917557 BQF917557:BQG917557 CAB917557:CAC917557 CJX917557:CJY917557 CTT917557:CTU917557 DDP917557:DDQ917557 DNL917557:DNM917557 DXH917557:DXI917557 EHD917557:EHE917557 EQZ917557:ERA917557 FAV917557:FAW917557 FKR917557:FKS917557 FUN917557:FUO917557 GEJ917557:GEK917557 GOF917557:GOG917557 GYB917557:GYC917557 HHX917557:HHY917557 HRT917557:HRU917557 IBP917557:IBQ917557 ILL917557:ILM917557 IVH917557:IVI917557 JFD917557:JFE917557 JOZ917557:JPA917557 JYV917557:JYW917557 KIR917557:KIS917557 KSN917557:KSO917557 LCJ917557:LCK917557 LMF917557:LMG917557 LWB917557:LWC917557 MFX917557:MFY917557 MPT917557:MPU917557 MZP917557:MZQ917557 NJL917557:NJM917557 NTH917557:NTI917557 ODD917557:ODE917557 OMZ917557:ONA917557 OWV917557:OWW917557 PGR917557:PGS917557 PQN917557:PQO917557 QAJ917557:QAK917557 QKF917557:QKG917557 QUB917557:QUC917557 RDX917557:RDY917557 RNT917557:RNU917557 RXP917557:RXQ917557 SHL917557:SHM917557 SRH917557:SRI917557 TBD917557:TBE917557 TKZ917557:TLA917557 TUV917557:TUW917557 UER917557:UES917557 UON917557:UOO917557 UYJ917557:UYK917557 VIF917557:VIG917557 VSB917557:VSC917557 WBX917557:WBY917557 WLT917557:WLU917557 WVP917557:WVQ917557 H983093:I983093 JD983093:JE983093 SZ983093:TA983093 ACV983093:ACW983093 AMR983093:AMS983093 AWN983093:AWO983093 BGJ983093:BGK983093 BQF983093:BQG983093 CAB983093:CAC983093 CJX983093:CJY983093 CTT983093:CTU983093 DDP983093:DDQ983093 DNL983093:DNM983093 DXH983093:DXI983093 EHD983093:EHE983093 EQZ983093:ERA983093 FAV983093:FAW983093 FKR983093:FKS983093 FUN983093:FUO983093 GEJ983093:GEK983093 GOF983093:GOG983093 GYB983093:GYC983093 HHX983093:HHY983093 HRT983093:HRU983093 IBP983093:IBQ983093 ILL983093:ILM983093 IVH983093:IVI983093 JFD983093:JFE983093 JOZ983093:JPA983093 JYV983093:JYW983093 KIR983093:KIS983093 KSN983093:KSO983093 LCJ983093:LCK983093 LMF983093:LMG983093 LWB983093:LWC983093 MFX983093:MFY983093 MPT983093:MPU983093 MZP983093:MZQ983093 NJL983093:NJM983093 NTH983093:NTI983093 ODD983093:ODE983093 OMZ983093:ONA983093 OWV983093:OWW983093 PGR983093:PGS983093 PQN983093:PQO983093 QAJ983093:QAK983093 QKF983093:QKG983093 QUB983093:QUC983093 RDX983093:RDY983093 RNT983093:RNU983093 RXP983093:RXQ983093 SHL983093:SHM983093 SRH983093:SRI983093 TBD983093:TBE983093 TKZ983093:TLA983093 TUV983093:TUW983093 UER983093:UES983093 UON983093:UOO983093 UYJ983093:UYK983093 VIF983093:VIG983093 VSB983093:VSC983093 WBX983093:WBY983093 WLT983093:WLU983093 WVP983093:WVQ983093">
      <formula1>$Q$68:$Q$71</formula1>
    </dataValidation>
    <dataValidation type="list" allowBlank="1" showInputMessage="1" showErrorMessage="1" sqref="H26">
      <formula1>YesNo</formula1>
    </dataValidation>
  </dataValidations>
  <hyperlinks>
    <hyperlink ref="A1" location="'Table Of Contents'!A1" display="TOC"/>
  </hyperlinks>
  <pageMargins left="0.25" right="0.25" top="0.75" bottom="0.75" header="0.3" footer="0.3"/>
  <pageSetup scale="59" fitToHeight="0" orientation="portrait" r:id="rId1"/>
  <headerFooter alignWithMargins="0"/>
  <rowBreaks count="3" manualBreakCount="3">
    <brk id="36" min="1" max="9" man="1"/>
    <brk id="54" min="1" max="9" man="1"/>
    <brk id="67" min="1" max="9"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"Yes,No,NA"</xm:f>
          </x14:formula1>
          <xm:sqref>WVQ983106:WVQ983107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H28:I35 JD28:JE35 SZ28:TA35 ACV28:ACW35 AMR28:AMS35 AWN28:AWO35 BGJ28:BGK35 BQF28:BQG35 CAB28:CAC35 CJX28:CJY35 CTT28:CTU35 DDP28:DDQ35 DNL28:DNM35 DXH28:DXI35 EHD28:EHE35 EQZ28:ERA35 FAV28:FAW35 FKR28:FKS35 FUN28:FUO35 GEJ28:GEK35 GOF28:GOG35 GYB28:GYC35 HHX28:HHY35 HRT28:HRU35 IBP28:IBQ35 ILL28:ILM35 IVH28:IVI35 JFD28:JFE35 JOZ28:JPA35 JYV28:JYW35 KIR28:KIS35 KSN28:KSO35 LCJ28:LCK35 LMF28:LMG35 LWB28:LWC35 MFX28:MFY35 MPT28:MPU35 MZP28:MZQ35 NJL28:NJM35 NTH28:NTI35 ODD28:ODE35 OMZ28:ONA35 OWV28:OWW35 PGR28:PGS35 PQN28:PQO35 QAJ28:QAK35 QKF28:QKG35 QUB28:QUC35 RDX28:RDY35 RNT28:RNU35 RXP28:RXQ35 SHL28:SHM35 SRH28:SRI35 TBD28:TBE35 TKZ28:TLA35 TUV28:TUW35 UER28:UES35 UON28:UOO35 UYJ28:UYK35 VIF28:VIG35 VSB28:VSC35 WBX28:WBY35 WLT28:WLU35 WVP28:WVQ35 H65564:I65571 JD65564:JE65571 SZ65564:TA65571 ACV65564:ACW65571 AMR65564:AMS65571 AWN65564:AWO65571 BGJ65564:BGK65571 BQF65564:BQG65571 CAB65564:CAC65571 CJX65564:CJY65571 CTT65564:CTU65571 DDP65564:DDQ65571 DNL65564:DNM65571 DXH65564:DXI65571 EHD65564:EHE65571 EQZ65564:ERA65571 FAV65564:FAW65571 FKR65564:FKS65571 FUN65564:FUO65571 GEJ65564:GEK65571 GOF65564:GOG65571 GYB65564:GYC65571 HHX65564:HHY65571 HRT65564:HRU65571 IBP65564:IBQ65571 ILL65564:ILM65571 IVH65564:IVI65571 JFD65564:JFE65571 JOZ65564:JPA65571 JYV65564:JYW65571 KIR65564:KIS65571 KSN65564:KSO65571 LCJ65564:LCK65571 LMF65564:LMG65571 LWB65564:LWC65571 MFX65564:MFY65571 MPT65564:MPU65571 MZP65564:MZQ65571 NJL65564:NJM65571 NTH65564:NTI65571 ODD65564:ODE65571 OMZ65564:ONA65571 OWV65564:OWW65571 PGR65564:PGS65571 PQN65564:PQO65571 QAJ65564:QAK65571 QKF65564:QKG65571 QUB65564:QUC65571 RDX65564:RDY65571 RNT65564:RNU65571 RXP65564:RXQ65571 SHL65564:SHM65571 SRH65564:SRI65571 TBD65564:TBE65571 TKZ65564:TLA65571 TUV65564:TUW65571 UER65564:UES65571 UON65564:UOO65571 UYJ65564:UYK65571 VIF65564:VIG65571 VSB65564:VSC65571 WBX65564:WBY65571 WLT65564:WLU65571 WVP65564:WVQ65571 H131100:I131107 JD131100:JE131107 SZ131100:TA131107 ACV131100:ACW131107 AMR131100:AMS131107 AWN131100:AWO131107 BGJ131100:BGK131107 BQF131100:BQG131107 CAB131100:CAC131107 CJX131100:CJY131107 CTT131100:CTU131107 DDP131100:DDQ131107 DNL131100:DNM131107 DXH131100:DXI131107 EHD131100:EHE131107 EQZ131100:ERA131107 FAV131100:FAW131107 FKR131100:FKS131107 FUN131100:FUO131107 GEJ131100:GEK131107 GOF131100:GOG131107 GYB131100:GYC131107 HHX131100:HHY131107 HRT131100:HRU131107 IBP131100:IBQ131107 ILL131100:ILM131107 IVH131100:IVI131107 JFD131100:JFE131107 JOZ131100:JPA131107 JYV131100:JYW131107 KIR131100:KIS131107 KSN131100:KSO131107 LCJ131100:LCK131107 LMF131100:LMG131107 LWB131100:LWC131107 MFX131100:MFY131107 MPT131100:MPU131107 MZP131100:MZQ131107 NJL131100:NJM131107 NTH131100:NTI131107 ODD131100:ODE131107 OMZ131100:ONA131107 OWV131100:OWW131107 PGR131100:PGS131107 PQN131100:PQO131107 QAJ131100:QAK131107 QKF131100:QKG131107 QUB131100:QUC131107 RDX131100:RDY131107 RNT131100:RNU131107 RXP131100:RXQ131107 SHL131100:SHM131107 SRH131100:SRI131107 TBD131100:TBE131107 TKZ131100:TLA131107 TUV131100:TUW131107 UER131100:UES131107 UON131100:UOO131107 UYJ131100:UYK131107 VIF131100:VIG131107 VSB131100:VSC131107 WBX131100:WBY131107 WLT131100:WLU131107 WVP131100:WVQ131107 H196636:I196643 JD196636:JE196643 SZ196636:TA196643 ACV196636:ACW196643 AMR196636:AMS196643 AWN196636:AWO196643 BGJ196636:BGK196643 BQF196636:BQG196643 CAB196636:CAC196643 CJX196636:CJY196643 CTT196636:CTU196643 DDP196636:DDQ196643 DNL196636:DNM196643 DXH196636:DXI196643 EHD196636:EHE196643 EQZ196636:ERA196643 FAV196636:FAW196643 FKR196636:FKS196643 FUN196636:FUO196643 GEJ196636:GEK196643 GOF196636:GOG196643 GYB196636:GYC196643 HHX196636:HHY196643 HRT196636:HRU196643 IBP196636:IBQ196643 ILL196636:ILM196643 IVH196636:IVI196643 JFD196636:JFE196643 JOZ196636:JPA196643 JYV196636:JYW196643 KIR196636:KIS196643 KSN196636:KSO196643 LCJ196636:LCK196643 LMF196636:LMG196643 LWB196636:LWC196643 MFX196636:MFY196643 MPT196636:MPU196643 MZP196636:MZQ196643 NJL196636:NJM196643 NTH196636:NTI196643 ODD196636:ODE196643 OMZ196636:ONA196643 OWV196636:OWW196643 PGR196636:PGS196643 PQN196636:PQO196643 QAJ196636:QAK196643 QKF196636:QKG196643 QUB196636:QUC196643 RDX196636:RDY196643 RNT196636:RNU196643 RXP196636:RXQ196643 SHL196636:SHM196643 SRH196636:SRI196643 TBD196636:TBE196643 TKZ196636:TLA196643 TUV196636:TUW196643 UER196636:UES196643 UON196636:UOO196643 UYJ196636:UYK196643 VIF196636:VIG196643 VSB196636:VSC196643 WBX196636:WBY196643 WLT196636:WLU196643 WVP196636:WVQ196643 H262172:I262179 JD262172:JE262179 SZ262172:TA262179 ACV262172:ACW262179 AMR262172:AMS262179 AWN262172:AWO262179 BGJ262172:BGK262179 BQF262172:BQG262179 CAB262172:CAC262179 CJX262172:CJY262179 CTT262172:CTU262179 DDP262172:DDQ262179 DNL262172:DNM262179 DXH262172:DXI262179 EHD262172:EHE262179 EQZ262172:ERA262179 FAV262172:FAW262179 FKR262172:FKS262179 FUN262172:FUO262179 GEJ262172:GEK262179 GOF262172:GOG262179 GYB262172:GYC262179 HHX262172:HHY262179 HRT262172:HRU262179 IBP262172:IBQ262179 ILL262172:ILM262179 IVH262172:IVI262179 JFD262172:JFE262179 JOZ262172:JPA262179 JYV262172:JYW262179 KIR262172:KIS262179 KSN262172:KSO262179 LCJ262172:LCK262179 LMF262172:LMG262179 LWB262172:LWC262179 MFX262172:MFY262179 MPT262172:MPU262179 MZP262172:MZQ262179 NJL262172:NJM262179 NTH262172:NTI262179 ODD262172:ODE262179 OMZ262172:ONA262179 OWV262172:OWW262179 PGR262172:PGS262179 PQN262172:PQO262179 QAJ262172:QAK262179 QKF262172:QKG262179 QUB262172:QUC262179 RDX262172:RDY262179 RNT262172:RNU262179 RXP262172:RXQ262179 SHL262172:SHM262179 SRH262172:SRI262179 TBD262172:TBE262179 TKZ262172:TLA262179 TUV262172:TUW262179 UER262172:UES262179 UON262172:UOO262179 UYJ262172:UYK262179 VIF262172:VIG262179 VSB262172:VSC262179 WBX262172:WBY262179 WLT262172:WLU262179 WVP262172:WVQ262179 H327708:I327715 JD327708:JE327715 SZ327708:TA327715 ACV327708:ACW327715 AMR327708:AMS327715 AWN327708:AWO327715 BGJ327708:BGK327715 BQF327708:BQG327715 CAB327708:CAC327715 CJX327708:CJY327715 CTT327708:CTU327715 DDP327708:DDQ327715 DNL327708:DNM327715 DXH327708:DXI327715 EHD327708:EHE327715 EQZ327708:ERA327715 FAV327708:FAW327715 FKR327708:FKS327715 FUN327708:FUO327715 GEJ327708:GEK327715 GOF327708:GOG327715 GYB327708:GYC327715 HHX327708:HHY327715 HRT327708:HRU327715 IBP327708:IBQ327715 ILL327708:ILM327715 IVH327708:IVI327715 JFD327708:JFE327715 JOZ327708:JPA327715 JYV327708:JYW327715 KIR327708:KIS327715 KSN327708:KSO327715 LCJ327708:LCK327715 LMF327708:LMG327715 LWB327708:LWC327715 MFX327708:MFY327715 MPT327708:MPU327715 MZP327708:MZQ327715 NJL327708:NJM327715 NTH327708:NTI327715 ODD327708:ODE327715 OMZ327708:ONA327715 OWV327708:OWW327715 PGR327708:PGS327715 PQN327708:PQO327715 QAJ327708:QAK327715 QKF327708:QKG327715 QUB327708:QUC327715 RDX327708:RDY327715 RNT327708:RNU327715 RXP327708:RXQ327715 SHL327708:SHM327715 SRH327708:SRI327715 TBD327708:TBE327715 TKZ327708:TLA327715 TUV327708:TUW327715 UER327708:UES327715 UON327708:UOO327715 UYJ327708:UYK327715 VIF327708:VIG327715 VSB327708:VSC327715 WBX327708:WBY327715 WLT327708:WLU327715 WVP327708:WVQ327715 H393244:I393251 JD393244:JE393251 SZ393244:TA393251 ACV393244:ACW393251 AMR393244:AMS393251 AWN393244:AWO393251 BGJ393244:BGK393251 BQF393244:BQG393251 CAB393244:CAC393251 CJX393244:CJY393251 CTT393244:CTU393251 DDP393244:DDQ393251 DNL393244:DNM393251 DXH393244:DXI393251 EHD393244:EHE393251 EQZ393244:ERA393251 FAV393244:FAW393251 FKR393244:FKS393251 FUN393244:FUO393251 GEJ393244:GEK393251 GOF393244:GOG393251 GYB393244:GYC393251 HHX393244:HHY393251 HRT393244:HRU393251 IBP393244:IBQ393251 ILL393244:ILM393251 IVH393244:IVI393251 JFD393244:JFE393251 JOZ393244:JPA393251 JYV393244:JYW393251 KIR393244:KIS393251 KSN393244:KSO393251 LCJ393244:LCK393251 LMF393244:LMG393251 LWB393244:LWC393251 MFX393244:MFY393251 MPT393244:MPU393251 MZP393244:MZQ393251 NJL393244:NJM393251 NTH393244:NTI393251 ODD393244:ODE393251 OMZ393244:ONA393251 OWV393244:OWW393251 PGR393244:PGS393251 PQN393244:PQO393251 QAJ393244:QAK393251 QKF393244:QKG393251 QUB393244:QUC393251 RDX393244:RDY393251 RNT393244:RNU393251 RXP393244:RXQ393251 SHL393244:SHM393251 SRH393244:SRI393251 TBD393244:TBE393251 TKZ393244:TLA393251 TUV393244:TUW393251 UER393244:UES393251 UON393244:UOO393251 UYJ393244:UYK393251 VIF393244:VIG393251 VSB393244:VSC393251 WBX393244:WBY393251 WLT393244:WLU393251 WVP393244:WVQ393251 H458780:I458787 JD458780:JE458787 SZ458780:TA458787 ACV458780:ACW458787 AMR458780:AMS458787 AWN458780:AWO458787 BGJ458780:BGK458787 BQF458780:BQG458787 CAB458780:CAC458787 CJX458780:CJY458787 CTT458780:CTU458787 DDP458780:DDQ458787 DNL458780:DNM458787 DXH458780:DXI458787 EHD458780:EHE458787 EQZ458780:ERA458787 FAV458780:FAW458787 FKR458780:FKS458787 FUN458780:FUO458787 GEJ458780:GEK458787 GOF458780:GOG458787 GYB458780:GYC458787 HHX458780:HHY458787 HRT458780:HRU458787 IBP458780:IBQ458787 ILL458780:ILM458787 IVH458780:IVI458787 JFD458780:JFE458787 JOZ458780:JPA458787 JYV458780:JYW458787 KIR458780:KIS458787 KSN458780:KSO458787 LCJ458780:LCK458787 LMF458780:LMG458787 LWB458780:LWC458787 MFX458780:MFY458787 MPT458780:MPU458787 MZP458780:MZQ458787 NJL458780:NJM458787 NTH458780:NTI458787 ODD458780:ODE458787 OMZ458780:ONA458787 OWV458780:OWW458787 PGR458780:PGS458787 PQN458780:PQO458787 QAJ458780:QAK458787 QKF458780:QKG458787 QUB458780:QUC458787 RDX458780:RDY458787 RNT458780:RNU458787 RXP458780:RXQ458787 SHL458780:SHM458787 SRH458780:SRI458787 TBD458780:TBE458787 TKZ458780:TLA458787 TUV458780:TUW458787 UER458780:UES458787 UON458780:UOO458787 UYJ458780:UYK458787 VIF458780:VIG458787 VSB458780:VSC458787 WBX458780:WBY458787 WLT458780:WLU458787 WVP458780:WVQ458787 H524316:I524323 JD524316:JE524323 SZ524316:TA524323 ACV524316:ACW524323 AMR524316:AMS524323 AWN524316:AWO524323 BGJ524316:BGK524323 BQF524316:BQG524323 CAB524316:CAC524323 CJX524316:CJY524323 CTT524316:CTU524323 DDP524316:DDQ524323 DNL524316:DNM524323 DXH524316:DXI524323 EHD524316:EHE524323 EQZ524316:ERA524323 FAV524316:FAW524323 FKR524316:FKS524323 FUN524316:FUO524323 GEJ524316:GEK524323 GOF524316:GOG524323 GYB524316:GYC524323 HHX524316:HHY524323 HRT524316:HRU524323 IBP524316:IBQ524323 ILL524316:ILM524323 IVH524316:IVI524323 JFD524316:JFE524323 JOZ524316:JPA524323 JYV524316:JYW524323 KIR524316:KIS524323 KSN524316:KSO524323 LCJ524316:LCK524323 LMF524316:LMG524323 LWB524316:LWC524323 MFX524316:MFY524323 MPT524316:MPU524323 MZP524316:MZQ524323 NJL524316:NJM524323 NTH524316:NTI524323 ODD524316:ODE524323 OMZ524316:ONA524323 OWV524316:OWW524323 PGR524316:PGS524323 PQN524316:PQO524323 QAJ524316:QAK524323 QKF524316:QKG524323 QUB524316:QUC524323 RDX524316:RDY524323 RNT524316:RNU524323 RXP524316:RXQ524323 SHL524316:SHM524323 SRH524316:SRI524323 TBD524316:TBE524323 TKZ524316:TLA524323 TUV524316:TUW524323 UER524316:UES524323 UON524316:UOO524323 UYJ524316:UYK524323 VIF524316:VIG524323 VSB524316:VSC524323 WBX524316:WBY524323 WLT524316:WLU524323 WVP524316:WVQ524323 H589852:I589859 JD589852:JE589859 SZ589852:TA589859 ACV589852:ACW589859 AMR589852:AMS589859 AWN589852:AWO589859 BGJ589852:BGK589859 BQF589852:BQG589859 CAB589852:CAC589859 CJX589852:CJY589859 CTT589852:CTU589859 DDP589852:DDQ589859 DNL589852:DNM589859 DXH589852:DXI589859 EHD589852:EHE589859 EQZ589852:ERA589859 FAV589852:FAW589859 FKR589852:FKS589859 FUN589852:FUO589859 GEJ589852:GEK589859 GOF589852:GOG589859 GYB589852:GYC589859 HHX589852:HHY589859 HRT589852:HRU589859 IBP589852:IBQ589859 ILL589852:ILM589859 IVH589852:IVI589859 JFD589852:JFE589859 JOZ589852:JPA589859 JYV589852:JYW589859 KIR589852:KIS589859 KSN589852:KSO589859 LCJ589852:LCK589859 LMF589852:LMG589859 LWB589852:LWC589859 MFX589852:MFY589859 MPT589852:MPU589859 MZP589852:MZQ589859 NJL589852:NJM589859 NTH589852:NTI589859 ODD589852:ODE589859 OMZ589852:ONA589859 OWV589852:OWW589859 PGR589852:PGS589859 PQN589852:PQO589859 QAJ589852:QAK589859 QKF589852:QKG589859 QUB589852:QUC589859 RDX589852:RDY589859 RNT589852:RNU589859 RXP589852:RXQ589859 SHL589852:SHM589859 SRH589852:SRI589859 TBD589852:TBE589859 TKZ589852:TLA589859 TUV589852:TUW589859 UER589852:UES589859 UON589852:UOO589859 UYJ589852:UYK589859 VIF589852:VIG589859 VSB589852:VSC589859 WBX589852:WBY589859 WLT589852:WLU589859 WVP589852:WVQ589859 H655388:I655395 JD655388:JE655395 SZ655388:TA655395 ACV655388:ACW655395 AMR655388:AMS655395 AWN655388:AWO655395 BGJ655388:BGK655395 BQF655388:BQG655395 CAB655388:CAC655395 CJX655388:CJY655395 CTT655388:CTU655395 DDP655388:DDQ655395 DNL655388:DNM655395 DXH655388:DXI655395 EHD655388:EHE655395 EQZ655388:ERA655395 FAV655388:FAW655395 FKR655388:FKS655395 FUN655388:FUO655395 GEJ655388:GEK655395 GOF655388:GOG655395 GYB655388:GYC655395 HHX655388:HHY655395 HRT655388:HRU655395 IBP655388:IBQ655395 ILL655388:ILM655395 IVH655388:IVI655395 JFD655388:JFE655395 JOZ655388:JPA655395 JYV655388:JYW655395 KIR655388:KIS655395 KSN655388:KSO655395 LCJ655388:LCK655395 LMF655388:LMG655395 LWB655388:LWC655395 MFX655388:MFY655395 MPT655388:MPU655395 MZP655388:MZQ655395 NJL655388:NJM655395 NTH655388:NTI655395 ODD655388:ODE655395 OMZ655388:ONA655395 OWV655388:OWW655395 PGR655388:PGS655395 PQN655388:PQO655395 QAJ655388:QAK655395 QKF655388:QKG655395 QUB655388:QUC655395 RDX655388:RDY655395 RNT655388:RNU655395 RXP655388:RXQ655395 SHL655388:SHM655395 SRH655388:SRI655395 TBD655388:TBE655395 TKZ655388:TLA655395 TUV655388:TUW655395 UER655388:UES655395 UON655388:UOO655395 UYJ655388:UYK655395 VIF655388:VIG655395 VSB655388:VSC655395 WBX655388:WBY655395 WLT655388:WLU655395 WVP655388:WVQ655395 H720924:I720931 JD720924:JE720931 SZ720924:TA720931 ACV720924:ACW720931 AMR720924:AMS720931 AWN720924:AWO720931 BGJ720924:BGK720931 BQF720924:BQG720931 CAB720924:CAC720931 CJX720924:CJY720931 CTT720924:CTU720931 DDP720924:DDQ720931 DNL720924:DNM720931 DXH720924:DXI720931 EHD720924:EHE720931 EQZ720924:ERA720931 FAV720924:FAW720931 FKR720924:FKS720931 FUN720924:FUO720931 GEJ720924:GEK720931 GOF720924:GOG720931 GYB720924:GYC720931 HHX720924:HHY720931 HRT720924:HRU720931 IBP720924:IBQ720931 ILL720924:ILM720931 IVH720924:IVI720931 JFD720924:JFE720931 JOZ720924:JPA720931 JYV720924:JYW720931 KIR720924:KIS720931 KSN720924:KSO720931 LCJ720924:LCK720931 LMF720924:LMG720931 LWB720924:LWC720931 MFX720924:MFY720931 MPT720924:MPU720931 MZP720924:MZQ720931 NJL720924:NJM720931 NTH720924:NTI720931 ODD720924:ODE720931 OMZ720924:ONA720931 OWV720924:OWW720931 PGR720924:PGS720931 PQN720924:PQO720931 QAJ720924:QAK720931 QKF720924:QKG720931 QUB720924:QUC720931 RDX720924:RDY720931 RNT720924:RNU720931 RXP720924:RXQ720931 SHL720924:SHM720931 SRH720924:SRI720931 TBD720924:TBE720931 TKZ720924:TLA720931 TUV720924:TUW720931 UER720924:UES720931 UON720924:UOO720931 UYJ720924:UYK720931 VIF720924:VIG720931 VSB720924:VSC720931 WBX720924:WBY720931 WLT720924:WLU720931 WVP720924:WVQ720931 H786460:I786467 JD786460:JE786467 SZ786460:TA786467 ACV786460:ACW786467 AMR786460:AMS786467 AWN786460:AWO786467 BGJ786460:BGK786467 BQF786460:BQG786467 CAB786460:CAC786467 CJX786460:CJY786467 CTT786460:CTU786467 DDP786460:DDQ786467 DNL786460:DNM786467 DXH786460:DXI786467 EHD786460:EHE786467 EQZ786460:ERA786467 FAV786460:FAW786467 FKR786460:FKS786467 FUN786460:FUO786467 GEJ786460:GEK786467 GOF786460:GOG786467 GYB786460:GYC786467 HHX786460:HHY786467 HRT786460:HRU786467 IBP786460:IBQ786467 ILL786460:ILM786467 IVH786460:IVI786467 JFD786460:JFE786467 JOZ786460:JPA786467 JYV786460:JYW786467 KIR786460:KIS786467 KSN786460:KSO786467 LCJ786460:LCK786467 LMF786460:LMG786467 LWB786460:LWC786467 MFX786460:MFY786467 MPT786460:MPU786467 MZP786460:MZQ786467 NJL786460:NJM786467 NTH786460:NTI786467 ODD786460:ODE786467 OMZ786460:ONA786467 OWV786460:OWW786467 PGR786460:PGS786467 PQN786460:PQO786467 QAJ786460:QAK786467 QKF786460:QKG786467 QUB786460:QUC786467 RDX786460:RDY786467 RNT786460:RNU786467 RXP786460:RXQ786467 SHL786460:SHM786467 SRH786460:SRI786467 TBD786460:TBE786467 TKZ786460:TLA786467 TUV786460:TUW786467 UER786460:UES786467 UON786460:UOO786467 UYJ786460:UYK786467 VIF786460:VIG786467 VSB786460:VSC786467 WBX786460:WBY786467 WLT786460:WLU786467 WVP786460:WVQ786467 H851996:I852003 JD851996:JE852003 SZ851996:TA852003 ACV851996:ACW852003 AMR851996:AMS852003 AWN851996:AWO852003 BGJ851996:BGK852003 BQF851996:BQG852003 CAB851996:CAC852003 CJX851996:CJY852003 CTT851996:CTU852003 DDP851996:DDQ852003 DNL851996:DNM852003 DXH851996:DXI852003 EHD851996:EHE852003 EQZ851996:ERA852003 FAV851996:FAW852003 FKR851996:FKS852003 FUN851996:FUO852003 GEJ851996:GEK852003 GOF851996:GOG852003 GYB851996:GYC852003 HHX851996:HHY852003 HRT851996:HRU852003 IBP851996:IBQ852003 ILL851996:ILM852003 IVH851996:IVI852003 JFD851996:JFE852003 JOZ851996:JPA852003 JYV851996:JYW852003 KIR851996:KIS852003 KSN851996:KSO852003 LCJ851996:LCK852003 LMF851996:LMG852003 LWB851996:LWC852003 MFX851996:MFY852003 MPT851996:MPU852003 MZP851996:MZQ852003 NJL851996:NJM852003 NTH851996:NTI852003 ODD851996:ODE852003 OMZ851996:ONA852003 OWV851996:OWW852003 PGR851996:PGS852003 PQN851996:PQO852003 QAJ851996:QAK852003 QKF851996:QKG852003 QUB851996:QUC852003 RDX851996:RDY852003 RNT851996:RNU852003 RXP851996:RXQ852003 SHL851996:SHM852003 SRH851996:SRI852003 TBD851996:TBE852003 TKZ851996:TLA852003 TUV851996:TUW852003 UER851996:UES852003 UON851996:UOO852003 UYJ851996:UYK852003 VIF851996:VIG852003 VSB851996:VSC852003 WBX851996:WBY852003 WLT851996:WLU852003 WVP851996:WVQ852003 H917532:I917539 JD917532:JE917539 SZ917532:TA917539 ACV917532:ACW917539 AMR917532:AMS917539 AWN917532:AWO917539 BGJ917532:BGK917539 BQF917532:BQG917539 CAB917532:CAC917539 CJX917532:CJY917539 CTT917532:CTU917539 DDP917532:DDQ917539 DNL917532:DNM917539 DXH917532:DXI917539 EHD917532:EHE917539 EQZ917532:ERA917539 FAV917532:FAW917539 FKR917532:FKS917539 FUN917532:FUO917539 GEJ917532:GEK917539 GOF917532:GOG917539 GYB917532:GYC917539 HHX917532:HHY917539 HRT917532:HRU917539 IBP917532:IBQ917539 ILL917532:ILM917539 IVH917532:IVI917539 JFD917532:JFE917539 JOZ917532:JPA917539 JYV917532:JYW917539 KIR917532:KIS917539 KSN917532:KSO917539 LCJ917532:LCK917539 LMF917532:LMG917539 LWB917532:LWC917539 MFX917532:MFY917539 MPT917532:MPU917539 MZP917532:MZQ917539 NJL917532:NJM917539 NTH917532:NTI917539 ODD917532:ODE917539 OMZ917532:ONA917539 OWV917532:OWW917539 PGR917532:PGS917539 PQN917532:PQO917539 QAJ917532:QAK917539 QKF917532:QKG917539 QUB917532:QUC917539 RDX917532:RDY917539 RNT917532:RNU917539 RXP917532:RXQ917539 SHL917532:SHM917539 SRH917532:SRI917539 TBD917532:TBE917539 TKZ917532:TLA917539 TUV917532:TUW917539 UER917532:UES917539 UON917532:UOO917539 UYJ917532:UYK917539 VIF917532:VIG917539 VSB917532:VSC917539 WBX917532:WBY917539 WLT917532:WLU917539 WVP917532:WVQ917539 H983068:I983075 JD983068:JE983075 SZ983068:TA983075 ACV983068:ACW983075 AMR983068:AMS983075 AWN983068:AWO983075 BGJ983068:BGK983075 BQF983068:BQG983075 CAB983068:CAC983075 CJX983068:CJY983075 CTT983068:CTU983075 DDP983068:DDQ983075 DNL983068:DNM983075 DXH983068:DXI983075 EHD983068:EHE983075 EQZ983068:ERA983075 FAV983068:FAW983075 FKR983068:FKS983075 FUN983068:FUO983075 GEJ983068:GEK983075 GOF983068:GOG983075 GYB983068:GYC983075 HHX983068:HHY983075 HRT983068:HRU983075 IBP983068:IBQ983075 ILL983068:ILM983075 IVH983068:IVI983075 JFD983068:JFE983075 JOZ983068:JPA983075 JYV983068:JYW983075 KIR983068:KIS983075 KSN983068:KSO983075 LCJ983068:LCK983075 LMF983068:LMG983075 LWB983068:LWC983075 MFX983068:MFY983075 MPT983068:MPU983075 MZP983068:MZQ983075 NJL983068:NJM983075 NTH983068:NTI983075 ODD983068:ODE983075 OMZ983068:ONA983075 OWV983068:OWW983075 PGR983068:PGS983075 PQN983068:PQO983075 QAJ983068:QAK983075 QKF983068:QKG983075 QUB983068:QUC983075 RDX983068:RDY983075 RNT983068:RNU983075 RXP983068:RXQ983075 SHL983068:SHM983075 SRH983068:SRI983075 TBD983068:TBE983075 TKZ983068:TLA983075 TUV983068:TUW983075 UER983068:UES983075 UON983068:UOO983075 UYJ983068:UYK983075 VIF983068:VIG983075 VSB983068:VSC983075 WBX983068:WBY983075 WLT983068:WLU983075 WVP983068:WVQ983075 H37:I44 JD37:JE44 SZ37:TA44 ACV37:ACW44 AMR37:AMS44 AWN37:AWO44 BGJ37:BGK44 BQF37:BQG44 CAB37:CAC44 CJX37:CJY44 CTT37:CTU44 DDP37:DDQ44 DNL37:DNM44 DXH37:DXI44 EHD37:EHE44 EQZ37:ERA44 FAV37:FAW44 FKR37:FKS44 FUN37:FUO44 GEJ37:GEK44 GOF37:GOG44 GYB37:GYC44 HHX37:HHY44 HRT37:HRU44 IBP37:IBQ44 ILL37:ILM44 IVH37:IVI44 JFD37:JFE44 JOZ37:JPA44 JYV37:JYW44 KIR37:KIS44 KSN37:KSO44 LCJ37:LCK44 LMF37:LMG44 LWB37:LWC44 MFX37:MFY44 MPT37:MPU44 MZP37:MZQ44 NJL37:NJM44 NTH37:NTI44 ODD37:ODE44 OMZ37:ONA44 OWV37:OWW44 PGR37:PGS44 PQN37:PQO44 QAJ37:QAK44 QKF37:QKG44 QUB37:QUC44 RDX37:RDY44 RNT37:RNU44 RXP37:RXQ44 SHL37:SHM44 SRH37:SRI44 TBD37:TBE44 TKZ37:TLA44 TUV37:TUW44 UER37:UES44 UON37:UOO44 UYJ37:UYK44 VIF37:VIG44 VSB37:VSC44 WBX37:WBY44 WLT37:WLU44 WVP37:WVQ44 H65573:I65580 JD65573:JE65580 SZ65573:TA65580 ACV65573:ACW65580 AMR65573:AMS65580 AWN65573:AWO65580 BGJ65573:BGK65580 BQF65573:BQG65580 CAB65573:CAC65580 CJX65573:CJY65580 CTT65573:CTU65580 DDP65573:DDQ65580 DNL65573:DNM65580 DXH65573:DXI65580 EHD65573:EHE65580 EQZ65573:ERA65580 FAV65573:FAW65580 FKR65573:FKS65580 FUN65573:FUO65580 GEJ65573:GEK65580 GOF65573:GOG65580 GYB65573:GYC65580 HHX65573:HHY65580 HRT65573:HRU65580 IBP65573:IBQ65580 ILL65573:ILM65580 IVH65573:IVI65580 JFD65573:JFE65580 JOZ65573:JPA65580 JYV65573:JYW65580 KIR65573:KIS65580 KSN65573:KSO65580 LCJ65573:LCK65580 LMF65573:LMG65580 LWB65573:LWC65580 MFX65573:MFY65580 MPT65573:MPU65580 MZP65573:MZQ65580 NJL65573:NJM65580 NTH65573:NTI65580 ODD65573:ODE65580 OMZ65573:ONA65580 OWV65573:OWW65580 PGR65573:PGS65580 PQN65573:PQO65580 QAJ65573:QAK65580 QKF65573:QKG65580 QUB65573:QUC65580 RDX65573:RDY65580 RNT65573:RNU65580 RXP65573:RXQ65580 SHL65573:SHM65580 SRH65573:SRI65580 TBD65573:TBE65580 TKZ65573:TLA65580 TUV65573:TUW65580 UER65573:UES65580 UON65573:UOO65580 UYJ65573:UYK65580 VIF65573:VIG65580 VSB65573:VSC65580 WBX65573:WBY65580 WLT65573:WLU65580 WVP65573:WVQ65580 H131109:I131116 JD131109:JE131116 SZ131109:TA131116 ACV131109:ACW131116 AMR131109:AMS131116 AWN131109:AWO131116 BGJ131109:BGK131116 BQF131109:BQG131116 CAB131109:CAC131116 CJX131109:CJY131116 CTT131109:CTU131116 DDP131109:DDQ131116 DNL131109:DNM131116 DXH131109:DXI131116 EHD131109:EHE131116 EQZ131109:ERA131116 FAV131109:FAW131116 FKR131109:FKS131116 FUN131109:FUO131116 GEJ131109:GEK131116 GOF131109:GOG131116 GYB131109:GYC131116 HHX131109:HHY131116 HRT131109:HRU131116 IBP131109:IBQ131116 ILL131109:ILM131116 IVH131109:IVI131116 JFD131109:JFE131116 JOZ131109:JPA131116 JYV131109:JYW131116 KIR131109:KIS131116 KSN131109:KSO131116 LCJ131109:LCK131116 LMF131109:LMG131116 LWB131109:LWC131116 MFX131109:MFY131116 MPT131109:MPU131116 MZP131109:MZQ131116 NJL131109:NJM131116 NTH131109:NTI131116 ODD131109:ODE131116 OMZ131109:ONA131116 OWV131109:OWW131116 PGR131109:PGS131116 PQN131109:PQO131116 QAJ131109:QAK131116 QKF131109:QKG131116 QUB131109:QUC131116 RDX131109:RDY131116 RNT131109:RNU131116 RXP131109:RXQ131116 SHL131109:SHM131116 SRH131109:SRI131116 TBD131109:TBE131116 TKZ131109:TLA131116 TUV131109:TUW131116 UER131109:UES131116 UON131109:UOO131116 UYJ131109:UYK131116 VIF131109:VIG131116 VSB131109:VSC131116 WBX131109:WBY131116 WLT131109:WLU131116 WVP131109:WVQ131116 H196645:I196652 JD196645:JE196652 SZ196645:TA196652 ACV196645:ACW196652 AMR196645:AMS196652 AWN196645:AWO196652 BGJ196645:BGK196652 BQF196645:BQG196652 CAB196645:CAC196652 CJX196645:CJY196652 CTT196645:CTU196652 DDP196645:DDQ196652 DNL196645:DNM196652 DXH196645:DXI196652 EHD196645:EHE196652 EQZ196645:ERA196652 FAV196645:FAW196652 FKR196645:FKS196652 FUN196645:FUO196652 GEJ196645:GEK196652 GOF196645:GOG196652 GYB196645:GYC196652 HHX196645:HHY196652 HRT196645:HRU196652 IBP196645:IBQ196652 ILL196645:ILM196652 IVH196645:IVI196652 JFD196645:JFE196652 JOZ196645:JPA196652 JYV196645:JYW196652 KIR196645:KIS196652 KSN196645:KSO196652 LCJ196645:LCK196652 LMF196645:LMG196652 LWB196645:LWC196652 MFX196645:MFY196652 MPT196645:MPU196652 MZP196645:MZQ196652 NJL196645:NJM196652 NTH196645:NTI196652 ODD196645:ODE196652 OMZ196645:ONA196652 OWV196645:OWW196652 PGR196645:PGS196652 PQN196645:PQO196652 QAJ196645:QAK196652 QKF196645:QKG196652 QUB196645:QUC196652 RDX196645:RDY196652 RNT196645:RNU196652 RXP196645:RXQ196652 SHL196645:SHM196652 SRH196645:SRI196652 TBD196645:TBE196652 TKZ196645:TLA196652 TUV196645:TUW196652 UER196645:UES196652 UON196645:UOO196652 UYJ196645:UYK196652 VIF196645:VIG196652 VSB196645:VSC196652 WBX196645:WBY196652 WLT196645:WLU196652 WVP196645:WVQ196652 H262181:I262188 JD262181:JE262188 SZ262181:TA262188 ACV262181:ACW262188 AMR262181:AMS262188 AWN262181:AWO262188 BGJ262181:BGK262188 BQF262181:BQG262188 CAB262181:CAC262188 CJX262181:CJY262188 CTT262181:CTU262188 DDP262181:DDQ262188 DNL262181:DNM262188 DXH262181:DXI262188 EHD262181:EHE262188 EQZ262181:ERA262188 FAV262181:FAW262188 FKR262181:FKS262188 FUN262181:FUO262188 GEJ262181:GEK262188 GOF262181:GOG262188 GYB262181:GYC262188 HHX262181:HHY262188 HRT262181:HRU262188 IBP262181:IBQ262188 ILL262181:ILM262188 IVH262181:IVI262188 JFD262181:JFE262188 JOZ262181:JPA262188 JYV262181:JYW262188 KIR262181:KIS262188 KSN262181:KSO262188 LCJ262181:LCK262188 LMF262181:LMG262188 LWB262181:LWC262188 MFX262181:MFY262188 MPT262181:MPU262188 MZP262181:MZQ262188 NJL262181:NJM262188 NTH262181:NTI262188 ODD262181:ODE262188 OMZ262181:ONA262188 OWV262181:OWW262188 PGR262181:PGS262188 PQN262181:PQO262188 QAJ262181:QAK262188 QKF262181:QKG262188 QUB262181:QUC262188 RDX262181:RDY262188 RNT262181:RNU262188 RXP262181:RXQ262188 SHL262181:SHM262188 SRH262181:SRI262188 TBD262181:TBE262188 TKZ262181:TLA262188 TUV262181:TUW262188 UER262181:UES262188 UON262181:UOO262188 UYJ262181:UYK262188 VIF262181:VIG262188 VSB262181:VSC262188 WBX262181:WBY262188 WLT262181:WLU262188 WVP262181:WVQ262188 H327717:I327724 JD327717:JE327724 SZ327717:TA327724 ACV327717:ACW327724 AMR327717:AMS327724 AWN327717:AWO327724 BGJ327717:BGK327724 BQF327717:BQG327724 CAB327717:CAC327724 CJX327717:CJY327724 CTT327717:CTU327724 DDP327717:DDQ327724 DNL327717:DNM327724 DXH327717:DXI327724 EHD327717:EHE327724 EQZ327717:ERA327724 FAV327717:FAW327724 FKR327717:FKS327724 FUN327717:FUO327724 GEJ327717:GEK327724 GOF327717:GOG327724 GYB327717:GYC327724 HHX327717:HHY327724 HRT327717:HRU327724 IBP327717:IBQ327724 ILL327717:ILM327724 IVH327717:IVI327724 JFD327717:JFE327724 JOZ327717:JPA327724 JYV327717:JYW327724 KIR327717:KIS327724 KSN327717:KSO327724 LCJ327717:LCK327724 LMF327717:LMG327724 LWB327717:LWC327724 MFX327717:MFY327724 MPT327717:MPU327724 MZP327717:MZQ327724 NJL327717:NJM327724 NTH327717:NTI327724 ODD327717:ODE327724 OMZ327717:ONA327724 OWV327717:OWW327724 PGR327717:PGS327724 PQN327717:PQO327724 QAJ327717:QAK327724 QKF327717:QKG327724 QUB327717:QUC327724 RDX327717:RDY327724 RNT327717:RNU327724 RXP327717:RXQ327724 SHL327717:SHM327724 SRH327717:SRI327724 TBD327717:TBE327724 TKZ327717:TLA327724 TUV327717:TUW327724 UER327717:UES327724 UON327717:UOO327724 UYJ327717:UYK327724 VIF327717:VIG327724 VSB327717:VSC327724 WBX327717:WBY327724 WLT327717:WLU327724 WVP327717:WVQ327724 H393253:I393260 JD393253:JE393260 SZ393253:TA393260 ACV393253:ACW393260 AMR393253:AMS393260 AWN393253:AWO393260 BGJ393253:BGK393260 BQF393253:BQG393260 CAB393253:CAC393260 CJX393253:CJY393260 CTT393253:CTU393260 DDP393253:DDQ393260 DNL393253:DNM393260 DXH393253:DXI393260 EHD393253:EHE393260 EQZ393253:ERA393260 FAV393253:FAW393260 FKR393253:FKS393260 FUN393253:FUO393260 GEJ393253:GEK393260 GOF393253:GOG393260 GYB393253:GYC393260 HHX393253:HHY393260 HRT393253:HRU393260 IBP393253:IBQ393260 ILL393253:ILM393260 IVH393253:IVI393260 JFD393253:JFE393260 JOZ393253:JPA393260 JYV393253:JYW393260 KIR393253:KIS393260 KSN393253:KSO393260 LCJ393253:LCK393260 LMF393253:LMG393260 LWB393253:LWC393260 MFX393253:MFY393260 MPT393253:MPU393260 MZP393253:MZQ393260 NJL393253:NJM393260 NTH393253:NTI393260 ODD393253:ODE393260 OMZ393253:ONA393260 OWV393253:OWW393260 PGR393253:PGS393260 PQN393253:PQO393260 QAJ393253:QAK393260 QKF393253:QKG393260 QUB393253:QUC393260 RDX393253:RDY393260 RNT393253:RNU393260 RXP393253:RXQ393260 SHL393253:SHM393260 SRH393253:SRI393260 TBD393253:TBE393260 TKZ393253:TLA393260 TUV393253:TUW393260 UER393253:UES393260 UON393253:UOO393260 UYJ393253:UYK393260 VIF393253:VIG393260 VSB393253:VSC393260 WBX393253:WBY393260 WLT393253:WLU393260 WVP393253:WVQ393260 H458789:I458796 JD458789:JE458796 SZ458789:TA458796 ACV458789:ACW458796 AMR458789:AMS458796 AWN458789:AWO458796 BGJ458789:BGK458796 BQF458789:BQG458796 CAB458789:CAC458796 CJX458789:CJY458796 CTT458789:CTU458796 DDP458789:DDQ458796 DNL458789:DNM458796 DXH458789:DXI458796 EHD458789:EHE458796 EQZ458789:ERA458796 FAV458789:FAW458796 FKR458789:FKS458796 FUN458789:FUO458796 GEJ458789:GEK458796 GOF458789:GOG458796 GYB458789:GYC458796 HHX458789:HHY458796 HRT458789:HRU458796 IBP458789:IBQ458796 ILL458789:ILM458796 IVH458789:IVI458796 JFD458789:JFE458796 JOZ458789:JPA458796 JYV458789:JYW458796 KIR458789:KIS458796 KSN458789:KSO458796 LCJ458789:LCK458796 LMF458789:LMG458796 LWB458789:LWC458796 MFX458789:MFY458796 MPT458789:MPU458796 MZP458789:MZQ458796 NJL458789:NJM458796 NTH458789:NTI458796 ODD458789:ODE458796 OMZ458789:ONA458796 OWV458789:OWW458796 PGR458789:PGS458796 PQN458789:PQO458796 QAJ458789:QAK458796 QKF458789:QKG458796 QUB458789:QUC458796 RDX458789:RDY458796 RNT458789:RNU458796 RXP458789:RXQ458796 SHL458789:SHM458796 SRH458789:SRI458796 TBD458789:TBE458796 TKZ458789:TLA458796 TUV458789:TUW458796 UER458789:UES458796 UON458789:UOO458796 UYJ458789:UYK458796 VIF458789:VIG458796 VSB458789:VSC458796 WBX458789:WBY458796 WLT458789:WLU458796 WVP458789:WVQ458796 H524325:I524332 JD524325:JE524332 SZ524325:TA524332 ACV524325:ACW524332 AMR524325:AMS524332 AWN524325:AWO524332 BGJ524325:BGK524332 BQF524325:BQG524332 CAB524325:CAC524332 CJX524325:CJY524332 CTT524325:CTU524332 DDP524325:DDQ524332 DNL524325:DNM524332 DXH524325:DXI524332 EHD524325:EHE524332 EQZ524325:ERA524332 FAV524325:FAW524332 FKR524325:FKS524332 FUN524325:FUO524332 GEJ524325:GEK524332 GOF524325:GOG524332 GYB524325:GYC524332 HHX524325:HHY524332 HRT524325:HRU524332 IBP524325:IBQ524332 ILL524325:ILM524332 IVH524325:IVI524332 JFD524325:JFE524332 JOZ524325:JPA524332 JYV524325:JYW524332 KIR524325:KIS524332 KSN524325:KSO524332 LCJ524325:LCK524332 LMF524325:LMG524332 LWB524325:LWC524332 MFX524325:MFY524332 MPT524325:MPU524332 MZP524325:MZQ524332 NJL524325:NJM524332 NTH524325:NTI524332 ODD524325:ODE524332 OMZ524325:ONA524332 OWV524325:OWW524332 PGR524325:PGS524332 PQN524325:PQO524332 QAJ524325:QAK524332 QKF524325:QKG524332 QUB524325:QUC524332 RDX524325:RDY524332 RNT524325:RNU524332 RXP524325:RXQ524332 SHL524325:SHM524332 SRH524325:SRI524332 TBD524325:TBE524332 TKZ524325:TLA524332 TUV524325:TUW524332 UER524325:UES524332 UON524325:UOO524332 UYJ524325:UYK524332 VIF524325:VIG524332 VSB524325:VSC524332 WBX524325:WBY524332 WLT524325:WLU524332 WVP524325:WVQ524332 H589861:I589868 JD589861:JE589868 SZ589861:TA589868 ACV589861:ACW589868 AMR589861:AMS589868 AWN589861:AWO589868 BGJ589861:BGK589868 BQF589861:BQG589868 CAB589861:CAC589868 CJX589861:CJY589868 CTT589861:CTU589868 DDP589861:DDQ589868 DNL589861:DNM589868 DXH589861:DXI589868 EHD589861:EHE589868 EQZ589861:ERA589868 FAV589861:FAW589868 FKR589861:FKS589868 FUN589861:FUO589868 GEJ589861:GEK589868 GOF589861:GOG589868 GYB589861:GYC589868 HHX589861:HHY589868 HRT589861:HRU589868 IBP589861:IBQ589868 ILL589861:ILM589868 IVH589861:IVI589868 JFD589861:JFE589868 JOZ589861:JPA589868 JYV589861:JYW589868 KIR589861:KIS589868 KSN589861:KSO589868 LCJ589861:LCK589868 LMF589861:LMG589868 LWB589861:LWC589868 MFX589861:MFY589868 MPT589861:MPU589868 MZP589861:MZQ589868 NJL589861:NJM589868 NTH589861:NTI589868 ODD589861:ODE589868 OMZ589861:ONA589868 OWV589861:OWW589868 PGR589861:PGS589868 PQN589861:PQO589868 QAJ589861:QAK589868 QKF589861:QKG589868 QUB589861:QUC589868 RDX589861:RDY589868 RNT589861:RNU589868 RXP589861:RXQ589868 SHL589861:SHM589868 SRH589861:SRI589868 TBD589861:TBE589868 TKZ589861:TLA589868 TUV589861:TUW589868 UER589861:UES589868 UON589861:UOO589868 UYJ589861:UYK589868 VIF589861:VIG589868 VSB589861:VSC589868 WBX589861:WBY589868 WLT589861:WLU589868 WVP589861:WVQ589868 H655397:I655404 JD655397:JE655404 SZ655397:TA655404 ACV655397:ACW655404 AMR655397:AMS655404 AWN655397:AWO655404 BGJ655397:BGK655404 BQF655397:BQG655404 CAB655397:CAC655404 CJX655397:CJY655404 CTT655397:CTU655404 DDP655397:DDQ655404 DNL655397:DNM655404 DXH655397:DXI655404 EHD655397:EHE655404 EQZ655397:ERA655404 FAV655397:FAW655404 FKR655397:FKS655404 FUN655397:FUO655404 GEJ655397:GEK655404 GOF655397:GOG655404 GYB655397:GYC655404 HHX655397:HHY655404 HRT655397:HRU655404 IBP655397:IBQ655404 ILL655397:ILM655404 IVH655397:IVI655404 JFD655397:JFE655404 JOZ655397:JPA655404 JYV655397:JYW655404 KIR655397:KIS655404 KSN655397:KSO655404 LCJ655397:LCK655404 LMF655397:LMG655404 LWB655397:LWC655404 MFX655397:MFY655404 MPT655397:MPU655404 MZP655397:MZQ655404 NJL655397:NJM655404 NTH655397:NTI655404 ODD655397:ODE655404 OMZ655397:ONA655404 OWV655397:OWW655404 PGR655397:PGS655404 PQN655397:PQO655404 QAJ655397:QAK655404 QKF655397:QKG655404 QUB655397:QUC655404 RDX655397:RDY655404 RNT655397:RNU655404 RXP655397:RXQ655404 SHL655397:SHM655404 SRH655397:SRI655404 TBD655397:TBE655404 TKZ655397:TLA655404 TUV655397:TUW655404 UER655397:UES655404 UON655397:UOO655404 UYJ655397:UYK655404 VIF655397:VIG655404 VSB655397:VSC655404 WBX655397:WBY655404 WLT655397:WLU655404 WVP655397:WVQ655404 H720933:I720940 JD720933:JE720940 SZ720933:TA720940 ACV720933:ACW720940 AMR720933:AMS720940 AWN720933:AWO720940 BGJ720933:BGK720940 BQF720933:BQG720940 CAB720933:CAC720940 CJX720933:CJY720940 CTT720933:CTU720940 DDP720933:DDQ720940 DNL720933:DNM720940 DXH720933:DXI720940 EHD720933:EHE720940 EQZ720933:ERA720940 FAV720933:FAW720940 FKR720933:FKS720940 FUN720933:FUO720940 GEJ720933:GEK720940 GOF720933:GOG720940 GYB720933:GYC720940 HHX720933:HHY720940 HRT720933:HRU720940 IBP720933:IBQ720940 ILL720933:ILM720940 IVH720933:IVI720940 JFD720933:JFE720940 JOZ720933:JPA720940 JYV720933:JYW720940 KIR720933:KIS720940 KSN720933:KSO720940 LCJ720933:LCK720940 LMF720933:LMG720940 LWB720933:LWC720940 MFX720933:MFY720940 MPT720933:MPU720940 MZP720933:MZQ720940 NJL720933:NJM720940 NTH720933:NTI720940 ODD720933:ODE720940 OMZ720933:ONA720940 OWV720933:OWW720940 PGR720933:PGS720940 PQN720933:PQO720940 QAJ720933:QAK720940 QKF720933:QKG720940 QUB720933:QUC720940 RDX720933:RDY720940 RNT720933:RNU720940 RXP720933:RXQ720940 SHL720933:SHM720940 SRH720933:SRI720940 TBD720933:TBE720940 TKZ720933:TLA720940 TUV720933:TUW720940 UER720933:UES720940 UON720933:UOO720940 UYJ720933:UYK720940 VIF720933:VIG720940 VSB720933:VSC720940 WBX720933:WBY720940 WLT720933:WLU720940 WVP720933:WVQ720940 H786469:I786476 JD786469:JE786476 SZ786469:TA786476 ACV786469:ACW786476 AMR786469:AMS786476 AWN786469:AWO786476 BGJ786469:BGK786476 BQF786469:BQG786476 CAB786469:CAC786476 CJX786469:CJY786476 CTT786469:CTU786476 DDP786469:DDQ786476 DNL786469:DNM786476 DXH786469:DXI786476 EHD786469:EHE786476 EQZ786469:ERA786476 FAV786469:FAW786476 FKR786469:FKS786476 FUN786469:FUO786476 GEJ786469:GEK786476 GOF786469:GOG786476 GYB786469:GYC786476 HHX786469:HHY786476 HRT786469:HRU786476 IBP786469:IBQ786476 ILL786469:ILM786476 IVH786469:IVI786476 JFD786469:JFE786476 JOZ786469:JPA786476 JYV786469:JYW786476 KIR786469:KIS786476 KSN786469:KSO786476 LCJ786469:LCK786476 LMF786469:LMG786476 LWB786469:LWC786476 MFX786469:MFY786476 MPT786469:MPU786476 MZP786469:MZQ786476 NJL786469:NJM786476 NTH786469:NTI786476 ODD786469:ODE786476 OMZ786469:ONA786476 OWV786469:OWW786476 PGR786469:PGS786476 PQN786469:PQO786476 QAJ786469:QAK786476 QKF786469:QKG786476 QUB786469:QUC786476 RDX786469:RDY786476 RNT786469:RNU786476 RXP786469:RXQ786476 SHL786469:SHM786476 SRH786469:SRI786476 TBD786469:TBE786476 TKZ786469:TLA786476 TUV786469:TUW786476 UER786469:UES786476 UON786469:UOO786476 UYJ786469:UYK786476 VIF786469:VIG786476 VSB786469:VSC786476 WBX786469:WBY786476 WLT786469:WLU786476 WVP786469:WVQ786476 H852005:I852012 JD852005:JE852012 SZ852005:TA852012 ACV852005:ACW852012 AMR852005:AMS852012 AWN852005:AWO852012 BGJ852005:BGK852012 BQF852005:BQG852012 CAB852005:CAC852012 CJX852005:CJY852012 CTT852005:CTU852012 DDP852005:DDQ852012 DNL852005:DNM852012 DXH852005:DXI852012 EHD852005:EHE852012 EQZ852005:ERA852012 FAV852005:FAW852012 FKR852005:FKS852012 FUN852005:FUO852012 GEJ852005:GEK852012 GOF852005:GOG852012 GYB852005:GYC852012 HHX852005:HHY852012 HRT852005:HRU852012 IBP852005:IBQ852012 ILL852005:ILM852012 IVH852005:IVI852012 JFD852005:JFE852012 JOZ852005:JPA852012 JYV852005:JYW852012 KIR852005:KIS852012 KSN852005:KSO852012 LCJ852005:LCK852012 LMF852005:LMG852012 LWB852005:LWC852012 MFX852005:MFY852012 MPT852005:MPU852012 MZP852005:MZQ852012 NJL852005:NJM852012 NTH852005:NTI852012 ODD852005:ODE852012 OMZ852005:ONA852012 OWV852005:OWW852012 PGR852005:PGS852012 PQN852005:PQO852012 QAJ852005:QAK852012 QKF852005:QKG852012 QUB852005:QUC852012 RDX852005:RDY852012 RNT852005:RNU852012 RXP852005:RXQ852012 SHL852005:SHM852012 SRH852005:SRI852012 TBD852005:TBE852012 TKZ852005:TLA852012 TUV852005:TUW852012 UER852005:UES852012 UON852005:UOO852012 UYJ852005:UYK852012 VIF852005:VIG852012 VSB852005:VSC852012 WBX852005:WBY852012 WLT852005:WLU852012 WVP852005:WVQ852012 H917541:I917548 JD917541:JE917548 SZ917541:TA917548 ACV917541:ACW917548 AMR917541:AMS917548 AWN917541:AWO917548 BGJ917541:BGK917548 BQF917541:BQG917548 CAB917541:CAC917548 CJX917541:CJY917548 CTT917541:CTU917548 DDP917541:DDQ917548 DNL917541:DNM917548 DXH917541:DXI917548 EHD917541:EHE917548 EQZ917541:ERA917548 FAV917541:FAW917548 FKR917541:FKS917548 FUN917541:FUO917548 GEJ917541:GEK917548 GOF917541:GOG917548 GYB917541:GYC917548 HHX917541:HHY917548 HRT917541:HRU917548 IBP917541:IBQ917548 ILL917541:ILM917548 IVH917541:IVI917548 JFD917541:JFE917548 JOZ917541:JPA917548 JYV917541:JYW917548 KIR917541:KIS917548 KSN917541:KSO917548 LCJ917541:LCK917548 LMF917541:LMG917548 LWB917541:LWC917548 MFX917541:MFY917548 MPT917541:MPU917548 MZP917541:MZQ917548 NJL917541:NJM917548 NTH917541:NTI917548 ODD917541:ODE917548 OMZ917541:ONA917548 OWV917541:OWW917548 PGR917541:PGS917548 PQN917541:PQO917548 QAJ917541:QAK917548 QKF917541:QKG917548 QUB917541:QUC917548 RDX917541:RDY917548 RNT917541:RNU917548 RXP917541:RXQ917548 SHL917541:SHM917548 SRH917541:SRI917548 TBD917541:TBE917548 TKZ917541:TLA917548 TUV917541:TUW917548 UER917541:UES917548 UON917541:UOO917548 UYJ917541:UYK917548 VIF917541:VIG917548 VSB917541:VSC917548 WBX917541:WBY917548 WLT917541:WLU917548 WVP917541:WVQ917548 H983077:I983084 JD983077:JE983084 SZ983077:TA983084 ACV983077:ACW983084 AMR983077:AMS983084 AWN983077:AWO983084 BGJ983077:BGK983084 BQF983077:BQG983084 CAB983077:CAC983084 CJX983077:CJY983084 CTT983077:CTU983084 DDP983077:DDQ983084 DNL983077:DNM983084 DXH983077:DXI983084 EHD983077:EHE983084 EQZ983077:ERA983084 FAV983077:FAW983084 FKR983077:FKS983084 FUN983077:FUO983084 GEJ983077:GEK983084 GOF983077:GOG983084 GYB983077:GYC983084 HHX983077:HHY983084 HRT983077:HRU983084 IBP983077:IBQ983084 ILL983077:ILM983084 IVH983077:IVI983084 JFD983077:JFE983084 JOZ983077:JPA983084 JYV983077:JYW983084 KIR983077:KIS983084 KSN983077:KSO983084 LCJ983077:LCK983084 LMF983077:LMG983084 LWB983077:LWC983084 MFX983077:MFY983084 MPT983077:MPU983084 MZP983077:MZQ983084 NJL983077:NJM983084 NTH983077:NTI983084 ODD983077:ODE983084 OMZ983077:ONA983084 OWV983077:OWW983084 PGR983077:PGS983084 PQN983077:PQO983084 QAJ983077:QAK983084 QKF983077:QKG983084 QUB983077:QUC983084 RDX983077:RDY983084 RNT983077:RNU983084 RXP983077:RXQ983084 SHL983077:SHM983084 SRH983077:SRI983084 TBD983077:TBE983084 TKZ983077:TLA983084 TUV983077:TUW983084 UER983077:UES983084 UON983077:UOO983084 UYJ983077:UYK983084 VIF983077:VIG983084 VSB983077:VSC983084 WBX983077:WBY983084 WLT983077:WLU983084 WVP983077:WVQ983084 H46:I46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H65582:I65582 JD65582:JE65582 SZ65582:TA65582 ACV65582:ACW65582 AMR65582:AMS65582 AWN65582:AWO65582 BGJ65582:BGK65582 BQF65582:BQG65582 CAB65582:CAC65582 CJX65582:CJY65582 CTT65582:CTU65582 DDP65582:DDQ65582 DNL65582:DNM65582 DXH65582:DXI65582 EHD65582:EHE65582 EQZ65582:ERA65582 FAV65582:FAW65582 FKR65582:FKS65582 FUN65582:FUO65582 GEJ65582:GEK65582 GOF65582:GOG65582 GYB65582:GYC65582 HHX65582:HHY65582 HRT65582:HRU65582 IBP65582:IBQ65582 ILL65582:ILM65582 IVH65582:IVI65582 JFD65582:JFE65582 JOZ65582:JPA65582 JYV65582:JYW65582 KIR65582:KIS65582 KSN65582:KSO65582 LCJ65582:LCK65582 LMF65582:LMG65582 LWB65582:LWC65582 MFX65582:MFY65582 MPT65582:MPU65582 MZP65582:MZQ65582 NJL65582:NJM65582 NTH65582:NTI65582 ODD65582:ODE65582 OMZ65582:ONA65582 OWV65582:OWW65582 PGR65582:PGS65582 PQN65582:PQO65582 QAJ65582:QAK65582 QKF65582:QKG65582 QUB65582:QUC65582 RDX65582:RDY65582 RNT65582:RNU65582 RXP65582:RXQ65582 SHL65582:SHM65582 SRH65582:SRI65582 TBD65582:TBE65582 TKZ65582:TLA65582 TUV65582:TUW65582 UER65582:UES65582 UON65582:UOO65582 UYJ65582:UYK65582 VIF65582:VIG65582 VSB65582:VSC65582 WBX65582:WBY65582 WLT65582:WLU65582 WVP65582:WVQ65582 H131118:I131118 JD131118:JE131118 SZ131118:TA131118 ACV131118:ACW131118 AMR131118:AMS131118 AWN131118:AWO131118 BGJ131118:BGK131118 BQF131118:BQG131118 CAB131118:CAC131118 CJX131118:CJY131118 CTT131118:CTU131118 DDP131118:DDQ131118 DNL131118:DNM131118 DXH131118:DXI131118 EHD131118:EHE131118 EQZ131118:ERA131118 FAV131118:FAW131118 FKR131118:FKS131118 FUN131118:FUO131118 GEJ131118:GEK131118 GOF131118:GOG131118 GYB131118:GYC131118 HHX131118:HHY131118 HRT131118:HRU131118 IBP131118:IBQ131118 ILL131118:ILM131118 IVH131118:IVI131118 JFD131118:JFE131118 JOZ131118:JPA131118 JYV131118:JYW131118 KIR131118:KIS131118 KSN131118:KSO131118 LCJ131118:LCK131118 LMF131118:LMG131118 LWB131118:LWC131118 MFX131118:MFY131118 MPT131118:MPU131118 MZP131118:MZQ131118 NJL131118:NJM131118 NTH131118:NTI131118 ODD131118:ODE131118 OMZ131118:ONA131118 OWV131118:OWW131118 PGR131118:PGS131118 PQN131118:PQO131118 QAJ131118:QAK131118 QKF131118:QKG131118 QUB131118:QUC131118 RDX131118:RDY131118 RNT131118:RNU131118 RXP131118:RXQ131118 SHL131118:SHM131118 SRH131118:SRI131118 TBD131118:TBE131118 TKZ131118:TLA131118 TUV131118:TUW131118 UER131118:UES131118 UON131118:UOO131118 UYJ131118:UYK131118 VIF131118:VIG131118 VSB131118:VSC131118 WBX131118:WBY131118 WLT131118:WLU131118 WVP131118:WVQ131118 H196654:I196654 JD196654:JE196654 SZ196654:TA196654 ACV196654:ACW196654 AMR196654:AMS196654 AWN196654:AWO196654 BGJ196654:BGK196654 BQF196654:BQG196654 CAB196654:CAC196654 CJX196654:CJY196654 CTT196654:CTU196654 DDP196654:DDQ196654 DNL196654:DNM196654 DXH196654:DXI196654 EHD196654:EHE196654 EQZ196654:ERA196654 FAV196654:FAW196654 FKR196654:FKS196654 FUN196654:FUO196654 GEJ196654:GEK196654 GOF196654:GOG196654 GYB196654:GYC196654 HHX196654:HHY196654 HRT196654:HRU196654 IBP196654:IBQ196654 ILL196654:ILM196654 IVH196654:IVI196654 JFD196654:JFE196654 JOZ196654:JPA196654 JYV196654:JYW196654 KIR196654:KIS196654 KSN196654:KSO196654 LCJ196654:LCK196654 LMF196654:LMG196654 LWB196654:LWC196654 MFX196654:MFY196654 MPT196654:MPU196654 MZP196654:MZQ196654 NJL196654:NJM196654 NTH196654:NTI196654 ODD196654:ODE196654 OMZ196654:ONA196654 OWV196654:OWW196654 PGR196654:PGS196654 PQN196654:PQO196654 QAJ196654:QAK196654 QKF196654:QKG196654 QUB196654:QUC196654 RDX196654:RDY196654 RNT196654:RNU196654 RXP196654:RXQ196654 SHL196654:SHM196654 SRH196654:SRI196654 TBD196654:TBE196654 TKZ196654:TLA196654 TUV196654:TUW196654 UER196654:UES196654 UON196654:UOO196654 UYJ196654:UYK196654 VIF196654:VIG196654 VSB196654:VSC196654 WBX196654:WBY196654 WLT196654:WLU196654 WVP196654:WVQ196654 H262190:I262190 JD262190:JE262190 SZ262190:TA262190 ACV262190:ACW262190 AMR262190:AMS262190 AWN262190:AWO262190 BGJ262190:BGK262190 BQF262190:BQG262190 CAB262190:CAC262190 CJX262190:CJY262190 CTT262190:CTU262190 DDP262190:DDQ262190 DNL262190:DNM262190 DXH262190:DXI262190 EHD262190:EHE262190 EQZ262190:ERA262190 FAV262190:FAW262190 FKR262190:FKS262190 FUN262190:FUO262190 GEJ262190:GEK262190 GOF262190:GOG262190 GYB262190:GYC262190 HHX262190:HHY262190 HRT262190:HRU262190 IBP262190:IBQ262190 ILL262190:ILM262190 IVH262190:IVI262190 JFD262190:JFE262190 JOZ262190:JPA262190 JYV262190:JYW262190 KIR262190:KIS262190 KSN262190:KSO262190 LCJ262190:LCK262190 LMF262190:LMG262190 LWB262190:LWC262190 MFX262190:MFY262190 MPT262190:MPU262190 MZP262190:MZQ262190 NJL262190:NJM262190 NTH262190:NTI262190 ODD262190:ODE262190 OMZ262190:ONA262190 OWV262190:OWW262190 PGR262190:PGS262190 PQN262190:PQO262190 QAJ262190:QAK262190 QKF262190:QKG262190 QUB262190:QUC262190 RDX262190:RDY262190 RNT262190:RNU262190 RXP262190:RXQ262190 SHL262190:SHM262190 SRH262190:SRI262190 TBD262190:TBE262190 TKZ262190:TLA262190 TUV262190:TUW262190 UER262190:UES262190 UON262190:UOO262190 UYJ262190:UYK262190 VIF262190:VIG262190 VSB262190:VSC262190 WBX262190:WBY262190 WLT262190:WLU262190 WVP262190:WVQ262190 H327726:I327726 JD327726:JE327726 SZ327726:TA327726 ACV327726:ACW327726 AMR327726:AMS327726 AWN327726:AWO327726 BGJ327726:BGK327726 BQF327726:BQG327726 CAB327726:CAC327726 CJX327726:CJY327726 CTT327726:CTU327726 DDP327726:DDQ327726 DNL327726:DNM327726 DXH327726:DXI327726 EHD327726:EHE327726 EQZ327726:ERA327726 FAV327726:FAW327726 FKR327726:FKS327726 FUN327726:FUO327726 GEJ327726:GEK327726 GOF327726:GOG327726 GYB327726:GYC327726 HHX327726:HHY327726 HRT327726:HRU327726 IBP327726:IBQ327726 ILL327726:ILM327726 IVH327726:IVI327726 JFD327726:JFE327726 JOZ327726:JPA327726 JYV327726:JYW327726 KIR327726:KIS327726 KSN327726:KSO327726 LCJ327726:LCK327726 LMF327726:LMG327726 LWB327726:LWC327726 MFX327726:MFY327726 MPT327726:MPU327726 MZP327726:MZQ327726 NJL327726:NJM327726 NTH327726:NTI327726 ODD327726:ODE327726 OMZ327726:ONA327726 OWV327726:OWW327726 PGR327726:PGS327726 PQN327726:PQO327726 QAJ327726:QAK327726 QKF327726:QKG327726 QUB327726:QUC327726 RDX327726:RDY327726 RNT327726:RNU327726 RXP327726:RXQ327726 SHL327726:SHM327726 SRH327726:SRI327726 TBD327726:TBE327726 TKZ327726:TLA327726 TUV327726:TUW327726 UER327726:UES327726 UON327726:UOO327726 UYJ327726:UYK327726 VIF327726:VIG327726 VSB327726:VSC327726 WBX327726:WBY327726 WLT327726:WLU327726 WVP327726:WVQ327726 H393262:I393262 JD393262:JE393262 SZ393262:TA393262 ACV393262:ACW393262 AMR393262:AMS393262 AWN393262:AWO393262 BGJ393262:BGK393262 BQF393262:BQG393262 CAB393262:CAC393262 CJX393262:CJY393262 CTT393262:CTU393262 DDP393262:DDQ393262 DNL393262:DNM393262 DXH393262:DXI393262 EHD393262:EHE393262 EQZ393262:ERA393262 FAV393262:FAW393262 FKR393262:FKS393262 FUN393262:FUO393262 GEJ393262:GEK393262 GOF393262:GOG393262 GYB393262:GYC393262 HHX393262:HHY393262 HRT393262:HRU393262 IBP393262:IBQ393262 ILL393262:ILM393262 IVH393262:IVI393262 JFD393262:JFE393262 JOZ393262:JPA393262 JYV393262:JYW393262 KIR393262:KIS393262 KSN393262:KSO393262 LCJ393262:LCK393262 LMF393262:LMG393262 LWB393262:LWC393262 MFX393262:MFY393262 MPT393262:MPU393262 MZP393262:MZQ393262 NJL393262:NJM393262 NTH393262:NTI393262 ODD393262:ODE393262 OMZ393262:ONA393262 OWV393262:OWW393262 PGR393262:PGS393262 PQN393262:PQO393262 QAJ393262:QAK393262 QKF393262:QKG393262 QUB393262:QUC393262 RDX393262:RDY393262 RNT393262:RNU393262 RXP393262:RXQ393262 SHL393262:SHM393262 SRH393262:SRI393262 TBD393262:TBE393262 TKZ393262:TLA393262 TUV393262:TUW393262 UER393262:UES393262 UON393262:UOO393262 UYJ393262:UYK393262 VIF393262:VIG393262 VSB393262:VSC393262 WBX393262:WBY393262 WLT393262:WLU393262 WVP393262:WVQ393262 H458798:I458798 JD458798:JE458798 SZ458798:TA458798 ACV458798:ACW458798 AMR458798:AMS458798 AWN458798:AWO458798 BGJ458798:BGK458798 BQF458798:BQG458798 CAB458798:CAC458798 CJX458798:CJY458798 CTT458798:CTU458798 DDP458798:DDQ458798 DNL458798:DNM458798 DXH458798:DXI458798 EHD458798:EHE458798 EQZ458798:ERA458798 FAV458798:FAW458798 FKR458798:FKS458798 FUN458798:FUO458798 GEJ458798:GEK458798 GOF458798:GOG458798 GYB458798:GYC458798 HHX458798:HHY458798 HRT458798:HRU458798 IBP458798:IBQ458798 ILL458798:ILM458798 IVH458798:IVI458798 JFD458798:JFE458798 JOZ458798:JPA458798 JYV458798:JYW458798 KIR458798:KIS458798 KSN458798:KSO458798 LCJ458798:LCK458798 LMF458798:LMG458798 LWB458798:LWC458798 MFX458798:MFY458798 MPT458798:MPU458798 MZP458798:MZQ458798 NJL458798:NJM458798 NTH458798:NTI458798 ODD458798:ODE458798 OMZ458798:ONA458798 OWV458798:OWW458798 PGR458798:PGS458798 PQN458798:PQO458798 QAJ458798:QAK458798 QKF458798:QKG458798 QUB458798:QUC458798 RDX458798:RDY458798 RNT458798:RNU458798 RXP458798:RXQ458798 SHL458798:SHM458798 SRH458798:SRI458798 TBD458798:TBE458798 TKZ458798:TLA458798 TUV458798:TUW458798 UER458798:UES458798 UON458798:UOO458798 UYJ458798:UYK458798 VIF458798:VIG458798 VSB458798:VSC458798 WBX458798:WBY458798 WLT458798:WLU458798 WVP458798:WVQ458798 H524334:I524334 JD524334:JE524334 SZ524334:TA524334 ACV524334:ACW524334 AMR524334:AMS524334 AWN524334:AWO524334 BGJ524334:BGK524334 BQF524334:BQG524334 CAB524334:CAC524334 CJX524334:CJY524334 CTT524334:CTU524334 DDP524334:DDQ524334 DNL524334:DNM524334 DXH524334:DXI524334 EHD524334:EHE524334 EQZ524334:ERA524334 FAV524334:FAW524334 FKR524334:FKS524334 FUN524334:FUO524334 GEJ524334:GEK524334 GOF524334:GOG524334 GYB524334:GYC524334 HHX524334:HHY524334 HRT524334:HRU524334 IBP524334:IBQ524334 ILL524334:ILM524334 IVH524334:IVI524334 JFD524334:JFE524334 JOZ524334:JPA524334 JYV524334:JYW524334 KIR524334:KIS524334 KSN524334:KSO524334 LCJ524334:LCK524334 LMF524334:LMG524334 LWB524334:LWC524334 MFX524334:MFY524334 MPT524334:MPU524334 MZP524334:MZQ524334 NJL524334:NJM524334 NTH524334:NTI524334 ODD524334:ODE524334 OMZ524334:ONA524334 OWV524334:OWW524334 PGR524334:PGS524334 PQN524334:PQO524334 QAJ524334:QAK524334 QKF524334:QKG524334 QUB524334:QUC524334 RDX524334:RDY524334 RNT524334:RNU524334 RXP524334:RXQ524334 SHL524334:SHM524334 SRH524334:SRI524334 TBD524334:TBE524334 TKZ524334:TLA524334 TUV524334:TUW524334 UER524334:UES524334 UON524334:UOO524334 UYJ524334:UYK524334 VIF524334:VIG524334 VSB524334:VSC524334 WBX524334:WBY524334 WLT524334:WLU524334 WVP524334:WVQ524334 H589870:I589870 JD589870:JE589870 SZ589870:TA589870 ACV589870:ACW589870 AMR589870:AMS589870 AWN589870:AWO589870 BGJ589870:BGK589870 BQF589870:BQG589870 CAB589870:CAC589870 CJX589870:CJY589870 CTT589870:CTU589870 DDP589870:DDQ589870 DNL589870:DNM589870 DXH589870:DXI589870 EHD589870:EHE589870 EQZ589870:ERA589870 FAV589870:FAW589870 FKR589870:FKS589870 FUN589870:FUO589870 GEJ589870:GEK589870 GOF589870:GOG589870 GYB589870:GYC589870 HHX589870:HHY589870 HRT589870:HRU589870 IBP589870:IBQ589870 ILL589870:ILM589870 IVH589870:IVI589870 JFD589870:JFE589870 JOZ589870:JPA589870 JYV589870:JYW589870 KIR589870:KIS589870 KSN589870:KSO589870 LCJ589870:LCK589870 LMF589870:LMG589870 LWB589870:LWC589870 MFX589870:MFY589870 MPT589870:MPU589870 MZP589870:MZQ589870 NJL589870:NJM589870 NTH589870:NTI589870 ODD589870:ODE589870 OMZ589870:ONA589870 OWV589870:OWW589870 PGR589870:PGS589870 PQN589870:PQO589870 QAJ589870:QAK589870 QKF589870:QKG589870 QUB589870:QUC589870 RDX589870:RDY589870 RNT589870:RNU589870 RXP589870:RXQ589870 SHL589870:SHM589870 SRH589870:SRI589870 TBD589870:TBE589870 TKZ589870:TLA589870 TUV589870:TUW589870 UER589870:UES589870 UON589870:UOO589870 UYJ589870:UYK589870 VIF589870:VIG589870 VSB589870:VSC589870 WBX589870:WBY589870 WLT589870:WLU589870 WVP589870:WVQ589870 H655406:I655406 JD655406:JE655406 SZ655406:TA655406 ACV655406:ACW655406 AMR655406:AMS655406 AWN655406:AWO655406 BGJ655406:BGK655406 BQF655406:BQG655406 CAB655406:CAC655406 CJX655406:CJY655406 CTT655406:CTU655406 DDP655406:DDQ655406 DNL655406:DNM655406 DXH655406:DXI655406 EHD655406:EHE655406 EQZ655406:ERA655406 FAV655406:FAW655406 FKR655406:FKS655406 FUN655406:FUO655406 GEJ655406:GEK655406 GOF655406:GOG655406 GYB655406:GYC655406 HHX655406:HHY655406 HRT655406:HRU655406 IBP655406:IBQ655406 ILL655406:ILM655406 IVH655406:IVI655406 JFD655406:JFE655406 JOZ655406:JPA655406 JYV655406:JYW655406 KIR655406:KIS655406 KSN655406:KSO655406 LCJ655406:LCK655406 LMF655406:LMG655406 LWB655406:LWC655406 MFX655406:MFY655406 MPT655406:MPU655406 MZP655406:MZQ655406 NJL655406:NJM655406 NTH655406:NTI655406 ODD655406:ODE655406 OMZ655406:ONA655406 OWV655406:OWW655406 PGR655406:PGS655406 PQN655406:PQO655406 QAJ655406:QAK655406 QKF655406:QKG655406 QUB655406:QUC655406 RDX655406:RDY655406 RNT655406:RNU655406 RXP655406:RXQ655406 SHL655406:SHM655406 SRH655406:SRI655406 TBD655406:TBE655406 TKZ655406:TLA655406 TUV655406:TUW655406 UER655406:UES655406 UON655406:UOO655406 UYJ655406:UYK655406 VIF655406:VIG655406 VSB655406:VSC655406 WBX655406:WBY655406 WLT655406:WLU655406 WVP655406:WVQ655406 H720942:I720942 JD720942:JE720942 SZ720942:TA720942 ACV720942:ACW720942 AMR720942:AMS720942 AWN720942:AWO720942 BGJ720942:BGK720942 BQF720942:BQG720942 CAB720942:CAC720942 CJX720942:CJY720942 CTT720942:CTU720942 DDP720942:DDQ720942 DNL720942:DNM720942 DXH720942:DXI720942 EHD720942:EHE720942 EQZ720942:ERA720942 FAV720942:FAW720942 FKR720942:FKS720942 FUN720942:FUO720942 GEJ720942:GEK720942 GOF720942:GOG720942 GYB720942:GYC720942 HHX720942:HHY720942 HRT720942:HRU720942 IBP720942:IBQ720942 ILL720942:ILM720942 IVH720942:IVI720942 JFD720942:JFE720942 JOZ720942:JPA720942 JYV720942:JYW720942 KIR720942:KIS720942 KSN720942:KSO720942 LCJ720942:LCK720942 LMF720942:LMG720942 LWB720942:LWC720942 MFX720942:MFY720942 MPT720942:MPU720942 MZP720942:MZQ720942 NJL720942:NJM720942 NTH720942:NTI720942 ODD720942:ODE720942 OMZ720942:ONA720942 OWV720942:OWW720942 PGR720942:PGS720942 PQN720942:PQO720942 QAJ720942:QAK720942 QKF720942:QKG720942 QUB720942:QUC720942 RDX720942:RDY720942 RNT720942:RNU720942 RXP720942:RXQ720942 SHL720942:SHM720942 SRH720942:SRI720942 TBD720942:TBE720942 TKZ720942:TLA720942 TUV720942:TUW720942 UER720942:UES720942 UON720942:UOO720942 UYJ720942:UYK720942 VIF720942:VIG720942 VSB720942:VSC720942 WBX720942:WBY720942 WLT720942:WLU720942 WVP720942:WVQ720942 H786478:I786478 JD786478:JE786478 SZ786478:TA786478 ACV786478:ACW786478 AMR786478:AMS786478 AWN786478:AWO786478 BGJ786478:BGK786478 BQF786478:BQG786478 CAB786478:CAC786478 CJX786478:CJY786478 CTT786478:CTU786478 DDP786478:DDQ786478 DNL786478:DNM786478 DXH786478:DXI786478 EHD786478:EHE786478 EQZ786478:ERA786478 FAV786478:FAW786478 FKR786478:FKS786478 FUN786478:FUO786478 GEJ786478:GEK786478 GOF786478:GOG786478 GYB786478:GYC786478 HHX786478:HHY786478 HRT786478:HRU786478 IBP786478:IBQ786478 ILL786478:ILM786478 IVH786478:IVI786478 JFD786478:JFE786478 JOZ786478:JPA786478 JYV786478:JYW786478 KIR786478:KIS786478 KSN786478:KSO786478 LCJ786478:LCK786478 LMF786478:LMG786478 LWB786478:LWC786478 MFX786478:MFY786478 MPT786478:MPU786478 MZP786478:MZQ786478 NJL786478:NJM786478 NTH786478:NTI786478 ODD786478:ODE786478 OMZ786478:ONA786478 OWV786478:OWW786478 PGR786478:PGS786478 PQN786478:PQO786478 QAJ786478:QAK786478 QKF786478:QKG786478 QUB786478:QUC786478 RDX786478:RDY786478 RNT786478:RNU786478 RXP786478:RXQ786478 SHL786478:SHM786478 SRH786478:SRI786478 TBD786478:TBE786478 TKZ786478:TLA786478 TUV786478:TUW786478 UER786478:UES786478 UON786478:UOO786478 UYJ786478:UYK786478 VIF786478:VIG786478 VSB786478:VSC786478 WBX786478:WBY786478 WLT786478:WLU786478 WVP786478:WVQ786478 H852014:I852014 JD852014:JE852014 SZ852014:TA852014 ACV852014:ACW852014 AMR852014:AMS852014 AWN852014:AWO852014 BGJ852014:BGK852014 BQF852014:BQG852014 CAB852014:CAC852014 CJX852014:CJY852014 CTT852014:CTU852014 DDP852014:DDQ852014 DNL852014:DNM852014 DXH852014:DXI852014 EHD852014:EHE852014 EQZ852014:ERA852014 FAV852014:FAW852014 FKR852014:FKS852014 FUN852014:FUO852014 GEJ852014:GEK852014 GOF852014:GOG852014 GYB852014:GYC852014 HHX852014:HHY852014 HRT852014:HRU852014 IBP852014:IBQ852014 ILL852014:ILM852014 IVH852014:IVI852014 JFD852014:JFE852014 JOZ852014:JPA852014 JYV852014:JYW852014 KIR852014:KIS852014 KSN852014:KSO852014 LCJ852014:LCK852014 LMF852014:LMG852014 LWB852014:LWC852014 MFX852014:MFY852014 MPT852014:MPU852014 MZP852014:MZQ852014 NJL852014:NJM852014 NTH852014:NTI852014 ODD852014:ODE852014 OMZ852014:ONA852014 OWV852014:OWW852014 PGR852014:PGS852014 PQN852014:PQO852014 QAJ852014:QAK852014 QKF852014:QKG852014 QUB852014:QUC852014 RDX852014:RDY852014 RNT852014:RNU852014 RXP852014:RXQ852014 SHL852014:SHM852014 SRH852014:SRI852014 TBD852014:TBE852014 TKZ852014:TLA852014 TUV852014:TUW852014 UER852014:UES852014 UON852014:UOO852014 UYJ852014:UYK852014 VIF852014:VIG852014 VSB852014:VSC852014 WBX852014:WBY852014 WLT852014:WLU852014 WVP852014:WVQ852014 H917550:I917550 JD917550:JE917550 SZ917550:TA917550 ACV917550:ACW917550 AMR917550:AMS917550 AWN917550:AWO917550 BGJ917550:BGK917550 BQF917550:BQG917550 CAB917550:CAC917550 CJX917550:CJY917550 CTT917550:CTU917550 DDP917550:DDQ917550 DNL917550:DNM917550 DXH917550:DXI917550 EHD917550:EHE917550 EQZ917550:ERA917550 FAV917550:FAW917550 FKR917550:FKS917550 FUN917550:FUO917550 GEJ917550:GEK917550 GOF917550:GOG917550 GYB917550:GYC917550 HHX917550:HHY917550 HRT917550:HRU917550 IBP917550:IBQ917550 ILL917550:ILM917550 IVH917550:IVI917550 JFD917550:JFE917550 JOZ917550:JPA917550 JYV917550:JYW917550 KIR917550:KIS917550 KSN917550:KSO917550 LCJ917550:LCK917550 LMF917550:LMG917550 LWB917550:LWC917550 MFX917550:MFY917550 MPT917550:MPU917550 MZP917550:MZQ917550 NJL917550:NJM917550 NTH917550:NTI917550 ODD917550:ODE917550 OMZ917550:ONA917550 OWV917550:OWW917550 PGR917550:PGS917550 PQN917550:PQO917550 QAJ917550:QAK917550 QKF917550:QKG917550 QUB917550:QUC917550 RDX917550:RDY917550 RNT917550:RNU917550 RXP917550:RXQ917550 SHL917550:SHM917550 SRH917550:SRI917550 TBD917550:TBE917550 TKZ917550:TLA917550 TUV917550:TUW917550 UER917550:UES917550 UON917550:UOO917550 UYJ917550:UYK917550 VIF917550:VIG917550 VSB917550:VSC917550 WBX917550:WBY917550 WLT917550:WLU917550 WVP917550:WVQ917550 H983086:I983086 JD983086:JE983086 SZ983086:TA983086 ACV983086:ACW983086 AMR983086:AMS983086 AWN983086:AWO983086 BGJ983086:BGK983086 BQF983086:BQG983086 CAB983086:CAC983086 CJX983086:CJY983086 CTT983086:CTU983086 DDP983086:DDQ983086 DNL983086:DNM983086 DXH983086:DXI983086 EHD983086:EHE983086 EQZ983086:ERA983086 FAV983086:FAW983086 FKR983086:FKS983086 FUN983086:FUO983086 GEJ983086:GEK983086 GOF983086:GOG983086 GYB983086:GYC983086 HHX983086:HHY983086 HRT983086:HRU983086 IBP983086:IBQ983086 ILL983086:ILM983086 IVH983086:IVI983086 JFD983086:JFE983086 JOZ983086:JPA983086 JYV983086:JYW983086 KIR983086:KIS983086 KSN983086:KSO983086 LCJ983086:LCK983086 LMF983086:LMG983086 LWB983086:LWC983086 MFX983086:MFY983086 MPT983086:MPU983086 MZP983086:MZQ983086 NJL983086:NJM983086 NTH983086:NTI983086 ODD983086:ODE983086 OMZ983086:ONA983086 OWV983086:OWW983086 PGR983086:PGS983086 PQN983086:PQO983086 QAJ983086:QAK983086 QKF983086:QKG983086 QUB983086:QUC983086 RDX983086:RDY983086 RNT983086:RNU983086 RXP983086:RXQ983086 SHL983086:SHM983086 SRH983086:SRI983086 TBD983086:TBE983086 TKZ983086:TLA983086 TUV983086:TUW983086 UER983086:UES983086 UON983086:UOO983086 UYJ983086:UYK983086 VIF983086:VIG983086 VSB983086:VSC983086 WBX983086:WBY983086 WLT983086:WLU983086 WVP983086:WVQ983086 H48:I52 JD48:JE52 SZ48:TA52 ACV48:ACW52 AMR48:AMS52 AWN48:AWO52 BGJ48:BGK52 BQF48:BQG52 CAB48:CAC52 CJX48:CJY52 CTT48:CTU52 DDP48:DDQ52 DNL48:DNM52 DXH48:DXI52 EHD48:EHE52 EQZ48:ERA52 FAV48:FAW52 FKR48:FKS52 FUN48:FUO52 GEJ48:GEK52 GOF48:GOG52 GYB48:GYC52 HHX48:HHY52 HRT48:HRU52 IBP48:IBQ52 ILL48:ILM52 IVH48:IVI52 JFD48:JFE52 JOZ48:JPA52 JYV48:JYW52 KIR48:KIS52 KSN48:KSO52 LCJ48:LCK52 LMF48:LMG52 LWB48:LWC52 MFX48:MFY52 MPT48:MPU52 MZP48:MZQ52 NJL48:NJM52 NTH48:NTI52 ODD48:ODE52 OMZ48:ONA52 OWV48:OWW52 PGR48:PGS52 PQN48:PQO52 QAJ48:QAK52 QKF48:QKG52 QUB48:QUC52 RDX48:RDY52 RNT48:RNU52 RXP48:RXQ52 SHL48:SHM52 SRH48:SRI52 TBD48:TBE52 TKZ48:TLA52 TUV48:TUW52 UER48:UES52 UON48:UOO52 UYJ48:UYK52 VIF48:VIG52 VSB48:VSC52 WBX48:WBY52 WLT48:WLU52 WVP48:WVQ52 H65584:I65588 JD65584:JE65588 SZ65584:TA65588 ACV65584:ACW65588 AMR65584:AMS65588 AWN65584:AWO65588 BGJ65584:BGK65588 BQF65584:BQG65588 CAB65584:CAC65588 CJX65584:CJY65588 CTT65584:CTU65588 DDP65584:DDQ65588 DNL65584:DNM65588 DXH65584:DXI65588 EHD65584:EHE65588 EQZ65584:ERA65588 FAV65584:FAW65588 FKR65584:FKS65588 FUN65584:FUO65588 GEJ65584:GEK65588 GOF65584:GOG65588 GYB65584:GYC65588 HHX65584:HHY65588 HRT65584:HRU65588 IBP65584:IBQ65588 ILL65584:ILM65588 IVH65584:IVI65588 JFD65584:JFE65588 JOZ65584:JPA65588 JYV65584:JYW65588 KIR65584:KIS65588 KSN65584:KSO65588 LCJ65584:LCK65588 LMF65584:LMG65588 LWB65584:LWC65588 MFX65584:MFY65588 MPT65584:MPU65588 MZP65584:MZQ65588 NJL65584:NJM65588 NTH65584:NTI65588 ODD65584:ODE65588 OMZ65584:ONA65588 OWV65584:OWW65588 PGR65584:PGS65588 PQN65584:PQO65588 QAJ65584:QAK65588 QKF65584:QKG65588 QUB65584:QUC65588 RDX65584:RDY65588 RNT65584:RNU65588 RXP65584:RXQ65588 SHL65584:SHM65588 SRH65584:SRI65588 TBD65584:TBE65588 TKZ65584:TLA65588 TUV65584:TUW65588 UER65584:UES65588 UON65584:UOO65588 UYJ65584:UYK65588 VIF65584:VIG65588 VSB65584:VSC65588 WBX65584:WBY65588 WLT65584:WLU65588 WVP65584:WVQ65588 H131120:I131124 JD131120:JE131124 SZ131120:TA131124 ACV131120:ACW131124 AMR131120:AMS131124 AWN131120:AWO131124 BGJ131120:BGK131124 BQF131120:BQG131124 CAB131120:CAC131124 CJX131120:CJY131124 CTT131120:CTU131124 DDP131120:DDQ131124 DNL131120:DNM131124 DXH131120:DXI131124 EHD131120:EHE131124 EQZ131120:ERA131124 FAV131120:FAW131124 FKR131120:FKS131124 FUN131120:FUO131124 GEJ131120:GEK131124 GOF131120:GOG131124 GYB131120:GYC131124 HHX131120:HHY131124 HRT131120:HRU131124 IBP131120:IBQ131124 ILL131120:ILM131124 IVH131120:IVI131124 JFD131120:JFE131124 JOZ131120:JPA131124 JYV131120:JYW131124 KIR131120:KIS131124 KSN131120:KSO131124 LCJ131120:LCK131124 LMF131120:LMG131124 LWB131120:LWC131124 MFX131120:MFY131124 MPT131120:MPU131124 MZP131120:MZQ131124 NJL131120:NJM131124 NTH131120:NTI131124 ODD131120:ODE131124 OMZ131120:ONA131124 OWV131120:OWW131124 PGR131120:PGS131124 PQN131120:PQO131124 QAJ131120:QAK131124 QKF131120:QKG131124 QUB131120:QUC131124 RDX131120:RDY131124 RNT131120:RNU131124 RXP131120:RXQ131124 SHL131120:SHM131124 SRH131120:SRI131124 TBD131120:TBE131124 TKZ131120:TLA131124 TUV131120:TUW131124 UER131120:UES131124 UON131120:UOO131124 UYJ131120:UYK131124 VIF131120:VIG131124 VSB131120:VSC131124 WBX131120:WBY131124 WLT131120:WLU131124 WVP131120:WVQ131124 H196656:I196660 JD196656:JE196660 SZ196656:TA196660 ACV196656:ACW196660 AMR196656:AMS196660 AWN196656:AWO196660 BGJ196656:BGK196660 BQF196656:BQG196660 CAB196656:CAC196660 CJX196656:CJY196660 CTT196656:CTU196660 DDP196656:DDQ196660 DNL196656:DNM196660 DXH196656:DXI196660 EHD196656:EHE196660 EQZ196656:ERA196660 FAV196656:FAW196660 FKR196656:FKS196660 FUN196656:FUO196660 GEJ196656:GEK196660 GOF196656:GOG196660 GYB196656:GYC196660 HHX196656:HHY196660 HRT196656:HRU196660 IBP196656:IBQ196660 ILL196656:ILM196660 IVH196656:IVI196660 JFD196656:JFE196660 JOZ196656:JPA196660 JYV196656:JYW196660 KIR196656:KIS196660 KSN196656:KSO196660 LCJ196656:LCK196660 LMF196656:LMG196660 LWB196656:LWC196660 MFX196656:MFY196660 MPT196656:MPU196660 MZP196656:MZQ196660 NJL196656:NJM196660 NTH196656:NTI196660 ODD196656:ODE196660 OMZ196656:ONA196660 OWV196656:OWW196660 PGR196656:PGS196660 PQN196656:PQO196660 QAJ196656:QAK196660 QKF196656:QKG196660 QUB196656:QUC196660 RDX196656:RDY196660 RNT196656:RNU196660 RXP196656:RXQ196660 SHL196656:SHM196660 SRH196656:SRI196660 TBD196656:TBE196660 TKZ196656:TLA196660 TUV196656:TUW196660 UER196656:UES196660 UON196656:UOO196660 UYJ196656:UYK196660 VIF196656:VIG196660 VSB196656:VSC196660 WBX196656:WBY196660 WLT196656:WLU196660 WVP196656:WVQ196660 H262192:I262196 JD262192:JE262196 SZ262192:TA262196 ACV262192:ACW262196 AMR262192:AMS262196 AWN262192:AWO262196 BGJ262192:BGK262196 BQF262192:BQG262196 CAB262192:CAC262196 CJX262192:CJY262196 CTT262192:CTU262196 DDP262192:DDQ262196 DNL262192:DNM262196 DXH262192:DXI262196 EHD262192:EHE262196 EQZ262192:ERA262196 FAV262192:FAW262196 FKR262192:FKS262196 FUN262192:FUO262196 GEJ262192:GEK262196 GOF262192:GOG262196 GYB262192:GYC262196 HHX262192:HHY262196 HRT262192:HRU262196 IBP262192:IBQ262196 ILL262192:ILM262196 IVH262192:IVI262196 JFD262192:JFE262196 JOZ262192:JPA262196 JYV262192:JYW262196 KIR262192:KIS262196 KSN262192:KSO262196 LCJ262192:LCK262196 LMF262192:LMG262196 LWB262192:LWC262196 MFX262192:MFY262196 MPT262192:MPU262196 MZP262192:MZQ262196 NJL262192:NJM262196 NTH262192:NTI262196 ODD262192:ODE262196 OMZ262192:ONA262196 OWV262192:OWW262196 PGR262192:PGS262196 PQN262192:PQO262196 QAJ262192:QAK262196 QKF262192:QKG262196 QUB262192:QUC262196 RDX262192:RDY262196 RNT262192:RNU262196 RXP262192:RXQ262196 SHL262192:SHM262196 SRH262192:SRI262196 TBD262192:TBE262196 TKZ262192:TLA262196 TUV262192:TUW262196 UER262192:UES262196 UON262192:UOO262196 UYJ262192:UYK262196 VIF262192:VIG262196 VSB262192:VSC262196 WBX262192:WBY262196 WLT262192:WLU262196 WVP262192:WVQ262196 H327728:I327732 JD327728:JE327732 SZ327728:TA327732 ACV327728:ACW327732 AMR327728:AMS327732 AWN327728:AWO327732 BGJ327728:BGK327732 BQF327728:BQG327732 CAB327728:CAC327732 CJX327728:CJY327732 CTT327728:CTU327732 DDP327728:DDQ327732 DNL327728:DNM327732 DXH327728:DXI327732 EHD327728:EHE327732 EQZ327728:ERA327732 FAV327728:FAW327732 FKR327728:FKS327732 FUN327728:FUO327732 GEJ327728:GEK327732 GOF327728:GOG327732 GYB327728:GYC327732 HHX327728:HHY327732 HRT327728:HRU327732 IBP327728:IBQ327732 ILL327728:ILM327732 IVH327728:IVI327732 JFD327728:JFE327732 JOZ327728:JPA327732 JYV327728:JYW327732 KIR327728:KIS327732 KSN327728:KSO327732 LCJ327728:LCK327732 LMF327728:LMG327732 LWB327728:LWC327732 MFX327728:MFY327732 MPT327728:MPU327732 MZP327728:MZQ327732 NJL327728:NJM327732 NTH327728:NTI327732 ODD327728:ODE327732 OMZ327728:ONA327732 OWV327728:OWW327732 PGR327728:PGS327732 PQN327728:PQO327732 QAJ327728:QAK327732 QKF327728:QKG327732 QUB327728:QUC327732 RDX327728:RDY327732 RNT327728:RNU327732 RXP327728:RXQ327732 SHL327728:SHM327732 SRH327728:SRI327732 TBD327728:TBE327732 TKZ327728:TLA327732 TUV327728:TUW327732 UER327728:UES327732 UON327728:UOO327732 UYJ327728:UYK327732 VIF327728:VIG327732 VSB327728:VSC327732 WBX327728:WBY327732 WLT327728:WLU327732 WVP327728:WVQ327732 H393264:I393268 JD393264:JE393268 SZ393264:TA393268 ACV393264:ACW393268 AMR393264:AMS393268 AWN393264:AWO393268 BGJ393264:BGK393268 BQF393264:BQG393268 CAB393264:CAC393268 CJX393264:CJY393268 CTT393264:CTU393268 DDP393264:DDQ393268 DNL393264:DNM393268 DXH393264:DXI393268 EHD393264:EHE393268 EQZ393264:ERA393268 FAV393264:FAW393268 FKR393264:FKS393268 FUN393264:FUO393268 GEJ393264:GEK393268 GOF393264:GOG393268 GYB393264:GYC393268 HHX393264:HHY393268 HRT393264:HRU393268 IBP393264:IBQ393268 ILL393264:ILM393268 IVH393264:IVI393268 JFD393264:JFE393268 JOZ393264:JPA393268 JYV393264:JYW393268 KIR393264:KIS393268 KSN393264:KSO393268 LCJ393264:LCK393268 LMF393264:LMG393268 LWB393264:LWC393268 MFX393264:MFY393268 MPT393264:MPU393268 MZP393264:MZQ393268 NJL393264:NJM393268 NTH393264:NTI393268 ODD393264:ODE393268 OMZ393264:ONA393268 OWV393264:OWW393268 PGR393264:PGS393268 PQN393264:PQO393268 QAJ393264:QAK393268 QKF393264:QKG393268 QUB393264:QUC393268 RDX393264:RDY393268 RNT393264:RNU393268 RXP393264:RXQ393268 SHL393264:SHM393268 SRH393264:SRI393268 TBD393264:TBE393268 TKZ393264:TLA393268 TUV393264:TUW393268 UER393264:UES393268 UON393264:UOO393268 UYJ393264:UYK393268 VIF393264:VIG393268 VSB393264:VSC393268 WBX393264:WBY393268 WLT393264:WLU393268 WVP393264:WVQ393268 H458800:I458804 JD458800:JE458804 SZ458800:TA458804 ACV458800:ACW458804 AMR458800:AMS458804 AWN458800:AWO458804 BGJ458800:BGK458804 BQF458800:BQG458804 CAB458800:CAC458804 CJX458800:CJY458804 CTT458800:CTU458804 DDP458800:DDQ458804 DNL458800:DNM458804 DXH458800:DXI458804 EHD458800:EHE458804 EQZ458800:ERA458804 FAV458800:FAW458804 FKR458800:FKS458804 FUN458800:FUO458804 GEJ458800:GEK458804 GOF458800:GOG458804 GYB458800:GYC458804 HHX458800:HHY458804 HRT458800:HRU458804 IBP458800:IBQ458804 ILL458800:ILM458804 IVH458800:IVI458804 JFD458800:JFE458804 JOZ458800:JPA458804 JYV458800:JYW458804 KIR458800:KIS458804 KSN458800:KSO458804 LCJ458800:LCK458804 LMF458800:LMG458804 LWB458800:LWC458804 MFX458800:MFY458804 MPT458800:MPU458804 MZP458800:MZQ458804 NJL458800:NJM458804 NTH458800:NTI458804 ODD458800:ODE458804 OMZ458800:ONA458804 OWV458800:OWW458804 PGR458800:PGS458804 PQN458800:PQO458804 QAJ458800:QAK458804 QKF458800:QKG458804 QUB458800:QUC458804 RDX458800:RDY458804 RNT458800:RNU458804 RXP458800:RXQ458804 SHL458800:SHM458804 SRH458800:SRI458804 TBD458800:TBE458804 TKZ458800:TLA458804 TUV458800:TUW458804 UER458800:UES458804 UON458800:UOO458804 UYJ458800:UYK458804 VIF458800:VIG458804 VSB458800:VSC458804 WBX458800:WBY458804 WLT458800:WLU458804 WVP458800:WVQ458804 H524336:I524340 JD524336:JE524340 SZ524336:TA524340 ACV524336:ACW524340 AMR524336:AMS524340 AWN524336:AWO524340 BGJ524336:BGK524340 BQF524336:BQG524340 CAB524336:CAC524340 CJX524336:CJY524340 CTT524336:CTU524340 DDP524336:DDQ524340 DNL524336:DNM524340 DXH524336:DXI524340 EHD524336:EHE524340 EQZ524336:ERA524340 FAV524336:FAW524340 FKR524336:FKS524340 FUN524336:FUO524340 GEJ524336:GEK524340 GOF524336:GOG524340 GYB524336:GYC524340 HHX524336:HHY524340 HRT524336:HRU524340 IBP524336:IBQ524340 ILL524336:ILM524340 IVH524336:IVI524340 JFD524336:JFE524340 JOZ524336:JPA524340 JYV524336:JYW524340 KIR524336:KIS524340 KSN524336:KSO524340 LCJ524336:LCK524340 LMF524336:LMG524340 LWB524336:LWC524340 MFX524336:MFY524340 MPT524336:MPU524340 MZP524336:MZQ524340 NJL524336:NJM524340 NTH524336:NTI524340 ODD524336:ODE524340 OMZ524336:ONA524340 OWV524336:OWW524340 PGR524336:PGS524340 PQN524336:PQO524340 QAJ524336:QAK524340 QKF524336:QKG524340 QUB524336:QUC524340 RDX524336:RDY524340 RNT524336:RNU524340 RXP524336:RXQ524340 SHL524336:SHM524340 SRH524336:SRI524340 TBD524336:TBE524340 TKZ524336:TLA524340 TUV524336:TUW524340 UER524336:UES524340 UON524336:UOO524340 UYJ524336:UYK524340 VIF524336:VIG524340 VSB524336:VSC524340 WBX524336:WBY524340 WLT524336:WLU524340 WVP524336:WVQ524340 H589872:I589876 JD589872:JE589876 SZ589872:TA589876 ACV589872:ACW589876 AMR589872:AMS589876 AWN589872:AWO589876 BGJ589872:BGK589876 BQF589872:BQG589876 CAB589872:CAC589876 CJX589872:CJY589876 CTT589872:CTU589876 DDP589872:DDQ589876 DNL589872:DNM589876 DXH589872:DXI589876 EHD589872:EHE589876 EQZ589872:ERA589876 FAV589872:FAW589876 FKR589872:FKS589876 FUN589872:FUO589876 GEJ589872:GEK589876 GOF589872:GOG589876 GYB589872:GYC589876 HHX589872:HHY589876 HRT589872:HRU589876 IBP589872:IBQ589876 ILL589872:ILM589876 IVH589872:IVI589876 JFD589872:JFE589876 JOZ589872:JPA589876 JYV589872:JYW589876 KIR589872:KIS589876 KSN589872:KSO589876 LCJ589872:LCK589876 LMF589872:LMG589876 LWB589872:LWC589876 MFX589872:MFY589876 MPT589872:MPU589876 MZP589872:MZQ589876 NJL589872:NJM589876 NTH589872:NTI589876 ODD589872:ODE589876 OMZ589872:ONA589876 OWV589872:OWW589876 PGR589872:PGS589876 PQN589872:PQO589876 QAJ589872:QAK589876 QKF589872:QKG589876 QUB589872:QUC589876 RDX589872:RDY589876 RNT589872:RNU589876 RXP589872:RXQ589876 SHL589872:SHM589876 SRH589872:SRI589876 TBD589872:TBE589876 TKZ589872:TLA589876 TUV589872:TUW589876 UER589872:UES589876 UON589872:UOO589876 UYJ589872:UYK589876 VIF589872:VIG589876 VSB589872:VSC589876 WBX589872:WBY589876 WLT589872:WLU589876 WVP589872:WVQ589876 H655408:I655412 JD655408:JE655412 SZ655408:TA655412 ACV655408:ACW655412 AMR655408:AMS655412 AWN655408:AWO655412 BGJ655408:BGK655412 BQF655408:BQG655412 CAB655408:CAC655412 CJX655408:CJY655412 CTT655408:CTU655412 DDP655408:DDQ655412 DNL655408:DNM655412 DXH655408:DXI655412 EHD655408:EHE655412 EQZ655408:ERA655412 FAV655408:FAW655412 FKR655408:FKS655412 FUN655408:FUO655412 GEJ655408:GEK655412 GOF655408:GOG655412 GYB655408:GYC655412 HHX655408:HHY655412 HRT655408:HRU655412 IBP655408:IBQ655412 ILL655408:ILM655412 IVH655408:IVI655412 JFD655408:JFE655412 JOZ655408:JPA655412 JYV655408:JYW655412 KIR655408:KIS655412 KSN655408:KSO655412 LCJ655408:LCK655412 LMF655408:LMG655412 LWB655408:LWC655412 MFX655408:MFY655412 MPT655408:MPU655412 MZP655408:MZQ655412 NJL655408:NJM655412 NTH655408:NTI655412 ODD655408:ODE655412 OMZ655408:ONA655412 OWV655408:OWW655412 PGR655408:PGS655412 PQN655408:PQO655412 QAJ655408:QAK655412 QKF655408:QKG655412 QUB655408:QUC655412 RDX655408:RDY655412 RNT655408:RNU655412 RXP655408:RXQ655412 SHL655408:SHM655412 SRH655408:SRI655412 TBD655408:TBE655412 TKZ655408:TLA655412 TUV655408:TUW655412 UER655408:UES655412 UON655408:UOO655412 UYJ655408:UYK655412 VIF655408:VIG655412 VSB655408:VSC655412 WBX655408:WBY655412 WLT655408:WLU655412 WVP655408:WVQ655412 H720944:I720948 JD720944:JE720948 SZ720944:TA720948 ACV720944:ACW720948 AMR720944:AMS720948 AWN720944:AWO720948 BGJ720944:BGK720948 BQF720944:BQG720948 CAB720944:CAC720948 CJX720944:CJY720948 CTT720944:CTU720948 DDP720944:DDQ720948 DNL720944:DNM720948 DXH720944:DXI720948 EHD720944:EHE720948 EQZ720944:ERA720948 FAV720944:FAW720948 FKR720944:FKS720948 FUN720944:FUO720948 GEJ720944:GEK720948 GOF720944:GOG720948 GYB720944:GYC720948 HHX720944:HHY720948 HRT720944:HRU720948 IBP720944:IBQ720948 ILL720944:ILM720948 IVH720944:IVI720948 JFD720944:JFE720948 JOZ720944:JPA720948 JYV720944:JYW720948 KIR720944:KIS720948 KSN720944:KSO720948 LCJ720944:LCK720948 LMF720944:LMG720948 LWB720944:LWC720948 MFX720944:MFY720948 MPT720944:MPU720948 MZP720944:MZQ720948 NJL720944:NJM720948 NTH720944:NTI720948 ODD720944:ODE720948 OMZ720944:ONA720948 OWV720944:OWW720948 PGR720944:PGS720948 PQN720944:PQO720948 QAJ720944:QAK720948 QKF720944:QKG720948 QUB720944:QUC720948 RDX720944:RDY720948 RNT720944:RNU720948 RXP720944:RXQ720948 SHL720944:SHM720948 SRH720944:SRI720948 TBD720944:TBE720948 TKZ720944:TLA720948 TUV720944:TUW720948 UER720944:UES720948 UON720944:UOO720948 UYJ720944:UYK720948 VIF720944:VIG720948 VSB720944:VSC720948 WBX720944:WBY720948 WLT720944:WLU720948 WVP720944:WVQ720948 H786480:I786484 JD786480:JE786484 SZ786480:TA786484 ACV786480:ACW786484 AMR786480:AMS786484 AWN786480:AWO786484 BGJ786480:BGK786484 BQF786480:BQG786484 CAB786480:CAC786484 CJX786480:CJY786484 CTT786480:CTU786484 DDP786480:DDQ786484 DNL786480:DNM786484 DXH786480:DXI786484 EHD786480:EHE786484 EQZ786480:ERA786484 FAV786480:FAW786484 FKR786480:FKS786484 FUN786480:FUO786484 GEJ786480:GEK786484 GOF786480:GOG786484 GYB786480:GYC786484 HHX786480:HHY786484 HRT786480:HRU786484 IBP786480:IBQ786484 ILL786480:ILM786484 IVH786480:IVI786484 JFD786480:JFE786484 JOZ786480:JPA786484 JYV786480:JYW786484 KIR786480:KIS786484 KSN786480:KSO786484 LCJ786480:LCK786484 LMF786480:LMG786484 LWB786480:LWC786484 MFX786480:MFY786484 MPT786480:MPU786484 MZP786480:MZQ786484 NJL786480:NJM786484 NTH786480:NTI786484 ODD786480:ODE786484 OMZ786480:ONA786484 OWV786480:OWW786484 PGR786480:PGS786484 PQN786480:PQO786484 QAJ786480:QAK786484 QKF786480:QKG786484 QUB786480:QUC786484 RDX786480:RDY786484 RNT786480:RNU786484 RXP786480:RXQ786484 SHL786480:SHM786484 SRH786480:SRI786484 TBD786480:TBE786484 TKZ786480:TLA786484 TUV786480:TUW786484 UER786480:UES786484 UON786480:UOO786484 UYJ786480:UYK786484 VIF786480:VIG786484 VSB786480:VSC786484 WBX786480:WBY786484 WLT786480:WLU786484 WVP786480:WVQ786484 H852016:I852020 JD852016:JE852020 SZ852016:TA852020 ACV852016:ACW852020 AMR852016:AMS852020 AWN852016:AWO852020 BGJ852016:BGK852020 BQF852016:BQG852020 CAB852016:CAC852020 CJX852016:CJY852020 CTT852016:CTU852020 DDP852016:DDQ852020 DNL852016:DNM852020 DXH852016:DXI852020 EHD852016:EHE852020 EQZ852016:ERA852020 FAV852016:FAW852020 FKR852016:FKS852020 FUN852016:FUO852020 GEJ852016:GEK852020 GOF852016:GOG852020 GYB852016:GYC852020 HHX852016:HHY852020 HRT852016:HRU852020 IBP852016:IBQ852020 ILL852016:ILM852020 IVH852016:IVI852020 JFD852016:JFE852020 JOZ852016:JPA852020 JYV852016:JYW852020 KIR852016:KIS852020 KSN852016:KSO852020 LCJ852016:LCK852020 LMF852016:LMG852020 LWB852016:LWC852020 MFX852016:MFY852020 MPT852016:MPU852020 MZP852016:MZQ852020 NJL852016:NJM852020 NTH852016:NTI852020 ODD852016:ODE852020 OMZ852016:ONA852020 OWV852016:OWW852020 PGR852016:PGS852020 PQN852016:PQO852020 QAJ852016:QAK852020 QKF852016:QKG852020 QUB852016:QUC852020 RDX852016:RDY852020 RNT852016:RNU852020 RXP852016:RXQ852020 SHL852016:SHM852020 SRH852016:SRI852020 TBD852016:TBE852020 TKZ852016:TLA852020 TUV852016:TUW852020 UER852016:UES852020 UON852016:UOO852020 UYJ852016:UYK852020 VIF852016:VIG852020 VSB852016:VSC852020 WBX852016:WBY852020 WLT852016:WLU852020 WVP852016:WVQ852020 H917552:I917556 JD917552:JE917556 SZ917552:TA917556 ACV917552:ACW917556 AMR917552:AMS917556 AWN917552:AWO917556 BGJ917552:BGK917556 BQF917552:BQG917556 CAB917552:CAC917556 CJX917552:CJY917556 CTT917552:CTU917556 DDP917552:DDQ917556 DNL917552:DNM917556 DXH917552:DXI917556 EHD917552:EHE917556 EQZ917552:ERA917556 FAV917552:FAW917556 FKR917552:FKS917556 FUN917552:FUO917556 GEJ917552:GEK917556 GOF917552:GOG917556 GYB917552:GYC917556 HHX917552:HHY917556 HRT917552:HRU917556 IBP917552:IBQ917556 ILL917552:ILM917556 IVH917552:IVI917556 JFD917552:JFE917556 JOZ917552:JPA917556 JYV917552:JYW917556 KIR917552:KIS917556 KSN917552:KSO917556 LCJ917552:LCK917556 LMF917552:LMG917556 LWB917552:LWC917556 MFX917552:MFY917556 MPT917552:MPU917556 MZP917552:MZQ917556 NJL917552:NJM917556 NTH917552:NTI917556 ODD917552:ODE917556 OMZ917552:ONA917556 OWV917552:OWW917556 PGR917552:PGS917556 PQN917552:PQO917556 QAJ917552:QAK917556 QKF917552:QKG917556 QUB917552:QUC917556 RDX917552:RDY917556 RNT917552:RNU917556 RXP917552:RXQ917556 SHL917552:SHM917556 SRH917552:SRI917556 TBD917552:TBE917556 TKZ917552:TLA917556 TUV917552:TUW917556 UER917552:UES917556 UON917552:UOO917556 UYJ917552:UYK917556 VIF917552:VIG917556 VSB917552:VSC917556 WBX917552:WBY917556 WLT917552:WLU917556 WVP917552:WVQ917556 H983088:I983092 JD983088:JE983092 SZ983088:TA983092 ACV983088:ACW983092 AMR983088:AMS983092 AWN983088:AWO983092 BGJ983088:BGK983092 BQF983088:BQG983092 CAB983088:CAC983092 CJX983088:CJY983092 CTT983088:CTU983092 DDP983088:DDQ983092 DNL983088:DNM983092 DXH983088:DXI983092 EHD983088:EHE983092 EQZ983088:ERA983092 FAV983088:FAW983092 FKR983088:FKS983092 FUN983088:FUO983092 GEJ983088:GEK983092 GOF983088:GOG983092 GYB983088:GYC983092 HHX983088:HHY983092 HRT983088:HRU983092 IBP983088:IBQ983092 ILL983088:ILM983092 IVH983088:IVI983092 JFD983088:JFE983092 JOZ983088:JPA983092 JYV983088:JYW983092 KIR983088:KIS983092 KSN983088:KSO983092 LCJ983088:LCK983092 LMF983088:LMG983092 LWB983088:LWC983092 MFX983088:MFY983092 MPT983088:MPU983092 MZP983088:MZQ983092 NJL983088:NJM983092 NTH983088:NTI983092 ODD983088:ODE983092 OMZ983088:ONA983092 OWV983088:OWW983092 PGR983088:PGS983092 PQN983088:PQO983092 QAJ983088:QAK983092 QKF983088:QKG983092 QUB983088:QUC983092 RDX983088:RDY983092 RNT983088:RNU983092 RXP983088:RXQ983092 SHL983088:SHM983092 SRH983088:SRI983092 TBD983088:TBE983092 TKZ983088:TLA983092 TUV983088:TUW983092 UER983088:UES983092 UON983088:UOO983092 UYJ983088:UYK983092 VIF983088:VIG983092 VSB983088:VSC983092 WBX983088:WBY983092 WLT983088:WLU983092 WVP983088:WVQ983092 H54:I58 JD54:JE58 SZ54:TA58 ACV54:ACW58 AMR54:AMS58 AWN54:AWO58 BGJ54:BGK58 BQF54:BQG58 CAB54:CAC58 CJX54:CJY58 CTT54:CTU58 DDP54:DDQ58 DNL54:DNM58 DXH54:DXI58 EHD54:EHE58 EQZ54:ERA58 FAV54:FAW58 FKR54:FKS58 FUN54:FUO58 GEJ54:GEK58 GOF54:GOG58 GYB54:GYC58 HHX54:HHY58 HRT54:HRU58 IBP54:IBQ58 ILL54:ILM58 IVH54:IVI58 JFD54:JFE58 JOZ54:JPA58 JYV54:JYW58 KIR54:KIS58 KSN54:KSO58 LCJ54:LCK58 LMF54:LMG58 LWB54:LWC58 MFX54:MFY58 MPT54:MPU58 MZP54:MZQ58 NJL54:NJM58 NTH54:NTI58 ODD54:ODE58 OMZ54:ONA58 OWV54:OWW58 PGR54:PGS58 PQN54:PQO58 QAJ54:QAK58 QKF54:QKG58 QUB54:QUC58 RDX54:RDY58 RNT54:RNU58 RXP54:RXQ58 SHL54:SHM58 SRH54:SRI58 TBD54:TBE58 TKZ54:TLA58 TUV54:TUW58 UER54:UES58 UON54:UOO58 UYJ54:UYK58 VIF54:VIG58 VSB54:VSC58 WBX54:WBY58 WLT54:WLU58 WVP54:WVQ58 H65590:I65594 JD65590:JE65594 SZ65590:TA65594 ACV65590:ACW65594 AMR65590:AMS65594 AWN65590:AWO65594 BGJ65590:BGK65594 BQF65590:BQG65594 CAB65590:CAC65594 CJX65590:CJY65594 CTT65590:CTU65594 DDP65590:DDQ65594 DNL65590:DNM65594 DXH65590:DXI65594 EHD65590:EHE65594 EQZ65590:ERA65594 FAV65590:FAW65594 FKR65590:FKS65594 FUN65590:FUO65594 GEJ65590:GEK65594 GOF65590:GOG65594 GYB65590:GYC65594 HHX65590:HHY65594 HRT65590:HRU65594 IBP65590:IBQ65594 ILL65590:ILM65594 IVH65590:IVI65594 JFD65590:JFE65594 JOZ65590:JPA65594 JYV65590:JYW65594 KIR65590:KIS65594 KSN65590:KSO65594 LCJ65590:LCK65594 LMF65590:LMG65594 LWB65590:LWC65594 MFX65590:MFY65594 MPT65590:MPU65594 MZP65590:MZQ65594 NJL65590:NJM65594 NTH65590:NTI65594 ODD65590:ODE65594 OMZ65590:ONA65594 OWV65590:OWW65594 PGR65590:PGS65594 PQN65590:PQO65594 QAJ65590:QAK65594 QKF65590:QKG65594 QUB65590:QUC65594 RDX65590:RDY65594 RNT65590:RNU65594 RXP65590:RXQ65594 SHL65590:SHM65594 SRH65590:SRI65594 TBD65590:TBE65594 TKZ65590:TLA65594 TUV65590:TUW65594 UER65590:UES65594 UON65590:UOO65594 UYJ65590:UYK65594 VIF65590:VIG65594 VSB65590:VSC65594 WBX65590:WBY65594 WLT65590:WLU65594 WVP65590:WVQ65594 H131126:I131130 JD131126:JE131130 SZ131126:TA131130 ACV131126:ACW131130 AMR131126:AMS131130 AWN131126:AWO131130 BGJ131126:BGK131130 BQF131126:BQG131130 CAB131126:CAC131130 CJX131126:CJY131130 CTT131126:CTU131130 DDP131126:DDQ131130 DNL131126:DNM131130 DXH131126:DXI131130 EHD131126:EHE131130 EQZ131126:ERA131130 FAV131126:FAW131130 FKR131126:FKS131130 FUN131126:FUO131130 GEJ131126:GEK131130 GOF131126:GOG131130 GYB131126:GYC131130 HHX131126:HHY131130 HRT131126:HRU131130 IBP131126:IBQ131130 ILL131126:ILM131130 IVH131126:IVI131130 JFD131126:JFE131130 JOZ131126:JPA131130 JYV131126:JYW131130 KIR131126:KIS131130 KSN131126:KSO131130 LCJ131126:LCK131130 LMF131126:LMG131130 LWB131126:LWC131130 MFX131126:MFY131130 MPT131126:MPU131130 MZP131126:MZQ131130 NJL131126:NJM131130 NTH131126:NTI131130 ODD131126:ODE131130 OMZ131126:ONA131130 OWV131126:OWW131130 PGR131126:PGS131130 PQN131126:PQO131130 QAJ131126:QAK131130 QKF131126:QKG131130 QUB131126:QUC131130 RDX131126:RDY131130 RNT131126:RNU131130 RXP131126:RXQ131130 SHL131126:SHM131130 SRH131126:SRI131130 TBD131126:TBE131130 TKZ131126:TLA131130 TUV131126:TUW131130 UER131126:UES131130 UON131126:UOO131130 UYJ131126:UYK131130 VIF131126:VIG131130 VSB131126:VSC131130 WBX131126:WBY131130 WLT131126:WLU131130 WVP131126:WVQ131130 H196662:I196666 JD196662:JE196666 SZ196662:TA196666 ACV196662:ACW196666 AMR196662:AMS196666 AWN196662:AWO196666 BGJ196662:BGK196666 BQF196662:BQG196666 CAB196662:CAC196666 CJX196662:CJY196666 CTT196662:CTU196666 DDP196662:DDQ196666 DNL196662:DNM196666 DXH196662:DXI196666 EHD196662:EHE196666 EQZ196662:ERA196666 FAV196662:FAW196666 FKR196662:FKS196666 FUN196662:FUO196666 GEJ196662:GEK196666 GOF196662:GOG196666 GYB196662:GYC196666 HHX196662:HHY196666 HRT196662:HRU196666 IBP196662:IBQ196666 ILL196662:ILM196666 IVH196662:IVI196666 JFD196662:JFE196666 JOZ196662:JPA196666 JYV196662:JYW196666 KIR196662:KIS196666 KSN196662:KSO196666 LCJ196662:LCK196666 LMF196662:LMG196666 LWB196662:LWC196666 MFX196662:MFY196666 MPT196662:MPU196666 MZP196662:MZQ196666 NJL196662:NJM196666 NTH196662:NTI196666 ODD196662:ODE196666 OMZ196662:ONA196666 OWV196662:OWW196666 PGR196662:PGS196666 PQN196662:PQO196666 QAJ196662:QAK196666 QKF196662:QKG196666 QUB196662:QUC196666 RDX196662:RDY196666 RNT196662:RNU196666 RXP196662:RXQ196666 SHL196662:SHM196666 SRH196662:SRI196666 TBD196662:TBE196666 TKZ196662:TLA196666 TUV196662:TUW196666 UER196662:UES196666 UON196662:UOO196666 UYJ196662:UYK196666 VIF196662:VIG196666 VSB196662:VSC196666 WBX196662:WBY196666 WLT196662:WLU196666 WVP196662:WVQ196666 H262198:I262202 JD262198:JE262202 SZ262198:TA262202 ACV262198:ACW262202 AMR262198:AMS262202 AWN262198:AWO262202 BGJ262198:BGK262202 BQF262198:BQG262202 CAB262198:CAC262202 CJX262198:CJY262202 CTT262198:CTU262202 DDP262198:DDQ262202 DNL262198:DNM262202 DXH262198:DXI262202 EHD262198:EHE262202 EQZ262198:ERA262202 FAV262198:FAW262202 FKR262198:FKS262202 FUN262198:FUO262202 GEJ262198:GEK262202 GOF262198:GOG262202 GYB262198:GYC262202 HHX262198:HHY262202 HRT262198:HRU262202 IBP262198:IBQ262202 ILL262198:ILM262202 IVH262198:IVI262202 JFD262198:JFE262202 JOZ262198:JPA262202 JYV262198:JYW262202 KIR262198:KIS262202 KSN262198:KSO262202 LCJ262198:LCK262202 LMF262198:LMG262202 LWB262198:LWC262202 MFX262198:MFY262202 MPT262198:MPU262202 MZP262198:MZQ262202 NJL262198:NJM262202 NTH262198:NTI262202 ODD262198:ODE262202 OMZ262198:ONA262202 OWV262198:OWW262202 PGR262198:PGS262202 PQN262198:PQO262202 QAJ262198:QAK262202 QKF262198:QKG262202 QUB262198:QUC262202 RDX262198:RDY262202 RNT262198:RNU262202 RXP262198:RXQ262202 SHL262198:SHM262202 SRH262198:SRI262202 TBD262198:TBE262202 TKZ262198:TLA262202 TUV262198:TUW262202 UER262198:UES262202 UON262198:UOO262202 UYJ262198:UYK262202 VIF262198:VIG262202 VSB262198:VSC262202 WBX262198:WBY262202 WLT262198:WLU262202 WVP262198:WVQ262202 H327734:I327738 JD327734:JE327738 SZ327734:TA327738 ACV327734:ACW327738 AMR327734:AMS327738 AWN327734:AWO327738 BGJ327734:BGK327738 BQF327734:BQG327738 CAB327734:CAC327738 CJX327734:CJY327738 CTT327734:CTU327738 DDP327734:DDQ327738 DNL327734:DNM327738 DXH327734:DXI327738 EHD327734:EHE327738 EQZ327734:ERA327738 FAV327734:FAW327738 FKR327734:FKS327738 FUN327734:FUO327738 GEJ327734:GEK327738 GOF327734:GOG327738 GYB327734:GYC327738 HHX327734:HHY327738 HRT327734:HRU327738 IBP327734:IBQ327738 ILL327734:ILM327738 IVH327734:IVI327738 JFD327734:JFE327738 JOZ327734:JPA327738 JYV327734:JYW327738 KIR327734:KIS327738 KSN327734:KSO327738 LCJ327734:LCK327738 LMF327734:LMG327738 LWB327734:LWC327738 MFX327734:MFY327738 MPT327734:MPU327738 MZP327734:MZQ327738 NJL327734:NJM327738 NTH327734:NTI327738 ODD327734:ODE327738 OMZ327734:ONA327738 OWV327734:OWW327738 PGR327734:PGS327738 PQN327734:PQO327738 QAJ327734:QAK327738 QKF327734:QKG327738 QUB327734:QUC327738 RDX327734:RDY327738 RNT327734:RNU327738 RXP327734:RXQ327738 SHL327734:SHM327738 SRH327734:SRI327738 TBD327734:TBE327738 TKZ327734:TLA327738 TUV327734:TUW327738 UER327734:UES327738 UON327734:UOO327738 UYJ327734:UYK327738 VIF327734:VIG327738 VSB327734:VSC327738 WBX327734:WBY327738 WLT327734:WLU327738 WVP327734:WVQ327738 H393270:I393274 JD393270:JE393274 SZ393270:TA393274 ACV393270:ACW393274 AMR393270:AMS393274 AWN393270:AWO393274 BGJ393270:BGK393274 BQF393270:BQG393274 CAB393270:CAC393274 CJX393270:CJY393274 CTT393270:CTU393274 DDP393270:DDQ393274 DNL393270:DNM393274 DXH393270:DXI393274 EHD393270:EHE393274 EQZ393270:ERA393274 FAV393270:FAW393274 FKR393270:FKS393274 FUN393270:FUO393274 GEJ393270:GEK393274 GOF393270:GOG393274 GYB393270:GYC393274 HHX393270:HHY393274 HRT393270:HRU393274 IBP393270:IBQ393274 ILL393270:ILM393274 IVH393270:IVI393274 JFD393270:JFE393274 JOZ393270:JPA393274 JYV393270:JYW393274 KIR393270:KIS393274 KSN393270:KSO393274 LCJ393270:LCK393274 LMF393270:LMG393274 LWB393270:LWC393274 MFX393270:MFY393274 MPT393270:MPU393274 MZP393270:MZQ393274 NJL393270:NJM393274 NTH393270:NTI393274 ODD393270:ODE393274 OMZ393270:ONA393274 OWV393270:OWW393274 PGR393270:PGS393274 PQN393270:PQO393274 QAJ393270:QAK393274 QKF393270:QKG393274 QUB393270:QUC393274 RDX393270:RDY393274 RNT393270:RNU393274 RXP393270:RXQ393274 SHL393270:SHM393274 SRH393270:SRI393274 TBD393270:TBE393274 TKZ393270:TLA393274 TUV393270:TUW393274 UER393270:UES393274 UON393270:UOO393274 UYJ393270:UYK393274 VIF393270:VIG393274 VSB393270:VSC393274 WBX393270:WBY393274 WLT393270:WLU393274 WVP393270:WVQ393274 H458806:I458810 JD458806:JE458810 SZ458806:TA458810 ACV458806:ACW458810 AMR458806:AMS458810 AWN458806:AWO458810 BGJ458806:BGK458810 BQF458806:BQG458810 CAB458806:CAC458810 CJX458806:CJY458810 CTT458806:CTU458810 DDP458806:DDQ458810 DNL458806:DNM458810 DXH458806:DXI458810 EHD458806:EHE458810 EQZ458806:ERA458810 FAV458806:FAW458810 FKR458806:FKS458810 FUN458806:FUO458810 GEJ458806:GEK458810 GOF458806:GOG458810 GYB458806:GYC458810 HHX458806:HHY458810 HRT458806:HRU458810 IBP458806:IBQ458810 ILL458806:ILM458810 IVH458806:IVI458810 JFD458806:JFE458810 JOZ458806:JPA458810 JYV458806:JYW458810 KIR458806:KIS458810 KSN458806:KSO458810 LCJ458806:LCK458810 LMF458806:LMG458810 LWB458806:LWC458810 MFX458806:MFY458810 MPT458806:MPU458810 MZP458806:MZQ458810 NJL458806:NJM458810 NTH458806:NTI458810 ODD458806:ODE458810 OMZ458806:ONA458810 OWV458806:OWW458810 PGR458806:PGS458810 PQN458806:PQO458810 QAJ458806:QAK458810 QKF458806:QKG458810 QUB458806:QUC458810 RDX458806:RDY458810 RNT458806:RNU458810 RXP458806:RXQ458810 SHL458806:SHM458810 SRH458806:SRI458810 TBD458806:TBE458810 TKZ458806:TLA458810 TUV458806:TUW458810 UER458806:UES458810 UON458806:UOO458810 UYJ458806:UYK458810 VIF458806:VIG458810 VSB458806:VSC458810 WBX458806:WBY458810 WLT458806:WLU458810 WVP458806:WVQ458810 H524342:I524346 JD524342:JE524346 SZ524342:TA524346 ACV524342:ACW524346 AMR524342:AMS524346 AWN524342:AWO524346 BGJ524342:BGK524346 BQF524342:BQG524346 CAB524342:CAC524346 CJX524342:CJY524346 CTT524342:CTU524346 DDP524342:DDQ524346 DNL524342:DNM524346 DXH524342:DXI524346 EHD524342:EHE524346 EQZ524342:ERA524346 FAV524342:FAW524346 FKR524342:FKS524346 FUN524342:FUO524346 GEJ524342:GEK524346 GOF524342:GOG524346 GYB524342:GYC524346 HHX524342:HHY524346 HRT524342:HRU524346 IBP524342:IBQ524346 ILL524342:ILM524346 IVH524342:IVI524346 JFD524342:JFE524346 JOZ524342:JPA524346 JYV524342:JYW524346 KIR524342:KIS524346 KSN524342:KSO524346 LCJ524342:LCK524346 LMF524342:LMG524346 LWB524342:LWC524346 MFX524342:MFY524346 MPT524342:MPU524346 MZP524342:MZQ524346 NJL524342:NJM524346 NTH524342:NTI524346 ODD524342:ODE524346 OMZ524342:ONA524346 OWV524342:OWW524346 PGR524342:PGS524346 PQN524342:PQO524346 QAJ524342:QAK524346 QKF524342:QKG524346 QUB524342:QUC524346 RDX524342:RDY524346 RNT524342:RNU524346 RXP524342:RXQ524346 SHL524342:SHM524346 SRH524342:SRI524346 TBD524342:TBE524346 TKZ524342:TLA524346 TUV524342:TUW524346 UER524342:UES524346 UON524342:UOO524346 UYJ524342:UYK524346 VIF524342:VIG524346 VSB524342:VSC524346 WBX524342:WBY524346 WLT524342:WLU524346 WVP524342:WVQ524346 H589878:I589882 JD589878:JE589882 SZ589878:TA589882 ACV589878:ACW589882 AMR589878:AMS589882 AWN589878:AWO589882 BGJ589878:BGK589882 BQF589878:BQG589882 CAB589878:CAC589882 CJX589878:CJY589882 CTT589878:CTU589882 DDP589878:DDQ589882 DNL589878:DNM589882 DXH589878:DXI589882 EHD589878:EHE589882 EQZ589878:ERA589882 FAV589878:FAW589882 FKR589878:FKS589882 FUN589878:FUO589882 GEJ589878:GEK589882 GOF589878:GOG589882 GYB589878:GYC589882 HHX589878:HHY589882 HRT589878:HRU589882 IBP589878:IBQ589882 ILL589878:ILM589882 IVH589878:IVI589882 JFD589878:JFE589882 JOZ589878:JPA589882 JYV589878:JYW589882 KIR589878:KIS589882 KSN589878:KSO589882 LCJ589878:LCK589882 LMF589878:LMG589882 LWB589878:LWC589882 MFX589878:MFY589882 MPT589878:MPU589882 MZP589878:MZQ589882 NJL589878:NJM589882 NTH589878:NTI589882 ODD589878:ODE589882 OMZ589878:ONA589882 OWV589878:OWW589882 PGR589878:PGS589882 PQN589878:PQO589882 QAJ589878:QAK589882 QKF589878:QKG589882 QUB589878:QUC589882 RDX589878:RDY589882 RNT589878:RNU589882 RXP589878:RXQ589882 SHL589878:SHM589882 SRH589878:SRI589882 TBD589878:TBE589882 TKZ589878:TLA589882 TUV589878:TUW589882 UER589878:UES589882 UON589878:UOO589882 UYJ589878:UYK589882 VIF589878:VIG589882 VSB589878:VSC589882 WBX589878:WBY589882 WLT589878:WLU589882 WVP589878:WVQ589882 H655414:I655418 JD655414:JE655418 SZ655414:TA655418 ACV655414:ACW655418 AMR655414:AMS655418 AWN655414:AWO655418 BGJ655414:BGK655418 BQF655414:BQG655418 CAB655414:CAC655418 CJX655414:CJY655418 CTT655414:CTU655418 DDP655414:DDQ655418 DNL655414:DNM655418 DXH655414:DXI655418 EHD655414:EHE655418 EQZ655414:ERA655418 FAV655414:FAW655418 FKR655414:FKS655418 FUN655414:FUO655418 GEJ655414:GEK655418 GOF655414:GOG655418 GYB655414:GYC655418 HHX655414:HHY655418 HRT655414:HRU655418 IBP655414:IBQ655418 ILL655414:ILM655418 IVH655414:IVI655418 JFD655414:JFE655418 JOZ655414:JPA655418 JYV655414:JYW655418 KIR655414:KIS655418 KSN655414:KSO655418 LCJ655414:LCK655418 LMF655414:LMG655418 LWB655414:LWC655418 MFX655414:MFY655418 MPT655414:MPU655418 MZP655414:MZQ655418 NJL655414:NJM655418 NTH655414:NTI655418 ODD655414:ODE655418 OMZ655414:ONA655418 OWV655414:OWW655418 PGR655414:PGS655418 PQN655414:PQO655418 QAJ655414:QAK655418 QKF655414:QKG655418 QUB655414:QUC655418 RDX655414:RDY655418 RNT655414:RNU655418 RXP655414:RXQ655418 SHL655414:SHM655418 SRH655414:SRI655418 TBD655414:TBE655418 TKZ655414:TLA655418 TUV655414:TUW655418 UER655414:UES655418 UON655414:UOO655418 UYJ655414:UYK655418 VIF655414:VIG655418 VSB655414:VSC655418 WBX655414:WBY655418 WLT655414:WLU655418 WVP655414:WVQ655418 H720950:I720954 JD720950:JE720954 SZ720950:TA720954 ACV720950:ACW720954 AMR720950:AMS720954 AWN720950:AWO720954 BGJ720950:BGK720954 BQF720950:BQG720954 CAB720950:CAC720954 CJX720950:CJY720954 CTT720950:CTU720954 DDP720950:DDQ720954 DNL720950:DNM720954 DXH720950:DXI720954 EHD720950:EHE720954 EQZ720950:ERA720954 FAV720950:FAW720954 FKR720950:FKS720954 FUN720950:FUO720954 GEJ720950:GEK720954 GOF720950:GOG720954 GYB720950:GYC720954 HHX720950:HHY720954 HRT720950:HRU720954 IBP720950:IBQ720954 ILL720950:ILM720954 IVH720950:IVI720954 JFD720950:JFE720954 JOZ720950:JPA720954 JYV720950:JYW720954 KIR720950:KIS720954 KSN720950:KSO720954 LCJ720950:LCK720954 LMF720950:LMG720954 LWB720950:LWC720954 MFX720950:MFY720954 MPT720950:MPU720954 MZP720950:MZQ720954 NJL720950:NJM720954 NTH720950:NTI720954 ODD720950:ODE720954 OMZ720950:ONA720954 OWV720950:OWW720954 PGR720950:PGS720954 PQN720950:PQO720954 QAJ720950:QAK720954 QKF720950:QKG720954 QUB720950:QUC720954 RDX720950:RDY720954 RNT720950:RNU720954 RXP720950:RXQ720954 SHL720950:SHM720954 SRH720950:SRI720954 TBD720950:TBE720954 TKZ720950:TLA720954 TUV720950:TUW720954 UER720950:UES720954 UON720950:UOO720954 UYJ720950:UYK720954 VIF720950:VIG720954 VSB720950:VSC720954 WBX720950:WBY720954 WLT720950:WLU720954 WVP720950:WVQ720954 H786486:I786490 JD786486:JE786490 SZ786486:TA786490 ACV786486:ACW786490 AMR786486:AMS786490 AWN786486:AWO786490 BGJ786486:BGK786490 BQF786486:BQG786490 CAB786486:CAC786490 CJX786486:CJY786490 CTT786486:CTU786490 DDP786486:DDQ786490 DNL786486:DNM786490 DXH786486:DXI786490 EHD786486:EHE786490 EQZ786486:ERA786490 FAV786486:FAW786490 FKR786486:FKS786490 FUN786486:FUO786490 GEJ786486:GEK786490 GOF786486:GOG786490 GYB786486:GYC786490 HHX786486:HHY786490 HRT786486:HRU786490 IBP786486:IBQ786490 ILL786486:ILM786490 IVH786486:IVI786490 JFD786486:JFE786490 JOZ786486:JPA786490 JYV786486:JYW786490 KIR786486:KIS786490 KSN786486:KSO786490 LCJ786486:LCK786490 LMF786486:LMG786490 LWB786486:LWC786490 MFX786486:MFY786490 MPT786486:MPU786490 MZP786486:MZQ786490 NJL786486:NJM786490 NTH786486:NTI786490 ODD786486:ODE786490 OMZ786486:ONA786490 OWV786486:OWW786490 PGR786486:PGS786490 PQN786486:PQO786490 QAJ786486:QAK786490 QKF786486:QKG786490 QUB786486:QUC786490 RDX786486:RDY786490 RNT786486:RNU786490 RXP786486:RXQ786490 SHL786486:SHM786490 SRH786486:SRI786490 TBD786486:TBE786490 TKZ786486:TLA786490 TUV786486:TUW786490 UER786486:UES786490 UON786486:UOO786490 UYJ786486:UYK786490 VIF786486:VIG786490 VSB786486:VSC786490 WBX786486:WBY786490 WLT786486:WLU786490 WVP786486:WVQ786490 H852022:I852026 JD852022:JE852026 SZ852022:TA852026 ACV852022:ACW852026 AMR852022:AMS852026 AWN852022:AWO852026 BGJ852022:BGK852026 BQF852022:BQG852026 CAB852022:CAC852026 CJX852022:CJY852026 CTT852022:CTU852026 DDP852022:DDQ852026 DNL852022:DNM852026 DXH852022:DXI852026 EHD852022:EHE852026 EQZ852022:ERA852026 FAV852022:FAW852026 FKR852022:FKS852026 FUN852022:FUO852026 GEJ852022:GEK852026 GOF852022:GOG852026 GYB852022:GYC852026 HHX852022:HHY852026 HRT852022:HRU852026 IBP852022:IBQ852026 ILL852022:ILM852026 IVH852022:IVI852026 JFD852022:JFE852026 JOZ852022:JPA852026 JYV852022:JYW852026 KIR852022:KIS852026 KSN852022:KSO852026 LCJ852022:LCK852026 LMF852022:LMG852026 LWB852022:LWC852026 MFX852022:MFY852026 MPT852022:MPU852026 MZP852022:MZQ852026 NJL852022:NJM852026 NTH852022:NTI852026 ODD852022:ODE852026 OMZ852022:ONA852026 OWV852022:OWW852026 PGR852022:PGS852026 PQN852022:PQO852026 QAJ852022:QAK852026 QKF852022:QKG852026 QUB852022:QUC852026 RDX852022:RDY852026 RNT852022:RNU852026 RXP852022:RXQ852026 SHL852022:SHM852026 SRH852022:SRI852026 TBD852022:TBE852026 TKZ852022:TLA852026 TUV852022:TUW852026 UER852022:UES852026 UON852022:UOO852026 UYJ852022:UYK852026 VIF852022:VIG852026 VSB852022:VSC852026 WBX852022:WBY852026 WLT852022:WLU852026 WVP852022:WVQ852026 H917558:I917562 JD917558:JE917562 SZ917558:TA917562 ACV917558:ACW917562 AMR917558:AMS917562 AWN917558:AWO917562 BGJ917558:BGK917562 BQF917558:BQG917562 CAB917558:CAC917562 CJX917558:CJY917562 CTT917558:CTU917562 DDP917558:DDQ917562 DNL917558:DNM917562 DXH917558:DXI917562 EHD917558:EHE917562 EQZ917558:ERA917562 FAV917558:FAW917562 FKR917558:FKS917562 FUN917558:FUO917562 GEJ917558:GEK917562 GOF917558:GOG917562 GYB917558:GYC917562 HHX917558:HHY917562 HRT917558:HRU917562 IBP917558:IBQ917562 ILL917558:ILM917562 IVH917558:IVI917562 JFD917558:JFE917562 JOZ917558:JPA917562 JYV917558:JYW917562 KIR917558:KIS917562 KSN917558:KSO917562 LCJ917558:LCK917562 LMF917558:LMG917562 LWB917558:LWC917562 MFX917558:MFY917562 MPT917558:MPU917562 MZP917558:MZQ917562 NJL917558:NJM917562 NTH917558:NTI917562 ODD917558:ODE917562 OMZ917558:ONA917562 OWV917558:OWW917562 PGR917558:PGS917562 PQN917558:PQO917562 QAJ917558:QAK917562 QKF917558:QKG917562 QUB917558:QUC917562 RDX917558:RDY917562 RNT917558:RNU917562 RXP917558:RXQ917562 SHL917558:SHM917562 SRH917558:SRI917562 TBD917558:TBE917562 TKZ917558:TLA917562 TUV917558:TUW917562 UER917558:UES917562 UON917558:UOO917562 UYJ917558:UYK917562 VIF917558:VIG917562 VSB917558:VSC917562 WBX917558:WBY917562 WLT917558:WLU917562 WVP917558:WVQ917562 H983094:I983098 JD983094:JE983098 SZ983094:TA983098 ACV983094:ACW983098 AMR983094:AMS983098 AWN983094:AWO983098 BGJ983094:BGK983098 BQF983094:BQG983098 CAB983094:CAC983098 CJX983094:CJY983098 CTT983094:CTU983098 DDP983094:DDQ983098 DNL983094:DNM983098 DXH983094:DXI983098 EHD983094:EHE983098 EQZ983094:ERA983098 FAV983094:FAW983098 FKR983094:FKS983098 FUN983094:FUO983098 GEJ983094:GEK983098 GOF983094:GOG983098 GYB983094:GYC983098 HHX983094:HHY983098 HRT983094:HRU983098 IBP983094:IBQ983098 ILL983094:ILM983098 IVH983094:IVI983098 JFD983094:JFE983098 JOZ983094:JPA983098 JYV983094:JYW983098 KIR983094:KIS983098 KSN983094:KSO983098 LCJ983094:LCK983098 LMF983094:LMG983098 LWB983094:LWC983098 MFX983094:MFY983098 MPT983094:MPU983098 MZP983094:MZQ983098 NJL983094:NJM983098 NTH983094:NTI983098 ODD983094:ODE983098 OMZ983094:ONA983098 OWV983094:OWW983098 PGR983094:PGS983098 PQN983094:PQO983098 QAJ983094:QAK983098 QKF983094:QKG983098 QUB983094:QUC983098 RDX983094:RDY983098 RNT983094:RNU983098 RXP983094:RXQ983098 SHL983094:SHM983098 SRH983094:SRI983098 TBD983094:TBE983098 TKZ983094:TLA983098 TUV983094:TUW983098 UER983094:UES983098 UON983094:UOO983098 UYJ983094:UYK983098 VIF983094:VIG983098 VSB983094:VSC983098 WBX983094:WBY983098 WLT983094:WLU983098 WVP983094:WVQ983098 H60:I60 JD60:JE60 SZ60:TA60 ACV60:ACW60 AMR60:AMS60 AWN60:AWO60 BGJ60:BGK60 BQF60:BQG60 CAB60:CAC60 CJX60:CJY60 CTT60:CTU60 DDP60:DDQ60 DNL60:DNM60 DXH60:DXI60 EHD60:EHE60 EQZ60:ERA60 FAV60:FAW60 FKR60:FKS60 FUN60:FUO60 GEJ60:GEK60 GOF60:GOG60 GYB60:GYC60 HHX60:HHY60 HRT60:HRU60 IBP60:IBQ60 ILL60:ILM60 IVH60:IVI60 JFD60:JFE60 JOZ60:JPA60 JYV60:JYW60 KIR60:KIS60 KSN60:KSO60 LCJ60:LCK60 LMF60:LMG60 LWB60:LWC60 MFX60:MFY60 MPT60:MPU60 MZP60:MZQ60 NJL60:NJM60 NTH60:NTI60 ODD60:ODE60 OMZ60:ONA60 OWV60:OWW60 PGR60:PGS60 PQN60:PQO60 QAJ60:QAK60 QKF60:QKG60 QUB60:QUC60 RDX60:RDY60 RNT60:RNU60 RXP60:RXQ60 SHL60:SHM60 SRH60:SRI60 TBD60:TBE60 TKZ60:TLA60 TUV60:TUW60 UER60:UES60 UON60:UOO60 UYJ60:UYK60 VIF60:VIG60 VSB60:VSC60 WBX60:WBY60 WLT60:WLU60 WVP60:WVQ60 H65596:I65596 JD65596:JE65596 SZ65596:TA65596 ACV65596:ACW65596 AMR65596:AMS65596 AWN65596:AWO65596 BGJ65596:BGK65596 BQF65596:BQG65596 CAB65596:CAC65596 CJX65596:CJY65596 CTT65596:CTU65596 DDP65596:DDQ65596 DNL65596:DNM65596 DXH65596:DXI65596 EHD65596:EHE65596 EQZ65596:ERA65596 FAV65596:FAW65596 FKR65596:FKS65596 FUN65596:FUO65596 GEJ65596:GEK65596 GOF65596:GOG65596 GYB65596:GYC65596 HHX65596:HHY65596 HRT65596:HRU65596 IBP65596:IBQ65596 ILL65596:ILM65596 IVH65596:IVI65596 JFD65596:JFE65596 JOZ65596:JPA65596 JYV65596:JYW65596 KIR65596:KIS65596 KSN65596:KSO65596 LCJ65596:LCK65596 LMF65596:LMG65596 LWB65596:LWC65596 MFX65596:MFY65596 MPT65596:MPU65596 MZP65596:MZQ65596 NJL65596:NJM65596 NTH65596:NTI65596 ODD65596:ODE65596 OMZ65596:ONA65596 OWV65596:OWW65596 PGR65596:PGS65596 PQN65596:PQO65596 QAJ65596:QAK65596 QKF65596:QKG65596 QUB65596:QUC65596 RDX65596:RDY65596 RNT65596:RNU65596 RXP65596:RXQ65596 SHL65596:SHM65596 SRH65596:SRI65596 TBD65596:TBE65596 TKZ65596:TLA65596 TUV65596:TUW65596 UER65596:UES65596 UON65596:UOO65596 UYJ65596:UYK65596 VIF65596:VIG65596 VSB65596:VSC65596 WBX65596:WBY65596 WLT65596:WLU65596 WVP65596:WVQ65596 H131132:I131132 JD131132:JE131132 SZ131132:TA131132 ACV131132:ACW131132 AMR131132:AMS131132 AWN131132:AWO131132 BGJ131132:BGK131132 BQF131132:BQG131132 CAB131132:CAC131132 CJX131132:CJY131132 CTT131132:CTU131132 DDP131132:DDQ131132 DNL131132:DNM131132 DXH131132:DXI131132 EHD131132:EHE131132 EQZ131132:ERA131132 FAV131132:FAW131132 FKR131132:FKS131132 FUN131132:FUO131132 GEJ131132:GEK131132 GOF131132:GOG131132 GYB131132:GYC131132 HHX131132:HHY131132 HRT131132:HRU131132 IBP131132:IBQ131132 ILL131132:ILM131132 IVH131132:IVI131132 JFD131132:JFE131132 JOZ131132:JPA131132 JYV131132:JYW131132 KIR131132:KIS131132 KSN131132:KSO131132 LCJ131132:LCK131132 LMF131132:LMG131132 LWB131132:LWC131132 MFX131132:MFY131132 MPT131132:MPU131132 MZP131132:MZQ131132 NJL131132:NJM131132 NTH131132:NTI131132 ODD131132:ODE131132 OMZ131132:ONA131132 OWV131132:OWW131132 PGR131132:PGS131132 PQN131132:PQO131132 QAJ131132:QAK131132 QKF131132:QKG131132 QUB131132:QUC131132 RDX131132:RDY131132 RNT131132:RNU131132 RXP131132:RXQ131132 SHL131132:SHM131132 SRH131132:SRI131132 TBD131132:TBE131132 TKZ131132:TLA131132 TUV131132:TUW131132 UER131132:UES131132 UON131132:UOO131132 UYJ131132:UYK131132 VIF131132:VIG131132 VSB131132:VSC131132 WBX131132:WBY131132 WLT131132:WLU131132 WVP131132:WVQ131132 H196668:I196668 JD196668:JE196668 SZ196668:TA196668 ACV196668:ACW196668 AMR196668:AMS196668 AWN196668:AWO196668 BGJ196668:BGK196668 BQF196668:BQG196668 CAB196668:CAC196668 CJX196668:CJY196668 CTT196668:CTU196668 DDP196668:DDQ196668 DNL196668:DNM196668 DXH196668:DXI196668 EHD196668:EHE196668 EQZ196668:ERA196668 FAV196668:FAW196668 FKR196668:FKS196668 FUN196668:FUO196668 GEJ196668:GEK196668 GOF196668:GOG196668 GYB196668:GYC196668 HHX196668:HHY196668 HRT196668:HRU196668 IBP196668:IBQ196668 ILL196668:ILM196668 IVH196668:IVI196668 JFD196668:JFE196668 JOZ196668:JPA196668 JYV196668:JYW196668 KIR196668:KIS196668 KSN196668:KSO196668 LCJ196668:LCK196668 LMF196668:LMG196668 LWB196668:LWC196668 MFX196668:MFY196668 MPT196668:MPU196668 MZP196668:MZQ196668 NJL196668:NJM196668 NTH196668:NTI196668 ODD196668:ODE196668 OMZ196668:ONA196668 OWV196668:OWW196668 PGR196668:PGS196668 PQN196668:PQO196668 QAJ196668:QAK196668 QKF196668:QKG196668 QUB196668:QUC196668 RDX196668:RDY196668 RNT196668:RNU196668 RXP196668:RXQ196668 SHL196668:SHM196668 SRH196668:SRI196668 TBD196668:TBE196668 TKZ196668:TLA196668 TUV196668:TUW196668 UER196668:UES196668 UON196668:UOO196668 UYJ196668:UYK196668 VIF196668:VIG196668 VSB196668:VSC196668 WBX196668:WBY196668 WLT196668:WLU196668 WVP196668:WVQ196668 H262204:I262204 JD262204:JE262204 SZ262204:TA262204 ACV262204:ACW262204 AMR262204:AMS262204 AWN262204:AWO262204 BGJ262204:BGK262204 BQF262204:BQG262204 CAB262204:CAC262204 CJX262204:CJY262204 CTT262204:CTU262204 DDP262204:DDQ262204 DNL262204:DNM262204 DXH262204:DXI262204 EHD262204:EHE262204 EQZ262204:ERA262204 FAV262204:FAW262204 FKR262204:FKS262204 FUN262204:FUO262204 GEJ262204:GEK262204 GOF262204:GOG262204 GYB262204:GYC262204 HHX262204:HHY262204 HRT262204:HRU262204 IBP262204:IBQ262204 ILL262204:ILM262204 IVH262204:IVI262204 JFD262204:JFE262204 JOZ262204:JPA262204 JYV262204:JYW262204 KIR262204:KIS262204 KSN262204:KSO262204 LCJ262204:LCK262204 LMF262204:LMG262204 LWB262204:LWC262204 MFX262204:MFY262204 MPT262204:MPU262204 MZP262204:MZQ262204 NJL262204:NJM262204 NTH262204:NTI262204 ODD262204:ODE262204 OMZ262204:ONA262204 OWV262204:OWW262204 PGR262204:PGS262204 PQN262204:PQO262204 QAJ262204:QAK262204 QKF262204:QKG262204 QUB262204:QUC262204 RDX262204:RDY262204 RNT262204:RNU262204 RXP262204:RXQ262204 SHL262204:SHM262204 SRH262204:SRI262204 TBD262204:TBE262204 TKZ262204:TLA262204 TUV262204:TUW262204 UER262204:UES262204 UON262204:UOO262204 UYJ262204:UYK262204 VIF262204:VIG262204 VSB262204:VSC262204 WBX262204:WBY262204 WLT262204:WLU262204 WVP262204:WVQ262204 H327740:I327740 JD327740:JE327740 SZ327740:TA327740 ACV327740:ACW327740 AMR327740:AMS327740 AWN327740:AWO327740 BGJ327740:BGK327740 BQF327740:BQG327740 CAB327740:CAC327740 CJX327740:CJY327740 CTT327740:CTU327740 DDP327740:DDQ327740 DNL327740:DNM327740 DXH327740:DXI327740 EHD327740:EHE327740 EQZ327740:ERA327740 FAV327740:FAW327740 FKR327740:FKS327740 FUN327740:FUO327740 GEJ327740:GEK327740 GOF327740:GOG327740 GYB327740:GYC327740 HHX327740:HHY327740 HRT327740:HRU327740 IBP327740:IBQ327740 ILL327740:ILM327740 IVH327740:IVI327740 JFD327740:JFE327740 JOZ327740:JPA327740 JYV327740:JYW327740 KIR327740:KIS327740 KSN327740:KSO327740 LCJ327740:LCK327740 LMF327740:LMG327740 LWB327740:LWC327740 MFX327740:MFY327740 MPT327740:MPU327740 MZP327740:MZQ327740 NJL327740:NJM327740 NTH327740:NTI327740 ODD327740:ODE327740 OMZ327740:ONA327740 OWV327740:OWW327740 PGR327740:PGS327740 PQN327740:PQO327740 QAJ327740:QAK327740 QKF327740:QKG327740 QUB327740:QUC327740 RDX327740:RDY327740 RNT327740:RNU327740 RXP327740:RXQ327740 SHL327740:SHM327740 SRH327740:SRI327740 TBD327740:TBE327740 TKZ327740:TLA327740 TUV327740:TUW327740 UER327740:UES327740 UON327740:UOO327740 UYJ327740:UYK327740 VIF327740:VIG327740 VSB327740:VSC327740 WBX327740:WBY327740 WLT327740:WLU327740 WVP327740:WVQ327740 H393276:I393276 JD393276:JE393276 SZ393276:TA393276 ACV393276:ACW393276 AMR393276:AMS393276 AWN393276:AWO393276 BGJ393276:BGK393276 BQF393276:BQG393276 CAB393276:CAC393276 CJX393276:CJY393276 CTT393276:CTU393276 DDP393276:DDQ393276 DNL393276:DNM393276 DXH393276:DXI393276 EHD393276:EHE393276 EQZ393276:ERA393276 FAV393276:FAW393276 FKR393276:FKS393276 FUN393276:FUO393276 GEJ393276:GEK393276 GOF393276:GOG393276 GYB393276:GYC393276 HHX393276:HHY393276 HRT393276:HRU393276 IBP393276:IBQ393276 ILL393276:ILM393276 IVH393276:IVI393276 JFD393276:JFE393276 JOZ393276:JPA393276 JYV393276:JYW393276 KIR393276:KIS393276 KSN393276:KSO393276 LCJ393276:LCK393276 LMF393276:LMG393276 LWB393276:LWC393276 MFX393276:MFY393276 MPT393276:MPU393276 MZP393276:MZQ393276 NJL393276:NJM393276 NTH393276:NTI393276 ODD393276:ODE393276 OMZ393276:ONA393276 OWV393276:OWW393276 PGR393276:PGS393276 PQN393276:PQO393276 QAJ393276:QAK393276 QKF393276:QKG393276 QUB393276:QUC393276 RDX393276:RDY393276 RNT393276:RNU393276 RXP393276:RXQ393276 SHL393276:SHM393276 SRH393276:SRI393276 TBD393276:TBE393276 TKZ393276:TLA393276 TUV393276:TUW393276 UER393276:UES393276 UON393276:UOO393276 UYJ393276:UYK393276 VIF393276:VIG393276 VSB393276:VSC393276 WBX393276:WBY393276 WLT393276:WLU393276 WVP393276:WVQ393276 H458812:I458812 JD458812:JE458812 SZ458812:TA458812 ACV458812:ACW458812 AMR458812:AMS458812 AWN458812:AWO458812 BGJ458812:BGK458812 BQF458812:BQG458812 CAB458812:CAC458812 CJX458812:CJY458812 CTT458812:CTU458812 DDP458812:DDQ458812 DNL458812:DNM458812 DXH458812:DXI458812 EHD458812:EHE458812 EQZ458812:ERA458812 FAV458812:FAW458812 FKR458812:FKS458812 FUN458812:FUO458812 GEJ458812:GEK458812 GOF458812:GOG458812 GYB458812:GYC458812 HHX458812:HHY458812 HRT458812:HRU458812 IBP458812:IBQ458812 ILL458812:ILM458812 IVH458812:IVI458812 JFD458812:JFE458812 JOZ458812:JPA458812 JYV458812:JYW458812 KIR458812:KIS458812 KSN458812:KSO458812 LCJ458812:LCK458812 LMF458812:LMG458812 LWB458812:LWC458812 MFX458812:MFY458812 MPT458812:MPU458812 MZP458812:MZQ458812 NJL458812:NJM458812 NTH458812:NTI458812 ODD458812:ODE458812 OMZ458812:ONA458812 OWV458812:OWW458812 PGR458812:PGS458812 PQN458812:PQO458812 QAJ458812:QAK458812 QKF458812:QKG458812 QUB458812:QUC458812 RDX458812:RDY458812 RNT458812:RNU458812 RXP458812:RXQ458812 SHL458812:SHM458812 SRH458812:SRI458812 TBD458812:TBE458812 TKZ458812:TLA458812 TUV458812:TUW458812 UER458812:UES458812 UON458812:UOO458812 UYJ458812:UYK458812 VIF458812:VIG458812 VSB458812:VSC458812 WBX458812:WBY458812 WLT458812:WLU458812 WVP458812:WVQ458812 H524348:I524348 JD524348:JE524348 SZ524348:TA524348 ACV524348:ACW524348 AMR524348:AMS524348 AWN524348:AWO524348 BGJ524348:BGK524348 BQF524348:BQG524348 CAB524348:CAC524348 CJX524348:CJY524348 CTT524348:CTU524348 DDP524348:DDQ524348 DNL524348:DNM524348 DXH524348:DXI524348 EHD524348:EHE524348 EQZ524348:ERA524348 FAV524348:FAW524348 FKR524348:FKS524348 FUN524348:FUO524348 GEJ524348:GEK524348 GOF524348:GOG524348 GYB524348:GYC524348 HHX524348:HHY524348 HRT524348:HRU524348 IBP524348:IBQ524348 ILL524348:ILM524348 IVH524348:IVI524348 JFD524348:JFE524348 JOZ524348:JPA524348 JYV524348:JYW524348 KIR524348:KIS524348 KSN524348:KSO524348 LCJ524348:LCK524348 LMF524348:LMG524348 LWB524348:LWC524348 MFX524348:MFY524348 MPT524348:MPU524348 MZP524348:MZQ524348 NJL524348:NJM524348 NTH524348:NTI524348 ODD524348:ODE524348 OMZ524348:ONA524348 OWV524348:OWW524348 PGR524348:PGS524348 PQN524348:PQO524348 QAJ524348:QAK524348 QKF524348:QKG524348 QUB524348:QUC524348 RDX524348:RDY524348 RNT524348:RNU524348 RXP524348:RXQ524348 SHL524348:SHM524348 SRH524348:SRI524348 TBD524348:TBE524348 TKZ524348:TLA524348 TUV524348:TUW524348 UER524348:UES524348 UON524348:UOO524348 UYJ524348:UYK524348 VIF524348:VIG524348 VSB524348:VSC524348 WBX524348:WBY524348 WLT524348:WLU524348 WVP524348:WVQ524348 H589884:I589884 JD589884:JE589884 SZ589884:TA589884 ACV589884:ACW589884 AMR589884:AMS589884 AWN589884:AWO589884 BGJ589884:BGK589884 BQF589884:BQG589884 CAB589884:CAC589884 CJX589884:CJY589884 CTT589884:CTU589884 DDP589884:DDQ589884 DNL589884:DNM589884 DXH589884:DXI589884 EHD589884:EHE589884 EQZ589884:ERA589884 FAV589884:FAW589884 FKR589884:FKS589884 FUN589884:FUO589884 GEJ589884:GEK589884 GOF589884:GOG589884 GYB589884:GYC589884 HHX589884:HHY589884 HRT589884:HRU589884 IBP589884:IBQ589884 ILL589884:ILM589884 IVH589884:IVI589884 JFD589884:JFE589884 JOZ589884:JPA589884 JYV589884:JYW589884 KIR589884:KIS589884 KSN589884:KSO589884 LCJ589884:LCK589884 LMF589884:LMG589884 LWB589884:LWC589884 MFX589884:MFY589884 MPT589884:MPU589884 MZP589884:MZQ589884 NJL589884:NJM589884 NTH589884:NTI589884 ODD589884:ODE589884 OMZ589884:ONA589884 OWV589884:OWW589884 PGR589884:PGS589884 PQN589884:PQO589884 QAJ589884:QAK589884 QKF589884:QKG589884 QUB589884:QUC589884 RDX589884:RDY589884 RNT589884:RNU589884 RXP589884:RXQ589884 SHL589884:SHM589884 SRH589884:SRI589884 TBD589884:TBE589884 TKZ589884:TLA589884 TUV589884:TUW589884 UER589884:UES589884 UON589884:UOO589884 UYJ589884:UYK589884 VIF589884:VIG589884 VSB589884:VSC589884 WBX589884:WBY589884 WLT589884:WLU589884 WVP589884:WVQ589884 H655420:I655420 JD655420:JE655420 SZ655420:TA655420 ACV655420:ACW655420 AMR655420:AMS655420 AWN655420:AWO655420 BGJ655420:BGK655420 BQF655420:BQG655420 CAB655420:CAC655420 CJX655420:CJY655420 CTT655420:CTU655420 DDP655420:DDQ655420 DNL655420:DNM655420 DXH655420:DXI655420 EHD655420:EHE655420 EQZ655420:ERA655420 FAV655420:FAW655420 FKR655420:FKS655420 FUN655420:FUO655420 GEJ655420:GEK655420 GOF655420:GOG655420 GYB655420:GYC655420 HHX655420:HHY655420 HRT655420:HRU655420 IBP655420:IBQ655420 ILL655420:ILM655420 IVH655420:IVI655420 JFD655420:JFE655420 JOZ655420:JPA655420 JYV655420:JYW655420 KIR655420:KIS655420 KSN655420:KSO655420 LCJ655420:LCK655420 LMF655420:LMG655420 LWB655420:LWC655420 MFX655420:MFY655420 MPT655420:MPU655420 MZP655420:MZQ655420 NJL655420:NJM655420 NTH655420:NTI655420 ODD655420:ODE655420 OMZ655420:ONA655420 OWV655420:OWW655420 PGR655420:PGS655420 PQN655420:PQO655420 QAJ655420:QAK655420 QKF655420:QKG655420 QUB655420:QUC655420 RDX655420:RDY655420 RNT655420:RNU655420 RXP655420:RXQ655420 SHL655420:SHM655420 SRH655420:SRI655420 TBD655420:TBE655420 TKZ655420:TLA655420 TUV655420:TUW655420 UER655420:UES655420 UON655420:UOO655420 UYJ655420:UYK655420 VIF655420:VIG655420 VSB655420:VSC655420 WBX655420:WBY655420 WLT655420:WLU655420 WVP655420:WVQ655420 H720956:I720956 JD720956:JE720956 SZ720956:TA720956 ACV720956:ACW720956 AMR720956:AMS720956 AWN720956:AWO720956 BGJ720956:BGK720956 BQF720956:BQG720956 CAB720956:CAC720956 CJX720956:CJY720956 CTT720956:CTU720956 DDP720956:DDQ720956 DNL720956:DNM720956 DXH720956:DXI720956 EHD720956:EHE720956 EQZ720956:ERA720956 FAV720956:FAW720956 FKR720956:FKS720956 FUN720956:FUO720956 GEJ720956:GEK720956 GOF720956:GOG720956 GYB720956:GYC720956 HHX720956:HHY720956 HRT720956:HRU720956 IBP720956:IBQ720956 ILL720956:ILM720956 IVH720956:IVI720956 JFD720956:JFE720956 JOZ720956:JPA720956 JYV720956:JYW720956 KIR720956:KIS720956 KSN720956:KSO720956 LCJ720956:LCK720956 LMF720956:LMG720956 LWB720956:LWC720956 MFX720956:MFY720956 MPT720956:MPU720956 MZP720956:MZQ720956 NJL720956:NJM720956 NTH720956:NTI720956 ODD720956:ODE720956 OMZ720956:ONA720956 OWV720956:OWW720956 PGR720956:PGS720956 PQN720956:PQO720956 QAJ720956:QAK720956 QKF720956:QKG720956 QUB720956:QUC720956 RDX720956:RDY720956 RNT720956:RNU720956 RXP720956:RXQ720956 SHL720956:SHM720956 SRH720956:SRI720956 TBD720956:TBE720956 TKZ720956:TLA720956 TUV720956:TUW720956 UER720956:UES720956 UON720956:UOO720956 UYJ720956:UYK720956 VIF720956:VIG720956 VSB720956:VSC720956 WBX720956:WBY720956 WLT720956:WLU720956 WVP720956:WVQ720956 H786492:I786492 JD786492:JE786492 SZ786492:TA786492 ACV786492:ACW786492 AMR786492:AMS786492 AWN786492:AWO786492 BGJ786492:BGK786492 BQF786492:BQG786492 CAB786492:CAC786492 CJX786492:CJY786492 CTT786492:CTU786492 DDP786492:DDQ786492 DNL786492:DNM786492 DXH786492:DXI786492 EHD786492:EHE786492 EQZ786492:ERA786492 FAV786492:FAW786492 FKR786492:FKS786492 FUN786492:FUO786492 GEJ786492:GEK786492 GOF786492:GOG786492 GYB786492:GYC786492 HHX786492:HHY786492 HRT786492:HRU786492 IBP786492:IBQ786492 ILL786492:ILM786492 IVH786492:IVI786492 JFD786492:JFE786492 JOZ786492:JPA786492 JYV786492:JYW786492 KIR786492:KIS786492 KSN786492:KSO786492 LCJ786492:LCK786492 LMF786492:LMG786492 LWB786492:LWC786492 MFX786492:MFY786492 MPT786492:MPU786492 MZP786492:MZQ786492 NJL786492:NJM786492 NTH786492:NTI786492 ODD786492:ODE786492 OMZ786492:ONA786492 OWV786492:OWW786492 PGR786492:PGS786492 PQN786492:PQO786492 QAJ786492:QAK786492 QKF786492:QKG786492 QUB786492:QUC786492 RDX786492:RDY786492 RNT786492:RNU786492 RXP786492:RXQ786492 SHL786492:SHM786492 SRH786492:SRI786492 TBD786492:TBE786492 TKZ786492:TLA786492 TUV786492:TUW786492 UER786492:UES786492 UON786492:UOO786492 UYJ786492:UYK786492 VIF786492:VIG786492 VSB786492:VSC786492 WBX786492:WBY786492 WLT786492:WLU786492 WVP786492:WVQ786492 H852028:I852028 JD852028:JE852028 SZ852028:TA852028 ACV852028:ACW852028 AMR852028:AMS852028 AWN852028:AWO852028 BGJ852028:BGK852028 BQF852028:BQG852028 CAB852028:CAC852028 CJX852028:CJY852028 CTT852028:CTU852028 DDP852028:DDQ852028 DNL852028:DNM852028 DXH852028:DXI852028 EHD852028:EHE852028 EQZ852028:ERA852028 FAV852028:FAW852028 FKR852028:FKS852028 FUN852028:FUO852028 GEJ852028:GEK852028 GOF852028:GOG852028 GYB852028:GYC852028 HHX852028:HHY852028 HRT852028:HRU852028 IBP852028:IBQ852028 ILL852028:ILM852028 IVH852028:IVI852028 JFD852028:JFE852028 JOZ852028:JPA852028 JYV852028:JYW852028 KIR852028:KIS852028 KSN852028:KSO852028 LCJ852028:LCK852028 LMF852028:LMG852028 LWB852028:LWC852028 MFX852028:MFY852028 MPT852028:MPU852028 MZP852028:MZQ852028 NJL852028:NJM852028 NTH852028:NTI852028 ODD852028:ODE852028 OMZ852028:ONA852028 OWV852028:OWW852028 PGR852028:PGS852028 PQN852028:PQO852028 QAJ852028:QAK852028 QKF852028:QKG852028 QUB852028:QUC852028 RDX852028:RDY852028 RNT852028:RNU852028 RXP852028:RXQ852028 SHL852028:SHM852028 SRH852028:SRI852028 TBD852028:TBE852028 TKZ852028:TLA852028 TUV852028:TUW852028 UER852028:UES852028 UON852028:UOO852028 UYJ852028:UYK852028 VIF852028:VIG852028 VSB852028:VSC852028 WBX852028:WBY852028 WLT852028:WLU852028 WVP852028:WVQ852028 H917564:I917564 JD917564:JE917564 SZ917564:TA917564 ACV917564:ACW917564 AMR917564:AMS917564 AWN917564:AWO917564 BGJ917564:BGK917564 BQF917564:BQG917564 CAB917564:CAC917564 CJX917564:CJY917564 CTT917564:CTU917564 DDP917564:DDQ917564 DNL917564:DNM917564 DXH917564:DXI917564 EHD917564:EHE917564 EQZ917564:ERA917564 FAV917564:FAW917564 FKR917564:FKS917564 FUN917564:FUO917564 GEJ917564:GEK917564 GOF917564:GOG917564 GYB917564:GYC917564 HHX917564:HHY917564 HRT917564:HRU917564 IBP917564:IBQ917564 ILL917564:ILM917564 IVH917564:IVI917564 JFD917564:JFE917564 JOZ917564:JPA917564 JYV917564:JYW917564 KIR917564:KIS917564 KSN917564:KSO917564 LCJ917564:LCK917564 LMF917564:LMG917564 LWB917564:LWC917564 MFX917564:MFY917564 MPT917564:MPU917564 MZP917564:MZQ917564 NJL917564:NJM917564 NTH917564:NTI917564 ODD917564:ODE917564 OMZ917564:ONA917564 OWV917564:OWW917564 PGR917564:PGS917564 PQN917564:PQO917564 QAJ917564:QAK917564 QKF917564:QKG917564 QUB917564:QUC917564 RDX917564:RDY917564 RNT917564:RNU917564 RXP917564:RXQ917564 SHL917564:SHM917564 SRH917564:SRI917564 TBD917564:TBE917564 TKZ917564:TLA917564 TUV917564:TUW917564 UER917564:UES917564 UON917564:UOO917564 UYJ917564:UYK917564 VIF917564:VIG917564 VSB917564:VSC917564 WBX917564:WBY917564 WLT917564:WLU917564 WVP917564:WVQ917564 H983100:I983100 JD983100:JE983100 SZ983100:TA983100 ACV983100:ACW983100 AMR983100:AMS983100 AWN983100:AWO983100 BGJ983100:BGK983100 BQF983100:BQG983100 CAB983100:CAC983100 CJX983100:CJY983100 CTT983100:CTU983100 DDP983100:DDQ983100 DNL983100:DNM983100 DXH983100:DXI983100 EHD983100:EHE983100 EQZ983100:ERA983100 FAV983100:FAW983100 FKR983100:FKS983100 FUN983100:FUO983100 GEJ983100:GEK983100 GOF983100:GOG983100 GYB983100:GYC983100 HHX983100:HHY983100 HRT983100:HRU983100 IBP983100:IBQ983100 ILL983100:ILM983100 IVH983100:IVI983100 JFD983100:JFE983100 JOZ983100:JPA983100 JYV983100:JYW983100 KIR983100:KIS983100 KSN983100:KSO983100 LCJ983100:LCK983100 LMF983100:LMG983100 LWB983100:LWC983100 MFX983100:MFY983100 MPT983100:MPU983100 MZP983100:MZQ983100 NJL983100:NJM983100 NTH983100:NTI983100 ODD983100:ODE983100 OMZ983100:ONA983100 OWV983100:OWW983100 PGR983100:PGS983100 PQN983100:PQO983100 QAJ983100:QAK983100 QKF983100:QKG983100 QUB983100:QUC983100 RDX983100:RDY983100 RNT983100:RNU983100 RXP983100:RXQ983100 SHL983100:SHM983100 SRH983100:SRI983100 TBD983100:TBE983100 TKZ983100:TLA983100 TUV983100:TUW983100 UER983100:UES983100 UON983100:UOO983100 UYJ983100:UYK983100 VIF983100:VIG983100 VSB983100:VSC983100 WBX983100:WBY983100 WLT983100:WLU983100 WVP983100:WVQ983100 H62:I65 JD62:JE65 SZ62:TA65 ACV62:ACW65 AMR62:AMS65 AWN62:AWO65 BGJ62:BGK65 BQF62:BQG65 CAB62:CAC65 CJX62:CJY65 CTT62:CTU65 DDP62:DDQ65 DNL62:DNM65 DXH62:DXI65 EHD62:EHE65 EQZ62:ERA65 FAV62:FAW65 FKR62:FKS65 FUN62:FUO65 GEJ62:GEK65 GOF62:GOG65 GYB62:GYC65 HHX62:HHY65 HRT62:HRU65 IBP62:IBQ65 ILL62:ILM65 IVH62:IVI65 JFD62:JFE65 JOZ62:JPA65 JYV62:JYW65 KIR62:KIS65 KSN62:KSO65 LCJ62:LCK65 LMF62:LMG65 LWB62:LWC65 MFX62:MFY65 MPT62:MPU65 MZP62:MZQ65 NJL62:NJM65 NTH62:NTI65 ODD62:ODE65 OMZ62:ONA65 OWV62:OWW65 PGR62:PGS65 PQN62:PQO65 QAJ62:QAK65 QKF62:QKG65 QUB62:QUC65 RDX62:RDY65 RNT62:RNU65 RXP62:RXQ65 SHL62:SHM65 SRH62:SRI65 TBD62:TBE65 TKZ62:TLA65 TUV62:TUW65 UER62:UES65 UON62:UOO65 UYJ62:UYK65 VIF62:VIG65 VSB62:VSC65 WBX62:WBY65 WLT62:WLU65 WVP62:WVQ65 H65598:I65601 JD65598:JE65601 SZ65598:TA65601 ACV65598:ACW65601 AMR65598:AMS65601 AWN65598:AWO65601 BGJ65598:BGK65601 BQF65598:BQG65601 CAB65598:CAC65601 CJX65598:CJY65601 CTT65598:CTU65601 DDP65598:DDQ65601 DNL65598:DNM65601 DXH65598:DXI65601 EHD65598:EHE65601 EQZ65598:ERA65601 FAV65598:FAW65601 FKR65598:FKS65601 FUN65598:FUO65601 GEJ65598:GEK65601 GOF65598:GOG65601 GYB65598:GYC65601 HHX65598:HHY65601 HRT65598:HRU65601 IBP65598:IBQ65601 ILL65598:ILM65601 IVH65598:IVI65601 JFD65598:JFE65601 JOZ65598:JPA65601 JYV65598:JYW65601 KIR65598:KIS65601 KSN65598:KSO65601 LCJ65598:LCK65601 LMF65598:LMG65601 LWB65598:LWC65601 MFX65598:MFY65601 MPT65598:MPU65601 MZP65598:MZQ65601 NJL65598:NJM65601 NTH65598:NTI65601 ODD65598:ODE65601 OMZ65598:ONA65601 OWV65598:OWW65601 PGR65598:PGS65601 PQN65598:PQO65601 QAJ65598:QAK65601 QKF65598:QKG65601 QUB65598:QUC65601 RDX65598:RDY65601 RNT65598:RNU65601 RXP65598:RXQ65601 SHL65598:SHM65601 SRH65598:SRI65601 TBD65598:TBE65601 TKZ65598:TLA65601 TUV65598:TUW65601 UER65598:UES65601 UON65598:UOO65601 UYJ65598:UYK65601 VIF65598:VIG65601 VSB65598:VSC65601 WBX65598:WBY65601 WLT65598:WLU65601 WVP65598:WVQ65601 H131134:I131137 JD131134:JE131137 SZ131134:TA131137 ACV131134:ACW131137 AMR131134:AMS131137 AWN131134:AWO131137 BGJ131134:BGK131137 BQF131134:BQG131137 CAB131134:CAC131137 CJX131134:CJY131137 CTT131134:CTU131137 DDP131134:DDQ131137 DNL131134:DNM131137 DXH131134:DXI131137 EHD131134:EHE131137 EQZ131134:ERA131137 FAV131134:FAW131137 FKR131134:FKS131137 FUN131134:FUO131137 GEJ131134:GEK131137 GOF131134:GOG131137 GYB131134:GYC131137 HHX131134:HHY131137 HRT131134:HRU131137 IBP131134:IBQ131137 ILL131134:ILM131137 IVH131134:IVI131137 JFD131134:JFE131137 JOZ131134:JPA131137 JYV131134:JYW131137 KIR131134:KIS131137 KSN131134:KSO131137 LCJ131134:LCK131137 LMF131134:LMG131137 LWB131134:LWC131137 MFX131134:MFY131137 MPT131134:MPU131137 MZP131134:MZQ131137 NJL131134:NJM131137 NTH131134:NTI131137 ODD131134:ODE131137 OMZ131134:ONA131137 OWV131134:OWW131137 PGR131134:PGS131137 PQN131134:PQO131137 QAJ131134:QAK131137 QKF131134:QKG131137 QUB131134:QUC131137 RDX131134:RDY131137 RNT131134:RNU131137 RXP131134:RXQ131137 SHL131134:SHM131137 SRH131134:SRI131137 TBD131134:TBE131137 TKZ131134:TLA131137 TUV131134:TUW131137 UER131134:UES131137 UON131134:UOO131137 UYJ131134:UYK131137 VIF131134:VIG131137 VSB131134:VSC131137 WBX131134:WBY131137 WLT131134:WLU131137 WVP131134:WVQ131137 H196670:I196673 JD196670:JE196673 SZ196670:TA196673 ACV196670:ACW196673 AMR196670:AMS196673 AWN196670:AWO196673 BGJ196670:BGK196673 BQF196670:BQG196673 CAB196670:CAC196673 CJX196670:CJY196673 CTT196670:CTU196673 DDP196670:DDQ196673 DNL196670:DNM196673 DXH196670:DXI196673 EHD196670:EHE196673 EQZ196670:ERA196673 FAV196670:FAW196673 FKR196670:FKS196673 FUN196670:FUO196673 GEJ196670:GEK196673 GOF196670:GOG196673 GYB196670:GYC196673 HHX196670:HHY196673 HRT196670:HRU196673 IBP196670:IBQ196673 ILL196670:ILM196673 IVH196670:IVI196673 JFD196670:JFE196673 JOZ196670:JPA196673 JYV196670:JYW196673 KIR196670:KIS196673 KSN196670:KSO196673 LCJ196670:LCK196673 LMF196670:LMG196673 LWB196670:LWC196673 MFX196670:MFY196673 MPT196670:MPU196673 MZP196670:MZQ196673 NJL196670:NJM196673 NTH196670:NTI196673 ODD196670:ODE196673 OMZ196670:ONA196673 OWV196670:OWW196673 PGR196670:PGS196673 PQN196670:PQO196673 QAJ196670:QAK196673 QKF196670:QKG196673 QUB196670:QUC196673 RDX196670:RDY196673 RNT196670:RNU196673 RXP196670:RXQ196673 SHL196670:SHM196673 SRH196670:SRI196673 TBD196670:TBE196673 TKZ196670:TLA196673 TUV196670:TUW196673 UER196670:UES196673 UON196670:UOO196673 UYJ196670:UYK196673 VIF196670:VIG196673 VSB196670:VSC196673 WBX196670:WBY196673 WLT196670:WLU196673 WVP196670:WVQ196673 H262206:I262209 JD262206:JE262209 SZ262206:TA262209 ACV262206:ACW262209 AMR262206:AMS262209 AWN262206:AWO262209 BGJ262206:BGK262209 BQF262206:BQG262209 CAB262206:CAC262209 CJX262206:CJY262209 CTT262206:CTU262209 DDP262206:DDQ262209 DNL262206:DNM262209 DXH262206:DXI262209 EHD262206:EHE262209 EQZ262206:ERA262209 FAV262206:FAW262209 FKR262206:FKS262209 FUN262206:FUO262209 GEJ262206:GEK262209 GOF262206:GOG262209 GYB262206:GYC262209 HHX262206:HHY262209 HRT262206:HRU262209 IBP262206:IBQ262209 ILL262206:ILM262209 IVH262206:IVI262209 JFD262206:JFE262209 JOZ262206:JPA262209 JYV262206:JYW262209 KIR262206:KIS262209 KSN262206:KSO262209 LCJ262206:LCK262209 LMF262206:LMG262209 LWB262206:LWC262209 MFX262206:MFY262209 MPT262206:MPU262209 MZP262206:MZQ262209 NJL262206:NJM262209 NTH262206:NTI262209 ODD262206:ODE262209 OMZ262206:ONA262209 OWV262206:OWW262209 PGR262206:PGS262209 PQN262206:PQO262209 QAJ262206:QAK262209 QKF262206:QKG262209 QUB262206:QUC262209 RDX262206:RDY262209 RNT262206:RNU262209 RXP262206:RXQ262209 SHL262206:SHM262209 SRH262206:SRI262209 TBD262206:TBE262209 TKZ262206:TLA262209 TUV262206:TUW262209 UER262206:UES262209 UON262206:UOO262209 UYJ262206:UYK262209 VIF262206:VIG262209 VSB262206:VSC262209 WBX262206:WBY262209 WLT262206:WLU262209 WVP262206:WVQ262209 H327742:I327745 JD327742:JE327745 SZ327742:TA327745 ACV327742:ACW327745 AMR327742:AMS327745 AWN327742:AWO327745 BGJ327742:BGK327745 BQF327742:BQG327745 CAB327742:CAC327745 CJX327742:CJY327745 CTT327742:CTU327745 DDP327742:DDQ327745 DNL327742:DNM327745 DXH327742:DXI327745 EHD327742:EHE327745 EQZ327742:ERA327745 FAV327742:FAW327745 FKR327742:FKS327745 FUN327742:FUO327745 GEJ327742:GEK327745 GOF327742:GOG327745 GYB327742:GYC327745 HHX327742:HHY327745 HRT327742:HRU327745 IBP327742:IBQ327745 ILL327742:ILM327745 IVH327742:IVI327745 JFD327742:JFE327745 JOZ327742:JPA327745 JYV327742:JYW327745 KIR327742:KIS327745 KSN327742:KSO327745 LCJ327742:LCK327745 LMF327742:LMG327745 LWB327742:LWC327745 MFX327742:MFY327745 MPT327742:MPU327745 MZP327742:MZQ327745 NJL327742:NJM327745 NTH327742:NTI327745 ODD327742:ODE327745 OMZ327742:ONA327745 OWV327742:OWW327745 PGR327742:PGS327745 PQN327742:PQO327745 QAJ327742:QAK327745 QKF327742:QKG327745 QUB327742:QUC327745 RDX327742:RDY327745 RNT327742:RNU327745 RXP327742:RXQ327745 SHL327742:SHM327745 SRH327742:SRI327745 TBD327742:TBE327745 TKZ327742:TLA327745 TUV327742:TUW327745 UER327742:UES327745 UON327742:UOO327745 UYJ327742:UYK327745 VIF327742:VIG327745 VSB327742:VSC327745 WBX327742:WBY327745 WLT327742:WLU327745 WVP327742:WVQ327745 H393278:I393281 JD393278:JE393281 SZ393278:TA393281 ACV393278:ACW393281 AMR393278:AMS393281 AWN393278:AWO393281 BGJ393278:BGK393281 BQF393278:BQG393281 CAB393278:CAC393281 CJX393278:CJY393281 CTT393278:CTU393281 DDP393278:DDQ393281 DNL393278:DNM393281 DXH393278:DXI393281 EHD393278:EHE393281 EQZ393278:ERA393281 FAV393278:FAW393281 FKR393278:FKS393281 FUN393278:FUO393281 GEJ393278:GEK393281 GOF393278:GOG393281 GYB393278:GYC393281 HHX393278:HHY393281 HRT393278:HRU393281 IBP393278:IBQ393281 ILL393278:ILM393281 IVH393278:IVI393281 JFD393278:JFE393281 JOZ393278:JPA393281 JYV393278:JYW393281 KIR393278:KIS393281 KSN393278:KSO393281 LCJ393278:LCK393281 LMF393278:LMG393281 LWB393278:LWC393281 MFX393278:MFY393281 MPT393278:MPU393281 MZP393278:MZQ393281 NJL393278:NJM393281 NTH393278:NTI393281 ODD393278:ODE393281 OMZ393278:ONA393281 OWV393278:OWW393281 PGR393278:PGS393281 PQN393278:PQO393281 QAJ393278:QAK393281 QKF393278:QKG393281 QUB393278:QUC393281 RDX393278:RDY393281 RNT393278:RNU393281 RXP393278:RXQ393281 SHL393278:SHM393281 SRH393278:SRI393281 TBD393278:TBE393281 TKZ393278:TLA393281 TUV393278:TUW393281 UER393278:UES393281 UON393278:UOO393281 UYJ393278:UYK393281 VIF393278:VIG393281 VSB393278:VSC393281 WBX393278:WBY393281 WLT393278:WLU393281 WVP393278:WVQ393281 H458814:I458817 JD458814:JE458817 SZ458814:TA458817 ACV458814:ACW458817 AMR458814:AMS458817 AWN458814:AWO458817 BGJ458814:BGK458817 BQF458814:BQG458817 CAB458814:CAC458817 CJX458814:CJY458817 CTT458814:CTU458817 DDP458814:DDQ458817 DNL458814:DNM458817 DXH458814:DXI458817 EHD458814:EHE458817 EQZ458814:ERA458817 FAV458814:FAW458817 FKR458814:FKS458817 FUN458814:FUO458817 GEJ458814:GEK458817 GOF458814:GOG458817 GYB458814:GYC458817 HHX458814:HHY458817 HRT458814:HRU458817 IBP458814:IBQ458817 ILL458814:ILM458817 IVH458814:IVI458817 JFD458814:JFE458817 JOZ458814:JPA458817 JYV458814:JYW458817 KIR458814:KIS458817 KSN458814:KSO458817 LCJ458814:LCK458817 LMF458814:LMG458817 LWB458814:LWC458817 MFX458814:MFY458817 MPT458814:MPU458817 MZP458814:MZQ458817 NJL458814:NJM458817 NTH458814:NTI458817 ODD458814:ODE458817 OMZ458814:ONA458817 OWV458814:OWW458817 PGR458814:PGS458817 PQN458814:PQO458817 QAJ458814:QAK458817 QKF458814:QKG458817 QUB458814:QUC458817 RDX458814:RDY458817 RNT458814:RNU458817 RXP458814:RXQ458817 SHL458814:SHM458817 SRH458814:SRI458817 TBD458814:TBE458817 TKZ458814:TLA458817 TUV458814:TUW458817 UER458814:UES458817 UON458814:UOO458817 UYJ458814:UYK458817 VIF458814:VIG458817 VSB458814:VSC458817 WBX458814:WBY458817 WLT458814:WLU458817 WVP458814:WVQ458817 H524350:I524353 JD524350:JE524353 SZ524350:TA524353 ACV524350:ACW524353 AMR524350:AMS524353 AWN524350:AWO524353 BGJ524350:BGK524353 BQF524350:BQG524353 CAB524350:CAC524353 CJX524350:CJY524353 CTT524350:CTU524353 DDP524350:DDQ524353 DNL524350:DNM524353 DXH524350:DXI524353 EHD524350:EHE524353 EQZ524350:ERA524353 FAV524350:FAW524353 FKR524350:FKS524353 FUN524350:FUO524353 GEJ524350:GEK524353 GOF524350:GOG524353 GYB524350:GYC524353 HHX524350:HHY524353 HRT524350:HRU524353 IBP524350:IBQ524353 ILL524350:ILM524353 IVH524350:IVI524353 JFD524350:JFE524353 JOZ524350:JPA524353 JYV524350:JYW524353 KIR524350:KIS524353 KSN524350:KSO524353 LCJ524350:LCK524353 LMF524350:LMG524353 LWB524350:LWC524353 MFX524350:MFY524353 MPT524350:MPU524353 MZP524350:MZQ524353 NJL524350:NJM524353 NTH524350:NTI524353 ODD524350:ODE524353 OMZ524350:ONA524353 OWV524350:OWW524353 PGR524350:PGS524353 PQN524350:PQO524353 QAJ524350:QAK524353 QKF524350:QKG524353 QUB524350:QUC524353 RDX524350:RDY524353 RNT524350:RNU524353 RXP524350:RXQ524353 SHL524350:SHM524353 SRH524350:SRI524353 TBD524350:TBE524353 TKZ524350:TLA524353 TUV524350:TUW524353 UER524350:UES524353 UON524350:UOO524353 UYJ524350:UYK524353 VIF524350:VIG524353 VSB524350:VSC524353 WBX524350:WBY524353 WLT524350:WLU524353 WVP524350:WVQ524353 H589886:I589889 JD589886:JE589889 SZ589886:TA589889 ACV589886:ACW589889 AMR589886:AMS589889 AWN589886:AWO589889 BGJ589886:BGK589889 BQF589886:BQG589889 CAB589886:CAC589889 CJX589886:CJY589889 CTT589886:CTU589889 DDP589886:DDQ589889 DNL589886:DNM589889 DXH589886:DXI589889 EHD589886:EHE589889 EQZ589886:ERA589889 FAV589886:FAW589889 FKR589886:FKS589889 FUN589886:FUO589889 GEJ589886:GEK589889 GOF589886:GOG589889 GYB589886:GYC589889 HHX589886:HHY589889 HRT589886:HRU589889 IBP589886:IBQ589889 ILL589886:ILM589889 IVH589886:IVI589889 JFD589886:JFE589889 JOZ589886:JPA589889 JYV589886:JYW589889 KIR589886:KIS589889 KSN589886:KSO589889 LCJ589886:LCK589889 LMF589886:LMG589889 LWB589886:LWC589889 MFX589886:MFY589889 MPT589886:MPU589889 MZP589886:MZQ589889 NJL589886:NJM589889 NTH589886:NTI589889 ODD589886:ODE589889 OMZ589886:ONA589889 OWV589886:OWW589889 PGR589886:PGS589889 PQN589886:PQO589889 QAJ589886:QAK589889 QKF589886:QKG589889 QUB589886:QUC589889 RDX589886:RDY589889 RNT589886:RNU589889 RXP589886:RXQ589889 SHL589886:SHM589889 SRH589886:SRI589889 TBD589886:TBE589889 TKZ589886:TLA589889 TUV589886:TUW589889 UER589886:UES589889 UON589886:UOO589889 UYJ589886:UYK589889 VIF589886:VIG589889 VSB589886:VSC589889 WBX589886:WBY589889 WLT589886:WLU589889 WVP589886:WVQ589889 H655422:I655425 JD655422:JE655425 SZ655422:TA655425 ACV655422:ACW655425 AMR655422:AMS655425 AWN655422:AWO655425 BGJ655422:BGK655425 BQF655422:BQG655425 CAB655422:CAC655425 CJX655422:CJY655425 CTT655422:CTU655425 DDP655422:DDQ655425 DNL655422:DNM655425 DXH655422:DXI655425 EHD655422:EHE655425 EQZ655422:ERA655425 FAV655422:FAW655425 FKR655422:FKS655425 FUN655422:FUO655425 GEJ655422:GEK655425 GOF655422:GOG655425 GYB655422:GYC655425 HHX655422:HHY655425 HRT655422:HRU655425 IBP655422:IBQ655425 ILL655422:ILM655425 IVH655422:IVI655425 JFD655422:JFE655425 JOZ655422:JPA655425 JYV655422:JYW655425 KIR655422:KIS655425 KSN655422:KSO655425 LCJ655422:LCK655425 LMF655422:LMG655425 LWB655422:LWC655425 MFX655422:MFY655425 MPT655422:MPU655425 MZP655422:MZQ655425 NJL655422:NJM655425 NTH655422:NTI655425 ODD655422:ODE655425 OMZ655422:ONA655425 OWV655422:OWW655425 PGR655422:PGS655425 PQN655422:PQO655425 QAJ655422:QAK655425 QKF655422:QKG655425 QUB655422:QUC655425 RDX655422:RDY655425 RNT655422:RNU655425 RXP655422:RXQ655425 SHL655422:SHM655425 SRH655422:SRI655425 TBD655422:TBE655425 TKZ655422:TLA655425 TUV655422:TUW655425 UER655422:UES655425 UON655422:UOO655425 UYJ655422:UYK655425 VIF655422:VIG655425 VSB655422:VSC655425 WBX655422:WBY655425 WLT655422:WLU655425 WVP655422:WVQ655425 H720958:I720961 JD720958:JE720961 SZ720958:TA720961 ACV720958:ACW720961 AMR720958:AMS720961 AWN720958:AWO720961 BGJ720958:BGK720961 BQF720958:BQG720961 CAB720958:CAC720961 CJX720958:CJY720961 CTT720958:CTU720961 DDP720958:DDQ720961 DNL720958:DNM720961 DXH720958:DXI720961 EHD720958:EHE720961 EQZ720958:ERA720961 FAV720958:FAW720961 FKR720958:FKS720961 FUN720958:FUO720961 GEJ720958:GEK720961 GOF720958:GOG720961 GYB720958:GYC720961 HHX720958:HHY720961 HRT720958:HRU720961 IBP720958:IBQ720961 ILL720958:ILM720961 IVH720958:IVI720961 JFD720958:JFE720961 JOZ720958:JPA720961 JYV720958:JYW720961 KIR720958:KIS720961 KSN720958:KSO720961 LCJ720958:LCK720961 LMF720958:LMG720961 LWB720958:LWC720961 MFX720958:MFY720961 MPT720958:MPU720961 MZP720958:MZQ720961 NJL720958:NJM720961 NTH720958:NTI720961 ODD720958:ODE720961 OMZ720958:ONA720961 OWV720958:OWW720961 PGR720958:PGS720961 PQN720958:PQO720961 QAJ720958:QAK720961 QKF720958:QKG720961 QUB720958:QUC720961 RDX720958:RDY720961 RNT720958:RNU720961 RXP720958:RXQ720961 SHL720958:SHM720961 SRH720958:SRI720961 TBD720958:TBE720961 TKZ720958:TLA720961 TUV720958:TUW720961 UER720958:UES720961 UON720958:UOO720961 UYJ720958:UYK720961 VIF720958:VIG720961 VSB720958:VSC720961 WBX720958:WBY720961 WLT720958:WLU720961 WVP720958:WVQ720961 H786494:I786497 JD786494:JE786497 SZ786494:TA786497 ACV786494:ACW786497 AMR786494:AMS786497 AWN786494:AWO786497 BGJ786494:BGK786497 BQF786494:BQG786497 CAB786494:CAC786497 CJX786494:CJY786497 CTT786494:CTU786497 DDP786494:DDQ786497 DNL786494:DNM786497 DXH786494:DXI786497 EHD786494:EHE786497 EQZ786494:ERA786497 FAV786494:FAW786497 FKR786494:FKS786497 FUN786494:FUO786497 GEJ786494:GEK786497 GOF786494:GOG786497 GYB786494:GYC786497 HHX786494:HHY786497 HRT786494:HRU786497 IBP786494:IBQ786497 ILL786494:ILM786497 IVH786494:IVI786497 JFD786494:JFE786497 JOZ786494:JPA786497 JYV786494:JYW786497 KIR786494:KIS786497 KSN786494:KSO786497 LCJ786494:LCK786497 LMF786494:LMG786497 LWB786494:LWC786497 MFX786494:MFY786497 MPT786494:MPU786497 MZP786494:MZQ786497 NJL786494:NJM786497 NTH786494:NTI786497 ODD786494:ODE786497 OMZ786494:ONA786497 OWV786494:OWW786497 PGR786494:PGS786497 PQN786494:PQO786497 QAJ786494:QAK786497 QKF786494:QKG786497 QUB786494:QUC786497 RDX786494:RDY786497 RNT786494:RNU786497 RXP786494:RXQ786497 SHL786494:SHM786497 SRH786494:SRI786497 TBD786494:TBE786497 TKZ786494:TLA786497 TUV786494:TUW786497 UER786494:UES786497 UON786494:UOO786497 UYJ786494:UYK786497 VIF786494:VIG786497 VSB786494:VSC786497 WBX786494:WBY786497 WLT786494:WLU786497 WVP786494:WVQ786497 H852030:I852033 JD852030:JE852033 SZ852030:TA852033 ACV852030:ACW852033 AMR852030:AMS852033 AWN852030:AWO852033 BGJ852030:BGK852033 BQF852030:BQG852033 CAB852030:CAC852033 CJX852030:CJY852033 CTT852030:CTU852033 DDP852030:DDQ852033 DNL852030:DNM852033 DXH852030:DXI852033 EHD852030:EHE852033 EQZ852030:ERA852033 FAV852030:FAW852033 FKR852030:FKS852033 FUN852030:FUO852033 GEJ852030:GEK852033 GOF852030:GOG852033 GYB852030:GYC852033 HHX852030:HHY852033 HRT852030:HRU852033 IBP852030:IBQ852033 ILL852030:ILM852033 IVH852030:IVI852033 JFD852030:JFE852033 JOZ852030:JPA852033 JYV852030:JYW852033 KIR852030:KIS852033 KSN852030:KSO852033 LCJ852030:LCK852033 LMF852030:LMG852033 LWB852030:LWC852033 MFX852030:MFY852033 MPT852030:MPU852033 MZP852030:MZQ852033 NJL852030:NJM852033 NTH852030:NTI852033 ODD852030:ODE852033 OMZ852030:ONA852033 OWV852030:OWW852033 PGR852030:PGS852033 PQN852030:PQO852033 QAJ852030:QAK852033 QKF852030:QKG852033 QUB852030:QUC852033 RDX852030:RDY852033 RNT852030:RNU852033 RXP852030:RXQ852033 SHL852030:SHM852033 SRH852030:SRI852033 TBD852030:TBE852033 TKZ852030:TLA852033 TUV852030:TUW852033 UER852030:UES852033 UON852030:UOO852033 UYJ852030:UYK852033 VIF852030:VIG852033 VSB852030:VSC852033 WBX852030:WBY852033 WLT852030:WLU852033 WVP852030:WVQ852033 H917566:I917569 JD917566:JE917569 SZ917566:TA917569 ACV917566:ACW917569 AMR917566:AMS917569 AWN917566:AWO917569 BGJ917566:BGK917569 BQF917566:BQG917569 CAB917566:CAC917569 CJX917566:CJY917569 CTT917566:CTU917569 DDP917566:DDQ917569 DNL917566:DNM917569 DXH917566:DXI917569 EHD917566:EHE917569 EQZ917566:ERA917569 FAV917566:FAW917569 FKR917566:FKS917569 FUN917566:FUO917569 GEJ917566:GEK917569 GOF917566:GOG917569 GYB917566:GYC917569 HHX917566:HHY917569 HRT917566:HRU917569 IBP917566:IBQ917569 ILL917566:ILM917569 IVH917566:IVI917569 JFD917566:JFE917569 JOZ917566:JPA917569 JYV917566:JYW917569 KIR917566:KIS917569 KSN917566:KSO917569 LCJ917566:LCK917569 LMF917566:LMG917569 LWB917566:LWC917569 MFX917566:MFY917569 MPT917566:MPU917569 MZP917566:MZQ917569 NJL917566:NJM917569 NTH917566:NTI917569 ODD917566:ODE917569 OMZ917566:ONA917569 OWV917566:OWW917569 PGR917566:PGS917569 PQN917566:PQO917569 QAJ917566:QAK917569 QKF917566:QKG917569 QUB917566:QUC917569 RDX917566:RDY917569 RNT917566:RNU917569 RXP917566:RXQ917569 SHL917566:SHM917569 SRH917566:SRI917569 TBD917566:TBE917569 TKZ917566:TLA917569 TUV917566:TUW917569 UER917566:UES917569 UON917566:UOO917569 UYJ917566:UYK917569 VIF917566:VIG917569 VSB917566:VSC917569 WBX917566:WBY917569 WLT917566:WLU917569 WVP917566:WVQ917569 H983102:I983105 JD983102:JE983105 SZ983102:TA983105 ACV983102:ACW983105 AMR983102:AMS983105 AWN983102:AWO983105 BGJ983102:BGK983105 BQF983102:BQG983105 CAB983102:CAC983105 CJX983102:CJY983105 CTT983102:CTU983105 DDP983102:DDQ983105 DNL983102:DNM983105 DXH983102:DXI983105 EHD983102:EHE983105 EQZ983102:ERA983105 FAV983102:FAW983105 FKR983102:FKS983105 FUN983102:FUO983105 GEJ983102:GEK983105 GOF983102:GOG983105 GYB983102:GYC983105 HHX983102:HHY983105 HRT983102:HRU983105 IBP983102:IBQ983105 ILL983102:ILM983105 IVH983102:IVI983105 JFD983102:JFE983105 JOZ983102:JPA983105 JYV983102:JYW983105 KIR983102:KIS983105 KSN983102:KSO983105 LCJ983102:LCK983105 LMF983102:LMG983105 LWB983102:LWC983105 MFX983102:MFY983105 MPT983102:MPU983105 MZP983102:MZQ983105 NJL983102:NJM983105 NTH983102:NTI983105 ODD983102:ODE983105 OMZ983102:ONA983105 OWV983102:OWW983105 PGR983102:PGS983105 PQN983102:PQO983105 QAJ983102:QAK983105 QKF983102:QKG983105 QUB983102:QUC983105 RDX983102:RDY983105 RNT983102:RNU983105 RXP983102:RXQ983105 SHL983102:SHM983105 SRH983102:SRI983105 TBD983102:TBE983105 TKZ983102:TLA983105 TUV983102:TUW983105 UER983102:UES983105 UON983102:UOO983105 UYJ983102:UYK983105 VIF983102:VIG983105 VSB983102:VSC983105 WBX983102:WBY983105 WLT983102:WLU983105 WVP983102:WVQ983105 I66:I67 JE66:JE67 TA66:TA67 ACW66:ACW67 AMS66:AMS67 AWO66:AWO67 BGK66:BGK67 BQG66:BQG67 CAC66:CAC67 CJY66:CJY67 CTU66:CTU67 DDQ66:DDQ67 DNM66:DNM67 DXI66:DXI67 EHE66:EHE67 ERA66:ERA67 FAW66:FAW67 FKS66:FKS67 FUO66:FUO67 GEK66:GEK67 GOG66:GOG67 GYC66:GYC67 HHY66:HHY67 HRU66:HRU67 IBQ66:IBQ67 ILM66:ILM67 IVI66:IVI67 JFE66:JFE67 JPA66:JPA67 JYW66:JYW67 KIS66:KIS67 KSO66:KSO67 LCK66:LCK67 LMG66:LMG67 LWC66:LWC67 MFY66:MFY67 MPU66:MPU67 MZQ66:MZQ67 NJM66:NJM67 NTI66:NTI67 ODE66:ODE67 ONA66:ONA67 OWW66:OWW67 PGS66:PGS67 PQO66:PQO67 QAK66:QAK67 QKG66:QKG67 QUC66:QUC67 RDY66:RDY67 RNU66:RNU67 RXQ66:RXQ67 SHM66:SHM67 SRI66:SRI67 TBE66:TBE67 TLA66:TLA67 TUW66:TUW67 UES66:UES67 UOO66:UOO67 UYK66:UYK67 VIG66:VIG67 VSC66:VSC67 WBY66:WBY67 WLU66:WLU67 WVQ66:WVQ67 I65602:I65603 JE65602:JE65603 TA65602:TA65603 ACW65602:ACW65603 AMS65602:AMS65603 AWO65602:AWO65603 BGK65602:BGK65603 BQG65602:BQG65603 CAC65602:CAC65603 CJY65602:CJY65603 CTU65602:CTU65603 DDQ65602:DDQ65603 DNM65602:DNM65603 DXI65602:DXI65603 EHE65602:EHE65603 ERA65602:ERA65603 FAW65602:FAW65603 FKS65602:FKS65603 FUO65602:FUO65603 GEK65602:GEK65603 GOG65602:GOG65603 GYC65602:GYC65603 HHY65602:HHY65603 HRU65602:HRU65603 IBQ65602:IBQ65603 ILM65602:ILM65603 IVI65602:IVI65603 JFE65602:JFE65603 JPA65602:JPA65603 JYW65602:JYW65603 KIS65602:KIS65603 KSO65602:KSO65603 LCK65602:LCK65603 LMG65602:LMG65603 LWC65602:LWC65603 MFY65602:MFY65603 MPU65602:MPU65603 MZQ65602:MZQ65603 NJM65602:NJM65603 NTI65602:NTI65603 ODE65602:ODE65603 ONA65602:ONA65603 OWW65602:OWW65603 PGS65602:PGS65603 PQO65602:PQO65603 QAK65602:QAK65603 QKG65602:QKG65603 QUC65602:QUC65603 RDY65602:RDY65603 RNU65602:RNU65603 RXQ65602:RXQ65603 SHM65602:SHM65603 SRI65602:SRI65603 TBE65602:TBE65603 TLA65602:TLA65603 TUW65602:TUW65603 UES65602:UES65603 UOO65602:UOO65603 UYK65602:UYK65603 VIG65602:VIG65603 VSC65602:VSC65603 WBY65602:WBY65603 WLU65602:WLU65603 WVQ65602:WVQ65603 I131138:I131139 JE131138:JE131139 TA131138:TA131139 ACW131138:ACW131139 AMS131138:AMS131139 AWO131138:AWO131139 BGK131138:BGK131139 BQG131138:BQG131139 CAC131138:CAC131139 CJY131138:CJY131139 CTU131138:CTU131139 DDQ131138:DDQ131139 DNM131138:DNM131139 DXI131138:DXI131139 EHE131138:EHE131139 ERA131138:ERA131139 FAW131138:FAW131139 FKS131138:FKS131139 FUO131138:FUO131139 GEK131138:GEK131139 GOG131138:GOG131139 GYC131138:GYC131139 HHY131138:HHY131139 HRU131138:HRU131139 IBQ131138:IBQ131139 ILM131138:ILM131139 IVI131138:IVI131139 JFE131138:JFE131139 JPA131138:JPA131139 JYW131138:JYW131139 KIS131138:KIS131139 KSO131138:KSO131139 LCK131138:LCK131139 LMG131138:LMG131139 LWC131138:LWC131139 MFY131138:MFY131139 MPU131138:MPU131139 MZQ131138:MZQ131139 NJM131138:NJM131139 NTI131138:NTI131139 ODE131138:ODE131139 ONA131138:ONA131139 OWW131138:OWW131139 PGS131138:PGS131139 PQO131138:PQO131139 QAK131138:QAK131139 QKG131138:QKG131139 QUC131138:QUC131139 RDY131138:RDY131139 RNU131138:RNU131139 RXQ131138:RXQ131139 SHM131138:SHM131139 SRI131138:SRI131139 TBE131138:TBE131139 TLA131138:TLA131139 TUW131138:TUW131139 UES131138:UES131139 UOO131138:UOO131139 UYK131138:UYK131139 VIG131138:VIG131139 VSC131138:VSC131139 WBY131138:WBY131139 WLU131138:WLU131139 WVQ131138:WVQ131139 I196674:I196675 JE196674:JE196675 TA196674:TA196675 ACW196674:ACW196675 AMS196674:AMS196675 AWO196674:AWO196675 BGK196674:BGK196675 BQG196674:BQG196675 CAC196674:CAC196675 CJY196674:CJY196675 CTU196674:CTU196675 DDQ196674:DDQ196675 DNM196674:DNM196675 DXI196674:DXI196675 EHE196674:EHE196675 ERA196674:ERA196675 FAW196674:FAW196675 FKS196674:FKS196675 FUO196674:FUO196675 GEK196674:GEK196675 GOG196674:GOG196675 GYC196674:GYC196675 HHY196674:HHY196675 HRU196674:HRU196675 IBQ196674:IBQ196675 ILM196674:ILM196675 IVI196674:IVI196675 JFE196674:JFE196675 JPA196674:JPA196675 JYW196674:JYW196675 KIS196674:KIS196675 KSO196674:KSO196675 LCK196674:LCK196675 LMG196674:LMG196675 LWC196674:LWC196675 MFY196674:MFY196675 MPU196674:MPU196675 MZQ196674:MZQ196675 NJM196674:NJM196675 NTI196674:NTI196675 ODE196674:ODE196675 ONA196674:ONA196675 OWW196674:OWW196675 PGS196674:PGS196675 PQO196674:PQO196675 QAK196674:QAK196675 QKG196674:QKG196675 QUC196674:QUC196675 RDY196674:RDY196675 RNU196674:RNU196675 RXQ196674:RXQ196675 SHM196674:SHM196675 SRI196674:SRI196675 TBE196674:TBE196675 TLA196674:TLA196675 TUW196674:TUW196675 UES196674:UES196675 UOO196674:UOO196675 UYK196674:UYK196675 VIG196674:VIG196675 VSC196674:VSC196675 WBY196674:WBY196675 WLU196674:WLU196675 WVQ196674:WVQ196675 I262210:I262211 JE262210:JE262211 TA262210:TA262211 ACW262210:ACW262211 AMS262210:AMS262211 AWO262210:AWO262211 BGK262210:BGK262211 BQG262210:BQG262211 CAC262210:CAC262211 CJY262210:CJY262211 CTU262210:CTU262211 DDQ262210:DDQ262211 DNM262210:DNM262211 DXI262210:DXI262211 EHE262210:EHE262211 ERA262210:ERA262211 FAW262210:FAW262211 FKS262210:FKS262211 FUO262210:FUO262211 GEK262210:GEK262211 GOG262210:GOG262211 GYC262210:GYC262211 HHY262210:HHY262211 HRU262210:HRU262211 IBQ262210:IBQ262211 ILM262210:ILM262211 IVI262210:IVI262211 JFE262210:JFE262211 JPA262210:JPA262211 JYW262210:JYW262211 KIS262210:KIS262211 KSO262210:KSO262211 LCK262210:LCK262211 LMG262210:LMG262211 LWC262210:LWC262211 MFY262210:MFY262211 MPU262210:MPU262211 MZQ262210:MZQ262211 NJM262210:NJM262211 NTI262210:NTI262211 ODE262210:ODE262211 ONA262210:ONA262211 OWW262210:OWW262211 PGS262210:PGS262211 PQO262210:PQO262211 QAK262210:QAK262211 QKG262210:QKG262211 QUC262210:QUC262211 RDY262210:RDY262211 RNU262210:RNU262211 RXQ262210:RXQ262211 SHM262210:SHM262211 SRI262210:SRI262211 TBE262210:TBE262211 TLA262210:TLA262211 TUW262210:TUW262211 UES262210:UES262211 UOO262210:UOO262211 UYK262210:UYK262211 VIG262210:VIG262211 VSC262210:VSC262211 WBY262210:WBY262211 WLU262210:WLU262211 WVQ262210:WVQ262211 I327746:I327747 JE327746:JE327747 TA327746:TA327747 ACW327746:ACW327747 AMS327746:AMS327747 AWO327746:AWO327747 BGK327746:BGK327747 BQG327746:BQG327747 CAC327746:CAC327747 CJY327746:CJY327747 CTU327746:CTU327747 DDQ327746:DDQ327747 DNM327746:DNM327747 DXI327746:DXI327747 EHE327746:EHE327747 ERA327746:ERA327747 FAW327746:FAW327747 FKS327746:FKS327747 FUO327746:FUO327747 GEK327746:GEK327747 GOG327746:GOG327747 GYC327746:GYC327747 HHY327746:HHY327747 HRU327746:HRU327747 IBQ327746:IBQ327747 ILM327746:ILM327747 IVI327746:IVI327747 JFE327746:JFE327747 JPA327746:JPA327747 JYW327746:JYW327747 KIS327746:KIS327747 KSO327746:KSO327747 LCK327746:LCK327747 LMG327746:LMG327747 LWC327746:LWC327747 MFY327746:MFY327747 MPU327746:MPU327747 MZQ327746:MZQ327747 NJM327746:NJM327747 NTI327746:NTI327747 ODE327746:ODE327747 ONA327746:ONA327747 OWW327746:OWW327747 PGS327746:PGS327747 PQO327746:PQO327747 QAK327746:QAK327747 QKG327746:QKG327747 QUC327746:QUC327747 RDY327746:RDY327747 RNU327746:RNU327747 RXQ327746:RXQ327747 SHM327746:SHM327747 SRI327746:SRI327747 TBE327746:TBE327747 TLA327746:TLA327747 TUW327746:TUW327747 UES327746:UES327747 UOO327746:UOO327747 UYK327746:UYK327747 VIG327746:VIG327747 VSC327746:VSC327747 WBY327746:WBY327747 WLU327746:WLU327747 WVQ327746:WVQ327747 I393282:I393283 JE393282:JE393283 TA393282:TA393283 ACW393282:ACW393283 AMS393282:AMS393283 AWO393282:AWO393283 BGK393282:BGK393283 BQG393282:BQG393283 CAC393282:CAC393283 CJY393282:CJY393283 CTU393282:CTU393283 DDQ393282:DDQ393283 DNM393282:DNM393283 DXI393282:DXI393283 EHE393282:EHE393283 ERA393282:ERA393283 FAW393282:FAW393283 FKS393282:FKS393283 FUO393282:FUO393283 GEK393282:GEK393283 GOG393282:GOG393283 GYC393282:GYC393283 HHY393282:HHY393283 HRU393282:HRU393283 IBQ393282:IBQ393283 ILM393282:ILM393283 IVI393282:IVI393283 JFE393282:JFE393283 JPA393282:JPA393283 JYW393282:JYW393283 KIS393282:KIS393283 KSO393282:KSO393283 LCK393282:LCK393283 LMG393282:LMG393283 LWC393282:LWC393283 MFY393282:MFY393283 MPU393282:MPU393283 MZQ393282:MZQ393283 NJM393282:NJM393283 NTI393282:NTI393283 ODE393282:ODE393283 ONA393282:ONA393283 OWW393282:OWW393283 PGS393282:PGS393283 PQO393282:PQO393283 QAK393282:QAK393283 QKG393282:QKG393283 QUC393282:QUC393283 RDY393282:RDY393283 RNU393282:RNU393283 RXQ393282:RXQ393283 SHM393282:SHM393283 SRI393282:SRI393283 TBE393282:TBE393283 TLA393282:TLA393283 TUW393282:TUW393283 UES393282:UES393283 UOO393282:UOO393283 UYK393282:UYK393283 VIG393282:VIG393283 VSC393282:VSC393283 WBY393282:WBY393283 WLU393282:WLU393283 WVQ393282:WVQ393283 I458818:I458819 JE458818:JE458819 TA458818:TA458819 ACW458818:ACW458819 AMS458818:AMS458819 AWO458818:AWO458819 BGK458818:BGK458819 BQG458818:BQG458819 CAC458818:CAC458819 CJY458818:CJY458819 CTU458818:CTU458819 DDQ458818:DDQ458819 DNM458818:DNM458819 DXI458818:DXI458819 EHE458818:EHE458819 ERA458818:ERA458819 FAW458818:FAW458819 FKS458818:FKS458819 FUO458818:FUO458819 GEK458818:GEK458819 GOG458818:GOG458819 GYC458818:GYC458819 HHY458818:HHY458819 HRU458818:HRU458819 IBQ458818:IBQ458819 ILM458818:ILM458819 IVI458818:IVI458819 JFE458818:JFE458819 JPA458818:JPA458819 JYW458818:JYW458819 KIS458818:KIS458819 KSO458818:KSO458819 LCK458818:LCK458819 LMG458818:LMG458819 LWC458818:LWC458819 MFY458818:MFY458819 MPU458818:MPU458819 MZQ458818:MZQ458819 NJM458818:NJM458819 NTI458818:NTI458819 ODE458818:ODE458819 ONA458818:ONA458819 OWW458818:OWW458819 PGS458818:PGS458819 PQO458818:PQO458819 QAK458818:QAK458819 QKG458818:QKG458819 QUC458818:QUC458819 RDY458818:RDY458819 RNU458818:RNU458819 RXQ458818:RXQ458819 SHM458818:SHM458819 SRI458818:SRI458819 TBE458818:TBE458819 TLA458818:TLA458819 TUW458818:TUW458819 UES458818:UES458819 UOO458818:UOO458819 UYK458818:UYK458819 VIG458818:VIG458819 VSC458818:VSC458819 WBY458818:WBY458819 WLU458818:WLU458819 WVQ458818:WVQ458819 I524354:I524355 JE524354:JE524355 TA524354:TA524355 ACW524354:ACW524355 AMS524354:AMS524355 AWO524354:AWO524355 BGK524354:BGK524355 BQG524354:BQG524355 CAC524354:CAC524355 CJY524354:CJY524355 CTU524354:CTU524355 DDQ524354:DDQ524355 DNM524354:DNM524355 DXI524354:DXI524355 EHE524354:EHE524355 ERA524354:ERA524355 FAW524354:FAW524355 FKS524354:FKS524355 FUO524354:FUO524355 GEK524354:GEK524355 GOG524354:GOG524355 GYC524354:GYC524355 HHY524354:HHY524355 HRU524354:HRU524355 IBQ524354:IBQ524355 ILM524354:ILM524355 IVI524354:IVI524355 JFE524354:JFE524355 JPA524354:JPA524355 JYW524354:JYW524355 KIS524354:KIS524355 KSO524354:KSO524355 LCK524354:LCK524355 LMG524354:LMG524355 LWC524354:LWC524355 MFY524354:MFY524355 MPU524354:MPU524355 MZQ524354:MZQ524355 NJM524354:NJM524355 NTI524354:NTI524355 ODE524354:ODE524355 ONA524354:ONA524355 OWW524354:OWW524355 PGS524354:PGS524355 PQO524354:PQO524355 QAK524354:QAK524355 QKG524354:QKG524355 QUC524354:QUC524355 RDY524354:RDY524355 RNU524354:RNU524355 RXQ524354:RXQ524355 SHM524354:SHM524355 SRI524354:SRI524355 TBE524354:TBE524355 TLA524354:TLA524355 TUW524354:TUW524355 UES524354:UES524355 UOO524354:UOO524355 UYK524354:UYK524355 VIG524354:VIG524355 VSC524354:VSC524355 WBY524354:WBY524355 WLU524354:WLU524355 WVQ524354:WVQ524355 I589890:I589891 JE589890:JE589891 TA589890:TA589891 ACW589890:ACW589891 AMS589890:AMS589891 AWO589890:AWO589891 BGK589890:BGK589891 BQG589890:BQG589891 CAC589890:CAC589891 CJY589890:CJY589891 CTU589890:CTU589891 DDQ589890:DDQ589891 DNM589890:DNM589891 DXI589890:DXI589891 EHE589890:EHE589891 ERA589890:ERA589891 FAW589890:FAW589891 FKS589890:FKS589891 FUO589890:FUO589891 GEK589890:GEK589891 GOG589890:GOG589891 GYC589890:GYC589891 HHY589890:HHY589891 HRU589890:HRU589891 IBQ589890:IBQ589891 ILM589890:ILM589891 IVI589890:IVI589891 JFE589890:JFE589891 JPA589890:JPA589891 JYW589890:JYW589891 KIS589890:KIS589891 KSO589890:KSO589891 LCK589890:LCK589891 LMG589890:LMG589891 LWC589890:LWC589891 MFY589890:MFY589891 MPU589890:MPU589891 MZQ589890:MZQ589891 NJM589890:NJM589891 NTI589890:NTI589891 ODE589890:ODE589891 ONA589890:ONA589891 OWW589890:OWW589891 PGS589890:PGS589891 PQO589890:PQO589891 QAK589890:QAK589891 QKG589890:QKG589891 QUC589890:QUC589891 RDY589890:RDY589891 RNU589890:RNU589891 RXQ589890:RXQ589891 SHM589890:SHM589891 SRI589890:SRI589891 TBE589890:TBE589891 TLA589890:TLA589891 TUW589890:TUW589891 UES589890:UES589891 UOO589890:UOO589891 UYK589890:UYK589891 VIG589890:VIG589891 VSC589890:VSC589891 WBY589890:WBY589891 WLU589890:WLU589891 WVQ589890:WVQ589891 I655426:I655427 JE655426:JE655427 TA655426:TA655427 ACW655426:ACW655427 AMS655426:AMS655427 AWO655426:AWO655427 BGK655426:BGK655427 BQG655426:BQG655427 CAC655426:CAC655427 CJY655426:CJY655427 CTU655426:CTU655427 DDQ655426:DDQ655427 DNM655426:DNM655427 DXI655426:DXI655427 EHE655426:EHE655427 ERA655426:ERA655427 FAW655426:FAW655427 FKS655426:FKS655427 FUO655426:FUO655427 GEK655426:GEK655427 GOG655426:GOG655427 GYC655426:GYC655427 HHY655426:HHY655427 HRU655426:HRU655427 IBQ655426:IBQ655427 ILM655426:ILM655427 IVI655426:IVI655427 JFE655426:JFE655427 JPA655426:JPA655427 JYW655426:JYW655427 KIS655426:KIS655427 KSO655426:KSO655427 LCK655426:LCK655427 LMG655426:LMG655427 LWC655426:LWC655427 MFY655426:MFY655427 MPU655426:MPU655427 MZQ655426:MZQ655427 NJM655426:NJM655427 NTI655426:NTI655427 ODE655426:ODE655427 ONA655426:ONA655427 OWW655426:OWW655427 PGS655426:PGS655427 PQO655426:PQO655427 QAK655426:QAK655427 QKG655426:QKG655427 QUC655426:QUC655427 RDY655426:RDY655427 RNU655426:RNU655427 RXQ655426:RXQ655427 SHM655426:SHM655427 SRI655426:SRI655427 TBE655426:TBE655427 TLA655426:TLA655427 TUW655426:TUW655427 UES655426:UES655427 UOO655426:UOO655427 UYK655426:UYK655427 VIG655426:VIG655427 VSC655426:VSC655427 WBY655426:WBY655427 WLU655426:WLU655427 WVQ655426:WVQ655427 I720962:I720963 JE720962:JE720963 TA720962:TA720963 ACW720962:ACW720963 AMS720962:AMS720963 AWO720962:AWO720963 BGK720962:BGK720963 BQG720962:BQG720963 CAC720962:CAC720963 CJY720962:CJY720963 CTU720962:CTU720963 DDQ720962:DDQ720963 DNM720962:DNM720963 DXI720962:DXI720963 EHE720962:EHE720963 ERA720962:ERA720963 FAW720962:FAW720963 FKS720962:FKS720963 FUO720962:FUO720963 GEK720962:GEK720963 GOG720962:GOG720963 GYC720962:GYC720963 HHY720962:HHY720963 HRU720962:HRU720963 IBQ720962:IBQ720963 ILM720962:ILM720963 IVI720962:IVI720963 JFE720962:JFE720963 JPA720962:JPA720963 JYW720962:JYW720963 KIS720962:KIS720963 KSO720962:KSO720963 LCK720962:LCK720963 LMG720962:LMG720963 LWC720962:LWC720963 MFY720962:MFY720963 MPU720962:MPU720963 MZQ720962:MZQ720963 NJM720962:NJM720963 NTI720962:NTI720963 ODE720962:ODE720963 ONA720962:ONA720963 OWW720962:OWW720963 PGS720962:PGS720963 PQO720962:PQO720963 QAK720962:QAK720963 QKG720962:QKG720963 QUC720962:QUC720963 RDY720962:RDY720963 RNU720962:RNU720963 RXQ720962:RXQ720963 SHM720962:SHM720963 SRI720962:SRI720963 TBE720962:TBE720963 TLA720962:TLA720963 TUW720962:TUW720963 UES720962:UES720963 UOO720962:UOO720963 UYK720962:UYK720963 VIG720962:VIG720963 VSC720962:VSC720963 WBY720962:WBY720963 WLU720962:WLU720963 WVQ720962:WVQ720963 I786498:I786499 JE786498:JE786499 TA786498:TA786499 ACW786498:ACW786499 AMS786498:AMS786499 AWO786498:AWO786499 BGK786498:BGK786499 BQG786498:BQG786499 CAC786498:CAC786499 CJY786498:CJY786499 CTU786498:CTU786499 DDQ786498:DDQ786499 DNM786498:DNM786499 DXI786498:DXI786499 EHE786498:EHE786499 ERA786498:ERA786499 FAW786498:FAW786499 FKS786498:FKS786499 FUO786498:FUO786499 GEK786498:GEK786499 GOG786498:GOG786499 GYC786498:GYC786499 HHY786498:HHY786499 HRU786498:HRU786499 IBQ786498:IBQ786499 ILM786498:ILM786499 IVI786498:IVI786499 JFE786498:JFE786499 JPA786498:JPA786499 JYW786498:JYW786499 KIS786498:KIS786499 KSO786498:KSO786499 LCK786498:LCK786499 LMG786498:LMG786499 LWC786498:LWC786499 MFY786498:MFY786499 MPU786498:MPU786499 MZQ786498:MZQ786499 NJM786498:NJM786499 NTI786498:NTI786499 ODE786498:ODE786499 ONA786498:ONA786499 OWW786498:OWW786499 PGS786498:PGS786499 PQO786498:PQO786499 QAK786498:QAK786499 QKG786498:QKG786499 QUC786498:QUC786499 RDY786498:RDY786499 RNU786498:RNU786499 RXQ786498:RXQ786499 SHM786498:SHM786499 SRI786498:SRI786499 TBE786498:TBE786499 TLA786498:TLA786499 TUW786498:TUW786499 UES786498:UES786499 UOO786498:UOO786499 UYK786498:UYK786499 VIG786498:VIG786499 VSC786498:VSC786499 WBY786498:WBY786499 WLU786498:WLU786499 WVQ786498:WVQ786499 I852034:I852035 JE852034:JE852035 TA852034:TA852035 ACW852034:ACW852035 AMS852034:AMS852035 AWO852034:AWO852035 BGK852034:BGK852035 BQG852034:BQG852035 CAC852034:CAC852035 CJY852034:CJY852035 CTU852034:CTU852035 DDQ852034:DDQ852035 DNM852034:DNM852035 DXI852034:DXI852035 EHE852034:EHE852035 ERA852034:ERA852035 FAW852034:FAW852035 FKS852034:FKS852035 FUO852034:FUO852035 GEK852034:GEK852035 GOG852034:GOG852035 GYC852034:GYC852035 HHY852034:HHY852035 HRU852034:HRU852035 IBQ852034:IBQ852035 ILM852034:ILM852035 IVI852034:IVI852035 JFE852034:JFE852035 JPA852034:JPA852035 JYW852034:JYW852035 KIS852034:KIS852035 KSO852034:KSO852035 LCK852034:LCK852035 LMG852034:LMG852035 LWC852034:LWC852035 MFY852034:MFY852035 MPU852034:MPU852035 MZQ852034:MZQ852035 NJM852034:NJM852035 NTI852034:NTI852035 ODE852034:ODE852035 ONA852034:ONA852035 OWW852034:OWW852035 PGS852034:PGS852035 PQO852034:PQO852035 QAK852034:QAK852035 QKG852034:QKG852035 QUC852034:QUC852035 RDY852034:RDY852035 RNU852034:RNU852035 RXQ852034:RXQ852035 SHM852034:SHM852035 SRI852034:SRI852035 TBE852034:TBE852035 TLA852034:TLA852035 TUW852034:TUW852035 UES852034:UES852035 UOO852034:UOO852035 UYK852034:UYK852035 VIG852034:VIG852035 VSC852034:VSC852035 WBY852034:WBY852035 WLU852034:WLU852035 WVQ852034:WVQ852035 I917570:I917571 JE917570:JE917571 TA917570:TA917571 ACW917570:ACW917571 AMS917570:AMS917571 AWO917570:AWO917571 BGK917570:BGK917571 BQG917570:BQG917571 CAC917570:CAC917571 CJY917570:CJY917571 CTU917570:CTU917571 DDQ917570:DDQ917571 DNM917570:DNM917571 DXI917570:DXI917571 EHE917570:EHE917571 ERA917570:ERA917571 FAW917570:FAW917571 FKS917570:FKS917571 FUO917570:FUO917571 GEK917570:GEK917571 GOG917570:GOG917571 GYC917570:GYC917571 HHY917570:HHY917571 HRU917570:HRU917571 IBQ917570:IBQ917571 ILM917570:ILM917571 IVI917570:IVI917571 JFE917570:JFE917571 JPA917570:JPA917571 JYW917570:JYW917571 KIS917570:KIS917571 KSO917570:KSO917571 LCK917570:LCK917571 LMG917570:LMG917571 LWC917570:LWC917571 MFY917570:MFY917571 MPU917570:MPU917571 MZQ917570:MZQ917571 NJM917570:NJM917571 NTI917570:NTI917571 ODE917570:ODE917571 ONA917570:ONA917571 OWW917570:OWW917571 PGS917570:PGS917571 PQO917570:PQO917571 QAK917570:QAK917571 QKG917570:QKG917571 QUC917570:QUC917571 RDY917570:RDY917571 RNU917570:RNU917571 RXQ917570:RXQ917571 SHM917570:SHM917571 SRI917570:SRI917571 TBE917570:TBE917571 TLA917570:TLA917571 TUW917570:TUW917571 UES917570:UES917571 UOO917570:UOO917571 UYK917570:UYK917571 VIG917570:VIG917571 VSC917570:VSC917571 WBY917570:WBY917571 WLU917570:WLU917571 WVQ917570:WVQ917571 I983106:I983107 JE983106:JE983107 TA983106:TA983107 ACW983106:ACW983107 AMS983106:AMS983107 AWO983106:AWO983107 BGK983106:BGK983107 BQG983106:BQG983107 CAC983106:CAC983107 CJY983106:CJY983107 CTU983106:CTU983107 DDQ983106:DDQ983107 DNM983106:DNM983107 DXI983106:DXI983107 EHE983106:EHE983107 ERA983106:ERA983107 FAW983106:FAW983107 FKS983106:FKS983107 FUO983106:FUO983107 GEK983106:GEK983107 GOG983106:GOG983107 GYC983106:GYC983107 HHY983106:HHY983107 HRU983106:HRU983107 IBQ983106:IBQ983107 ILM983106:ILM983107 IVI983106:IVI983107 JFE983106:JFE983107 JPA983106:JPA983107 JYW983106:JYW983107 KIS983106:KIS983107 KSO983106:KSO983107 LCK983106:LCK983107 LMG983106:LMG983107 LWC983106:LWC983107 MFY983106:MFY983107 MPU983106:MPU983107 MZQ983106:MZQ983107 NJM983106:NJM983107 NTI983106:NTI983107 ODE983106:ODE983107 ONA983106:ONA983107 OWW983106:OWW983107 PGS983106:PGS983107 PQO983106:PQO983107 QAK983106:QAK983107 QKG983106:QKG983107 QUC983106:QUC983107 RDY983106:RDY983107 RNU983106:RNU983107 RXQ983106:RXQ983107 SHM983106:SHM983107 SRI983106:SRI983107 TBE983106:TBE983107 TLA983106:TLA983107 TUW983106:TUW983107 UES983106:UES983107 UOO983106:UOO983107 UYK983106:UYK983107 VIG983106:VIG983107 VSC983106:VSC983107 WBY983106:WBY983107 WLU983106:WLU983107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9FF99"/>
  </sheetPr>
  <dimension ref="A1:CO188"/>
  <sheetViews>
    <sheetView showGridLines="0" view="pageBreakPreview" zoomScaleNormal="75" zoomScaleSheetLayoutView="100" workbookViewId="0">
      <selection activeCell="B1" sqref="B1"/>
    </sheetView>
  </sheetViews>
  <sheetFormatPr defaultRowHeight="12.75"/>
  <cols>
    <col min="1" max="1" width="9.140625" style="953"/>
    <col min="2" max="2" width="20" style="953" customWidth="1"/>
    <col min="3" max="4" width="15.7109375" style="953" customWidth="1"/>
    <col min="5" max="5" width="18.85546875" style="953" customWidth="1"/>
    <col min="6" max="6" width="35.7109375" style="953" customWidth="1"/>
    <col min="7" max="7" width="10.7109375" style="953" customWidth="1"/>
    <col min="8" max="8" width="6.28515625" style="953" customWidth="1"/>
    <col min="9" max="9" width="11" style="953" customWidth="1"/>
    <col min="10" max="10" width="35.85546875" style="953" customWidth="1"/>
    <col min="11" max="11" width="9.140625" style="1460"/>
    <col min="12" max="12" width="65.28515625" style="953" customWidth="1"/>
    <col min="13" max="13" width="24.7109375" style="953" customWidth="1"/>
    <col min="14" max="14" width="16.28515625" style="953" bestFit="1" customWidth="1"/>
    <col min="15" max="15" width="9.28515625" style="1460" customWidth="1"/>
    <col min="16" max="16" width="11.42578125" style="1460" customWidth="1"/>
    <col min="17" max="17" width="9.140625" style="953" hidden="1" customWidth="1"/>
    <col min="18" max="257" width="9.140625" style="953"/>
    <col min="258" max="258" width="20" style="953" customWidth="1"/>
    <col min="259" max="260" width="15.7109375" style="953" customWidth="1"/>
    <col min="261" max="261" width="18.85546875" style="953" customWidth="1"/>
    <col min="262" max="262" width="35.7109375" style="953" customWidth="1"/>
    <col min="263" max="263" width="10.7109375" style="953" customWidth="1"/>
    <col min="264" max="264" width="6.28515625" style="953" customWidth="1"/>
    <col min="265" max="265" width="11" style="953" customWidth="1"/>
    <col min="266" max="266" width="35.85546875" style="953" customWidth="1"/>
    <col min="267" max="267" width="9.140625" style="953"/>
    <col min="268" max="268" width="65.28515625" style="953" customWidth="1"/>
    <col min="269" max="269" width="24.7109375" style="953" customWidth="1"/>
    <col min="270" max="270" width="16.28515625" style="953" bestFit="1" customWidth="1"/>
    <col min="271" max="271" width="9.28515625" style="953" customWidth="1"/>
    <col min="272" max="272" width="11.42578125" style="953" customWidth="1"/>
    <col min="273" max="273" width="0" style="953" hidden="1" customWidth="1"/>
    <col min="274" max="513" width="9.140625" style="953"/>
    <col min="514" max="514" width="20" style="953" customWidth="1"/>
    <col min="515" max="516" width="15.7109375" style="953" customWidth="1"/>
    <col min="517" max="517" width="18.85546875" style="953" customWidth="1"/>
    <col min="518" max="518" width="35.7109375" style="953" customWidth="1"/>
    <col min="519" max="519" width="10.7109375" style="953" customWidth="1"/>
    <col min="520" max="520" width="6.28515625" style="953" customWidth="1"/>
    <col min="521" max="521" width="11" style="953" customWidth="1"/>
    <col min="522" max="522" width="35.85546875" style="953" customWidth="1"/>
    <col min="523" max="523" width="9.140625" style="953"/>
    <col min="524" max="524" width="65.28515625" style="953" customWidth="1"/>
    <col min="525" max="525" width="24.7109375" style="953" customWidth="1"/>
    <col min="526" max="526" width="16.28515625" style="953" bestFit="1" customWidth="1"/>
    <col min="527" max="527" width="9.28515625" style="953" customWidth="1"/>
    <col min="528" max="528" width="11.42578125" style="953" customWidth="1"/>
    <col min="529" max="529" width="0" style="953" hidden="1" customWidth="1"/>
    <col min="530" max="769" width="9.140625" style="953"/>
    <col min="770" max="770" width="20" style="953" customWidth="1"/>
    <col min="771" max="772" width="15.7109375" style="953" customWidth="1"/>
    <col min="773" max="773" width="18.85546875" style="953" customWidth="1"/>
    <col min="774" max="774" width="35.7109375" style="953" customWidth="1"/>
    <col min="775" max="775" width="10.7109375" style="953" customWidth="1"/>
    <col min="776" max="776" width="6.28515625" style="953" customWidth="1"/>
    <col min="777" max="777" width="11" style="953" customWidth="1"/>
    <col min="778" max="778" width="35.85546875" style="953" customWidth="1"/>
    <col min="779" max="779" width="9.140625" style="953"/>
    <col min="780" max="780" width="65.28515625" style="953" customWidth="1"/>
    <col min="781" max="781" width="24.7109375" style="953" customWidth="1"/>
    <col min="782" max="782" width="16.28515625" style="953" bestFit="1" customWidth="1"/>
    <col min="783" max="783" width="9.28515625" style="953" customWidth="1"/>
    <col min="784" max="784" width="11.42578125" style="953" customWidth="1"/>
    <col min="785" max="785" width="0" style="953" hidden="1" customWidth="1"/>
    <col min="786" max="1025" width="9.140625" style="953"/>
    <col min="1026" max="1026" width="20" style="953" customWidth="1"/>
    <col min="1027" max="1028" width="15.7109375" style="953" customWidth="1"/>
    <col min="1029" max="1029" width="18.85546875" style="953" customWidth="1"/>
    <col min="1030" max="1030" width="35.7109375" style="953" customWidth="1"/>
    <col min="1031" max="1031" width="10.7109375" style="953" customWidth="1"/>
    <col min="1032" max="1032" width="6.28515625" style="953" customWidth="1"/>
    <col min="1033" max="1033" width="11" style="953" customWidth="1"/>
    <col min="1034" max="1034" width="35.85546875" style="953" customWidth="1"/>
    <col min="1035" max="1035" width="9.140625" style="953"/>
    <col min="1036" max="1036" width="65.28515625" style="953" customWidth="1"/>
    <col min="1037" max="1037" width="24.7109375" style="953" customWidth="1"/>
    <col min="1038" max="1038" width="16.28515625" style="953" bestFit="1" customWidth="1"/>
    <col min="1039" max="1039" width="9.28515625" style="953" customWidth="1"/>
    <col min="1040" max="1040" width="11.42578125" style="953" customWidth="1"/>
    <col min="1041" max="1041" width="0" style="953" hidden="1" customWidth="1"/>
    <col min="1042" max="1281" width="9.140625" style="953"/>
    <col min="1282" max="1282" width="20" style="953" customWidth="1"/>
    <col min="1283" max="1284" width="15.7109375" style="953" customWidth="1"/>
    <col min="1285" max="1285" width="18.85546875" style="953" customWidth="1"/>
    <col min="1286" max="1286" width="35.7109375" style="953" customWidth="1"/>
    <col min="1287" max="1287" width="10.7109375" style="953" customWidth="1"/>
    <col min="1288" max="1288" width="6.28515625" style="953" customWidth="1"/>
    <col min="1289" max="1289" width="11" style="953" customWidth="1"/>
    <col min="1290" max="1290" width="35.85546875" style="953" customWidth="1"/>
    <col min="1291" max="1291" width="9.140625" style="953"/>
    <col min="1292" max="1292" width="65.28515625" style="953" customWidth="1"/>
    <col min="1293" max="1293" width="24.7109375" style="953" customWidth="1"/>
    <col min="1294" max="1294" width="16.28515625" style="953" bestFit="1" customWidth="1"/>
    <col min="1295" max="1295" width="9.28515625" style="953" customWidth="1"/>
    <col min="1296" max="1296" width="11.42578125" style="953" customWidth="1"/>
    <col min="1297" max="1297" width="0" style="953" hidden="1" customWidth="1"/>
    <col min="1298" max="1537" width="9.140625" style="953"/>
    <col min="1538" max="1538" width="20" style="953" customWidth="1"/>
    <col min="1539" max="1540" width="15.7109375" style="953" customWidth="1"/>
    <col min="1541" max="1541" width="18.85546875" style="953" customWidth="1"/>
    <col min="1542" max="1542" width="35.7109375" style="953" customWidth="1"/>
    <col min="1543" max="1543" width="10.7109375" style="953" customWidth="1"/>
    <col min="1544" max="1544" width="6.28515625" style="953" customWidth="1"/>
    <col min="1545" max="1545" width="11" style="953" customWidth="1"/>
    <col min="1546" max="1546" width="35.85546875" style="953" customWidth="1"/>
    <col min="1547" max="1547" width="9.140625" style="953"/>
    <col min="1548" max="1548" width="65.28515625" style="953" customWidth="1"/>
    <col min="1549" max="1549" width="24.7109375" style="953" customWidth="1"/>
    <col min="1550" max="1550" width="16.28515625" style="953" bestFit="1" customWidth="1"/>
    <col min="1551" max="1551" width="9.28515625" style="953" customWidth="1"/>
    <col min="1552" max="1552" width="11.42578125" style="953" customWidth="1"/>
    <col min="1553" max="1553" width="0" style="953" hidden="1" customWidth="1"/>
    <col min="1554" max="1793" width="9.140625" style="953"/>
    <col min="1794" max="1794" width="20" style="953" customWidth="1"/>
    <col min="1795" max="1796" width="15.7109375" style="953" customWidth="1"/>
    <col min="1797" max="1797" width="18.85546875" style="953" customWidth="1"/>
    <col min="1798" max="1798" width="35.7109375" style="953" customWidth="1"/>
    <col min="1799" max="1799" width="10.7109375" style="953" customWidth="1"/>
    <col min="1800" max="1800" width="6.28515625" style="953" customWidth="1"/>
    <col min="1801" max="1801" width="11" style="953" customWidth="1"/>
    <col min="1802" max="1802" width="35.85546875" style="953" customWidth="1"/>
    <col min="1803" max="1803" width="9.140625" style="953"/>
    <col min="1804" max="1804" width="65.28515625" style="953" customWidth="1"/>
    <col min="1805" max="1805" width="24.7109375" style="953" customWidth="1"/>
    <col min="1806" max="1806" width="16.28515625" style="953" bestFit="1" customWidth="1"/>
    <col min="1807" max="1807" width="9.28515625" style="953" customWidth="1"/>
    <col min="1808" max="1808" width="11.42578125" style="953" customWidth="1"/>
    <col min="1809" max="1809" width="0" style="953" hidden="1" customWidth="1"/>
    <col min="1810" max="2049" width="9.140625" style="953"/>
    <col min="2050" max="2050" width="20" style="953" customWidth="1"/>
    <col min="2051" max="2052" width="15.7109375" style="953" customWidth="1"/>
    <col min="2053" max="2053" width="18.85546875" style="953" customWidth="1"/>
    <col min="2054" max="2054" width="35.7109375" style="953" customWidth="1"/>
    <col min="2055" max="2055" width="10.7109375" style="953" customWidth="1"/>
    <col min="2056" max="2056" width="6.28515625" style="953" customWidth="1"/>
    <col min="2057" max="2057" width="11" style="953" customWidth="1"/>
    <col min="2058" max="2058" width="35.85546875" style="953" customWidth="1"/>
    <col min="2059" max="2059" width="9.140625" style="953"/>
    <col min="2060" max="2060" width="65.28515625" style="953" customWidth="1"/>
    <col min="2061" max="2061" width="24.7109375" style="953" customWidth="1"/>
    <col min="2062" max="2062" width="16.28515625" style="953" bestFit="1" customWidth="1"/>
    <col min="2063" max="2063" width="9.28515625" style="953" customWidth="1"/>
    <col min="2064" max="2064" width="11.42578125" style="953" customWidth="1"/>
    <col min="2065" max="2065" width="0" style="953" hidden="1" customWidth="1"/>
    <col min="2066" max="2305" width="9.140625" style="953"/>
    <col min="2306" max="2306" width="20" style="953" customWidth="1"/>
    <col min="2307" max="2308" width="15.7109375" style="953" customWidth="1"/>
    <col min="2309" max="2309" width="18.85546875" style="953" customWidth="1"/>
    <col min="2310" max="2310" width="35.7109375" style="953" customWidth="1"/>
    <col min="2311" max="2311" width="10.7109375" style="953" customWidth="1"/>
    <col min="2312" max="2312" width="6.28515625" style="953" customWidth="1"/>
    <col min="2313" max="2313" width="11" style="953" customWidth="1"/>
    <col min="2314" max="2314" width="35.85546875" style="953" customWidth="1"/>
    <col min="2315" max="2315" width="9.140625" style="953"/>
    <col min="2316" max="2316" width="65.28515625" style="953" customWidth="1"/>
    <col min="2317" max="2317" width="24.7109375" style="953" customWidth="1"/>
    <col min="2318" max="2318" width="16.28515625" style="953" bestFit="1" customWidth="1"/>
    <col min="2319" max="2319" width="9.28515625" style="953" customWidth="1"/>
    <col min="2320" max="2320" width="11.42578125" style="953" customWidth="1"/>
    <col min="2321" max="2321" width="0" style="953" hidden="1" customWidth="1"/>
    <col min="2322" max="2561" width="9.140625" style="953"/>
    <col min="2562" max="2562" width="20" style="953" customWidth="1"/>
    <col min="2563" max="2564" width="15.7109375" style="953" customWidth="1"/>
    <col min="2565" max="2565" width="18.85546875" style="953" customWidth="1"/>
    <col min="2566" max="2566" width="35.7109375" style="953" customWidth="1"/>
    <col min="2567" max="2567" width="10.7109375" style="953" customWidth="1"/>
    <col min="2568" max="2568" width="6.28515625" style="953" customWidth="1"/>
    <col min="2569" max="2569" width="11" style="953" customWidth="1"/>
    <col min="2570" max="2570" width="35.85546875" style="953" customWidth="1"/>
    <col min="2571" max="2571" width="9.140625" style="953"/>
    <col min="2572" max="2572" width="65.28515625" style="953" customWidth="1"/>
    <col min="2573" max="2573" width="24.7109375" style="953" customWidth="1"/>
    <col min="2574" max="2574" width="16.28515625" style="953" bestFit="1" customWidth="1"/>
    <col min="2575" max="2575" width="9.28515625" style="953" customWidth="1"/>
    <col min="2576" max="2576" width="11.42578125" style="953" customWidth="1"/>
    <col min="2577" max="2577" width="0" style="953" hidden="1" customWidth="1"/>
    <col min="2578" max="2817" width="9.140625" style="953"/>
    <col min="2818" max="2818" width="20" style="953" customWidth="1"/>
    <col min="2819" max="2820" width="15.7109375" style="953" customWidth="1"/>
    <col min="2821" max="2821" width="18.85546875" style="953" customWidth="1"/>
    <col min="2822" max="2822" width="35.7109375" style="953" customWidth="1"/>
    <col min="2823" max="2823" width="10.7109375" style="953" customWidth="1"/>
    <col min="2824" max="2824" width="6.28515625" style="953" customWidth="1"/>
    <col min="2825" max="2825" width="11" style="953" customWidth="1"/>
    <col min="2826" max="2826" width="35.85546875" style="953" customWidth="1"/>
    <col min="2827" max="2827" width="9.140625" style="953"/>
    <col min="2828" max="2828" width="65.28515625" style="953" customWidth="1"/>
    <col min="2829" max="2829" width="24.7109375" style="953" customWidth="1"/>
    <col min="2830" max="2830" width="16.28515625" style="953" bestFit="1" customWidth="1"/>
    <col min="2831" max="2831" width="9.28515625" style="953" customWidth="1"/>
    <col min="2832" max="2832" width="11.42578125" style="953" customWidth="1"/>
    <col min="2833" max="2833" width="0" style="953" hidden="1" customWidth="1"/>
    <col min="2834" max="3073" width="9.140625" style="953"/>
    <col min="3074" max="3074" width="20" style="953" customWidth="1"/>
    <col min="3075" max="3076" width="15.7109375" style="953" customWidth="1"/>
    <col min="3077" max="3077" width="18.85546875" style="953" customWidth="1"/>
    <col min="3078" max="3078" width="35.7109375" style="953" customWidth="1"/>
    <col min="3079" max="3079" width="10.7109375" style="953" customWidth="1"/>
    <col min="3080" max="3080" width="6.28515625" style="953" customWidth="1"/>
    <col min="3081" max="3081" width="11" style="953" customWidth="1"/>
    <col min="3082" max="3082" width="35.85546875" style="953" customWidth="1"/>
    <col min="3083" max="3083" width="9.140625" style="953"/>
    <col min="3084" max="3084" width="65.28515625" style="953" customWidth="1"/>
    <col min="3085" max="3085" width="24.7109375" style="953" customWidth="1"/>
    <col min="3086" max="3086" width="16.28515625" style="953" bestFit="1" customWidth="1"/>
    <col min="3087" max="3087" width="9.28515625" style="953" customWidth="1"/>
    <col min="3088" max="3088" width="11.42578125" style="953" customWidth="1"/>
    <col min="3089" max="3089" width="0" style="953" hidden="1" customWidth="1"/>
    <col min="3090" max="3329" width="9.140625" style="953"/>
    <col min="3330" max="3330" width="20" style="953" customWidth="1"/>
    <col min="3331" max="3332" width="15.7109375" style="953" customWidth="1"/>
    <col min="3333" max="3333" width="18.85546875" style="953" customWidth="1"/>
    <col min="3334" max="3334" width="35.7109375" style="953" customWidth="1"/>
    <col min="3335" max="3335" width="10.7109375" style="953" customWidth="1"/>
    <col min="3336" max="3336" width="6.28515625" style="953" customWidth="1"/>
    <col min="3337" max="3337" width="11" style="953" customWidth="1"/>
    <col min="3338" max="3338" width="35.85546875" style="953" customWidth="1"/>
    <col min="3339" max="3339" width="9.140625" style="953"/>
    <col min="3340" max="3340" width="65.28515625" style="953" customWidth="1"/>
    <col min="3341" max="3341" width="24.7109375" style="953" customWidth="1"/>
    <col min="3342" max="3342" width="16.28515625" style="953" bestFit="1" customWidth="1"/>
    <col min="3343" max="3343" width="9.28515625" style="953" customWidth="1"/>
    <col min="3344" max="3344" width="11.42578125" style="953" customWidth="1"/>
    <col min="3345" max="3345" width="0" style="953" hidden="1" customWidth="1"/>
    <col min="3346" max="3585" width="9.140625" style="953"/>
    <col min="3586" max="3586" width="20" style="953" customWidth="1"/>
    <col min="3587" max="3588" width="15.7109375" style="953" customWidth="1"/>
    <col min="3589" max="3589" width="18.85546875" style="953" customWidth="1"/>
    <col min="3590" max="3590" width="35.7109375" style="953" customWidth="1"/>
    <col min="3591" max="3591" width="10.7109375" style="953" customWidth="1"/>
    <col min="3592" max="3592" width="6.28515625" style="953" customWidth="1"/>
    <col min="3593" max="3593" width="11" style="953" customWidth="1"/>
    <col min="3594" max="3594" width="35.85546875" style="953" customWidth="1"/>
    <col min="3595" max="3595" width="9.140625" style="953"/>
    <col min="3596" max="3596" width="65.28515625" style="953" customWidth="1"/>
    <col min="3597" max="3597" width="24.7109375" style="953" customWidth="1"/>
    <col min="3598" max="3598" width="16.28515625" style="953" bestFit="1" customWidth="1"/>
    <col min="3599" max="3599" width="9.28515625" style="953" customWidth="1"/>
    <col min="3600" max="3600" width="11.42578125" style="953" customWidth="1"/>
    <col min="3601" max="3601" width="0" style="953" hidden="1" customWidth="1"/>
    <col min="3602" max="3841" width="9.140625" style="953"/>
    <col min="3842" max="3842" width="20" style="953" customWidth="1"/>
    <col min="3843" max="3844" width="15.7109375" style="953" customWidth="1"/>
    <col min="3845" max="3845" width="18.85546875" style="953" customWidth="1"/>
    <col min="3846" max="3846" width="35.7109375" style="953" customWidth="1"/>
    <col min="3847" max="3847" width="10.7109375" style="953" customWidth="1"/>
    <col min="3848" max="3848" width="6.28515625" style="953" customWidth="1"/>
    <col min="3849" max="3849" width="11" style="953" customWidth="1"/>
    <col min="3850" max="3850" width="35.85546875" style="953" customWidth="1"/>
    <col min="3851" max="3851" width="9.140625" style="953"/>
    <col min="3852" max="3852" width="65.28515625" style="953" customWidth="1"/>
    <col min="3853" max="3853" width="24.7109375" style="953" customWidth="1"/>
    <col min="3854" max="3854" width="16.28515625" style="953" bestFit="1" customWidth="1"/>
    <col min="3855" max="3855" width="9.28515625" style="953" customWidth="1"/>
    <col min="3856" max="3856" width="11.42578125" style="953" customWidth="1"/>
    <col min="3857" max="3857" width="0" style="953" hidden="1" customWidth="1"/>
    <col min="3858" max="4097" width="9.140625" style="953"/>
    <col min="4098" max="4098" width="20" style="953" customWidth="1"/>
    <col min="4099" max="4100" width="15.7109375" style="953" customWidth="1"/>
    <col min="4101" max="4101" width="18.85546875" style="953" customWidth="1"/>
    <col min="4102" max="4102" width="35.7109375" style="953" customWidth="1"/>
    <col min="4103" max="4103" width="10.7109375" style="953" customWidth="1"/>
    <col min="4104" max="4104" width="6.28515625" style="953" customWidth="1"/>
    <col min="4105" max="4105" width="11" style="953" customWidth="1"/>
    <col min="4106" max="4106" width="35.85546875" style="953" customWidth="1"/>
    <col min="4107" max="4107" width="9.140625" style="953"/>
    <col min="4108" max="4108" width="65.28515625" style="953" customWidth="1"/>
    <col min="4109" max="4109" width="24.7109375" style="953" customWidth="1"/>
    <col min="4110" max="4110" width="16.28515625" style="953" bestFit="1" customWidth="1"/>
    <col min="4111" max="4111" width="9.28515625" style="953" customWidth="1"/>
    <col min="4112" max="4112" width="11.42578125" style="953" customWidth="1"/>
    <col min="4113" max="4113" width="0" style="953" hidden="1" customWidth="1"/>
    <col min="4114" max="4353" width="9.140625" style="953"/>
    <col min="4354" max="4354" width="20" style="953" customWidth="1"/>
    <col min="4355" max="4356" width="15.7109375" style="953" customWidth="1"/>
    <col min="4357" max="4357" width="18.85546875" style="953" customWidth="1"/>
    <col min="4358" max="4358" width="35.7109375" style="953" customWidth="1"/>
    <col min="4359" max="4359" width="10.7109375" style="953" customWidth="1"/>
    <col min="4360" max="4360" width="6.28515625" style="953" customWidth="1"/>
    <col min="4361" max="4361" width="11" style="953" customWidth="1"/>
    <col min="4362" max="4362" width="35.85546875" style="953" customWidth="1"/>
    <col min="4363" max="4363" width="9.140625" style="953"/>
    <col min="4364" max="4364" width="65.28515625" style="953" customWidth="1"/>
    <col min="4365" max="4365" width="24.7109375" style="953" customWidth="1"/>
    <col min="4366" max="4366" width="16.28515625" style="953" bestFit="1" customWidth="1"/>
    <col min="4367" max="4367" width="9.28515625" style="953" customWidth="1"/>
    <col min="4368" max="4368" width="11.42578125" style="953" customWidth="1"/>
    <col min="4369" max="4369" width="0" style="953" hidden="1" customWidth="1"/>
    <col min="4370" max="4609" width="9.140625" style="953"/>
    <col min="4610" max="4610" width="20" style="953" customWidth="1"/>
    <col min="4611" max="4612" width="15.7109375" style="953" customWidth="1"/>
    <col min="4613" max="4613" width="18.85546875" style="953" customWidth="1"/>
    <col min="4614" max="4614" width="35.7109375" style="953" customWidth="1"/>
    <col min="4615" max="4615" width="10.7109375" style="953" customWidth="1"/>
    <col min="4616" max="4616" width="6.28515625" style="953" customWidth="1"/>
    <col min="4617" max="4617" width="11" style="953" customWidth="1"/>
    <col min="4618" max="4618" width="35.85546875" style="953" customWidth="1"/>
    <col min="4619" max="4619" width="9.140625" style="953"/>
    <col min="4620" max="4620" width="65.28515625" style="953" customWidth="1"/>
    <col min="4621" max="4621" width="24.7109375" style="953" customWidth="1"/>
    <col min="4622" max="4622" width="16.28515625" style="953" bestFit="1" customWidth="1"/>
    <col min="4623" max="4623" width="9.28515625" style="953" customWidth="1"/>
    <col min="4624" max="4624" width="11.42578125" style="953" customWidth="1"/>
    <col min="4625" max="4625" width="0" style="953" hidden="1" customWidth="1"/>
    <col min="4626" max="4865" width="9.140625" style="953"/>
    <col min="4866" max="4866" width="20" style="953" customWidth="1"/>
    <col min="4867" max="4868" width="15.7109375" style="953" customWidth="1"/>
    <col min="4869" max="4869" width="18.85546875" style="953" customWidth="1"/>
    <col min="4870" max="4870" width="35.7109375" style="953" customWidth="1"/>
    <col min="4871" max="4871" width="10.7109375" style="953" customWidth="1"/>
    <col min="4872" max="4872" width="6.28515625" style="953" customWidth="1"/>
    <col min="4873" max="4873" width="11" style="953" customWidth="1"/>
    <col min="4874" max="4874" width="35.85546875" style="953" customWidth="1"/>
    <col min="4875" max="4875" width="9.140625" style="953"/>
    <col min="4876" max="4876" width="65.28515625" style="953" customWidth="1"/>
    <col min="4877" max="4877" width="24.7109375" style="953" customWidth="1"/>
    <col min="4878" max="4878" width="16.28515625" style="953" bestFit="1" customWidth="1"/>
    <col min="4879" max="4879" width="9.28515625" style="953" customWidth="1"/>
    <col min="4880" max="4880" width="11.42578125" style="953" customWidth="1"/>
    <col min="4881" max="4881" width="0" style="953" hidden="1" customWidth="1"/>
    <col min="4882" max="5121" width="9.140625" style="953"/>
    <col min="5122" max="5122" width="20" style="953" customWidth="1"/>
    <col min="5123" max="5124" width="15.7109375" style="953" customWidth="1"/>
    <col min="5125" max="5125" width="18.85546875" style="953" customWidth="1"/>
    <col min="5126" max="5126" width="35.7109375" style="953" customWidth="1"/>
    <col min="5127" max="5127" width="10.7109375" style="953" customWidth="1"/>
    <col min="5128" max="5128" width="6.28515625" style="953" customWidth="1"/>
    <col min="5129" max="5129" width="11" style="953" customWidth="1"/>
    <col min="5130" max="5130" width="35.85546875" style="953" customWidth="1"/>
    <col min="5131" max="5131" width="9.140625" style="953"/>
    <col min="5132" max="5132" width="65.28515625" style="953" customWidth="1"/>
    <col min="5133" max="5133" width="24.7109375" style="953" customWidth="1"/>
    <col min="5134" max="5134" width="16.28515625" style="953" bestFit="1" customWidth="1"/>
    <col min="5135" max="5135" width="9.28515625" style="953" customWidth="1"/>
    <col min="5136" max="5136" width="11.42578125" style="953" customWidth="1"/>
    <col min="5137" max="5137" width="0" style="953" hidden="1" customWidth="1"/>
    <col min="5138" max="5377" width="9.140625" style="953"/>
    <col min="5378" max="5378" width="20" style="953" customWidth="1"/>
    <col min="5379" max="5380" width="15.7109375" style="953" customWidth="1"/>
    <col min="5381" max="5381" width="18.85546875" style="953" customWidth="1"/>
    <col min="5382" max="5382" width="35.7109375" style="953" customWidth="1"/>
    <col min="5383" max="5383" width="10.7109375" style="953" customWidth="1"/>
    <col min="5384" max="5384" width="6.28515625" style="953" customWidth="1"/>
    <col min="5385" max="5385" width="11" style="953" customWidth="1"/>
    <col min="5386" max="5386" width="35.85546875" style="953" customWidth="1"/>
    <col min="5387" max="5387" width="9.140625" style="953"/>
    <col min="5388" max="5388" width="65.28515625" style="953" customWidth="1"/>
    <col min="5389" max="5389" width="24.7109375" style="953" customWidth="1"/>
    <col min="5390" max="5390" width="16.28515625" style="953" bestFit="1" customWidth="1"/>
    <col min="5391" max="5391" width="9.28515625" style="953" customWidth="1"/>
    <col min="5392" max="5392" width="11.42578125" style="953" customWidth="1"/>
    <col min="5393" max="5393" width="0" style="953" hidden="1" customWidth="1"/>
    <col min="5394" max="5633" width="9.140625" style="953"/>
    <col min="5634" max="5634" width="20" style="953" customWidth="1"/>
    <col min="5635" max="5636" width="15.7109375" style="953" customWidth="1"/>
    <col min="5637" max="5637" width="18.85546875" style="953" customWidth="1"/>
    <col min="5638" max="5638" width="35.7109375" style="953" customWidth="1"/>
    <col min="5639" max="5639" width="10.7109375" style="953" customWidth="1"/>
    <col min="5640" max="5640" width="6.28515625" style="953" customWidth="1"/>
    <col min="5641" max="5641" width="11" style="953" customWidth="1"/>
    <col min="5642" max="5642" width="35.85546875" style="953" customWidth="1"/>
    <col min="5643" max="5643" width="9.140625" style="953"/>
    <col min="5644" max="5644" width="65.28515625" style="953" customWidth="1"/>
    <col min="5645" max="5645" width="24.7109375" style="953" customWidth="1"/>
    <col min="5646" max="5646" width="16.28515625" style="953" bestFit="1" customWidth="1"/>
    <col min="5647" max="5647" width="9.28515625" style="953" customWidth="1"/>
    <col min="5648" max="5648" width="11.42578125" style="953" customWidth="1"/>
    <col min="5649" max="5649" width="0" style="953" hidden="1" customWidth="1"/>
    <col min="5650" max="5889" width="9.140625" style="953"/>
    <col min="5890" max="5890" width="20" style="953" customWidth="1"/>
    <col min="5891" max="5892" width="15.7109375" style="953" customWidth="1"/>
    <col min="5893" max="5893" width="18.85546875" style="953" customWidth="1"/>
    <col min="5894" max="5894" width="35.7109375" style="953" customWidth="1"/>
    <col min="5895" max="5895" width="10.7109375" style="953" customWidth="1"/>
    <col min="5896" max="5896" width="6.28515625" style="953" customWidth="1"/>
    <col min="5897" max="5897" width="11" style="953" customWidth="1"/>
    <col min="5898" max="5898" width="35.85546875" style="953" customWidth="1"/>
    <col min="5899" max="5899" width="9.140625" style="953"/>
    <col min="5900" max="5900" width="65.28515625" style="953" customWidth="1"/>
    <col min="5901" max="5901" width="24.7109375" style="953" customWidth="1"/>
    <col min="5902" max="5902" width="16.28515625" style="953" bestFit="1" customWidth="1"/>
    <col min="5903" max="5903" width="9.28515625" style="953" customWidth="1"/>
    <col min="5904" max="5904" width="11.42578125" style="953" customWidth="1"/>
    <col min="5905" max="5905" width="0" style="953" hidden="1" customWidth="1"/>
    <col min="5906" max="6145" width="9.140625" style="953"/>
    <col min="6146" max="6146" width="20" style="953" customWidth="1"/>
    <col min="6147" max="6148" width="15.7109375" style="953" customWidth="1"/>
    <col min="6149" max="6149" width="18.85546875" style="953" customWidth="1"/>
    <col min="6150" max="6150" width="35.7109375" style="953" customWidth="1"/>
    <col min="6151" max="6151" width="10.7109375" style="953" customWidth="1"/>
    <col min="6152" max="6152" width="6.28515625" style="953" customWidth="1"/>
    <col min="6153" max="6153" width="11" style="953" customWidth="1"/>
    <col min="6154" max="6154" width="35.85546875" style="953" customWidth="1"/>
    <col min="6155" max="6155" width="9.140625" style="953"/>
    <col min="6156" max="6156" width="65.28515625" style="953" customWidth="1"/>
    <col min="6157" max="6157" width="24.7109375" style="953" customWidth="1"/>
    <col min="6158" max="6158" width="16.28515625" style="953" bestFit="1" customWidth="1"/>
    <col min="6159" max="6159" width="9.28515625" style="953" customWidth="1"/>
    <col min="6160" max="6160" width="11.42578125" style="953" customWidth="1"/>
    <col min="6161" max="6161" width="0" style="953" hidden="1" customWidth="1"/>
    <col min="6162" max="6401" width="9.140625" style="953"/>
    <col min="6402" max="6402" width="20" style="953" customWidth="1"/>
    <col min="6403" max="6404" width="15.7109375" style="953" customWidth="1"/>
    <col min="6405" max="6405" width="18.85546875" style="953" customWidth="1"/>
    <col min="6406" max="6406" width="35.7109375" style="953" customWidth="1"/>
    <col min="6407" max="6407" width="10.7109375" style="953" customWidth="1"/>
    <col min="6408" max="6408" width="6.28515625" style="953" customWidth="1"/>
    <col min="6409" max="6409" width="11" style="953" customWidth="1"/>
    <col min="6410" max="6410" width="35.85546875" style="953" customWidth="1"/>
    <col min="6411" max="6411" width="9.140625" style="953"/>
    <col min="6412" max="6412" width="65.28515625" style="953" customWidth="1"/>
    <col min="6413" max="6413" width="24.7109375" style="953" customWidth="1"/>
    <col min="6414" max="6414" width="16.28515625" style="953" bestFit="1" customWidth="1"/>
    <col min="6415" max="6415" width="9.28515625" style="953" customWidth="1"/>
    <col min="6416" max="6416" width="11.42578125" style="953" customWidth="1"/>
    <col min="6417" max="6417" width="0" style="953" hidden="1" customWidth="1"/>
    <col min="6418" max="6657" width="9.140625" style="953"/>
    <col min="6658" max="6658" width="20" style="953" customWidth="1"/>
    <col min="6659" max="6660" width="15.7109375" style="953" customWidth="1"/>
    <col min="6661" max="6661" width="18.85546875" style="953" customWidth="1"/>
    <col min="6662" max="6662" width="35.7109375" style="953" customWidth="1"/>
    <col min="6663" max="6663" width="10.7109375" style="953" customWidth="1"/>
    <col min="6664" max="6664" width="6.28515625" style="953" customWidth="1"/>
    <col min="6665" max="6665" width="11" style="953" customWidth="1"/>
    <col min="6666" max="6666" width="35.85546875" style="953" customWidth="1"/>
    <col min="6667" max="6667" width="9.140625" style="953"/>
    <col min="6668" max="6668" width="65.28515625" style="953" customWidth="1"/>
    <col min="6669" max="6669" width="24.7109375" style="953" customWidth="1"/>
    <col min="6670" max="6670" width="16.28515625" style="953" bestFit="1" customWidth="1"/>
    <col min="6671" max="6671" width="9.28515625" style="953" customWidth="1"/>
    <col min="6672" max="6672" width="11.42578125" style="953" customWidth="1"/>
    <col min="6673" max="6673" width="0" style="953" hidden="1" customWidth="1"/>
    <col min="6674" max="6913" width="9.140625" style="953"/>
    <col min="6914" max="6914" width="20" style="953" customWidth="1"/>
    <col min="6915" max="6916" width="15.7109375" style="953" customWidth="1"/>
    <col min="6917" max="6917" width="18.85546875" style="953" customWidth="1"/>
    <col min="6918" max="6918" width="35.7109375" style="953" customWidth="1"/>
    <col min="6919" max="6919" width="10.7109375" style="953" customWidth="1"/>
    <col min="6920" max="6920" width="6.28515625" style="953" customWidth="1"/>
    <col min="6921" max="6921" width="11" style="953" customWidth="1"/>
    <col min="6922" max="6922" width="35.85546875" style="953" customWidth="1"/>
    <col min="6923" max="6923" width="9.140625" style="953"/>
    <col min="6924" max="6924" width="65.28515625" style="953" customWidth="1"/>
    <col min="6925" max="6925" width="24.7109375" style="953" customWidth="1"/>
    <col min="6926" max="6926" width="16.28515625" style="953" bestFit="1" customWidth="1"/>
    <col min="6927" max="6927" width="9.28515625" style="953" customWidth="1"/>
    <col min="6928" max="6928" width="11.42578125" style="953" customWidth="1"/>
    <col min="6929" max="6929" width="0" style="953" hidden="1" customWidth="1"/>
    <col min="6930" max="7169" width="9.140625" style="953"/>
    <col min="7170" max="7170" width="20" style="953" customWidth="1"/>
    <col min="7171" max="7172" width="15.7109375" style="953" customWidth="1"/>
    <col min="7173" max="7173" width="18.85546875" style="953" customWidth="1"/>
    <col min="7174" max="7174" width="35.7109375" style="953" customWidth="1"/>
    <col min="7175" max="7175" width="10.7109375" style="953" customWidth="1"/>
    <col min="7176" max="7176" width="6.28515625" style="953" customWidth="1"/>
    <col min="7177" max="7177" width="11" style="953" customWidth="1"/>
    <col min="7178" max="7178" width="35.85546875" style="953" customWidth="1"/>
    <col min="7179" max="7179" width="9.140625" style="953"/>
    <col min="7180" max="7180" width="65.28515625" style="953" customWidth="1"/>
    <col min="7181" max="7181" width="24.7109375" style="953" customWidth="1"/>
    <col min="7182" max="7182" width="16.28515625" style="953" bestFit="1" customWidth="1"/>
    <col min="7183" max="7183" width="9.28515625" style="953" customWidth="1"/>
    <col min="7184" max="7184" width="11.42578125" style="953" customWidth="1"/>
    <col min="7185" max="7185" width="0" style="953" hidden="1" customWidth="1"/>
    <col min="7186" max="7425" width="9.140625" style="953"/>
    <col min="7426" max="7426" width="20" style="953" customWidth="1"/>
    <col min="7427" max="7428" width="15.7109375" style="953" customWidth="1"/>
    <col min="7429" max="7429" width="18.85546875" style="953" customWidth="1"/>
    <col min="7430" max="7430" width="35.7109375" style="953" customWidth="1"/>
    <col min="7431" max="7431" width="10.7109375" style="953" customWidth="1"/>
    <col min="7432" max="7432" width="6.28515625" style="953" customWidth="1"/>
    <col min="7433" max="7433" width="11" style="953" customWidth="1"/>
    <col min="7434" max="7434" width="35.85546875" style="953" customWidth="1"/>
    <col min="7435" max="7435" width="9.140625" style="953"/>
    <col min="7436" max="7436" width="65.28515625" style="953" customWidth="1"/>
    <col min="7437" max="7437" width="24.7109375" style="953" customWidth="1"/>
    <col min="7438" max="7438" width="16.28515625" style="953" bestFit="1" customWidth="1"/>
    <col min="7439" max="7439" width="9.28515625" style="953" customWidth="1"/>
    <col min="7440" max="7440" width="11.42578125" style="953" customWidth="1"/>
    <col min="7441" max="7441" width="0" style="953" hidden="1" customWidth="1"/>
    <col min="7442" max="7681" width="9.140625" style="953"/>
    <col min="7682" max="7682" width="20" style="953" customWidth="1"/>
    <col min="7683" max="7684" width="15.7109375" style="953" customWidth="1"/>
    <col min="7685" max="7685" width="18.85546875" style="953" customWidth="1"/>
    <col min="7686" max="7686" width="35.7109375" style="953" customWidth="1"/>
    <col min="7687" max="7687" width="10.7109375" style="953" customWidth="1"/>
    <col min="7688" max="7688" width="6.28515625" style="953" customWidth="1"/>
    <col min="7689" max="7689" width="11" style="953" customWidth="1"/>
    <col min="7690" max="7690" width="35.85546875" style="953" customWidth="1"/>
    <col min="7691" max="7691" width="9.140625" style="953"/>
    <col min="7692" max="7692" width="65.28515625" style="953" customWidth="1"/>
    <col min="7693" max="7693" width="24.7109375" style="953" customWidth="1"/>
    <col min="7694" max="7694" width="16.28515625" style="953" bestFit="1" customWidth="1"/>
    <col min="7695" max="7695" width="9.28515625" style="953" customWidth="1"/>
    <col min="7696" max="7696" width="11.42578125" style="953" customWidth="1"/>
    <col min="7697" max="7697" width="0" style="953" hidden="1" customWidth="1"/>
    <col min="7698" max="7937" width="9.140625" style="953"/>
    <col min="7938" max="7938" width="20" style="953" customWidth="1"/>
    <col min="7939" max="7940" width="15.7109375" style="953" customWidth="1"/>
    <col min="7941" max="7941" width="18.85546875" style="953" customWidth="1"/>
    <col min="7942" max="7942" width="35.7109375" style="953" customWidth="1"/>
    <col min="7943" max="7943" width="10.7109375" style="953" customWidth="1"/>
    <col min="7944" max="7944" width="6.28515625" style="953" customWidth="1"/>
    <col min="7945" max="7945" width="11" style="953" customWidth="1"/>
    <col min="7946" max="7946" width="35.85546875" style="953" customWidth="1"/>
    <col min="7947" max="7947" width="9.140625" style="953"/>
    <col min="7948" max="7948" width="65.28515625" style="953" customWidth="1"/>
    <col min="7949" max="7949" width="24.7109375" style="953" customWidth="1"/>
    <col min="7950" max="7950" width="16.28515625" style="953" bestFit="1" customWidth="1"/>
    <col min="7951" max="7951" width="9.28515625" style="953" customWidth="1"/>
    <col min="7952" max="7952" width="11.42578125" style="953" customWidth="1"/>
    <col min="7953" max="7953" width="0" style="953" hidden="1" customWidth="1"/>
    <col min="7954" max="8193" width="9.140625" style="953"/>
    <col min="8194" max="8194" width="20" style="953" customWidth="1"/>
    <col min="8195" max="8196" width="15.7109375" style="953" customWidth="1"/>
    <col min="8197" max="8197" width="18.85546875" style="953" customWidth="1"/>
    <col min="8198" max="8198" width="35.7109375" style="953" customWidth="1"/>
    <col min="8199" max="8199" width="10.7109375" style="953" customWidth="1"/>
    <col min="8200" max="8200" width="6.28515625" style="953" customWidth="1"/>
    <col min="8201" max="8201" width="11" style="953" customWidth="1"/>
    <col min="8202" max="8202" width="35.85546875" style="953" customWidth="1"/>
    <col min="8203" max="8203" width="9.140625" style="953"/>
    <col min="8204" max="8204" width="65.28515625" style="953" customWidth="1"/>
    <col min="8205" max="8205" width="24.7109375" style="953" customWidth="1"/>
    <col min="8206" max="8206" width="16.28515625" style="953" bestFit="1" customWidth="1"/>
    <col min="8207" max="8207" width="9.28515625" style="953" customWidth="1"/>
    <col min="8208" max="8208" width="11.42578125" style="953" customWidth="1"/>
    <col min="8209" max="8209" width="0" style="953" hidden="1" customWidth="1"/>
    <col min="8210" max="8449" width="9.140625" style="953"/>
    <col min="8450" max="8450" width="20" style="953" customWidth="1"/>
    <col min="8451" max="8452" width="15.7109375" style="953" customWidth="1"/>
    <col min="8453" max="8453" width="18.85546875" style="953" customWidth="1"/>
    <col min="8454" max="8454" width="35.7109375" style="953" customWidth="1"/>
    <col min="8455" max="8455" width="10.7109375" style="953" customWidth="1"/>
    <col min="8456" max="8456" width="6.28515625" style="953" customWidth="1"/>
    <col min="8457" max="8457" width="11" style="953" customWidth="1"/>
    <col min="8458" max="8458" width="35.85546875" style="953" customWidth="1"/>
    <col min="8459" max="8459" width="9.140625" style="953"/>
    <col min="8460" max="8460" width="65.28515625" style="953" customWidth="1"/>
    <col min="8461" max="8461" width="24.7109375" style="953" customWidth="1"/>
    <col min="8462" max="8462" width="16.28515625" style="953" bestFit="1" customWidth="1"/>
    <col min="8463" max="8463" width="9.28515625" style="953" customWidth="1"/>
    <col min="8464" max="8464" width="11.42578125" style="953" customWidth="1"/>
    <col min="8465" max="8465" width="0" style="953" hidden="1" customWidth="1"/>
    <col min="8466" max="8705" width="9.140625" style="953"/>
    <col min="8706" max="8706" width="20" style="953" customWidth="1"/>
    <col min="8707" max="8708" width="15.7109375" style="953" customWidth="1"/>
    <col min="8709" max="8709" width="18.85546875" style="953" customWidth="1"/>
    <col min="8710" max="8710" width="35.7109375" style="953" customWidth="1"/>
    <col min="8711" max="8711" width="10.7109375" style="953" customWidth="1"/>
    <col min="8712" max="8712" width="6.28515625" style="953" customWidth="1"/>
    <col min="8713" max="8713" width="11" style="953" customWidth="1"/>
    <col min="8714" max="8714" width="35.85546875" style="953" customWidth="1"/>
    <col min="8715" max="8715" width="9.140625" style="953"/>
    <col min="8716" max="8716" width="65.28515625" style="953" customWidth="1"/>
    <col min="8717" max="8717" width="24.7109375" style="953" customWidth="1"/>
    <col min="8718" max="8718" width="16.28515625" style="953" bestFit="1" customWidth="1"/>
    <col min="8719" max="8719" width="9.28515625" style="953" customWidth="1"/>
    <col min="8720" max="8720" width="11.42578125" style="953" customWidth="1"/>
    <col min="8721" max="8721" width="0" style="953" hidden="1" customWidth="1"/>
    <col min="8722" max="8961" width="9.140625" style="953"/>
    <col min="8962" max="8962" width="20" style="953" customWidth="1"/>
    <col min="8963" max="8964" width="15.7109375" style="953" customWidth="1"/>
    <col min="8965" max="8965" width="18.85546875" style="953" customWidth="1"/>
    <col min="8966" max="8966" width="35.7109375" style="953" customWidth="1"/>
    <col min="8967" max="8967" width="10.7109375" style="953" customWidth="1"/>
    <col min="8968" max="8968" width="6.28515625" style="953" customWidth="1"/>
    <col min="8969" max="8969" width="11" style="953" customWidth="1"/>
    <col min="8970" max="8970" width="35.85546875" style="953" customWidth="1"/>
    <col min="8971" max="8971" width="9.140625" style="953"/>
    <col min="8972" max="8972" width="65.28515625" style="953" customWidth="1"/>
    <col min="8973" max="8973" width="24.7109375" style="953" customWidth="1"/>
    <col min="8974" max="8974" width="16.28515625" style="953" bestFit="1" customWidth="1"/>
    <col min="8975" max="8975" width="9.28515625" style="953" customWidth="1"/>
    <col min="8976" max="8976" width="11.42578125" style="953" customWidth="1"/>
    <col min="8977" max="8977" width="0" style="953" hidden="1" customWidth="1"/>
    <col min="8978" max="9217" width="9.140625" style="953"/>
    <col min="9218" max="9218" width="20" style="953" customWidth="1"/>
    <col min="9219" max="9220" width="15.7109375" style="953" customWidth="1"/>
    <col min="9221" max="9221" width="18.85546875" style="953" customWidth="1"/>
    <col min="9222" max="9222" width="35.7109375" style="953" customWidth="1"/>
    <col min="9223" max="9223" width="10.7109375" style="953" customWidth="1"/>
    <col min="9224" max="9224" width="6.28515625" style="953" customWidth="1"/>
    <col min="9225" max="9225" width="11" style="953" customWidth="1"/>
    <col min="9226" max="9226" width="35.85546875" style="953" customWidth="1"/>
    <col min="9227" max="9227" width="9.140625" style="953"/>
    <col min="9228" max="9228" width="65.28515625" style="953" customWidth="1"/>
    <col min="9229" max="9229" width="24.7109375" style="953" customWidth="1"/>
    <col min="9230" max="9230" width="16.28515625" style="953" bestFit="1" customWidth="1"/>
    <col min="9231" max="9231" width="9.28515625" style="953" customWidth="1"/>
    <col min="9232" max="9232" width="11.42578125" style="953" customWidth="1"/>
    <col min="9233" max="9233" width="0" style="953" hidden="1" customWidth="1"/>
    <col min="9234" max="9473" width="9.140625" style="953"/>
    <col min="9474" max="9474" width="20" style="953" customWidth="1"/>
    <col min="9475" max="9476" width="15.7109375" style="953" customWidth="1"/>
    <col min="9477" max="9477" width="18.85546875" style="953" customWidth="1"/>
    <col min="9478" max="9478" width="35.7109375" style="953" customWidth="1"/>
    <col min="9479" max="9479" width="10.7109375" style="953" customWidth="1"/>
    <col min="9480" max="9480" width="6.28515625" style="953" customWidth="1"/>
    <col min="9481" max="9481" width="11" style="953" customWidth="1"/>
    <col min="9482" max="9482" width="35.85546875" style="953" customWidth="1"/>
    <col min="9483" max="9483" width="9.140625" style="953"/>
    <col min="9484" max="9484" width="65.28515625" style="953" customWidth="1"/>
    <col min="9485" max="9485" width="24.7109375" style="953" customWidth="1"/>
    <col min="9486" max="9486" width="16.28515625" style="953" bestFit="1" customWidth="1"/>
    <col min="9487" max="9487" width="9.28515625" style="953" customWidth="1"/>
    <col min="9488" max="9488" width="11.42578125" style="953" customWidth="1"/>
    <col min="9489" max="9489" width="0" style="953" hidden="1" customWidth="1"/>
    <col min="9490" max="9729" width="9.140625" style="953"/>
    <col min="9730" max="9730" width="20" style="953" customWidth="1"/>
    <col min="9731" max="9732" width="15.7109375" style="953" customWidth="1"/>
    <col min="9733" max="9733" width="18.85546875" style="953" customWidth="1"/>
    <col min="9734" max="9734" width="35.7109375" style="953" customWidth="1"/>
    <col min="9735" max="9735" width="10.7109375" style="953" customWidth="1"/>
    <col min="9736" max="9736" width="6.28515625" style="953" customWidth="1"/>
    <col min="9737" max="9737" width="11" style="953" customWidth="1"/>
    <col min="9738" max="9738" width="35.85546875" style="953" customWidth="1"/>
    <col min="9739" max="9739" width="9.140625" style="953"/>
    <col min="9740" max="9740" width="65.28515625" style="953" customWidth="1"/>
    <col min="9741" max="9741" width="24.7109375" style="953" customWidth="1"/>
    <col min="9742" max="9742" width="16.28515625" style="953" bestFit="1" customWidth="1"/>
    <col min="9743" max="9743" width="9.28515625" style="953" customWidth="1"/>
    <col min="9744" max="9744" width="11.42578125" style="953" customWidth="1"/>
    <col min="9745" max="9745" width="0" style="953" hidden="1" customWidth="1"/>
    <col min="9746" max="9985" width="9.140625" style="953"/>
    <col min="9986" max="9986" width="20" style="953" customWidth="1"/>
    <col min="9987" max="9988" width="15.7109375" style="953" customWidth="1"/>
    <col min="9989" max="9989" width="18.85546875" style="953" customWidth="1"/>
    <col min="9990" max="9990" width="35.7109375" style="953" customWidth="1"/>
    <col min="9991" max="9991" width="10.7109375" style="953" customWidth="1"/>
    <col min="9992" max="9992" width="6.28515625" style="953" customWidth="1"/>
    <col min="9993" max="9993" width="11" style="953" customWidth="1"/>
    <col min="9994" max="9994" width="35.85546875" style="953" customWidth="1"/>
    <col min="9995" max="9995" width="9.140625" style="953"/>
    <col min="9996" max="9996" width="65.28515625" style="953" customWidth="1"/>
    <col min="9997" max="9997" width="24.7109375" style="953" customWidth="1"/>
    <col min="9998" max="9998" width="16.28515625" style="953" bestFit="1" customWidth="1"/>
    <col min="9999" max="9999" width="9.28515625" style="953" customWidth="1"/>
    <col min="10000" max="10000" width="11.42578125" style="953" customWidth="1"/>
    <col min="10001" max="10001" width="0" style="953" hidden="1" customWidth="1"/>
    <col min="10002" max="10241" width="9.140625" style="953"/>
    <col min="10242" max="10242" width="20" style="953" customWidth="1"/>
    <col min="10243" max="10244" width="15.7109375" style="953" customWidth="1"/>
    <col min="10245" max="10245" width="18.85546875" style="953" customWidth="1"/>
    <col min="10246" max="10246" width="35.7109375" style="953" customWidth="1"/>
    <col min="10247" max="10247" width="10.7109375" style="953" customWidth="1"/>
    <col min="10248" max="10248" width="6.28515625" style="953" customWidth="1"/>
    <col min="10249" max="10249" width="11" style="953" customWidth="1"/>
    <col min="10250" max="10250" width="35.85546875" style="953" customWidth="1"/>
    <col min="10251" max="10251" width="9.140625" style="953"/>
    <col min="10252" max="10252" width="65.28515625" style="953" customWidth="1"/>
    <col min="10253" max="10253" width="24.7109375" style="953" customWidth="1"/>
    <col min="10254" max="10254" width="16.28515625" style="953" bestFit="1" customWidth="1"/>
    <col min="10255" max="10255" width="9.28515625" style="953" customWidth="1"/>
    <col min="10256" max="10256" width="11.42578125" style="953" customWidth="1"/>
    <col min="10257" max="10257" width="0" style="953" hidden="1" customWidth="1"/>
    <col min="10258" max="10497" width="9.140625" style="953"/>
    <col min="10498" max="10498" width="20" style="953" customWidth="1"/>
    <col min="10499" max="10500" width="15.7109375" style="953" customWidth="1"/>
    <col min="10501" max="10501" width="18.85546875" style="953" customWidth="1"/>
    <col min="10502" max="10502" width="35.7109375" style="953" customWidth="1"/>
    <col min="10503" max="10503" width="10.7109375" style="953" customWidth="1"/>
    <col min="10504" max="10504" width="6.28515625" style="953" customWidth="1"/>
    <col min="10505" max="10505" width="11" style="953" customWidth="1"/>
    <col min="10506" max="10506" width="35.85546875" style="953" customWidth="1"/>
    <col min="10507" max="10507" width="9.140625" style="953"/>
    <col min="10508" max="10508" width="65.28515625" style="953" customWidth="1"/>
    <col min="10509" max="10509" width="24.7109375" style="953" customWidth="1"/>
    <col min="10510" max="10510" width="16.28515625" style="953" bestFit="1" customWidth="1"/>
    <col min="10511" max="10511" width="9.28515625" style="953" customWidth="1"/>
    <col min="10512" max="10512" width="11.42578125" style="953" customWidth="1"/>
    <col min="10513" max="10513" width="0" style="953" hidden="1" customWidth="1"/>
    <col min="10514" max="10753" width="9.140625" style="953"/>
    <col min="10754" max="10754" width="20" style="953" customWidth="1"/>
    <col min="10755" max="10756" width="15.7109375" style="953" customWidth="1"/>
    <col min="10757" max="10757" width="18.85546875" style="953" customWidth="1"/>
    <col min="10758" max="10758" width="35.7109375" style="953" customWidth="1"/>
    <col min="10759" max="10759" width="10.7109375" style="953" customWidth="1"/>
    <col min="10760" max="10760" width="6.28515625" style="953" customWidth="1"/>
    <col min="10761" max="10761" width="11" style="953" customWidth="1"/>
    <col min="10762" max="10762" width="35.85546875" style="953" customWidth="1"/>
    <col min="10763" max="10763" width="9.140625" style="953"/>
    <col min="10764" max="10764" width="65.28515625" style="953" customWidth="1"/>
    <col min="10765" max="10765" width="24.7109375" style="953" customWidth="1"/>
    <col min="10766" max="10766" width="16.28515625" style="953" bestFit="1" customWidth="1"/>
    <col min="10767" max="10767" width="9.28515625" style="953" customWidth="1"/>
    <col min="10768" max="10768" width="11.42578125" style="953" customWidth="1"/>
    <col min="10769" max="10769" width="0" style="953" hidden="1" customWidth="1"/>
    <col min="10770" max="11009" width="9.140625" style="953"/>
    <col min="11010" max="11010" width="20" style="953" customWidth="1"/>
    <col min="11011" max="11012" width="15.7109375" style="953" customWidth="1"/>
    <col min="11013" max="11013" width="18.85546875" style="953" customWidth="1"/>
    <col min="11014" max="11014" width="35.7109375" style="953" customWidth="1"/>
    <col min="11015" max="11015" width="10.7109375" style="953" customWidth="1"/>
    <col min="11016" max="11016" width="6.28515625" style="953" customWidth="1"/>
    <col min="11017" max="11017" width="11" style="953" customWidth="1"/>
    <col min="11018" max="11018" width="35.85546875" style="953" customWidth="1"/>
    <col min="11019" max="11019" width="9.140625" style="953"/>
    <col min="11020" max="11020" width="65.28515625" style="953" customWidth="1"/>
    <col min="11021" max="11021" width="24.7109375" style="953" customWidth="1"/>
    <col min="11022" max="11022" width="16.28515625" style="953" bestFit="1" customWidth="1"/>
    <col min="11023" max="11023" width="9.28515625" style="953" customWidth="1"/>
    <col min="11024" max="11024" width="11.42578125" style="953" customWidth="1"/>
    <col min="11025" max="11025" width="0" style="953" hidden="1" customWidth="1"/>
    <col min="11026" max="11265" width="9.140625" style="953"/>
    <col min="11266" max="11266" width="20" style="953" customWidth="1"/>
    <col min="11267" max="11268" width="15.7109375" style="953" customWidth="1"/>
    <col min="11269" max="11269" width="18.85546875" style="953" customWidth="1"/>
    <col min="11270" max="11270" width="35.7109375" style="953" customWidth="1"/>
    <col min="11271" max="11271" width="10.7109375" style="953" customWidth="1"/>
    <col min="11272" max="11272" width="6.28515625" style="953" customWidth="1"/>
    <col min="11273" max="11273" width="11" style="953" customWidth="1"/>
    <col min="11274" max="11274" width="35.85546875" style="953" customWidth="1"/>
    <col min="11275" max="11275" width="9.140625" style="953"/>
    <col min="11276" max="11276" width="65.28515625" style="953" customWidth="1"/>
    <col min="11277" max="11277" width="24.7109375" style="953" customWidth="1"/>
    <col min="11278" max="11278" width="16.28515625" style="953" bestFit="1" customWidth="1"/>
    <col min="11279" max="11279" width="9.28515625" style="953" customWidth="1"/>
    <col min="11280" max="11280" width="11.42578125" style="953" customWidth="1"/>
    <col min="11281" max="11281" width="0" style="953" hidden="1" customWidth="1"/>
    <col min="11282" max="11521" width="9.140625" style="953"/>
    <col min="11522" max="11522" width="20" style="953" customWidth="1"/>
    <col min="11523" max="11524" width="15.7109375" style="953" customWidth="1"/>
    <col min="11525" max="11525" width="18.85546875" style="953" customWidth="1"/>
    <col min="11526" max="11526" width="35.7109375" style="953" customWidth="1"/>
    <col min="11527" max="11527" width="10.7109375" style="953" customWidth="1"/>
    <col min="11528" max="11528" width="6.28515625" style="953" customWidth="1"/>
    <col min="11529" max="11529" width="11" style="953" customWidth="1"/>
    <col min="11530" max="11530" width="35.85546875" style="953" customWidth="1"/>
    <col min="11531" max="11531" width="9.140625" style="953"/>
    <col min="11532" max="11532" width="65.28515625" style="953" customWidth="1"/>
    <col min="11533" max="11533" width="24.7109375" style="953" customWidth="1"/>
    <col min="11534" max="11534" width="16.28515625" style="953" bestFit="1" customWidth="1"/>
    <col min="11535" max="11535" width="9.28515625" style="953" customWidth="1"/>
    <col min="11536" max="11536" width="11.42578125" style="953" customWidth="1"/>
    <col min="11537" max="11537" width="0" style="953" hidden="1" customWidth="1"/>
    <col min="11538" max="11777" width="9.140625" style="953"/>
    <col min="11778" max="11778" width="20" style="953" customWidth="1"/>
    <col min="11779" max="11780" width="15.7109375" style="953" customWidth="1"/>
    <col min="11781" max="11781" width="18.85546875" style="953" customWidth="1"/>
    <col min="11782" max="11782" width="35.7109375" style="953" customWidth="1"/>
    <col min="11783" max="11783" width="10.7109375" style="953" customWidth="1"/>
    <col min="11784" max="11784" width="6.28515625" style="953" customWidth="1"/>
    <col min="11785" max="11785" width="11" style="953" customWidth="1"/>
    <col min="11786" max="11786" width="35.85546875" style="953" customWidth="1"/>
    <col min="11787" max="11787" width="9.140625" style="953"/>
    <col min="11788" max="11788" width="65.28515625" style="953" customWidth="1"/>
    <col min="11789" max="11789" width="24.7109375" style="953" customWidth="1"/>
    <col min="11790" max="11790" width="16.28515625" style="953" bestFit="1" customWidth="1"/>
    <col min="11791" max="11791" width="9.28515625" style="953" customWidth="1"/>
    <col min="11792" max="11792" width="11.42578125" style="953" customWidth="1"/>
    <col min="11793" max="11793" width="0" style="953" hidden="1" customWidth="1"/>
    <col min="11794" max="12033" width="9.140625" style="953"/>
    <col min="12034" max="12034" width="20" style="953" customWidth="1"/>
    <col min="12035" max="12036" width="15.7109375" style="953" customWidth="1"/>
    <col min="12037" max="12037" width="18.85546875" style="953" customWidth="1"/>
    <col min="12038" max="12038" width="35.7109375" style="953" customWidth="1"/>
    <col min="12039" max="12039" width="10.7109375" style="953" customWidth="1"/>
    <col min="12040" max="12040" width="6.28515625" style="953" customWidth="1"/>
    <col min="12041" max="12041" width="11" style="953" customWidth="1"/>
    <col min="12042" max="12042" width="35.85546875" style="953" customWidth="1"/>
    <col min="12043" max="12043" width="9.140625" style="953"/>
    <col min="12044" max="12044" width="65.28515625" style="953" customWidth="1"/>
    <col min="12045" max="12045" width="24.7109375" style="953" customWidth="1"/>
    <col min="12046" max="12046" width="16.28515625" style="953" bestFit="1" customWidth="1"/>
    <col min="12047" max="12047" width="9.28515625" style="953" customWidth="1"/>
    <col min="12048" max="12048" width="11.42578125" style="953" customWidth="1"/>
    <col min="12049" max="12049" width="0" style="953" hidden="1" customWidth="1"/>
    <col min="12050" max="12289" width="9.140625" style="953"/>
    <col min="12290" max="12290" width="20" style="953" customWidth="1"/>
    <col min="12291" max="12292" width="15.7109375" style="953" customWidth="1"/>
    <col min="12293" max="12293" width="18.85546875" style="953" customWidth="1"/>
    <col min="12294" max="12294" width="35.7109375" style="953" customWidth="1"/>
    <col min="12295" max="12295" width="10.7109375" style="953" customWidth="1"/>
    <col min="12296" max="12296" width="6.28515625" style="953" customWidth="1"/>
    <col min="12297" max="12297" width="11" style="953" customWidth="1"/>
    <col min="12298" max="12298" width="35.85546875" style="953" customWidth="1"/>
    <col min="12299" max="12299" width="9.140625" style="953"/>
    <col min="12300" max="12300" width="65.28515625" style="953" customWidth="1"/>
    <col min="12301" max="12301" width="24.7109375" style="953" customWidth="1"/>
    <col min="12302" max="12302" width="16.28515625" style="953" bestFit="1" customWidth="1"/>
    <col min="12303" max="12303" width="9.28515625" style="953" customWidth="1"/>
    <col min="12304" max="12304" width="11.42578125" style="953" customWidth="1"/>
    <col min="12305" max="12305" width="0" style="953" hidden="1" customWidth="1"/>
    <col min="12306" max="12545" width="9.140625" style="953"/>
    <col min="12546" max="12546" width="20" style="953" customWidth="1"/>
    <col min="12547" max="12548" width="15.7109375" style="953" customWidth="1"/>
    <col min="12549" max="12549" width="18.85546875" style="953" customWidth="1"/>
    <col min="12550" max="12550" width="35.7109375" style="953" customWidth="1"/>
    <col min="12551" max="12551" width="10.7109375" style="953" customWidth="1"/>
    <col min="12552" max="12552" width="6.28515625" style="953" customWidth="1"/>
    <col min="12553" max="12553" width="11" style="953" customWidth="1"/>
    <col min="12554" max="12554" width="35.85546875" style="953" customWidth="1"/>
    <col min="12555" max="12555" width="9.140625" style="953"/>
    <col min="12556" max="12556" width="65.28515625" style="953" customWidth="1"/>
    <col min="12557" max="12557" width="24.7109375" style="953" customWidth="1"/>
    <col min="12558" max="12558" width="16.28515625" style="953" bestFit="1" customWidth="1"/>
    <col min="12559" max="12559" width="9.28515625" style="953" customWidth="1"/>
    <col min="12560" max="12560" width="11.42578125" style="953" customWidth="1"/>
    <col min="12561" max="12561" width="0" style="953" hidden="1" customWidth="1"/>
    <col min="12562" max="12801" width="9.140625" style="953"/>
    <col min="12802" max="12802" width="20" style="953" customWidth="1"/>
    <col min="12803" max="12804" width="15.7109375" style="953" customWidth="1"/>
    <col min="12805" max="12805" width="18.85546875" style="953" customWidth="1"/>
    <col min="12806" max="12806" width="35.7109375" style="953" customWidth="1"/>
    <col min="12807" max="12807" width="10.7109375" style="953" customWidth="1"/>
    <col min="12808" max="12808" width="6.28515625" style="953" customWidth="1"/>
    <col min="12809" max="12809" width="11" style="953" customWidth="1"/>
    <col min="12810" max="12810" width="35.85546875" style="953" customWidth="1"/>
    <col min="12811" max="12811" width="9.140625" style="953"/>
    <col min="12812" max="12812" width="65.28515625" style="953" customWidth="1"/>
    <col min="12813" max="12813" width="24.7109375" style="953" customWidth="1"/>
    <col min="12814" max="12814" width="16.28515625" style="953" bestFit="1" customWidth="1"/>
    <col min="12815" max="12815" width="9.28515625" style="953" customWidth="1"/>
    <col min="12816" max="12816" width="11.42578125" style="953" customWidth="1"/>
    <col min="12817" max="12817" width="0" style="953" hidden="1" customWidth="1"/>
    <col min="12818" max="13057" width="9.140625" style="953"/>
    <col min="13058" max="13058" width="20" style="953" customWidth="1"/>
    <col min="13059" max="13060" width="15.7109375" style="953" customWidth="1"/>
    <col min="13061" max="13061" width="18.85546875" style="953" customWidth="1"/>
    <col min="13062" max="13062" width="35.7109375" style="953" customWidth="1"/>
    <col min="13063" max="13063" width="10.7109375" style="953" customWidth="1"/>
    <col min="13064" max="13064" width="6.28515625" style="953" customWidth="1"/>
    <col min="13065" max="13065" width="11" style="953" customWidth="1"/>
    <col min="13066" max="13066" width="35.85546875" style="953" customWidth="1"/>
    <col min="13067" max="13067" width="9.140625" style="953"/>
    <col min="13068" max="13068" width="65.28515625" style="953" customWidth="1"/>
    <col min="13069" max="13069" width="24.7109375" style="953" customWidth="1"/>
    <col min="13070" max="13070" width="16.28515625" style="953" bestFit="1" customWidth="1"/>
    <col min="13071" max="13071" width="9.28515625" style="953" customWidth="1"/>
    <col min="13072" max="13072" width="11.42578125" style="953" customWidth="1"/>
    <col min="13073" max="13073" width="0" style="953" hidden="1" customWidth="1"/>
    <col min="13074" max="13313" width="9.140625" style="953"/>
    <col min="13314" max="13314" width="20" style="953" customWidth="1"/>
    <col min="13315" max="13316" width="15.7109375" style="953" customWidth="1"/>
    <col min="13317" max="13317" width="18.85546875" style="953" customWidth="1"/>
    <col min="13318" max="13318" width="35.7109375" style="953" customWidth="1"/>
    <col min="13319" max="13319" width="10.7109375" style="953" customWidth="1"/>
    <col min="13320" max="13320" width="6.28515625" style="953" customWidth="1"/>
    <col min="13321" max="13321" width="11" style="953" customWidth="1"/>
    <col min="13322" max="13322" width="35.85546875" style="953" customWidth="1"/>
    <col min="13323" max="13323" width="9.140625" style="953"/>
    <col min="13324" max="13324" width="65.28515625" style="953" customWidth="1"/>
    <col min="13325" max="13325" width="24.7109375" style="953" customWidth="1"/>
    <col min="13326" max="13326" width="16.28515625" style="953" bestFit="1" customWidth="1"/>
    <col min="13327" max="13327" width="9.28515625" style="953" customWidth="1"/>
    <col min="13328" max="13328" width="11.42578125" style="953" customWidth="1"/>
    <col min="13329" max="13329" width="0" style="953" hidden="1" customWidth="1"/>
    <col min="13330" max="13569" width="9.140625" style="953"/>
    <col min="13570" max="13570" width="20" style="953" customWidth="1"/>
    <col min="13571" max="13572" width="15.7109375" style="953" customWidth="1"/>
    <col min="13573" max="13573" width="18.85546875" style="953" customWidth="1"/>
    <col min="13574" max="13574" width="35.7109375" style="953" customWidth="1"/>
    <col min="13575" max="13575" width="10.7109375" style="953" customWidth="1"/>
    <col min="13576" max="13576" width="6.28515625" style="953" customWidth="1"/>
    <col min="13577" max="13577" width="11" style="953" customWidth="1"/>
    <col min="13578" max="13578" width="35.85546875" style="953" customWidth="1"/>
    <col min="13579" max="13579" width="9.140625" style="953"/>
    <col min="13580" max="13580" width="65.28515625" style="953" customWidth="1"/>
    <col min="13581" max="13581" width="24.7109375" style="953" customWidth="1"/>
    <col min="13582" max="13582" width="16.28515625" style="953" bestFit="1" customWidth="1"/>
    <col min="13583" max="13583" width="9.28515625" style="953" customWidth="1"/>
    <col min="13584" max="13584" width="11.42578125" style="953" customWidth="1"/>
    <col min="13585" max="13585" width="0" style="953" hidden="1" customWidth="1"/>
    <col min="13586" max="13825" width="9.140625" style="953"/>
    <col min="13826" max="13826" width="20" style="953" customWidth="1"/>
    <col min="13827" max="13828" width="15.7109375" style="953" customWidth="1"/>
    <col min="13829" max="13829" width="18.85546875" style="953" customWidth="1"/>
    <col min="13830" max="13830" width="35.7109375" style="953" customWidth="1"/>
    <col min="13831" max="13831" width="10.7109375" style="953" customWidth="1"/>
    <col min="13832" max="13832" width="6.28515625" style="953" customWidth="1"/>
    <col min="13833" max="13833" width="11" style="953" customWidth="1"/>
    <col min="13834" max="13834" width="35.85546875" style="953" customWidth="1"/>
    <col min="13835" max="13835" width="9.140625" style="953"/>
    <col min="13836" max="13836" width="65.28515625" style="953" customWidth="1"/>
    <col min="13837" max="13837" width="24.7109375" style="953" customWidth="1"/>
    <col min="13838" max="13838" width="16.28515625" style="953" bestFit="1" customWidth="1"/>
    <col min="13839" max="13839" width="9.28515625" style="953" customWidth="1"/>
    <col min="13840" max="13840" width="11.42578125" style="953" customWidth="1"/>
    <col min="13841" max="13841" width="0" style="953" hidden="1" customWidth="1"/>
    <col min="13842" max="14081" width="9.140625" style="953"/>
    <col min="14082" max="14082" width="20" style="953" customWidth="1"/>
    <col min="14083" max="14084" width="15.7109375" style="953" customWidth="1"/>
    <col min="14085" max="14085" width="18.85546875" style="953" customWidth="1"/>
    <col min="14086" max="14086" width="35.7109375" style="953" customWidth="1"/>
    <col min="14087" max="14087" width="10.7109375" style="953" customWidth="1"/>
    <col min="14088" max="14088" width="6.28515625" style="953" customWidth="1"/>
    <col min="14089" max="14089" width="11" style="953" customWidth="1"/>
    <col min="14090" max="14090" width="35.85546875" style="953" customWidth="1"/>
    <col min="14091" max="14091" width="9.140625" style="953"/>
    <col min="14092" max="14092" width="65.28515625" style="953" customWidth="1"/>
    <col min="14093" max="14093" width="24.7109375" style="953" customWidth="1"/>
    <col min="14094" max="14094" width="16.28515625" style="953" bestFit="1" customWidth="1"/>
    <col min="14095" max="14095" width="9.28515625" style="953" customWidth="1"/>
    <col min="14096" max="14096" width="11.42578125" style="953" customWidth="1"/>
    <col min="14097" max="14097" width="0" style="953" hidden="1" customWidth="1"/>
    <col min="14098" max="14337" width="9.140625" style="953"/>
    <col min="14338" max="14338" width="20" style="953" customWidth="1"/>
    <col min="14339" max="14340" width="15.7109375" style="953" customWidth="1"/>
    <col min="14341" max="14341" width="18.85546875" style="953" customWidth="1"/>
    <col min="14342" max="14342" width="35.7109375" style="953" customWidth="1"/>
    <col min="14343" max="14343" width="10.7109375" style="953" customWidth="1"/>
    <col min="14344" max="14344" width="6.28515625" style="953" customWidth="1"/>
    <col min="14345" max="14345" width="11" style="953" customWidth="1"/>
    <col min="14346" max="14346" width="35.85546875" style="953" customWidth="1"/>
    <col min="14347" max="14347" width="9.140625" style="953"/>
    <col min="14348" max="14348" width="65.28515625" style="953" customWidth="1"/>
    <col min="14349" max="14349" width="24.7109375" style="953" customWidth="1"/>
    <col min="14350" max="14350" width="16.28515625" style="953" bestFit="1" customWidth="1"/>
    <col min="14351" max="14351" width="9.28515625" style="953" customWidth="1"/>
    <col min="14352" max="14352" width="11.42578125" style="953" customWidth="1"/>
    <col min="14353" max="14353" width="0" style="953" hidden="1" customWidth="1"/>
    <col min="14354" max="14593" width="9.140625" style="953"/>
    <col min="14594" max="14594" width="20" style="953" customWidth="1"/>
    <col min="14595" max="14596" width="15.7109375" style="953" customWidth="1"/>
    <col min="14597" max="14597" width="18.85546875" style="953" customWidth="1"/>
    <col min="14598" max="14598" width="35.7109375" style="953" customWidth="1"/>
    <col min="14599" max="14599" width="10.7109375" style="953" customWidth="1"/>
    <col min="14600" max="14600" width="6.28515625" style="953" customWidth="1"/>
    <col min="14601" max="14601" width="11" style="953" customWidth="1"/>
    <col min="14602" max="14602" width="35.85546875" style="953" customWidth="1"/>
    <col min="14603" max="14603" width="9.140625" style="953"/>
    <col min="14604" max="14604" width="65.28515625" style="953" customWidth="1"/>
    <col min="14605" max="14605" width="24.7109375" style="953" customWidth="1"/>
    <col min="14606" max="14606" width="16.28515625" style="953" bestFit="1" customWidth="1"/>
    <col min="14607" max="14607" width="9.28515625" style="953" customWidth="1"/>
    <col min="14608" max="14608" width="11.42578125" style="953" customWidth="1"/>
    <col min="14609" max="14609" width="0" style="953" hidden="1" customWidth="1"/>
    <col min="14610" max="14849" width="9.140625" style="953"/>
    <col min="14850" max="14850" width="20" style="953" customWidth="1"/>
    <col min="14851" max="14852" width="15.7109375" style="953" customWidth="1"/>
    <col min="14853" max="14853" width="18.85546875" style="953" customWidth="1"/>
    <col min="14854" max="14854" width="35.7109375" style="953" customWidth="1"/>
    <col min="14855" max="14855" width="10.7109375" style="953" customWidth="1"/>
    <col min="14856" max="14856" width="6.28515625" style="953" customWidth="1"/>
    <col min="14857" max="14857" width="11" style="953" customWidth="1"/>
    <col min="14858" max="14858" width="35.85546875" style="953" customWidth="1"/>
    <col min="14859" max="14859" width="9.140625" style="953"/>
    <col min="14860" max="14860" width="65.28515625" style="953" customWidth="1"/>
    <col min="14861" max="14861" width="24.7109375" style="953" customWidth="1"/>
    <col min="14862" max="14862" width="16.28515625" style="953" bestFit="1" customWidth="1"/>
    <col min="14863" max="14863" width="9.28515625" style="953" customWidth="1"/>
    <col min="14864" max="14864" width="11.42578125" style="953" customWidth="1"/>
    <col min="14865" max="14865" width="0" style="953" hidden="1" customWidth="1"/>
    <col min="14866" max="15105" width="9.140625" style="953"/>
    <col min="15106" max="15106" width="20" style="953" customWidth="1"/>
    <col min="15107" max="15108" width="15.7109375" style="953" customWidth="1"/>
    <col min="15109" max="15109" width="18.85546875" style="953" customWidth="1"/>
    <col min="15110" max="15110" width="35.7109375" style="953" customWidth="1"/>
    <col min="15111" max="15111" width="10.7109375" style="953" customWidth="1"/>
    <col min="15112" max="15112" width="6.28515625" style="953" customWidth="1"/>
    <col min="15113" max="15113" width="11" style="953" customWidth="1"/>
    <col min="15114" max="15114" width="35.85546875" style="953" customWidth="1"/>
    <col min="15115" max="15115" width="9.140625" style="953"/>
    <col min="15116" max="15116" width="65.28515625" style="953" customWidth="1"/>
    <col min="15117" max="15117" width="24.7109375" style="953" customWidth="1"/>
    <col min="15118" max="15118" width="16.28515625" style="953" bestFit="1" customWidth="1"/>
    <col min="15119" max="15119" width="9.28515625" style="953" customWidth="1"/>
    <col min="15120" max="15120" width="11.42578125" style="953" customWidth="1"/>
    <col min="15121" max="15121" width="0" style="953" hidden="1" customWidth="1"/>
    <col min="15122" max="15361" width="9.140625" style="953"/>
    <col min="15362" max="15362" width="20" style="953" customWidth="1"/>
    <col min="15363" max="15364" width="15.7109375" style="953" customWidth="1"/>
    <col min="15365" max="15365" width="18.85546875" style="953" customWidth="1"/>
    <col min="15366" max="15366" width="35.7109375" style="953" customWidth="1"/>
    <col min="15367" max="15367" width="10.7109375" style="953" customWidth="1"/>
    <col min="15368" max="15368" width="6.28515625" style="953" customWidth="1"/>
    <col min="15369" max="15369" width="11" style="953" customWidth="1"/>
    <col min="15370" max="15370" width="35.85546875" style="953" customWidth="1"/>
    <col min="15371" max="15371" width="9.140625" style="953"/>
    <col min="15372" max="15372" width="65.28515625" style="953" customWidth="1"/>
    <col min="15373" max="15373" width="24.7109375" style="953" customWidth="1"/>
    <col min="15374" max="15374" width="16.28515625" style="953" bestFit="1" customWidth="1"/>
    <col min="15375" max="15375" width="9.28515625" style="953" customWidth="1"/>
    <col min="15376" max="15376" width="11.42578125" style="953" customWidth="1"/>
    <col min="15377" max="15377" width="0" style="953" hidden="1" customWidth="1"/>
    <col min="15378" max="15617" width="9.140625" style="953"/>
    <col min="15618" max="15618" width="20" style="953" customWidth="1"/>
    <col min="15619" max="15620" width="15.7109375" style="953" customWidth="1"/>
    <col min="15621" max="15621" width="18.85546875" style="953" customWidth="1"/>
    <col min="15622" max="15622" width="35.7109375" style="953" customWidth="1"/>
    <col min="15623" max="15623" width="10.7109375" style="953" customWidth="1"/>
    <col min="15624" max="15624" width="6.28515625" style="953" customWidth="1"/>
    <col min="15625" max="15625" width="11" style="953" customWidth="1"/>
    <col min="15626" max="15626" width="35.85546875" style="953" customWidth="1"/>
    <col min="15627" max="15627" width="9.140625" style="953"/>
    <col min="15628" max="15628" width="65.28515625" style="953" customWidth="1"/>
    <col min="15629" max="15629" width="24.7109375" style="953" customWidth="1"/>
    <col min="15630" max="15630" width="16.28515625" style="953" bestFit="1" customWidth="1"/>
    <col min="15631" max="15631" width="9.28515625" style="953" customWidth="1"/>
    <col min="15632" max="15632" width="11.42578125" style="953" customWidth="1"/>
    <col min="15633" max="15633" width="0" style="953" hidden="1" customWidth="1"/>
    <col min="15634" max="15873" width="9.140625" style="953"/>
    <col min="15874" max="15874" width="20" style="953" customWidth="1"/>
    <col min="15875" max="15876" width="15.7109375" style="953" customWidth="1"/>
    <col min="15877" max="15877" width="18.85546875" style="953" customWidth="1"/>
    <col min="15878" max="15878" width="35.7109375" style="953" customWidth="1"/>
    <col min="15879" max="15879" width="10.7109375" style="953" customWidth="1"/>
    <col min="15880" max="15880" width="6.28515625" style="953" customWidth="1"/>
    <col min="15881" max="15881" width="11" style="953" customWidth="1"/>
    <col min="15882" max="15882" width="35.85546875" style="953" customWidth="1"/>
    <col min="15883" max="15883" width="9.140625" style="953"/>
    <col min="15884" max="15884" width="65.28515625" style="953" customWidth="1"/>
    <col min="15885" max="15885" width="24.7109375" style="953" customWidth="1"/>
    <col min="15886" max="15886" width="16.28515625" style="953" bestFit="1" customWidth="1"/>
    <col min="15887" max="15887" width="9.28515625" style="953" customWidth="1"/>
    <col min="15888" max="15888" width="11.42578125" style="953" customWidth="1"/>
    <col min="15889" max="15889" width="0" style="953" hidden="1" customWidth="1"/>
    <col min="15890" max="16129" width="9.140625" style="953"/>
    <col min="16130" max="16130" width="20" style="953" customWidth="1"/>
    <col min="16131" max="16132" width="15.7109375" style="953" customWidth="1"/>
    <col min="16133" max="16133" width="18.85546875" style="953" customWidth="1"/>
    <col min="16134" max="16134" width="35.7109375" style="953" customWidth="1"/>
    <col min="16135" max="16135" width="10.7109375" style="953" customWidth="1"/>
    <col min="16136" max="16136" width="6.28515625" style="953" customWidth="1"/>
    <col min="16137" max="16137" width="11" style="953" customWidth="1"/>
    <col min="16138" max="16138" width="35.85546875" style="953" customWidth="1"/>
    <col min="16139" max="16139" width="9.140625" style="953"/>
    <col min="16140" max="16140" width="65.28515625" style="953" customWidth="1"/>
    <col min="16141" max="16141" width="24.7109375" style="953" customWidth="1"/>
    <col min="16142" max="16142" width="16.28515625" style="953" bestFit="1" customWidth="1"/>
    <col min="16143" max="16143" width="9.28515625" style="953" customWidth="1"/>
    <col min="16144" max="16144" width="11.42578125" style="953" customWidth="1"/>
    <col min="16145" max="16145" width="0" style="953" hidden="1" customWidth="1"/>
    <col min="16146" max="16384" width="9.140625" style="953"/>
  </cols>
  <sheetData>
    <row r="1" spans="1:93" ht="26.25" customHeight="1">
      <c r="A1" s="1437" t="s">
        <v>1597</v>
      </c>
      <c r="B1" s="1438" t="s">
        <v>1598</v>
      </c>
      <c r="C1" s="1439"/>
      <c r="D1" s="1439"/>
      <c r="E1" s="1439"/>
      <c r="F1" s="1441"/>
      <c r="G1" s="1439"/>
      <c r="H1" s="1439"/>
      <c r="I1" s="1439"/>
      <c r="J1" s="1439"/>
      <c r="K1" s="953"/>
      <c r="O1" s="953"/>
      <c r="P1" s="953"/>
    </row>
    <row r="2" spans="1:93" ht="26.25" customHeight="1">
      <c r="B2" s="1438" t="s">
        <v>1599</v>
      </c>
      <c r="C2" s="1439"/>
      <c r="D2" s="1439"/>
      <c r="E2" s="1439"/>
      <c r="F2" s="1441"/>
      <c r="G2" s="1439"/>
      <c r="H2" s="1439"/>
      <c r="I2" s="1439"/>
      <c r="J2" s="1439"/>
      <c r="K2" s="953"/>
      <c r="O2" s="953"/>
      <c r="P2" s="953"/>
    </row>
    <row r="3" spans="1:93" ht="26.25" customHeight="1">
      <c r="B3" s="1440" t="s">
        <v>409</v>
      </c>
      <c r="C3" s="1440">
        <f>'Project Info'!$C$3</f>
        <v>0</v>
      </c>
      <c r="D3" s="1440"/>
      <c r="E3" s="1439"/>
      <c r="F3" s="1441"/>
      <c r="G3" s="1439"/>
      <c r="H3" s="1439"/>
      <c r="I3" s="1439"/>
      <c r="J3" s="1439"/>
      <c r="K3" s="953"/>
      <c r="O3" s="953"/>
      <c r="P3" s="953"/>
    </row>
    <row r="4" spans="1:93" ht="26.25" customHeight="1">
      <c r="A4" s="1469"/>
      <c r="B4" s="1439"/>
      <c r="D4" s="1439"/>
      <c r="E4" s="1439"/>
      <c r="F4" s="1439"/>
      <c r="G4" s="1439"/>
      <c r="H4" s="1439"/>
      <c r="I4" s="1439"/>
      <c r="J4" s="1470"/>
      <c r="Q4" s="1439"/>
      <c r="R4" s="1439"/>
      <c r="S4" s="1439"/>
      <c r="T4" s="1439"/>
      <c r="U4" s="1439"/>
      <c r="V4" s="1439"/>
      <c r="W4" s="1439"/>
      <c r="X4" s="1439"/>
      <c r="Y4" s="1439"/>
      <c r="Z4" s="1439"/>
      <c r="AA4" s="1439"/>
      <c r="AB4" s="1439"/>
      <c r="AC4" s="1439"/>
      <c r="AD4" s="1439"/>
      <c r="AE4" s="1439"/>
      <c r="AF4" s="1439"/>
      <c r="AG4" s="1439"/>
      <c r="AH4" s="1439"/>
      <c r="AI4" s="1439"/>
      <c r="AJ4" s="1439"/>
      <c r="AK4" s="1439"/>
      <c r="AL4" s="1439"/>
      <c r="AM4" s="1439"/>
      <c r="AN4" s="1439"/>
      <c r="AO4" s="1439"/>
      <c r="AP4" s="1439"/>
      <c r="AQ4" s="1439"/>
      <c r="AR4" s="1439"/>
      <c r="AS4" s="1439"/>
      <c r="AT4" s="1439"/>
      <c r="AU4" s="1439"/>
      <c r="AV4" s="1439"/>
      <c r="AW4" s="1439"/>
      <c r="AX4" s="1439"/>
      <c r="AY4" s="1439"/>
      <c r="AZ4" s="1439"/>
      <c r="BA4" s="1439"/>
      <c r="BB4" s="1439"/>
      <c r="BC4" s="1439"/>
      <c r="BD4" s="1439"/>
      <c r="BE4" s="1439"/>
      <c r="BF4" s="1439"/>
      <c r="BG4" s="1439"/>
      <c r="BH4" s="1439"/>
      <c r="BI4" s="1439"/>
      <c r="BJ4" s="1439"/>
      <c r="BK4" s="1439"/>
      <c r="BL4" s="1439"/>
      <c r="BM4" s="1439"/>
      <c r="BN4" s="1439"/>
      <c r="BO4" s="1439"/>
      <c r="BP4" s="1439"/>
      <c r="BQ4" s="1439"/>
      <c r="BR4" s="1439"/>
      <c r="BS4" s="1439"/>
      <c r="BT4" s="1439"/>
      <c r="BU4" s="1439"/>
      <c r="BV4" s="1439"/>
      <c r="BW4" s="1439"/>
      <c r="BX4" s="1439"/>
      <c r="BY4" s="1439"/>
      <c r="BZ4" s="1439"/>
      <c r="CA4" s="1439"/>
      <c r="CB4" s="1439"/>
      <c r="CC4" s="1439"/>
      <c r="CD4" s="1439"/>
      <c r="CE4" s="1439"/>
      <c r="CF4" s="1439"/>
      <c r="CG4" s="1439"/>
      <c r="CH4" s="1439"/>
      <c r="CI4" s="1439"/>
      <c r="CJ4" s="1439"/>
      <c r="CK4" s="1439"/>
      <c r="CL4" s="1439"/>
      <c r="CM4" s="1439"/>
      <c r="CN4" s="1439"/>
      <c r="CO4" s="1439"/>
    </row>
    <row r="5" spans="1:93" s="1543" customFormat="1" ht="15.75">
      <c r="A5" s="1442"/>
      <c r="B5" s="1443" t="s">
        <v>1753</v>
      </c>
      <c r="C5" s="1444"/>
      <c r="D5" s="1444"/>
      <c r="E5" s="1445"/>
      <c r="F5" s="1495"/>
      <c r="G5" s="1542"/>
      <c r="H5" s="2628" t="s">
        <v>1601</v>
      </c>
      <c r="I5" s="2628"/>
      <c r="J5" s="1447" t="s">
        <v>1602</v>
      </c>
      <c r="K5" s="1563"/>
      <c r="L5" s="1442"/>
      <c r="M5" s="1442"/>
      <c r="N5" s="1442"/>
      <c r="O5" s="1563"/>
      <c r="P5" s="1563"/>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c r="BO5" s="1475"/>
      <c r="BP5" s="1475"/>
      <c r="BQ5" s="1475"/>
      <c r="BR5" s="1475"/>
      <c r="BS5" s="1475"/>
      <c r="BT5" s="1475"/>
      <c r="BU5" s="1475"/>
      <c r="BV5" s="1475"/>
      <c r="BW5" s="1475"/>
      <c r="BX5" s="1475"/>
      <c r="BY5" s="1475"/>
      <c r="BZ5" s="1475"/>
      <c r="CA5" s="1475"/>
      <c r="CB5" s="1475"/>
      <c r="CC5" s="1475"/>
      <c r="CD5" s="1475"/>
      <c r="CE5" s="1475"/>
      <c r="CF5" s="1475"/>
      <c r="CG5" s="1475"/>
      <c r="CH5" s="1475"/>
      <c r="CI5" s="1475"/>
      <c r="CJ5" s="1475"/>
      <c r="CK5" s="1475"/>
      <c r="CL5" s="1475"/>
      <c r="CM5" s="1475"/>
      <c r="CN5" s="1475"/>
      <c r="CO5" s="1475"/>
    </row>
    <row r="6" spans="1:93" s="1520" customFormat="1" ht="45">
      <c r="B6" s="1450"/>
      <c r="C6" s="1450"/>
      <c r="D6" s="1450"/>
      <c r="E6" s="1450"/>
      <c r="F6" s="1450"/>
      <c r="G6" s="1450"/>
      <c r="H6" s="2674" t="s">
        <v>1603</v>
      </c>
      <c r="I6" s="2624"/>
      <c r="J6" s="1137"/>
      <c r="K6" s="1519"/>
      <c r="L6" s="1501" t="s">
        <v>1675</v>
      </c>
      <c r="M6" s="1502" t="s">
        <v>1676</v>
      </c>
      <c r="N6" s="1501" t="s">
        <v>1677</v>
      </c>
      <c r="O6" s="1519"/>
      <c r="P6" s="1519"/>
      <c r="Q6" s="1564"/>
      <c r="R6" s="1564"/>
      <c r="S6" s="1564"/>
      <c r="T6" s="1564"/>
      <c r="U6" s="1564"/>
      <c r="V6" s="1564"/>
      <c r="W6" s="1564"/>
      <c r="X6" s="1564"/>
      <c r="Y6" s="1564"/>
      <c r="Z6" s="1564"/>
      <c r="AA6" s="1564"/>
      <c r="AB6" s="1564"/>
      <c r="AC6" s="1564"/>
      <c r="AD6" s="1564"/>
      <c r="AE6" s="1564"/>
      <c r="AF6" s="1564"/>
      <c r="AG6" s="1564"/>
      <c r="AH6" s="1564"/>
      <c r="AI6" s="1564"/>
      <c r="AJ6" s="1564"/>
      <c r="AK6" s="1564"/>
      <c r="AL6" s="1564"/>
      <c r="AM6" s="1564"/>
      <c r="AN6" s="1564"/>
      <c r="AO6" s="1564"/>
      <c r="AP6" s="1564"/>
      <c r="AQ6" s="1564"/>
      <c r="AR6" s="1564"/>
      <c r="AS6" s="1564"/>
      <c r="AT6" s="1564"/>
      <c r="AU6" s="1564"/>
      <c r="AV6" s="1564"/>
      <c r="AW6" s="1564"/>
      <c r="AX6" s="1564"/>
      <c r="AY6" s="1564"/>
      <c r="AZ6" s="1564"/>
      <c r="BA6" s="1564"/>
      <c r="BB6" s="1564"/>
      <c r="BC6" s="1564"/>
      <c r="BD6" s="1564"/>
      <c r="BE6" s="1564"/>
      <c r="BF6" s="1564"/>
      <c r="BG6" s="1564"/>
      <c r="BH6" s="1564"/>
      <c r="BI6" s="1564"/>
      <c r="BJ6" s="1564"/>
      <c r="BK6" s="1564"/>
      <c r="BL6" s="1564"/>
      <c r="BM6" s="1564"/>
      <c r="BN6" s="1564"/>
      <c r="BO6" s="1564"/>
      <c r="BP6" s="1564"/>
      <c r="BQ6" s="1564"/>
      <c r="BR6" s="1564"/>
      <c r="BS6" s="1564"/>
      <c r="BT6" s="1564"/>
      <c r="BU6" s="1564"/>
      <c r="BV6" s="1564"/>
      <c r="BW6" s="1564"/>
      <c r="BX6" s="1564"/>
      <c r="BY6" s="1564"/>
      <c r="BZ6" s="1564"/>
      <c r="CA6" s="1564"/>
      <c r="CB6" s="1564"/>
      <c r="CC6" s="1564"/>
      <c r="CD6" s="1564"/>
      <c r="CE6" s="1564"/>
      <c r="CF6" s="1564"/>
      <c r="CG6" s="1564"/>
      <c r="CH6" s="1564"/>
      <c r="CI6" s="1564"/>
      <c r="CJ6" s="1564"/>
      <c r="CK6" s="1564"/>
      <c r="CL6" s="1564"/>
      <c r="CM6" s="1564"/>
      <c r="CN6" s="1564"/>
      <c r="CO6" s="1564"/>
    </row>
    <row r="7" spans="1:93" s="1520" customFormat="1">
      <c r="B7" s="1545"/>
      <c r="C7" s="1545"/>
      <c r="D7" s="1545"/>
      <c r="E7" s="1545"/>
      <c r="F7" s="1545"/>
      <c r="G7" s="1545"/>
      <c r="H7" s="2624"/>
      <c r="I7" s="2624"/>
      <c r="J7" s="1111"/>
      <c r="K7" s="1519"/>
      <c r="L7" s="1503" t="s">
        <v>1679</v>
      </c>
      <c r="M7" s="1504">
        <v>5</v>
      </c>
      <c r="N7" s="1503" t="s">
        <v>1680</v>
      </c>
      <c r="O7" s="1519"/>
      <c r="P7" s="1519"/>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c r="AY7" s="1564"/>
      <c r="AZ7" s="1564"/>
      <c r="BA7" s="1564"/>
      <c r="BB7" s="1564"/>
      <c r="BC7" s="1564"/>
      <c r="BD7" s="1564"/>
      <c r="BE7" s="1564"/>
      <c r="BF7" s="1564"/>
      <c r="BG7" s="1564"/>
      <c r="BH7" s="1564"/>
      <c r="BI7" s="1564"/>
      <c r="BJ7" s="1564"/>
      <c r="BK7" s="1564"/>
      <c r="BL7" s="1564"/>
      <c r="BM7" s="1564"/>
      <c r="BN7" s="1564"/>
      <c r="BO7" s="1564"/>
      <c r="BP7" s="1564"/>
      <c r="BQ7" s="1564"/>
      <c r="BR7" s="1564"/>
      <c r="BS7" s="1564"/>
      <c r="BT7" s="1564"/>
      <c r="BU7" s="1564"/>
      <c r="BV7" s="1564"/>
      <c r="BW7" s="1564"/>
      <c r="BX7" s="1564"/>
      <c r="BY7" s="1564"/>
      <c r="BZ7" s="1564"/>
      <c r="CA7" s="1564"/>
      <c r="CB7" s="1564"/>
      <c r="CC7" s="1564"/>
      <c r="CD7" s="1564"/>
      <c r="CE7" s="1564"/>
      <c r="CF7" s="1564"/>
      <c r="CG7" s="1564"/>
      <c r="CH7" s="1564"/>
      <c r="CI7" s="1564"/>
      <c r="CJ7" s="1564"/>
      <c r="CK7" s="1564"/>
      <c r="CL7" s="1564"/>
      <c r="CM7" s="1564"/>
      <c r="CN7" s="1564"/>
      <c r="CO7" s="1564"/>
    </row>
    <row r="8" spans="1:93">
      <c r="A8" s="1313"/>
      <c r="B8" s="1454" t="s">
        <v>1604</v>
      </c>
      <c r="C8" s="1498"/>
      <c r="D8" s="1499"/>
      <c r="E8" s="1499"/>
      <c r="F8" s="1499"/>
      <c r="G8" s="1499"/>
      <c r="H8" s="2624"/>
      <c r="I8" s="2624"/>
      <c r="J8" s="1111"/>
      <c r="K8" s="1313"/>
      <c r="L8" s="1503" t="s">
        <v>1682</v>
      </c>
      <c r="M8" s="1505">
        <v>5.6</v>
      </c>
      <c r="N8" s="1503" t="s">
        <v>1683</v>
      </c>
      <c r="O8" s="1313"/>
      <c r="P8" s="1313"/>
      <c r="Q8" s="1313"/>
      <c r="R8" s="1313"/>
      <c r="S8" s="1313"/>
      <c r="T8" s="1313"/>
      <c r="U8" s="1313"/>
      <c r="V8" s="1313"/>
      <c r="W8" s="1313"/>
      <c r="X8" s="1313"/>
      <c r="Y8" s="1313"/>
      <c r="Z8" s="1313"/>
      <c r="AA8" s="1313"/>
      <c r="AB8" s="1313"/>
      <c r="AC8" s="1313"/>
      <c r="AD8" s="1313"/>
      <c r="AE8" s="1313"/>
      <c r="AF8" s="1313"/>
      <c r="AG8" s="1313"/>
      <c r="AH8" s="1313"/>
      <c r="AI8" s="1313"/>
      <c r="AJ8" s="1313"/>
      <c r="AK8" s="1313"/>
      <c r="AL8" s="1313"/>
      <c r="AM8" s="1313"/>
      <c r="AN8" s="1313"/>
      <c r="AO8" s="1313"/>
      <c r="AP8" s="1313"/>
      <c r="AQ8" s="1313"/>
      <c r="AR8" s="1313"/>
      <c r="AS8" s="1313"/>
      <c r="AT8" s="1313"/>
      <c r="AU8" s="1313"/>
      <c r="AV8" s="1313"/>
      <c r="AW8" s="1313"/>
      <c r="AX8" s="1313"/>
      <c r="AY8" s="1313"/>
      <c r="AZ8" s="1313"/>
      <c r="BA8" s="1313"/>
      <c r="BB8" s="1313"/>
    </row>
    <row r="9" spans="1:93" ht="15" customHeight="1">
      <c r="A9" s="1313"/>
      <c r="B9" s="2585" t="s">
        <v>1754</v>
      </c>
      <c r="C9" s="2585"/>
      <c r="D9" s="2585"/>
      <c r="E9" s="2585"/>
      <c r="F9" s="2585"/>
      <c r="G9" s="2585"/>
      <c r="H9" s="1449"/>
      <c r="I9" s="1449"/>
      <c r="J9" s="1452"/>
      <c r="K9" s="1313"/>
      <c r="L9" s="1503" t="s">
        <v>1684</v>
      </c>
      <c r="M9" s="1505">
        <v>3.4</v>
      </c>
      <c r="N9" s="1503" t="s">
        <v>1685</v>
      </c>
      <c r="O9" s="1313"/>
      <c r="P9" s="1313"/>
      <c r="Q9" s="1313"/>
      <c r="R9" s="1313"/>
      <c r="S9" s="1313"/>
      <c r="T9" s="1313"/>
      <c r="U9" s="1313"/>
      <c r="V9" s="1313"/>
      <c r="W9" s="1313"/>
      <c r="X9" s="1313"/>
      <c r="Y9" s="1313"/>
      <c r="Z9" s="1313"/>
      <c r="AA9" s="1313"/>
      <c r="AB9" s="1313"/>
      <c r="AC9" s="1313"/>
      <c r="AD9" s="1313"/>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1313"/>
      <c r="BA9" s="1313"/>
      <c r="BB9" s="1313"/>
    </row>
    <row r="10" spans="1:93">
      <c r="A10" s="1313"/>
      <c r="B10" s="1499"/>
      <c r="C10" s="1498"/>
      <c r="D10" s="1499"/>
      <c r="E10" s="1499"/>
      <c r="F10" s="1499"/>
      <c r="G10" s="1499"/>
      <c r="H10" s="1449"/>
      <c r="I10" s="1449"/>
      <c r="J10" s="1452"/>
      <c r="K10" s="953"/>
      <c r="L10" s="1503" t="s">
        <v>1686</v>
      </c>
      <c r="M10" s="1505">
        <v>3.4</v>
      </c>
      <c r="N10" s="1503" t="s">
        <v>1685</v>
      </c>
      <c r="O10" s="953"/>
      <c r="P10" s="953"/>
    </row>
    <row r="11" spans="1:93">
      <c r="A11" s="1313"/>
      <c r="B11" s="1454" t="s">
        <v>1607</v>
      </c>
      <c r="C11" s="1498"/>
      <c r="D11" s="1499"/>
      <c r="E11" s="1499"/>
      <c r="F11" s="1499"/>
      <c r="G11" s="1499"/>
      <c r="H11" s="1449"/>
      <c r="I11" s="1449"/>
      <c r="J11" s="1452"/>
      <c r="K11" s="953"/>
      <c r="L11" s="1506" t="s">
        <v>1688</v>
      </c>
      <c r="M11" s="1504">
        <v>3.2</v>
      </c>
      <c r="N11" s="1503" t="s">
        <v>1685</v>
      </c>
      <c r="O11" s="953"/>
      <c r="P11" s="953"/>
    </row>
    <row r="12" spans="1:93">
      <c r="A12" s="1313"/>
      <c r="B12" s="1499" t="s">
        <v>1608</v>
      </c>
      <c r="C12" s="1498"/>
      <c r="D12" s="1499"/>
      <c r="E12" s="1499"/>
      <c r="F12" s="1499"/>
      <c r="G12" s="1499"/>
      <c r="H12" s="1449"/>
      <c r="I12" s="1449"/>
      <c r="J12" s="1449"/>
      <c r="K12" s="953"/>
      <c r="L12" s="1506" t="s">
        <v>1690</v>
      </c>
      <c r="M12" s="1504" t="s">
        <v>1691</v>
      </c>
      <c r="N12" s="1503" t="s">
        <v>1685</v>
      </c>
      <c r="O12" s="953"/>
      <c r="P12" s="953"/>
    </row>
    <row r="13" spans="1:93">
      <c r="A13" s="1313"/>
      <c r="B13" s="1500" t="s">
        <v>1674</v>
      </c>
      <c r="C13" s="1498"/>
      <c r="D13" s="1499"/>
      <c r="E13" s="1499"/>
      <c r="F13" s="1499"/>
      <c r="G13" s="1499"/>
      <c r="H13" s="1449"/>
      <c r="I13" s="1449"/>
      <c r="J13" s="1449"/>
      <c r="K13" s="953"/>
      <c r="L13" s="1506" t="s">
        <v>1693</v>
      </c>
      <c r="M13" s="1504">
        <v>3.2</v>
      </c>
      <c r="N13" s="1503" t="s">
        <v>1685</v>
      </c>
      <c r="O13" s="953"/>
      <c r="P13" s="953"/>
    </row>
    <row r="14" spans="1:93">
      <c r="A14" s="1313"/>
      <c r="B14" s="1500" t="s">
        <v>1755</v>
      </c>
      <c r="C14" s="1498"/>
      <c r="D14" s="1499"/>
      <c r="E14" s="1499"/>
      <c r="F14" s="1499"/>
      <c r="G14" s="1499"/>
      <c r="H14" s="1449"/>
      <c r="I14" s="1449"/>
      <c r="J14" s="1449"/>
      <c r="K14" s="953"/>
      <c r="L14" s="1503" t="s">
        <v>1695</v>
      </c>
      <c r="M14" s="1505">
        <v>6.5</v>
      </c>
      <c r="N14" s="1503" t="s">
        <v>1696</v>
      </c>
      <c r="O14" s="953"/>
      <c r="P14" s="953"/>
    </row>
    <row r="15" spans="1:93">
      <c r="A15" s="1313"/>
      <c r="B15" s="1500" t="s">
        <v>1756</v>
      </c>
      <c r="C15" s="1498"/>
      <c r="D15" s="1499"/>
      <c r="E15" s="1499"/>
      <c r="F15" s="1499"/>
      <c r="G15" s="1499"/>
      <c r="H15" s="1449"/>
      <c r="I15" s="1449"/>
      <c r="J15" s="1449"/>
      <c r="K15" s="953"/>
      <c r="L15" s="1503" t="s">
        <v>1698</v>
      </c>
      <c r="M15" s="1504">
        <v>4</v>
      </c>
      <c r="N15" s="1503" t="s">
        <v>1699</v>
      </c>
      <c r="O15" s="953"/>
      <c r="P15" s="953"/>
    </row>
    <row r="16" spans="1:93">
      <c r="A16" s="1313"/>
      <c r="B16" s="1499"/>
      <c r="C16" s="1498"/>
      <c r="D16" s="1499"/>
      <c r="E16" s="1499"/>
      <c r="F16" s="1499"/>
      <c r="G16" s="1499"/>
      <c r="H16" s="1449"/>
      <c r="I16" s="1449"/>
      <c r="J16" s="1449"/>
      <c r="K16" s="953"/>
      <c r="O16" s="953"/>
      <c r="P16" s="953"/>
    </row>
    <row r="17" spans="1:18">
      <c r="A17" s="1313"/>
      <c r="B17" s="1454" t="s">
        <v>1611</v>
      </c>
      <c r="C17" s="1498"/>
      <c r="D17" s="1499"/>
      <c r="E17" s="1499"/>
      <c r="F17" s="1499"/>
      <c r="G17" s="1499"/>
      <c r="H17" s="1449"/>
      <c r="I17" s="1449"/>
      <c r="J17" s="1449"/>
      <c r="K17" s="953"/>
      <c r="O17" s="953"/>
      <c r="P17" s="953"/>
    </row>
    <row r="18" spans="1:18" ht="39.75" customHeight="1">
      <c r="A18" s="1313"/>
      <c r="B18" s="2585" t="s">
        <v>1757</v>
      </c>
      <c r="C18" s="2585"/>
      <c r="D18" s="2585"/>
      <c r="E18" s="2585"/>
      <c r="F18" s="2585"/>
      <c r="G18" s="2585"/>
      <c r="H18" s="1449"/>
      <c r="I18" s="1449"/>
      <c r="J18" s="1449"/>
      <c r="K18" s="953"/>
      <c r="O18" s="953"/>
      <c r="P18" s="953"/>
    </row>
    <row r="19" spans="1:18" ht="66.75" customHeight="1">
      <c r="A19" s="1313"/>
      <c r="B19" s="2585" t="s">
        <v>1758</v>
      </c>
      <c r="C19" s="2585"/>
      <c r="D19" s="2585"/>
      <c r="E19" s="2585"/>
      <c r="F19" s="2585"/>
      <c r="G19" s="2585"/>
      <c r="H19" s="1449"/>
      <c r="I19" s="1449"/>
      <c r="J19" s="1449"/>
      <c r="K19" s="953"/>
      <c r="O19" s="953"/>
      <c r="P19" s="953"/>
    </row>
    <row r="20" spans="1:18" ht="52.5" customHeight="1">
      <c r="A20" s="1313"/>
      <c r="B20" s="2585" t="s">
        <v>1759</v>
      </c>
      <c r="C20" s="2585"/>
      <c r="D20" s="2585"/>
      <c r="E20" s="2585"/>
      <c r="F20" s="2585"/>
      <c r="G20" s="2585"/>
      <c r="H20" s="1449"/>
      <c r="I20" s="1449"/>
      <c r="J20" s="1449"/>
      <c r="K20" s="953"/>
      <c r="O20" s="953"/>
      <c r="P20" s="953"/>
    </row>
    <row r="21" spans="1:18" ht="52.5" customHeight="1">
      <c r="A21" s="1313"/>
      <c r="B21" s="2585" t="s">
        <v>1760</v>
      </c>
      <c r="C21" s="2585"/>
      <c r="D21" s="2585"/>
      <c r="E21" s="2585"/>
      <c r="F21" s="2585"/>
      <c r="G21" s="2585"/>
      <c r="H21" s="1449"/>
      <c r="I21" s="1449"/>
      <c r="J21" s="1449"/>
      <c r="K21" s="953"/>
      <c r="O21" s="953"/>
      <c r="P21" s="953"/>
    </row>
    <row r="22" spans="1:18" ht="18" customHeight="1">
      <c r="A22" s="1313"/>
      <c r="B22" s="2644" t="s">
        <v>1761</v>
      </c>
      <c r="C22" s="2644"/>
      <c r="D22" s="2644"/>
      <c r="E22" s="2644"/>
      <c r="F22" s="2644"/>
      <c r="G22" s="2644"/>
      <c r="H22" s="1449"/>
      <c r="I22" s="1449"/>
      <c r="J22" s="1449"/>
      <c r="K22" s="1457"/>
      <c r="L22" s="1457"/>
      <c r="M22" s="1457"/>
      <c r="N22" s="1457"/>
      <c r="O22" s="1457"/>
      <c r="P22" s="1457"/>
    </row>
    <row r="23" spans="1:18" ht="84" customHeight="1">
      <c r="A23" s="1313"/>
      <c r="B23" s="2609" t="s">
        <v>1762</v>
      </c>
      <c r="C23" s="2662"/>
      <c r="D23" s="2662"/>
      <c r="E23" s="2662"/>
      <c r="F23" s="2662"/>
      <c r="G23" s="2662"/>
      <c r="H23" s="1449"/>
      <c r="I23" s="1449"/>
      <c r="J23" s="1449"/>
      <c r="K23" s="1457"/>
      <c r="L23" s="1509"/>
      <c r="M23" s="1509"/>
      <c r="N23" s="1509"/>
      <c r="O23" s="1457"/>
      <c r="P23" s="1457"/>
    </row>
    <row r="24" spans="1:18" ht="16.5" customHeight="1">
      <c r="A24" s="1313"/>
      <c r="B24" s="1565"/>
      <c r="C24" s="1566"/>
      <c r="D24" s="1566"/>
      <c r="E24" s="1566"/>
      <c r="F24" s="1566"/>
      <c r="G24" s="1566"/>
      <c r="H24" s="1449"/>
      <c r="I24" s="1449"/>
      <c r="J24" s="1449"/>
      <c r="K24" s="1457"/>
      <c r="L24" s="1457"/>
      <c r="M24" s="1457"/>
      <c r="N24" s="1457"/>
      <c r="O24" s="1457"/>
      <c r="P24" s="1457"/>
    </row>
    <row r="25" spans="1:18" s="1466" customFormat="1" ht="87" customHeight="1">
      <c r="A25" s="1462"/>
      <c r="B25" s="1456" t="s">
        <v>1617</v>
      </c>
      <c r="C25" s="1459"/>
      <c r="D25" s="1459"/>
      <c r="E25" s="1459"/>
      <c r="F25" s="1459" t="s">
        <v>1626</v>
      </c>
      <c r="G25" s="1459" t="s">
        <v>1627</v>
      </c>
      <c r="H25" s="1465" t="s">
        <v>1628</v>
      </c>
      <c r="I25" s="1546"/>
      <c r="J25" s="1527"/>
      <c r="K25" s="1527"/>
      <c r="L25" s="1457"/>
      <c r="M25" s="1457"/>
      <c r="N25" s="1457"/>
    </row>
    <row r="26" spans="1:18" ht="282" customHeight="1">
      <c r="B26" s="2575" t="s">
        <v>1763</v>
      </c>
      <c r="C26" s="2589"/>
      <c r="D26" s="2589"/>
      <c r="E26" s="2647"/>
      <c r="F26" s="1267"/>
      <c r="G26" s="1263"/>
      <c r="H26" s="1254"/>
      <c r="K26" s="953"/>
      <c r="O26" s="953"/>
      <c r="P26" s="953"/>
    </row>
    <row r="27" spans="1:18" ht="80.25" customHeight="1">
      <c r="A27" s="1313"/>
      <c r="B27" s="2643" t="s">
        <v>1764</v>
      </c>
      <c r="C27" s="2643"/>
      <c r="D27" s="2643"/>
      <c r="E27" s="2643"/>
      <c r="F27" s="1459" t="s">
        <v>1765</v>
      </c>
      <c r="G27" s="1459" t="s">
        <v>1627</v>
      </c>
      <c r="H27" s="1465" t="s">
        <v>1628</v>
      </c>
      <c r="I27" s="1465" t="s">
        <v>1629</v>
      </c>
      <c r="J27" s="1459" t="s">
        <v>1630</v>
      </c>
    </row>
    <row r="28" spans="1:18" s="1520" customFormat="1">
      <c r="A28" s="1515"/>
      <c r="B28" s="1516" t="s">
        <v>1766</v>
      </c>
      <c r="C28" s="1517"/>
      <c r="D28" s="1567" t="s">
        <v>1767</v>
      </c>
      <c r="E28" s="1518"/>
      <c r="F28" s="969"/>
      <c r="G28" s="2648"/>
      <c r="H28" s="1138"/>
      <c r="I28" s="1139"/>
      <c r="J28" s="1251"/>
      <c r="K28" s="1519"/>
      <c r="O28" s="1514"/>
      <c r="P28" s="1514"/>
      <c r="Q28" s="1461"/>
      <c r="R28" s="1514"/>
    </row>
    <row r="29" spans="1:18" s="1520" customFormat="1">
      <c r="A29" s="1521"/>
      <c r="B29" s="1532"/>
      <c r="C29" s="1523"/>
      <c r="D29" s="1523"/>
      <c r="E29" s="1538" t="s">
        <v>1706</v>
      </c>
      <c r="F29" s="1140"/>
      <c r="G29" s="2649"/>
      <c r="H29" s="1138"/>
      <c r="I29" s="1139"/>
      <c r="J29" s="1251"/>
      <c r="K29" s="1519"/>
      <c r="O29" s="1514"/>
      <c r="P29" s="1514"/>
      <c r="Q29" s="1461"/>
      <c r="R29" s="1514"/>
    </row>
    <row r="30" spans="1:18" s="1520" customFormat="1">
      <c r="A30" s="1521"/>
      <c r="B30" s="1522"/>
      <c r="C30" s="1523"/>
      <c r="D30" s="1523"/>
      <c r="E30" s="1524" t="s">
        <v>1707</v>
      </c>
      <c r="F30" s="1140"/>
      <c r="G30" s="2649"/>
      <c r="H30" s="1138"/>
      <c r="I30" s="1139"/>
      <c r="J30" s="1251"/>
      <c r="K30" s="1519"/>
      <c r="O30" s="1514"/>
      <c r="P30" s="1514"/>
      <c r="Q30" s="1461"/>
      <c r="R30" s="1514"/>
    </row>
    <row r="31" spans="1:18" s="1520" customFormat="1">
      <c r="A31" s="1521"/>
      <c r="B31" s="1522"/>
      <c r="C31" s="1523"/>
      <c r="D31" s="1523"/>
      <c r="E31" s="1524" t="s">
        <v>1708</v>
      </c>
      <c r="F31" s="1274"/>
      <c r="G31" s="2649"/>
      <c r="H31" s="1138"/>
      <c r="I31" s="1139"/>
      <c r="J31" s="1251"/>
      <c r="K31" s="1519"/>
      <c r="O31" s="1514"/>
      <c r="P31" s="1514"/>
      <c r="Q31" s="1461"/>
      <c r="R31" s="1514"/>
    </row>
    <row r="32" spans="1:18" s="1520" customFormat="1">
      <c r="A32" s="1521"/>
      <c r="B32" s="1525"/>
      <c r="C32" s="1523"/>
      <c r="D32" s="1523"/>
      <c r="E32" s="1524" t="s">
        <v>1709</v>
      </c>
      <c r="F32" s="1124"/>
      <c r="G32" s="2649"/>
      <c r="H32" s="1138"/>
      <c r="I32" s="1139"/>
      <c r="J32" s="1251"/>
      <c r="K32" s="1519"/>
      <c r="O32" s="1514"/>
      <c r="P32" s="1514"/>
      <c r="Q32" s="1461"/>
      <c r="R32" s="1514"/>
    </row>
    <row r="33" spans="1:18" s="1520" customFormat="1">
      <c r="A33" s="1515"/>
      <c r="B33" s="1522"/>
      <c r="C33" s="1523"/>
      <c r="D33" s="1523"/>
      <c r="E33" s="1524" t="s">
        <v>1710</v>
      </c>
      <c r="F33" s="1117"/>
      <c r="G33" s="2649"/>
      <c r="H33" s="1141"/>
      <c r="I33" s="1139"/>
      <c r="J33" s="1125"/>
      <c r="K33" s="1519"/>
      <c r="O33" s="1514"/>
      <c r="P33" s="1514"/>
      <c r="Q33" s="1461"/>
      <c r="R33" s="1514"/>
    </row>
    <row r="34" spans="1:18" s="1520" customFormat="1">
      <c r="A34" s="1521"/>
      <c r="B34" s="1526"/>
      <c r="C34" s="1527"/>
      <c r="D34" s="1527"/>
      <c r="E34" s="1528"/>
      <c r="F34" s="1274"/>
      <c r="G34" s="2649"/>
      <c r="H34" s="1141"/>
      <c r="I34" s="1139"/>
      <c r="J34" s="1251"/>
      <c r="K34" s="1519"/>
      <c r="O34" s="1514"/>
      <c r="P34" s="1514"/>
      <c r="Q34" s="1461"/>
      <c r="R34" s="1514"/>
    </row>
    <row r="35" spans="1:18" s="1520" customFormat="1">
      <c r="A35" s="1521"/>
      <c r="B35" s="1529" t="s">
        <v>1768</v>
      </c>
      <c r="C35" s="1530"/>
      <c r="D35" s="1530"/>
      <c r="E35" s="1531" t="s">
        <v>1712</v>
      </c>
      <c r="F35" s="1274"/>
      <c r="G35" s="2650"/>
      <c r="H35" s="1141"/>
      <c r="I35" s="1139"/>
      <c r="J35" s="1251"/>
      <c r="K35" s="1519"/>
      <c r="O35" s="1514"/>
      <c r="P35" s="1514"/>
      <c r="Q35" s="1461"/>
      <c r="R35" s="1514"/>
    </row>
    <row r="36" spans="1:18" s="1520" customFormat="1" ht="12.75" customHeight="1">
      <c r="A36" s="1521"/>
      <c r="B36" s="1532"/>
      <c r="C36" s="1126"/>
      <c r="D36" s="1126"/>
      <c r="E36" s="1533"/>
      <c r="F36" s="1534"/>
      <c r="G36" s="1126"/>
      <c r="H36" s="1534"/>
      <c r="I36" s="1534"/>
      <c r="J36" s="1535"/>
      <c r="K36" s="1519"/>
      <c r="O36" s="1514"/>
      <c r="P36" s="1514"/>
      <c r="Q36" s="1461"/>
      <c r="R36" s="1514"/>
    </row>
    <row r="37" spans="1:18" s="1520" customFormat="1">
      <c r="A37" s="1515"/>
      <c r="B37" s="1516" t="s">
        <v>1769</v>
      </c>
      <c r="C37" s="1517"/>
      <c r="D37" s="1567" t="s">
        <v>1767</v>
      </c>
      <c r="E37" s="1518"/>
      <c r="F37" s="1117"/>
      <c r="G37" s="2666"/>
      <c r="H37" s="1141"/>
      <c r="I37" s="1139"/>
      <c r="J37" s="1251"/>
      <c r="K37" s="1519"/>
      <c r="O37" s="1514"/>
      <c r="P37" s="1514"/>
      <c r="Q37" s="1461"/>
      <c r="R37" s="1514"/>
    </row>
    <row r="38" spans="1:18" s="1520" customFormat="1">
      <c r="A38" s="1521"/>
      <c r="B38" s="1532"/>
      <c r="C38" s="1523"/>
      <c r="D38" s="1523"/>
      <c r="E38" s="1538" t="s">
        <v>1706</v>
      </c>
      <c r="F38" s="1117"/>
      <c r="G38" s="2667"/>
      <c r="H38" s="1141"/>
      <c r="I38" s="1139"/>
      <c r="J38" s="1251"/>
      <c r="K38" s="1519"/>
      <c r="O38" s="1514"/>
      <c r="P38" s="1514"/>
      <c r="Q38" s="1461"/>
      <c r="R38" s="1514"/>
    </row>
    <row r="39" spans="1:18" s="1520" customFormat="1" ht="18.75" customHeight="1">
      <c r="A39" s="1521"/>
      <c r="B39" s="1522"/>
      <c r="C39" s="1523"/>
      <c r="D39" s="1523"/>
      <c r="E39" s="1524" t="s">
        <v>1707</v>
      </c>
      <c r="F39" s="1274"/>
      <c r="G39" s="2667"/>
      <c r="H39" s="1141"/>
      <c r="I39" s="1139"/>
      <c r="J39" s="1251"/>
      <c r="K39" s="1519"/>
      <c r="O39" s="1514"/>
      <c r="P39" s="1514"/>
      <c r="Q39" s="1514"/>
      <c r="R39" s="1514"/>
    </row>
    <row r="40" spans="1:18" s="1520" customFormat="1" ht="15.75" customHeight="1">
      <c r="A40" s="1521"/>
      <c r="B40" s="1522"/>
      <c r="C40" s="1523"/>
      <c r="D40" s="1523"/>
      <c r="E40" s="1524" t="s">
        <v>1708</v>
      </c>
      <c r="F40" s="1274"/>
      <c r="G40" s="2667"/>
      <c r="H40" s="1141"/>
      <c r="I40" s="1139"/>
      <c r="J40" s="1251"/>
      <c r="K40" s="1519"/>
      <c r="O40" s="1514"/>
      <c r="P40" s="1514"/>
      <c r="Q40" s="1514"/>
      <c r="R40" s="1514"/>
    </row>
    <row r="41" spans="1:18" s="1520" customFormat="1">
      <c r="A41" s="1521"/>
      <c r="B41" s="1532"/>
      <c r="C41" s="1523"/>
      <c r="D41" s="1523"/>
      <c r="E41" s="1524" t="s">
        <v>1709</v>
      </c>
      <c r="F41" s="1124"/>
      <c r="G41" s="2667"/>
      <c r="H41" s="1141"/>
      <c r="I41" s="1139"/>
      <c r="J41" s="1251"/>
      <c r="K41" s="1519"/>
      <c r="O41" s="1514"/>
      <c r="P41" s="1514"/>
      <c r="Q41" s="1514"/>
      <c r="R41" s="1514"/>
    </row>
    <row r="42" spans="1:18" s="1520" customFormat="1">
      <c r="A42" s="1521"/>
      <c r="B42" s="1522"/>
      <c r="C42" s="1523"/>
      <c r="D42" s="1523"/>
      <c r="E42" s="1524" t="s">
        <v>1710</v>
      </c>
      <c r="F42" s="1117"/>
      <c r="G42" s="2667"/>
      <c r="H42" s="1141"/>
      <c r="I42" s="1139"/>
      <c r="J42" s="1125"/>
      <c r="K42" s="1519"/>
      <c r="O42" s="1514"/>
      <c r="P42" s="1514"/>
      <c r="Q42" s="1514"/>
      <c r="R42" s="1514"/>
    </row>
    <row r="43" spans="1:18" ht="20.25" customHeight="1">
      <c r="A43" s="1313"/>
      <c r="B43" s="1526"/>
      <c r="C43" s="1527"/>
      <c r="D43" s="1527"/>
      <c r="E43" s="1528"/>
      <c r="F43" s="1274"/>
      <c r="G43" s="2667"/>
      <c r="H43" s="1141"/>
      <c r="I43" s="1139"/>
      <c r="J43" s="1251"/>
      <c r="L43" s="1514"/>
      <c r="M43" s="1514"/>
      <c r="N43" s="1514"/>
      <c r="O43" s="1514"/>
      <c r="P43" s="1514"/>
      <c r="Q43" s="1461"/>
      <c r="R43" s="1457"/>
    </row>
    <row r="44" spans="1:18">
      <c r="A44" s="1313"/>
      <c r="B44" s="1529" t="s">
        <v>1770</v>
      </c>
      <c r="C44" s="1530"/>
      <c r="D44" s="1530"/>
      <c r="E44" s="1531" t="s">
        <v>1712</v>
      </c>
      <c r="F44" s="1274"/>
      <c r="G44" s="2668"/>
      <c r="H44" s="1141"/>
      <c r="I44" s="1139"/>
      <c r="J44" s="1251"/>
      <c r="L44" s="1457"/>
      <c r="M44" s="1457"/>
      <c r="N44" s="1457"/>
      <c r="O44" s="1457"/>
      <c r="P44" s="1457"/>
      <c r="Q44" s="1457"/>
      <c r="R44" s="1457"/>
    </row>
    <row r="45" spans="1:18" ht="90" customHeight="1">
      <c r="A45" s="1536"/>
      <c r="B45" s="2642" t="s">
        <v>1619</v>
      </c>
      <c r="C45" s="2642"/>
      <c r="D45" s="2643" t="s">
        <v>1714</v>
      </c>
      <c r="E45" s="2643"/>
      <c r="F45" s="1456" t="s">
        <v>1771</v>
      </c>
      <c r="G45" s="1459" t="s">
        <v>1703</v>
      </c>
      <c r="H45" s="1465" t="s">
        <v>1628</v>
      </c>
      <c r="I45" s="1465" t="s">
        <v>1629</v>
      </c>
      <c r="J45" s="1535"/>
      <c r="L45" s="1537"/>
      <c r="M45" s="1537"/>
      <c r="N45" s="1537"/>
      <c r="O45" s="1537"/>
      <c r="P45" s="1537"/>
      <c r="Q45" s="1457"/>
      <c r="R45" s="1457"/>
    </row>
    <row r="46" spans="1:18" ht="118.5" customHeight="1">
      <c r="B46" s="2580" t="str">
        <f>IF('Project Info'!$C$4='Project Info'!$P$32,'Mod Prescriptive Path Checklist'!C27,IF('Project Info'!C4='Project Info'!P33,#REF!,"&lt;Select compliance path on the 'Project Info' tab&gt;"))</f>
        <v>Assembly U-value determinations must follow ASHRAE 90.1-2007, Appendix A.
See Tables 2 and 3 for climate specific envelope requirements for the following components: roof insulation; above grade and below grade wall insulation; floor and slab insulation; exterior doors; and vertical glazing.</v>
      </c>
      <c r="C46" s="2580"/>
      <c r="D46" s="2595">
        <f>ERMs!C24</f>
        <v>0</v>
      </c>
      <c r="E46" s="2638"/>
      <c r="F46" s="1284"/>
      <c r="G46" s="1284"/>
      <c r="H46" s="1254"/>
      <c r="I46" s="1142"/>
      <c r="J46" s="1252"/>
      <c r="K46" s="1568"/>
      <c r="L46" s="1514"/>
      <c r="M46" s="1514"/>
      <c r="N46" s="1514"/>
      <c r="O46" s="1568"/>
      <c r="P46" s="1568"/>
      <c r="Q46" s="1480"/>
    </row>
    <row r="47" spans="1:18" ht="78.75" customHeight="1">
      <c r="B47" s="1459" t="s">
        <v>1633</v>
      </c>
      <c r="D47" s="2670" t="s">
        <v>1619</v>
      </c>
      <c r="E47" s="2670"/>
      <c r="F47" s="1459" t="s">
        <v>1626</v>
      </c>
      <c r="G47" s="1459" t="s">
        <v>1627</v>
      </c>
      <c r="H47" s="1465" t="s">
        <v>1628</v>
      </c>
      <c r="I47" s="1465" t="s">
        <v>1629</v>
      </c>
      <c r="J47" s="1459" t="s">
        <v>1630</v>
      </c>
      <c r="K47" s="1569"/>
      <c r="L47" s="1537"/>
      <c r="M47" s="1537"/>
      <c r="N47" s="1537"/>
      <c r="O47" s="1569"/>
      <c r="P47" s="1569"/>
      <c r="Q47" s="1480"/>
    </row>
    <row r="48" spans="1:18" ht="42.75" customHeight="1">
      <c r="A48" s="1321"/>
      <c r="B48" s="2671" t="s">
        <v>1772</v>
      </c>
      <c r="C48" s="2672"/>
      <c r="D48" s="2672"/>
      <c r="E48" s="2673"/>
      <c r="F48" s="1284"/>
      <c r="G48" s="1284"/>
      <c r="H48" s="1254"/>
      <c r="I48" s="1142"/>
      <c r="J48" s="1283"/>
      <c r="K48" s="1569"/>
      <c r="L48" s="1457"/>
      <c r="M48" s="1457"/>
      <c r="N48" s="1457"/>
      <c r="O48" s="1569"/>
      <c r="P48" s="1569"/>
      <c r="Q48" s="1480"/>
    </row>
    <row r="49" spans="1:17" ht="147.75" customHeight="1">
      <c r="A49" s="1313"/>
      <c r="B49" s="2611" t="s">
        <v>1773</v>
      </c>
      <c r="C49" s="2654"/>
      <c r="D49" s="2595" t="str">
        <f>IF('Project Info'!C4='Project Info'!P32,'Mod Prescriptive Path Checklist'!C37,IF('Project Info'!C4='Project Info'!P33,#REF!,"&lt;Select compliance path on the 'Project Info' tab&gt;"))</f>
        <v>The envelope components must comply with ASHRAE 90.1-2007 Sections 5.4.
All roof, wall, floor and slab insulation shall achieve RESNET-defined Grade I installation or, alternatively, Grade II for surfaces with continuous insulation (≥R-3 in CZ1-4 and ≥R-5 in CZ 5-8).</v>
      </c>
      <c r="E49" s="2638"/>
      <c r="F49" s="1284"/>
      <c r="G49" s="1284"/>
      <c r="H49" s="1254"/>
      <c r="I49" s="1142"/>
      <c r="J49" s="1283"/>
      <c r="K49" s="1540"/>
      <c r="L49" s="1457"/>
      <c r="M49" s="1457"/>
      <c r="N49" s="1457"/>
      <c r="O49" s="1457"/>
      <c r="P49" s="1457"/>
      <c r="Q49" s="1457"/>
    </row>
    <row r="50" spans="1:17" ht="44.25" customHeight="1">
      <c r="A50" s="1467"/>
      <c r="B50" s="2575" t="s">
        <v>1774</v>
      </c>
      <c r="C50" s="2576"/>
      <c r="D50" s="2576"/>
      <c r="E50" s="2576"/>
      <c r="F50" s="2569"/>
      <c r="G50" s="2569"/>
      <c r="H50" s="2569"/>
      <c r="I50" s="1278"/>
      <c r="J50" s="1278"/>
      <c r="L50" s="1457"/>
      <c r="M50" s="1457"/>
      <c r="N50" s="1457"/>
      <c r="O50" s="1457"/>
      <c r="P50" s="1457"/>
      <c r="Q50" s="1457"/>
    </row>
    <row r="51" spans="1:17" ht="30" customHeight="1">
      <c r="A51" s="1536"/>
      <c r="B51" s="2575" t="s">
        <v>1720</v>
      </c>
      <c r="C51" s="2576"/>
      <c r="D51" s="2576"/>
      <c r="E51" s="2576"/>
      <c r="F51" s="2576"/>
      <c r="G51" s="2576"/>
      <c r="H51" s="2576"/>
      <c r="I51" s="1278"/>
      <c r="J51" s="1278"/>
      <c r="O51" s="1457"/>
      <c r="P51" s="1457"/>
      <c r="Q51" s="1457"/>
    </row>
    <row r="52" spans="1:17" ht="27" customHeight="1">
      <c r="B52" s="2585" t="s">
        <v>1721</v>
      </c>
      <c r="C52" s="2585"/>
      <c r="D52" s="2585"/>
      <c r="E52" s="2585"/>
      <c r="F52" s="2585"/>
      <c r="G52" s="2585"/>
      <c r="H52" s="2585"/>
      <c r="I52" s="2585"/>
      <c r="J52" s="2585"/>
    </row>
    <row r="53" spans="1:17" ht="40.5" customHeight="1"/>
    <row r="54" spans="1:17">
      <c r="K54" s="953"/>
      <c r="O54" s="953"/>
      <c r="P54" s="953"/>
    </row>
    <row r="55" spans="1:17">
      <c r="K55" s="953"/>
      <c r="O55" s="953"/>
      <c r="P55" s="953"/>
    </row>
    <row r="56" spans="1:17" ht="25.5">
      <c r="C56" s="1468"/>
      <c r="K56" s="953"/>
      <c r="O56" s="953"/>
      <c r="P56" s="953"/>
      <c r="Q56" s="1321" t="s">
        <v>403</v>
      </c>
    </row>
    <row r="57" spans="1:17" ht="25.5">
      <c r="C57" s="1468"/>
      <c r="K57" s="953"/>
      <c r="O57" s="953"/>
      <c r="P57" s="953"/>
      <c r="Q57" s="1321" t="s">
        <v>405</v>
      </c>
    </row>
    <row r="58" spans="1:17" ht="25.5">
      <c r="C58" s="1468"/>
      <c r="Q58" s="1321" t="s">
        <v>404</v>
      </c>
    </row>
    <row r="188" spans="2:2" ht="18">
      <c r="B188" s="1323"/>
    </row>
  </sheetData>
  <sheetProtection sheet="1" objects="1" scenarios="1" formatCells="0" formatColumns="0" formatRows="0" insertColumns="0" insertRows="0"/>
  <mergeCells count="26">
    <mergeCell ref="B18:G18"/>
    <mergeCell ref="H5:I5"/>
    <mergeCell ref="H6:I6"/>
    <mergeCell ref="H7:I7"/>
    <mergeCell ref="H8:I8"/>
    <mergeCell ref="B9:G9"/>
    <mergeCell ref="B46:C46"/>
    <mergeCell ref="D46:E46"/>
    <mergeCell ref="B19:G19"/>
    <mergeCell ref="B20:G20"/>
    <mergeCell ref="B21:G21"/>
    <mergeCell ref="B22:G22"/>
    <mergeCell ref="B23:G23"/>
    <mergeCell ref="B26:E26"/>
    <mergeCell ref="B27:E27"/>
    <mergeCell ref="G28:G35"/>
    <mergeCell ref="G37:G44"/>
    <mergeCell ref="B45:C45"/>
    <mergeCell ref="D45:E45"/>
    <mergeCell ref="B52:J52"/>
    <mergeCell ref="D47:E47"/>
    <mergeCell ref="B48:E48"/>
    <mergeCell ref="B49:C49"/>
    <mergeCell ref="D49:E49"/>
    <mergeCell ref="B50:H50"/>
    <mergeCell ref="B51:H51"/>
  </mergeCells>
  <dataValidations count="2">
    <dataValidation type="list" allowBlank="1" showInputMessage="1" showErrorMessage="1" sqref="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28:I35 JD28:JE35 SZ28:TA35 ACV28:ACW35 AMR28:AMS35 AWN28:AWO35 BGJ28:BGK35 BQF28:BQG35 CAB28:CAC35 CJX28:CJY35 CTT28:CTU35 DDP28:DDQ35 DNL28:DNM35 DXH28:DXI35 EHD28:EHE35 EQZ28:ERA35 FAV28:FAW35 FKR28:FKS35 FUN28:FUO35 GEJ28:GEK35 GOF28:GOG35 GYB28:GYC35 HHX28:HHY35 HRT28:HRU35 IBP28:IBQ35 ILL28:ILM35 IVH28:IVI35 JFD28:JFE35 JOZ28:JPA35 JYV28:JYW35 KIR28:KIS35 KSN28:KSO35 LCJ28:LCK35 LMF28:LMG35 LWB28:LWC35 MFX28:MFY35 MPT28:MPU35 MZP28:MZQ35 NJL28:NJM35 NTH28:NTI35 ODD28:ODE35 OMZ28:ONA35 OWV28:OWW35 PGR28:PGS35 PQN28:PQO35 QAJ28:QAK35 QKF28:QKG35 QUB28:QUC35 RDX28:RDY35 RNT28:RNU35 RXP28:RXQ35 SHL28:SHM35 SRH28:SRI35 TBD28:TBE35 TKZ28:TLA35 TUV28:TUW35 UER28:UES35 UON28:UOO35 UYJ28:UYK35 VIF28:VIG35 VSB28:VSC35 WBX28:WBY35 WLT28:WLU35 WVP28:WVQ35 H65564:I65571 JD65564:JE65571 SZ65564:TA65571 ACV65564:ACW65571 AMR65564:AMS65571 AWN65564:AWO65571 BGJ65564:BGK65571 BQF65564:BQG65571 CAB65564:CAC65571 CJX65564:CJY65571 CTT65564:CTU65571 DDP65564:DDQ65571 DNL65564:DNM65571 DXH65564:DXI65571 EHD65564:EHE65571 EQZ65564:ERA65571 FAV65564:FAW65571 FKR65564:FKS65571 FUN65564:FUO65571 GEJ65564:GEK65571 GOF65564:GOG65571 GYB65564:GYC65571 HHX65564:HHY65571 HRT65564:HRU65571 IBP65564:IBQ65571 ILL65564:ILM65571 IVH65564:IVI65571 JFD65564:JFE65571 JOZ65564:JPA65571 JYV65564:JYW65571 KIR65564:KIS65571 KSN65564:KSO65571 LCJ65564:LCK65571 LMF65564:LMG65571 LWB65564:LWC65571 MFX65564:MFY65571 MPT65564:MPU65571 MZP65564:MZQ65571 NJL65564:NJM65571 NTH65564:NTI65571 ODD65564:ODE65571 OMZ65564:ONA65571 OWV65564:OWW65571 PGR65564:PGS65571 PQN65564:PQO65571 QAJ65564:QAK65571 QKF65564:QKG65571 QUB65564:QUC65571 RDX65564:RDY65571 RNT65564:RNU65571 RXP65564:RXQ65571 SHL65564:SHM65571 SRH65564:SRI65571 TBD65564:TBE65571 TKZ65564:TLA65571 TUV65564:TUW65571 UER65564:UES65571 UON65564:UOO65571 UYJ65564:UYK65571 VIF65564:VIG65571 VSB65564:VSC65571 WBX65564:WBY65571 WLT65564:WLU65571 WVP65564:WVQ65571 H131100:I131107 JD131100:JE131107 SZ131100:TA131107 ACV131100:ACW131107 AMR131100:AMS131107 AWN131100:AWO131107 BGJ131100:BGK131107 BQF131100:BQG131107 CAB131100:CAC131107 CJX131100:CJY131107 CTT131100:CTU131107 DDP131100:DDQ131107 DNL131100:DNM131107 DXH131100:DXI131107 EHD131100:EHE131107 EQZ131100:ERA131107 FAV131100:FAW131107 FKR131100:FKS131107 FUN131100:FUO131107 GEJ131100:GEK131107 GOF131100:GOG131107 GYB131100:GYC131107 HHX131100:HHY131107 HRT131100:HRU131107 IBP131100:IBQ131107 ILL131100:ILM131107 IVH131100:IVI131107 JFD131100:JFE131107 JOZ131100:JPA131107 JYV131100:JYW131107 KIR131100:KIS131107 KSN131100:KSO131107 LCJ131100:LCK131107 LMF131100:LMG131107 LWB131100:LWC131107 MFX131100:MFY131107 MPT131100:MPU131107 MZP131100:MZQ131107 NJL131100:NJM131107 NTH131100:NTI131107 ODD131100:ODE131107 OMZ131100:ONA131107 OWV131100:OWW131107 PGR131100:PGS131107 PQN131100:PQO131107 QAJ131100:QAK131107 QKF131100:QKG131107 QUB131100:QUC131107 RDX131100:RDY131107 RNT131100:RNU131107 RXP131100:RXQ131107 SHL131100:SHM131107 SRH131100:SRI131107 TBD131100:TBE131107 TKZ131100:TLA131107 TUV131100:TUW131107 UER131100:UES131107 UON131100:UOO131107 UYJ131100:UYK131107 VIF131100:VIG131107 VSB131100:VSC131107 WBX131100:WBY131107 WLT131100:WLU131107 WVP131100:WVQ131107 H196636:I196643 JD196636:JE196643 SZ196636:TA196643 ACV196636:ACW196643 AMR196636:AMS196643 AWN196636:AWO196643 BGJ196636:BGK196643 BQF196636:BQG196643 CAB196636:CAC196643 CJX196636:CJY196643 CTT196636:CTU196643 DDP196636:DDQ196643 DNL196636:DNM196643 DXH196636:DXI196643 EHD196636:EHE196643 EQZ196636:ERA196643 FAV196636:FAW196643 FKR196636:FKS196643 FUN196636:FUO196643 GEJ196636:GEK196643 GOF196636:GOG196643 GYB196636:GYC196643 HHX196636:HHY196643 HRT196636:HRU196643 IBP196636:IBQ196643 ILL196636:ILM196643 IVH196636:IVI196643 JFD196636:JFE196643 JOZ196636:JPA196643 JYV196636:JYW196643 KIR196636:KIS196643 KSN196636:KSO196643 LCJ196636:LCK196643 LMF196636:LMG196643 LWB196636:LWC196643 MFX196636:MFY196643 MPT196636:MPU196643 MZP196636:MZQ196643 NJL196636:NJM196643 NTH196636:NTI196643 ODD196636:ODE196643 OMZ196636:ONA196643 OWV196636:OWW196643 PGR196636:PGS196643 PQN196636:PQO196643 QAJ196636:QAK196643 QKF196636:QKG196643 QUB196636:QUC196643 RDX196636:RDY196643 RNT196636:RNU196643 RXP196636:RXQ196643 SHL196636:SHM196643 SRH196636:SRI196643 TBD196636:TBE196643 TKZ196636:TLA196643 TUV196636:TUW196643 UER196636:UES196643 UON196636:UOO196643 UYJ196636:UYK196643 VIF196636:VIG196643 VSB196636:VSC196643 WBX196636:WBY196643 WLT196636:WLU196643 WVP196636:WVQ196643 H262172:I262179 JD262172:JE262179 SZ262172:TA262179 ACV262172:ACW262179 AMR262172:AMS262179 AWN262172:AWO262179 BGJ262172:BGK262179 BQF262172:BQG262179 CAB262172:CAC262179 CJX262172:CJY262179 CTT262172:CTU262179 DDP262172:DDQ262179 DNL262172:DNM262179 DXH262172:DXI262179 EHD262172:EHE262179 EQZ262172:ERA262179 FAV262172:FAW262179 FKR262172:FKS262179 FUN262172:FUO262179 GEJ262172:GEK262179 GOF262172:GOG262179 GYB262172:GYC262179 HHX262172:HHY262179 HRT262172:HRU262179 IBP262172:IBQ262179 ILL262172:ILM262179 IVH262172:IVI262179 JFD262172:JFE262179 JOZ262172:JPA262179 JYV262172:JYW262179 KIR262172:KIS262179 KSN262172:KSO262179 LCJ262172:LCK262179 LMF262172:LMG262179 LWB262172:LWC262179 MFX262172:MFY262179 MPT262172:MPU262179 MZP262172:MZQ262179 NJL262172:NJM262179 NTH262172:NTI262179 ODD262172:ODE262179 OMZ262172:ONA262179 OWV262172:OWW262179 PGR262172:PGS262179 PQN262172:PQO262179 QAJ262172:QAK262179 QKF262172:QKG262179 QUB262172:QUC262179 RDX262172:RDY262179 RNT262172:RNU262179 RXP262172:RXQ262179 SHL262172:SHM262179 SRH262172:SRI262179 TBD262172:TBE262179 TKZ262172:TLA262179 TUV262172:TUW262179 UER262172:UES262179 UON262172:UOO262179 UYJ262172:UYK262179 VIF262172:VIG262179 VSB262172:VSC262179 WBX262172:WBY262179 WLT262172:WLU262179 WVP262172:WVQ262179 H327708:I327715 JD327708:JE327715 SZ327708:TA327715 ACV327708:ACW327715 AMR327708:AMS327715 AWN327708:AWO327715 BGJ327708:BGK327715 BQF327708:BQG327715 CAB327708:CAC327715 CJX327708:CJY327715 CTT327708:CTU327715 DDP327708:DDQ327715 DNL327708:DNM327715 DXH327708:DXI327715 EHD327708:EHE327715 EQZ327708:ERA327715 FAV327708:FAW327715 FKR327708:FKS327715 FUN327708:FUO327715 GEJ327708:GEK327715 GOF327708:GOG327715 GYB327708:GYC327715 HHX327708:HHY327715 HRT327708:HRU327715 IBP327708:IBQ327715 ILL327708:ILM327715 IVH327708:IVI327715 JFD327708:JFE327715 JOZ327708:JPA327715 JYV327708:JYW327715 KIR327708:KIS327715 KSN327708:KSO327715 LCJ327708:LCK327715 LMF327708:LMG327715 LWB327708:LWC327715 MFX327708:MFY327715 MPT327708:MPU327715 MZP327708:MZQ327715 NJL327708:NJM327715 NTH327708:NTI327715 ODD327708:ODE327715 OMZ327708:ONA327715 OWV327708:OWW327715 PGR327708:PGS327715 PQN327708:PQO327715 QAJ327708:QAK327715 QKF327708:QKG327715 QUB327708:QUC327715 RDX327708:RDY327715 RNT327708:RNU327715 RXP327708:RXQ327715 SHL327708:SHM327715 SRH327708:SRI327715 TBD327708:TBE327715 TKZ327708:TLA327715 TUV327708:TUW327715 UER327708:UES327715 UON327708:UOO327715 UYJ327708:UYK327715 VIF327708:VIG327715 VSB327708:VSC327715 WBX327708:WBY327715 WLT327708:WLU327715 WVP327708:WVQ327715 H393244:I393251 JD393244:JE393251 SZ393244:TA393251 ACV393244:ACW393251 AMR393244:AMS393251 AWN393244:AWO393251 BGJ393244:BGK393251 BQF393244:BQG393251 CAB393244:CAC393251 CJX393244:CJY393251 CTT393244:CTU393251 DDP393244:DDQ393251 DNL393244:DNM393251 DXH393244:DXI393251 EHD393244:EHE393251 EQZ393244:ERA393251 FAV393244:FAW393251 FKR393244:FKS393251 FUN393244:FUO393251 GEJ393244:GEK393251 GOF393244:GOG393251 GYB393244:GYC393251 HHX393244:HHY393251 HRT393244:HRU393251 IBP393244:IBQ393251 ILL393244:ILM393251 IVH393244:IVI393251 JFD393244:JFE393251 JOZ393244:JPA393251 JYV393244:JYW393251 KIR393244:KIS393251 KSN393244:KSO393251 LCJ393244:LCK393251 LMF393244:LMG393251 LWB393244:LWC393251 MFX393244:MFY393251 MPT393244:MPU393251 MZP393244:MZQ393251 NJL393244:NJM393251 NTH393244:NTI393251 ODD393244:ODE393251 OMZ393244:ONA393251 OWV393244:OWW393251 PGR393244:PGS393251 PQN393244:PQO393251 QAJ393244:QAK393251 QKF393244:QKG393251 QUB393244:QUC393251 RDX393244:RDY393251 RNT393244:RNU393251 RXP393244:RXQ393251 SHL393244:SHM393251 SRH393244:SRI393251 TBD393244:TBE393251 TKZ393244:TLA393251 TUV393244:TUW393251 UER393244:UES393251 UON393244:UOO393251 UYJ393244:UYK393251 VIF393244:VIG393251 VSB393244:VSC393251 WBX393244:WBY393251 WLT393244:WLU393251 WVP393244:WVQ393251 H458780:I458787 JD458780:JE458787 SZ458780:TA458787 ACV458780:ACW458787 AMR458780:AMS458787 AWN458780:AWO458787 BGJ458780:BGK458787 BQF458780:BQG458787 CAB458780:CAC458787 CJX458780:CJY458787 CTT458780:CTU458787 DDP458780:DDQ458787 DNL458780:DNM458787 DXH458780:DXI458787 EHD458780:EHE458787 EQZ458780:ERA458787 FAV458780:FAW458787 FKR458780:FKS458787 FUN458780:FUO458787 GEJ458780:GEK458787 GOF458780:GOG458787 GYB458780:GYC458787 HHX458780:HHY458787 HRT458780:HRU458787 IBP458780:IBQ458787 ILL458780:ILM458787 IVH458780:IVI458787 JFD458780:JFE458787 JOZ458780:JPA458787 JYV458780:JYW458787 KIR458780:KIS458787 KSN458780:KSO458787 LCJ458780:LCK458787 LMF458780:LMG458787 LWB458780:LWC458787 MFX458780:MFY458787 MPT458780:MPU458787 MZP458780:MZQ458787 NJL458780:NJM458787 NTH458780:NTI458787 ODD458780:ODE458787 OMZ458780:ONA458787 OWV458780:OWW458787 PGR458780:PGS458787 PQN458780:PQO458787 QAJ458780:QAK458787 QKF458780:QKG458787 QUB458780:QUC458787 RDX458780:RDY458787 RNT458780:RNU458787 RXP458780:RXQ458787 SHL458780:SHM458787 SRH458780:SRI458787 TBD458780:TBE458787 TKZ458780:TLA458787 TUV458780:TUW458787 UER458780:UES458787 UON458780:UOO458787 UYJ458780:UYK458787 VIF458780:VIG458787 VSB458780:VSC458787 WBX458780:WBY458787 WLT458780:WLU458787 WVP458780:WVQ458787 H524316:I524323 JD524316:JE524323 SZ524316:TA524323 ACV524316:ACW524323 AMR524316:AMS524323 AWN524316:AWO524323 BGJ524316:BGK524323 BQF524316:BQG524323 CAB524316:CAC524323 CJX524316:CJY524323 CTT524316:CTU524323 DDP524316:DDQ524323 DNL524316:DNM524323 DXH524316:DXI524323 EHD524316:EHE524323 EQZ524316:ERA524323 FAV524316:FAW524323 FKR524316:FKS524323 FUN524316:FUO524323 GEJ524316:GEK524323 GOF524316:GOG524323 GYB524316:GYC524323 HHX524316:HHY524323 HRT524316:HRU524323 IBP524316:IBQ524323 ILL524316:ILM524323 IVH524316:IVI524323 JFD524316:JFE524323 JOZ524316:JPA524323 JYV524316:JYW524323 KIR524316:KIS524323 KSN524316:KSO524323 LCJ524316:LCK524323 LMF524316:LMG524323 LWB524316:LWC524323 MFX524316:MFY524323 MPT524316:MPU524323 MZP524316:MZQ524323 NJL524316:NJM524323 NTH524316:NTI524323 ODD524316:ODE524323 OMZ524316:ONA524323 OWV524316:OWW524323 PGR524316:PGS524323 PQN524316:PQO524323 QAJ524316:QAK524323 QKF524316:QKG524323 QUB524316:QUC524323 RDX524316:RDY524323 RNT524316:RNU524323 RXP524316:RXQ524323 SHL524316:SHM524323 SRH524316:SRI524323 TBD524316:TBE524323 TKZ524316:TLA524323 TUV524316:TUW524323 UER524316:UES524323 UON524316:UOO524323 UYJ524316:UYK524323 VIF524316:VIG524323 VSB524316:VSC524323 WBX524316:WBY524323 WLT524316:WLU524323 WVP524316:WVQ524323 H589852:I589859 JD589852:JE589859 SZ589852:TA589859 ACV589852:ACW589859 AMR589852:AMS589859 AWN589852:AWO589859 BGJ589852:BGK589859 BQF589852:BQG589859 CAB589852:CAC589859 CJX589852:CJY589859 CTT589852:CTU589859 DDP589852:DDQ589859 DNL589852:DNM589859 DXH589852:DXI589859 EHD589852:EHE589859 EQZ589852:ERA589859 FAV589852:FAW589859 FKR589852:FKS589859 FUN589852:FUO589859 GEJ589852:GEK589859 GOF589852:GOG589859 GYB589852:GYC589859 HHX589852:HHY589859 HRT589852:HRU589859 IBP589852:IBQ589859 ILL589852:ILM589859 IVH589852:IVI589859 JFD589852:JFE589859 JOZ589852:JPA589859 JYV589852:JYW589859 KIR589852:KIS589859 KSN589852:KSO589859 LCJ589852:LCK589859 LMF589852:LMG589859 LWB589852:LWC589859 MFX589852:MFY589859 MPT589852:MPU589859 MZP589852:MZQ589859 NJL589852:NJM589859 NTH589852:NTI589859 ODD589852:ODE589859 OMZ589852:ONA589859 OWV589852:OWW589859 PGR589852:PGS589859 PQN589852:PQO589859 QAJ589852:QAK589859 QKF589852:QKG589859 QUB589852:QUC589859 RDX589852:RDY589859 RNT589852:RNU589859 RXP589852:RXQ589859 SHL589852:SHM589859 SRH589852:SRI589859 TBD589852:TBE589859 TKZ589852:TLA589859 TUV589852:TUW589859 UER589852:UES589859 UON589852:UOO589859 UYJ589852:UYK589859 VIF589852:VIG589859 VSB589852:VSC589859 WBX589852:WBY589859 WLT589852:WLU589859 WVP589852:WVQ589859 H655388:I655395 JD655388:JE655395 SZ655388:TA655395 ACV655388:ACW655395 AMR655388:AMS655395 AWN655388:AWO655395 BGJ655388:BGK655395 BQF655388:BQG655395 CAB655388:CAC655395 CJX655388:CJY655395 CTT655388:CTU655395 DDP655388:DDQ655395 DNL655388:DNM655395 DXH655388:DXI655395 EHD655388:EHE655395 EQZ655388:ERA655395 FAV655388:FAW655395 FKR655388:FKS655395 FUN655388:FUO655395 GEJ655388:GEK655395 GOF655388:GOG655395 GYB655388:GYC655395 HHX655388:HHY655395 HRT655388:HRU655395 IBP655388:IBQ655395 ILL655388:ILM655395 IVH655388:IVI655395 JFD655388:JFE655395 JOZ655388:JPA655395 JYV655388:JYW655395 KIR655388:KIS655395 KSN655388:KSO655395 LCJ655388:LCK655395 LMF655388:LMG655395 LWB655388:LWC655395 MFX655388:MFY655395 MPT655388:MPU655395 MZP655388:MZQ655395 NJL655388:NJM655395 NTH655388:NTI655395 ODD655388:ODE655395 OMZ655388:ONA655395 OWV655388:OWW655395 PGR655388:PGS655395 PQN655388:PQO655395 QAJ655388:QAK655395 QKF655388:QKG655395 QUB655388:QUC655395 RDX655388:RDY655395 RNT655388:RNU655395 RXP655388:RXQ655395 SHL655388:SHM655395 SRH655388:SRI655395 TBD655388:TBE655395 TKZ655388:TLA655395 TUV655388:TUW655395 UER655388:UES655395 UON655388:UOO655395 UYJ655388:UYK655395 VIF655388:VIG655395 VSB655388:VSC655395 WBX655388:WBY655395 WLT655388:WLU655395 WVP655388:WVQ655395 H720924:I720931 JD720924:JE720931 SZ720924:TA720931 ACV720924:ACW720931 AMR720924:AMS720931 AWN720924:AWO720931 BGJ720924:BGK720931 BQF720924:BQG720931 CAB720924:CAC720931 CJX720924:CJY720931 CTT720924:CTU720931 DDP720924:DDQ720931 DNL720924:DNM720931 DXH720924:DXI720931 EHD720924:EHE720931 EQZ720924:ERA720931 FAV720924:FAW720931 FKR720924:FKS720931 FUN720924:FUO720931 GEJ720924:GEK720931 GOF720924:GOG720931 GYB720924:GYC720931 HHX720924:HHY720931 HRT720924:HRU720931 IBP720924:IBQ720931 ILL720924:ILM720931 IVH720924:IVI720931 JFD720924:JFE720931 JOZ720924:JPA720931 JYV720924:JYW720931 KIR720924:KIS720931 KSN720924:KSO720931 LCJ720924:LCK720931 LMF720924:LMG720931 LWB720924:LWC720931 MFX720924:MFY720931 MPT720924:MPU720931 MZP720924:MZQ720931 NJL720924:NJM720931 NTH720924:NTI720931 ODD720924:ODE720931 OMZ720924:ONA720931 OWV720924:OWW720931 PGR720924:PGS720931 PQN720924:PQO720931 QAJ720924:QAK720931 QKF720924:QKG720931 QUB720924:QUC720931 RDX720924:RDY720931 RNT720924:RNU720931 RXP720924:RXQ720931 SHL720924:SHM720931 SRH720924:SRI720931 TBD720924:TBE720931 TKZ720924:TLA720931 TUV720924:TUW720931 UER720924:UES720931 UON720924:UOO720931 UYJ720924:UYK720931 VIF720924:VIG720931 VSB720924:VSC720931 WBX720924:WBY720931 WLT720924:WLU720931 WVP720924:WVQ720931 H786460:I786467 JD786460:JE786467 SZ786460:TA786467 ACV786460:ACW786467 AMR786460:AMS786467 AWN786460:AWO786467 BGJ786460:BGK786467 BQF786460:BQG786467 CAB786460:CAC786467 CJX786460:CJY786467 CTT786460:CTU786467 DDP786460:DDQ786467 DNL786460:DNM786467 DXH786460:DXI786467 EHD786460:EHE786467 EQZ786460:ERA786467 FAV786460:FAW786467 FKR786460:FKS786467 FUN786460:FUO786467 GEJ786460:GEK786467 GOF786460:GOG786467 GYB786460:GYC786467 HHX786460:HHY786467 HRT786460:HRU786467 IBP786460:IBQ786467 ILL786460:ILM786467 IVH786460:IVI786467 JFD786460:JFE786467 JOZ786460:JPA786467 JYV786460:JYW786467 KIR786460:KIS786467 KSN786460:KSO786467 LCJ786460:LCK786467 LMF786460:LMG786467 LWB786460:LWC786467 MFX786460:MFY786467 MPT786460:MPU786467 MZP786460:MZQ786467 NJL786460:NJM786467 NTH786460:NTI786467 ODD786460:ODE786467 OMZ786460:ONA786467 OWV786460:OWW786467 PGR786460:PGS786467 PQN786460:PQO786467 QAJ786460:QAK786467 QKF786460:QKG786467 QUB786460:QUC786467 RDX786460:RDY786467 RNT786460:RNU786467 RXP786460:RXQ786467 SHL786460:SHM786467 SRH786460:SRI786467 TBD786460:TBE786467 TKZ786460:TLA786467 TUV786460:TUW786467 UER786460:UES786467 UON786460:UOO786467 UYJ786460:UYK786467 VIF786460:VIG786467 VSB786460:VSC786467 WBX786460:WBY786467 WLT786460:WLU786467 WVP786460:WVQ786467 H851996:I852003 JD851996:JE852003 SZ851996:TA852003 ACV851996:ACW852003 AMR851996:AMS852003 AWN851996:AWO852003 BGJ851996:BGK852003 BQF851996:BQG852003 CAB851996:CAC852003 CJX851996:CJY852003 CTT851996:CTU852003 DDP851996:DDQ852003 DNL851996:DNM852003 DXH851996:DXI852003 EHD851996:EHE852003 EQZ851996:ERA852003 FAV851996:FAW852003 FKR851996:FKS852003 FUN851996:FUO852003 GEJ851996:GEK852003 GOF851996:GOG852003 GYB851996:GYC852003 HHX851996:HHY852003 HRT851996:HRU852003 IBP851996:IBQ852003 ILL851996:ILM852003 IVH851996:IVI852003 JFD851996:JFE852003 JOZ851996:JPA852003 JYV851996:JYW852003 KIR851996:KIS852003 KSN851996:KSO852003 LCJ851996:LCK852003 LMF851996:LMG852003 LWB851996:LWC852003 MFX851996:MFY852003 MPT851996:MPU852003 MZP851996:MZQ852003 NJL851996:NJM852003 NTH851996:NTI852003 ODD851996:ODE852003 OMZ851996:ONA852003 OWV851996:OWW852003 PGR851996:PGS852003 PQN851996:PQO852003 QAJ851996:QAK852003 QKF851996:QKG852003 QUB851996:QUC852003 RDX851996:RDY852003 RNT851996:RNU852003 RXP851996:RXQ852003 SHL851996:SHM852003 SRH851996:SRI852003 TBD851996:TBE852003 TKZ851996:TLA852003 TUV851996:TUW852003 UER851996:UES852003 UON851996:UOO852003 UYJ851996:UYK852003 VIF851996:VIG852003 VSB851996:VSC852003 WBX851996:WBY852003 WLT851996:WLU852003 WVP851996:WVQ852003 H917532:I917539 JD917532:JE917539 SZ917532:TA917539 ACV917532:ACW917539 AMR917532:AMS917539 AWN917532:AWO917539 BGJ917532:BGK917539 BQF917532:BQG917539 CAB917532:CAC917539 CJX917532:CJY917539 CTT917532:CTU917539 DDP917532:DDQ917539 DNL917532:DNM917539 DXH917532:DXI917539 EHD917532:EHE917539 EQZ917532:ERA917539 FAV917532:FAW917539 FKR917532:FKS917539 FUN917532:FUO917539 GEJ917532:GEK917539 GOF917532:GOG917539 GYB917532:GYC917539 HHX917532:HHY917539 HRT917532:HRU917539 IBP917532:IBQ917539 ILL917532:ILM917539 IVH917532:IVI917539 JFD917532:JFE917539 JOZ917532:JPA917539 JYV917532:JYW917539 KIR917532:KIS917539 KSN917532:KSO917539 LCJ917532:LCK917539 LMF917532:LMG917539 LWB917532:LWC917539 MFX917532:MFY917539 MPT917532:MPU917539 MZP917532:MZQ917539 NJL917532:NJM917539 NTH917532:NTI917539 ODD917532:ODE917539 OMZ917532:ONA917539 OWV917532:OWW917539 PGR917532:PGS917539 PQN917532:PQO917539 QAJ917532:QAK917539 QKF917532:QKG917539 QUB917532:QUC917539 RDX917532:RDY917539 RNT917532:RNU917539 RXP917532:RXQ917539 SHL917532:SHM917539 SRH917532:SRI917539 TBD917532:TBE917539 TKZ917532:TLA917539 TUV917532:TUW917539 UER917532:UES917539 UON917532:UOO917539 UYJ917532:UYK917539 VIF917532:VIG917539 VSB917532:VSC917539 WBX917532:WBY917539 WLT917532:WLU917539 WVP917532:WVQ917539 H983068:I983075 JD983068:JE983075 SZ983068:TA983075 ACV983068:ACW983075 AMR983068:AMS983075 AWN983068:AWO983075 BGJ983068:BGK983075 BQF983068:BQG983075 CAB983068:CAC983075 CJX983068:CJY983075 CTT983068:CTU983075 DDP983068:DDQ983075 DNL983068:DNM983075 DXH983068:DXI983075 EHD983068:EHE983075 EQZ983068:ERA983075 FAV983068:FAW983075 FKR983068:FKS983075 FUN983068:FUO983075 GEJ983068:GEK983075 GOF983068:GOG983075 GYB983068:GYC983075 HHX983068:HHY983075 HRT983068:HRU983075 IBP983068:IBQ983075 ILL983068:ILM983075 IVH983068:IVI983075 JFD983068:JFE983075 JOZ983068:JPA983075 JYV983068:JYW983075 KIR983068:KIS983075 KSN983068:KSO983075 LCJ983068:LCK983075 LMF983068:LMG983075 LWB983068:LWC983075 MFX983068:MFY983075 MPT983068:MPU983075 MZP983068:MZQ983075 NJL983068:NJM983075 NTH983068:NTI983075 ODD983068:ODE983075 OMZ983068:ONA983075 OWV983068:OWW983075 PGR983068:PGS983075 PQN983068:PQO983075 QAJ983068:QAK983075 QKF983068:QKG983075 QUB983068:QUC983075 RDX983068:RDY983075 RNT983068:RNU983075 RXP983068:RXQ983075 SHL983068:SHM983075 SRH983068:SRI983075 TBD983068:TBE983075 TKZ983068:TLA983075 TUV983068:TUW983075 UER983068:UES983075 UON983068:UOO983075 UYJ983068:UYK983075 VIF983068:VIG983075 VSB983068:VSC983075 WBX983068:WBY983075 WLT983068:WLU983075 WVP983068:WVQ983075 H37:I44 JD37:JE44 SZ37:TA44 ACV37:ACW44 AMR37:AMS44 AWN37:AWO44 BGJ37:BGK44 BQF37:BQG44 CAB37:CAC44 CJX37:CJY44 CTT37:CTU44 DDP37:DDQ44 DNL37:DNM44 DXH37:DXI44 EHD37:EHE44 EQZ37:ERA44 FAV37:FAW44 FKR37:FKS44 FUN37:FUO44 GEJ37:GEK44 GOF37:GOG44 GYB37:GYC44 HHX37:HHY44 HRT37:HRU44 IBP37:IBQ44 ILL37:ILM44 IVH37:IVI44 JFD37:JFE44 JOZ37:JPA44 JYV37:JYW44 KIR37:KIS44 KSN37:KSO44 LCJ37:LCK44 LMF37:LMG44 LWB37:LWC44 MFX37:MFY44 MPT37:MPU44 MZP37:MZQ44 NJL37:NJM44 NTH37:NTI44 ODD37:ODE44 OMZ37:ONA44 OWV37:OWW44 PGR37:PGS44 PQN37:PQO44 QAJ37:QAK44 QKF37:QKG44 QUB37:QUC44 RDX37:RDY44 RNT37:RNU44 RXP37:RXQ44 SHL37:SHM44 SRH37:SRI44 TBD37:TBE44 TKZ37:TLA44 TUV37:TUW44 UER37:UES44 UON37:UOO44 UYJ37:UYK44 VIF37:VIG44 VSB37:VSC44 WBX37:WBY44 WLT37:WLU44 WVP37:WVQ44 H65573:I65580 JD65573:JE65580 SZ65573:TA65580 ACV65573:ACW65580 AMR65573:AMS65580 AWN65573:AWO65580 BGJ65573:BGK65580 BQF65573:BQG65580 CAB65573:CAC65580 CJX65573:CJY65580 CTT65573:CTU65580 DDP65573:DDQ65580 DNL65573:DNM65580 DXH65573:DXI65580 EHD65573:EHE65580 EQZ65573:ERA65580 FAV65573:FAW65580 FKR65573:FKS65580 FUN65573:FUO65580 GEJ65573:GEK65580 GOF65573:GOG65580 GYB65573:GYC65580 HHX65573:HHY65580 HRT65573:HRU65580 IBP65573:IBQ65580 ILL65573:ILM65580 IVH65573:IVI65580 JFD65573:JFE65580 JOZ65573:JPA65580 JYV65573:JYW65580 KIR65573:KIS65580 KSN65573:KSO65580 LCJ65573:LCK65580 LMF65573:LMG65580 LWB65573:LWC65580 MFX65573:MFY65580 MPT65573:MPU65580 MZP65573:MZQ65580 NJL65573:NJM65580 NTH65573:NTI65580 ODD65573:ODE65580 OMZ65573:ONA65580 OWV65573:OWW65580 PGR65573:PGS65580 PQN65573:PQO65580 QAJ65573:QAK65580 QKF65573:QKG65580 QUB65573:QUC65580 RDX65573:RDY65580 RNT65573:RNU65580 RXP65573:RXQ65580 SHL65573:SHM65580 SRH65573:SRI65580 TBD65573:TBE65580 TKZ65573:TLA65580 TUV65573:TUW65580 UER65573:UES65580 UON65573:UOO65580 UYJ65573:UYK65580 VIF65573:VIG65580 VSB65573:VSC65580 WBX65573:WBY65580 WLT65573:WLU65580 WVP65573:WVQ65580 H131109:I131116 JD131109:JE131116 SZ131109:TA131116 ACV131109:ACW131116 AMR131109:AMS131116 AWN131109:AWO131116 BGJ131109:BGK131116 BQF131109:BQG131116 CAB131109:CAC131116 CJX131109:CJY131116 CTT131109:CTU131116 DDP131109:DDQ131116 DNL131109:DNM131116 DXH131109:DXI131116 EHD131109:EHE131116 EQZ131109:ERA131116 FAV131109:FAW131116 FKR131109:FKS131116 FUN131109:FUO131116 GEJ131109:GEK131116 GOF131109:GOG131116 GYB131109:GYC131116 HHX131109:HHY131116 HRT131109:HRU131116 IBP131109:IBQ131116 ILL131109:ILM131116 IVH131109:IVI131116 JFD131109:JFE131116 JOZ131109:JPA131116 JYV131109:JYW131116 KIR131109:KIS131116 KSN131109:KSO131116 LCJ131109:LCK131116 LMF131109:LMG131116 LWB131109:LWC131116 MFX131109:MFY131116 MPT131109:MPU131116 MZP131109:MZQ131116 NJL131109:NJM131116 NTH131109:NTI131116 ODD131109:ODE131116 OMZ131109:ONA131116 OWV131109:OWW131116 PGR131109:PGS131116 PQN131109:PQO131116 QAJ131109:QAK131116 QKF131109:QKG131116 QUB131109:QUC131116 RDX131109:RDY131116 RNT131109:RNU131116 RXP131109:RXQ131116 SHL131109:SHM131116 SRH131109:SRI131116 TBD131109:TBE131116 TKZ131109:TLA131116 TUV131109:TUW131116 UER131109:UES131116 UON131109:UOO131116 UYJ131109:UYK131116 VIF131109:VIG131116 VSB131109:VSC131116 WBX131109:WBY131116 WLT131109:WLU131116 WVP131109:WVQ131116 H196645:I196652 JD196645:JE196652 SZ196645:TA196652 ACV196645:ACW196652 AMR196645:AMS196652 AWN196645:AWO196652 BGJ196645:BGK196652 BQF196645:BQG196652 CAB196645:CAC196652 CJX196645:CJY196652 CTT196645:CTU196652 DDP196645:DDQ196652 DNL196645:DNM196652 DXH196645:DXI196652 EHD196645:EHE196652 EQZ196645:ERA196652 FAV196645:FAW196652 FKR196645:FKS196652 FUN196645:FUO196652 GEJ196645:GEK196652 GOF196645:GOG196652 GYB196645:GYC196652 HHX196645:HHY196652 HRT196645:HRU196652 IBP196645:IBQ196652 ILL196645:ILM196652 IVH196645:IVI196652 JFD196645:JFE196652 JOZ196645:JPA196652 JYV196645:JYW196652 KIR196645:KIS196652 KSN196645:KSO196652 LCJ196645:LCK196652 LMF196645:LMG196652 LWB196645:LWC196652 MFX196645:MFY196652 MPT196645:MPU196652 MZP196645:MZQ196652 NJL196645:NJM196652 NTH196645:NTI196652 ODD196645:ODE196652 OMZ196645:ONA196652 OWV196645:OWW196652 PGR196645:PGS196652 PQN196645:PQO196652 QAJ196645:QAK196652 QKF196645:QKG196652 QUB196645:QUC196652 RDX196645:RDY196652 RNT196645:RNU196652 RXP196645:RXQ196652 SHL196645:SHM196652 SRH196645:SRI196652 TBD196645:TBE196652 TKZ196645:TLA196652 TUV196645:TUW196652 UER196645:UES196652 UON196645:UOO196652 UYJ196645:UYK196652 VIF196645:VIG196652 VSB196645:VSC196652 WBX196645:WBY196652 WLT196645:WLU196652 WVP196645:WVQ196652 H262181:I262188 JD262181:JE262188 SZ262181:TA262188 ACV262181:ACW262188 AMR262181:AMS262188 AWN262181:AWO262188 BGJ262181:BGK262188 BQF262181:BQG262188 CAB262181:CAC262188 CJX262181:CJY262188 CTT262181:CTU262188 DDP262181:DDQ262188 DNL262181:DNM262188 DXH262181:DXI262188 EHD262181:EHE262188 EQZ262181:ERA262188 FAV262181:FAW262188 FKR262181:FKS262188 FUN262181:FUO262188 GEJ262181:GEK262188 GOF262181:GOG262188 GYB262181:GYC262188 HHX262181:HHY262188 HRT262181:HRU262188 IBP262181:IBQ262188 ILL262181:ILM262188 IVH262181:IVI262188 JFD262181:JFE262188 JOZ262181:JPA262188 JYV262181:JYW262188 KIR262181:KIS262188 KSN262181:KSO262188 LCJ262181:LCK262188 LMF262181:LMG262188 LWB262181:LWC262188 MFX262181:MFY262188 MPT262181:MPU262188 MZP262181:MZQ262188 NJL262181:NJM262188 NTH262181:NTI262188 ODD262181:ODE262188 OMZ262181:ONA262188 OWV262181:OWW262188 PGR262181:PGS262188 PQN262181:PQO262188 QAJ262181:QAK262188 QKF262181:QKG262188 QUB262181:QUC262188 RDX262181:RDY262188 RNT262181:RNU262188 RXP262181:RXQ262188 SHL262181:SHM262188 SRH262181:SRI262188 TBD262181:TBE262188 TKZ262181:TLA262188 TUV262181:TUW262188 UER262181:UES262188 UON262181:UOO262188 UYJ262181:UYK262188 VIF262181:VIG262188 VSB262181:VSC262188 WBX262181:WBY262188 WLT262181:WLU262188 WVP262181:WVQ262188 H327717:I327724 JD327717:JE327724 SZ327717:TA327724 ACV327717:ACW327724 AMR327717:AMS327724 AWN327717:AWO327724 BGJ327717:BGK327724 BQF327717:BQG327724 CAB327717:CAC327724 CJX327717:CJY327724 CTT327717:CTU327724 DDP327717:DDQ327724 DNL327717:DNM327724 DXH327717:DXI327724 EHD327717:EHE327724 EQZ327717:ERA327724 FAV327717:FAW327724 FKR327717:FKS327724 FUN327717:FUO327724 GEJ327717:GEK327724 GOF327717:GOG327724 GYB327717:GYC327724 HHX327717:HHY327724 HRT327717:HRU327724 IBP327717:IBQ327724 ILL327717:ILM327724 IVH327717:IVI327724 JFD327717:JFE327724 JOZ327717:JPA327724 JYV327717:JYW327724 KIR327717:KIS327724 KSN327717:KSO327724 LCJ327717:LCK327724 LMF327717:LMG327724 LWB327717:LWC327724 MFX327717:MFY327724 MPT327717:MPU327724 MZP327717:MZQ327724 NJL327717:NJM327724 NTH327717:NTI327724 ODD327717:ODE327724 OMZ327717:ONA327724 OWV327717:OWW327724 PGR327717:PGS327724 PQN327717:PQO327724 QAJ327717:QAK327724 QKF327717:QKG327724 QUB327717:QUC327724 RDX327717:RDY327724 RNT327717:RNU327724 RXP327717:RXQ327724 SHL327717:SHM327724 SRH327717:SRI327724 TBD327717:TBE327724 TKZ327717:TLA327724 TUV327717:TUW327724 UER327717:UES327724 UON327717:UOO327724 UYJ327717:UYK327724 VIF327717:VIG327724 VSB327717:VSC327724 WBX327717:WBY327724 WLT327717:WLU327724 WVP327717:WVQ327724 H393253:I393260 JD393253:JE393260 SZ393253:TA393260 ACV393253:ACW393260 AMR393253:AMS393260 AWN393253:AWO393260 BGJ393253:BGK393260 BQF393253:BQG393260 CAB393253:CAC393260 CJX393253:CJY393260 CTT393253:CTU393260 DDP393253:DDQ393260 DNL393253:DNM393260 DXH393253:DXI393260 EHD393253:EHE393260 EQZ393253:ERA393260 FAV393253:FAW393260 FKR393253:FKS393260 FUN393253:FUO393260 GEJ393253:GEK393260 GOF393253:GOG393260 GYB393253:GYC393260 HHX393253:HHY393260 HRT393253:HRU393260 IBP393253:IBQ393260 ILL393253:ILM393260 IVH393253:IVI393260 JFD393253:JFE393260 JOZ393253:JPA393260 JYV393253:JYW393260 KIR393253:KIS393260 KSN393253:KSO393260 LCJ393253:LCK393260 LMF393253:LMG393260 LWB393253:LWC393260 MFX393253:MFY393260 MPT393253:MPU393260 MZP393253:MZQ393260 NJL393253:NJM393260 NTH393253:NTI393260 ODD393253:ODE393260 OMZ393253:ONA393260 OWV393253:OWW393260 PGR393253:PGS393260 PQN393253:PQO393260 QAJ393253:QAK393260 QKF393253:QKG393260 QUB393253:QUC393260 RDX393253:RDY393260 RNT393253:RNU393260 RXP393253:RXQ393260 SHL393253:SHM393260 SRH393253:SRI393260 TBD393253:TBE393260 TKZ393253:TLA393260 TUV393253:TUW393260 UER393253:UES393260 UON393253:UOO393260 UYJ393253:UYK393260 VIF393253:VIG393260 VSB393253:VSC393260 WBX393253:WBY393260 WLT393253:WLU393260 WVP393253:WVQ393260 H458789:I458796 JD458789:JE458796 SZ458789:TA458796 ACV458789:ACW458796 AMR458789:AMS458796 AWN458789:AWO458796 BGJ458789:BGK458796 BQF458789:BQG458796 CAB458789:CAC458796 CJX458789:CJY458796 CTT458789:CTU458796 DDP458789:DDQ458796 DNL458789:DNM458796 DXH458789:DXI458796 EHD458789:EHE458796 EQZ458789:ERA458796 FAV458789:FAW458796 FKR458789:FKS458796 FUN458789:FUO458796 GEJ458789:GEK458796 GOF458789:GOG458796 GYB458789:GYC458796 HHX458789:HHY458796 HRT458789:HRU458796 IBP458789:IBQ458796 ILL458789:ILM458796 IVH458789:IVI458796 JFD458789:JFE458796 JOZ458789:JPA458796 JYV458789:JYW458796 KIR458789:KIS458796 KSN458789:KSO458796 LCJ458789:LCK458796 LMF458789:LMG458796 LWB458789:LWC458796 MFX458789:MFY458796 MPT458789:MPU458796 MZP458789:MZQ458796 NJL458789:NJM458796 NTH458789:NTI458796 ODD458789:ODE458796 OMZ458789:ONA458796 OWV458789:OWW458796 PGR458789:PGS458796 PQN458789:PQO458796 QAJ458789:QAK458796 QKF458789:QKG458796 QUB458789:QUC458796 RDX458789:RDY458796 RNT458789:RNU458796 RXP458789:RXQ458796 SHL458789:SHM458796 SRH458789:SRI458796 TBD458789:TBE458796 TKZ458789:TLA458796 TUV458789:TUW458796 UER458789:UES458796 UON458789:UOO458796 UYJ458789:UYK458796 VIF458789:VIG458796 VSB458789:VSC458796 WBX458789:WBY458796 WLT458789:WLU458796 WVP458789:WVQ458796 H524325:I524332 JD524325:JE524332 SZ524325:TA524332 ACV524325:ACW524332 AMR524325:AMS524332 AWN524325:AWO524332 BGJ524325:BGK524332 BQF524325:BQG524332 CAB524325:CAC524332 CJX524325:CJY524332 CTT524325:CTU524332 DDP524325:DDQ524332 DNL524325:DNM524332 DXH524325:DXI524332 EHD524325:EHE524332 EQZ524325:ERA524332 FAV524325:FAW524332 FKR524325:FKS524332 FUN524325:FUO524332 GEJ524325:GEK524332 GOF524325:GOG524332 GYB524325:GYC524332 HHX524325:HHY524332 HRT524325:HRU524332 IBP524325:IBQ524332 ILL524325:ILM524332 IVH524325:IVI524332 JFD524325:JFE524332 JOZ524325:JPA524332 JYV524325:JYW524332 KIR524325:KIS524332 KSN524325:KSO524332 LCJ524325:LCK524332 LMF524325:LMG524332 LWB524325:LWC524332 MFX524325:MFY524332 MPT524325:MPU524332 MZP524325:MZQ524332 NJL524325:NJM524332 NTH524325:NTI524332 ODD524325:ODE524332 OMZ524325:ONA524332 OWV524325:OWW524332 PGR524325:PGS524332 PQN524325:PQO524332 QAJ524325:QAK524332 QKF524325:QKG524332 QUB524325:QUC524332 RDX524325:RDY524332 RNT524325:RNU524332 RXP524325:RXQ524332 SHL524325:SHM524332 SRH524325:SRI524332 TBD524325:TBE524332 TKZ524325:TLA524332 TUV524325:TUW524332 UER524325:UES524332 UON524325:UOO524332 UYJ524325:UYK524332 VIF524325:VIG524332 VSB524325:VSC524332 WBX524325:WBY524332 WLT524325:WLU524332 WVP524325:WVQ524332 H589861:I589868 JD589861:JE589868 SZ589861:TA589868 ACV589861:ACW589868 AMR589861:AMS589868 AWN589861:AWO589868 BGJ589861:BGK589868 BQF589861:BQG589868 CAB589861:CAC589868 CJX589861:CJY589868 CTT589861:CTU589868 DDP589861:DDQ589868 DNL589861:DNM589868 DXH589861:DXI589868 EHD589861:EHE589868 EQZ589861:ERA589868 FAV589861:FAW589868 FKR589861:FKS589868 FUN589861:FUO589868 GEJ589861:GEK589868 GOF589861:GOG589868 GYB589861:GYC589868 HHX589861:HHY589868 HRT589861:HRU589868 IBP589861:IBQ589868 ILL589861:ILM589868 IVH589861:IVI589868 JFD589861:JFE589868 JOZ589861:JPA589868 JYV589861:JYW589868 KIR589861:KIS589868 KSN589861:KSO589868 LCJ589861:LCK589868 LMF589861:LMG589868 LWB589861:LWC589868 MFX589861:MFY589868 MPT589861:MPU589868 MZP589861:MZQ589868 NJL589861:NJM589868 NTH589861:NTI589868 ODD589861:ODE589868 OMZ589861:ONA589868 OWV589861:OWW589868 PGR589861:PGS589868 PQN589861:PQO589868 QAJ589861:QAK589868 QKF589861:QKG589868 QUB589861:QUC589868 RDX589861:RDY589868 RNT589861:RNU589868 RXP589861:RXQ589868 SHL589861:SHM589868 SRH589861:SRI589868 TBD589861:TBE589868 TKZ589861:TLA589868 TUV589861:TUW589868 UER589861:UES589868 UON589861:UOO589868 UYJ589861:UYK589868 VIF589861:VIG589868 VSB589861:VSC589868 WBX589861:WBY589868 WLT589861:WLU589868 WVP589861:WVQ589868 H655397:I655404 JD655397:JE655404 SZ655397:TA655404 ACV655397:ACW655404 AMR655397:AMS655404 AWN655397:AWO655404 BGJ655397:BGK655404 BQF655397:BQG655404 CAB655397:CAC655404 CJX655397:CJY655404 CTT655397:CTU655404 DDP655397:DDQ655404 DNL655397:DNM655404 DXH655397:DXI655404 EHD655397:EHE655404 EQZ655397:ERA655404 FAV655397:FAW655404 FKR655397:FKS655404 FUN655397:FUO655404 GEJ655397:GEK655404 GOF655397:GOG655404 GYB655397:GYC655404 HHX655397:HHY655404 HRT655397:HRU655404 IBP655397:IBQ655404 ILL655397:ILM655404 IVH655397:IVI655404 JFD655397:JFE655404 JOZ655397:JPA655404 JYV655397:JYW655404 KIR655397:KIS655404 KSN655397:KSO655404 LCJ655397:LCK655404 LMF655397:LMG655404 LWB655397:LWC655404 MFX655397:MFY655404 MPT655397:MPU655404 MZP655397:MZQ655404 NJL655397:NJM655404 NTH655397:NTI655404 ODD655397:ODE655404 OMZ655397:ONA655404 OWV655397:OWW655404 PGR655397:PGS655404 PQN655397:PQO655404 QAJ655397:QAK655404 QKF655397:QKG655404 QUB655397:QUC655404 RDX655397:RDY655404 RNT655397:RNU655404 RXP655397:RXQ655404 SHL655397:SHM655404 SRH655397:SRI655404 TBD655397:TBE655404 TKZ655397:TLA655404 TUV655397:TUW655404 UER655397:UES655404 UON655397:UOO655404 UYJ655397:UYK655404 VIF655397:VIG655404 VSB655397:VSC655404 WBX655397:WBY655404 WLT655397:WLU655404 WVP655397:WVQ655404 H720933:I720940 JD720933:JE720940 SZ720933:TA720940 ACV720933:ACW720940 AMR720933:AMS720940 AWN720933:AWO720940 BGJ720933:BGK720940 BQF720933:BQG720940 CAB720933:CAC720940 CJX720933:CJY720940 CTT720933:CTU720940 DDP720933:DDQ720940 DNL720933:DNM720940 DXH720933:DXI720940 EHD720933:EHE720940 EQZ720933:ERA720940 FAV720933:FAW720940 FKR720933:FKS720940 FUN720933:FUO720940 GEJ720933:GEK720940 GOF720933:GOG720940 GYB720933:GYC720940 HHX720933:HHY720940 HRT720933:HRU720940 IBP720933:IBQ720940 ILL720933:ILM720940 IVH720933:IVI720940 JFD720933:JFE720940 JOZ720933:JPA720940 JYV720933:JYW720940 KIR720933:KIS720940 KSN720933:KSO720940 LCJ720933:LCK720940 LMF720933:LMG720940 LWB720933:LWC720940 MFX720933:MFY720940 MPT720933:MPU720940 MZP720933:MZQ720940 NJL720933:NJM720940 NTH720933:NTI720940 ODD720933:ODE720940 OMZ720933:ONA720940 OWV720933:OWW720940 PGR720933:PGS720940 PQN720933:PQO720940 QAJ720933:QAK720940 QKF720933:QKG720940 QUB720933:QUC720940 RDX720933:RDY720940 RNT720933:RNU720940 RXP720933:RXQ720940 SHL720933:SHM720940 SRH720933:SRI720940 TBD720933:TBE720940 TKZ720933:TLA720940 TUV720933:TUW720940 UER720933:UES720940 UON720933:UOO720940 UYJ720933:UYK720940 VIF720933:VIG720940 VSB720933:VSC720940 WBX720933:WBY720940 WLT720933:WLU720940 WVP720933:WVQ720940 H786469:I786476 JD786469:JE786476 SZ786469:TA786476 ACV786469:ACW786476 AMR786469:AMS786476 AWN786469:AWO786476 BGJ786469:BGK786476 BQF786469:BQG786476 CAB786469:CAC786476 CJX786469:CJY786476 CTT786469:CTU786476 DDP786469:DDQ786476 DNL786469:DNM786476 DXH786469:DXI786476 EHD786469:EHE786476 EQZ786469:ERA786476 FAV786469:FAW786476 FKR786469:FKS786476 FUN786469:FUO786476 GEJ786469:GEK786476 GOF786469:GOG786476 GYB786469:GYC786476 HHX786469:HHY786476 HRT786469:HRU786476 IBP786469:IBQ786476 ILL786469:ILM786476 IVH786469:IVI786476 JFD786469:JFE786476 JOZ786469:JPA786476 JYV786469:JYW786476 KIR786469:KIS786476 KSN786469:KSO786476 LCJ786469:LCK786476 LMF786469:LMG786476 LWB786469:LWC786476 MFX786469:MFY786476 MPT786469:MPU786476 MZP786469:MZQ786476 NJL786469:NJM786476 NTH786469:NTI786476 ODD786469:ODE786476 OMZ786469:ONA786476 OWV786469:OWW786476 PGR786469:PGS786476 PQN786469:PQO786476 QAJ786469:QAK786476 QKF786469:QKG786476 QUB786469:QUC786476 RDX786469:RDY786476 RNT786469:RNU786476 RXP786469:RXQ786476 SHL786469:SHM786476 SRH786469:SRI786476 TBD786469:TBE786476 TKZ786469:TLA786476 TUV786469:TUW786476 UER786469:UES786476 UON786469:UOO786476 UYJ786469:UYK786476 VIF786469:VIG786476 VSB786469:VSC786476 WBX786469:WBY786476 WLT786469:WLU786476 WVP786469:WVQ786476 H852005:I852012 JD852005:JE852012 SZ852005:TA852012 ACV852005:ACW852012 AMR852005:AMS852012 AWN852005:AWO852012 BGJ852005:BGK852012 BQF852005:BQG852012 CAB852005:CAC852012 CJX852005:CJY852012 CTT852005:CTU852012 DDP852005:DDQ852012 DNL852005:DNM852012 DXH852005:DXI852012 EHD852005:EHE852012 EQZ852005:ERA852012 FAV852005:FAW852012 FKR852005:FKS852012 FUN852005:FUO852012 GEJ852005:GEK852012 GOF852005:GOG852012 GYB852005:GYC852012 HHX852005:HHY852012 HRT852005:HRU852012 IBP852005:IBQ852012 ILL852005:ILM852012 IVH852005:IVI852012 JFD852005:JFE852012 JOZ852005:JPA852012 JYV852005:JYW852012 KIR852005:KIS852012 KSN852005:KSO852012 LCJ852005:LCK852012 LMF852005:LMG852012 LWB852005:LWC852012 MFX852005:MFY852012 MPT852005:MPU852012 MZP852005:MZQ852012 NJL852005:NJM852012 NTH852005:NTI852012 ODD852005:ODE852012 OMZ852005:ONA852012 OWV852005:OWW852012 PGR852005:PGS852012 PQN852005:PQO852012 QAJ852005:QAK852012 QKF852005:QKG852012 QUB852005:QUC852012 RDX852005:RDY852012 RNT852005:RNU852012 RXP852005:RXQ852012 SHL852005:SHM852012 SRH852005:SRI852012 TBD852005:TBE852012 TKZ852005:TLA852012 TUV852005:TUW852012 UER852005:UES852012 UON852005:UOO852012 UYJ852005:UYK852012 VIF852005:VIG852012 VSB852005:VSC852012 WBX852005:WBY852012 WLT852005:WLU852012 WVP852005:WVQ852012 H917541:I917548 JD917541:JE917548 SZ917541:TA917548 ACV917541:ACW917548 AMR917541:AMS917548 AWN917541:AWO917548 BGJ917541:BGK917548 BQF917541:BQG917548 CAB917541:CAC917548 CJX917541:CJY917548 CTT917541:CTU917548 DDP917541:DDQ917548 DNL917541:DNM917548 DXH917541:DXI917548 EHD917541:EHE917548 EQZ917541:ERA917548 FAV917541:FAW917548 FKR917541:FKS917548 FUN917541:FUO917548 GEJ917541:GEK917548 GOF917541:GOG917548 GYB917541:GYC917548 HHX917541:HHY917548 HRT917541:HRU917548 IBP917541:IBQ917548 ILL917541:ILM917548 IVH917541:IVI917548 JFD917541:JFE917548 JOZ917541:JPA917548 JYV917541:JYW917548 KIR917541:KIS917548 KSN917541:KSO917548 LCJ917541:LCK917548 LMF917541:LMG917548 LWB917541:LWC917548 MFX917541:MFY917548 MPT917541:MPU917548 MZP917541:MZQ917548 NJL917541:NJM917548 NTH917541:NTI917548 ODD917541:ODE917548 OMZ917541:ONA917548 OWV917541:OWW917548 PGR917541:PGS917548 PQN917541:PQO917548 QAJ917541:QAK917548 QKF917541:QKG917548 QUB917541:QUC917548 RDX917541:RDY917548 RNT917541:RNU917548 RXP917541:RXQ917548 SHL917541:SHM917548 SRH917541:SRI917548 TBD917541:TBE917548 TKZ917541:TLA917548 TUV917541:TUW917548 UER917541:UES917548 UON917541:UOO917548 UYJ917541:UYK917548 VIF917541:VIG917548 VSB917541:VSC917548 WBX917541:WBY917548 WLT917541:WLU917548 WVP917541:WVQ917548 H983077:I983084 JD983077:JE983084 SZ983077:TA983084 ACV983077:ACW983084 AMR983077:AMS983084 AWN983077:AWO983084 BGJ983077:BGK983084 BQF983077:BQG983084 CAB983077:CAC983084 CJX983077:CJY983084 CTT983077:CTU983084 DDP983077:DDQ983084 DNL983077:DNM983084 DXH983077:DXI983084 EHD983077:EHE983084 EQZ983077:ERA983084 FAV983077:FAW983084 FKR983077:FKS983084 FUN983077:FUO983084 GEJ983077:GEK983084 GOF983077:GOG983084 GYB983077:GYC983084 HHX983077:HHY983084 HRT983077:HRU983084 IBP983077:IBQ983084 ILL983077:ILM983084 IVH983077:IVI983084 JFD983077:JFE983084 JOZ983077:JPA983084 JYV983077:JYW983084 KIR983077:KIS983084 KSN983077:KSO983084 LCJ983077:LCK983084 LMF983077:LMG983084 LWB983077:LWC983084 MFX983077:MFY983084 MPT983077:MPU983084 MZP983077:MZQ983084 NJL983077:NJM983084 NTH983077:NTI983084 ODD983077:ODE983084 OMZ983077:ONA983084 OWV983077:OWW983084 PGR983077:PGS983084 PQN983077:PQO983084 QAJ983077:QAK983084 QKF983077:QKG983084 QUB983077:QUC983084 RDX983077:RDY983084 RNT983077:RNU983084 RXP983077:RXQ983084 SHL983077:SHM983084 SRH983077:SRI983084 TBD983077:TBE983084 TKZ983077:TLA983084 TUV983077:TUW983084 UER983077:UES983084 UON983077:UOO983084 UYJ983077:UYK983084 VIF983077:VIG983084 VSB983077:VSC983084 WBX983077:WBY983084 WLT983077:WLU983084 WVP983077:WVQ983084 H46:I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H65582:I65582 JD65582:JE65582 SZ65582:TA65582 ACV65582:ACW65582 AMR65582:AMS65582 AWN65582:AWO65582 BGJ65582:BGK65582 BQF65582:BQG65582 CAB65582:CAC65582 CJX65582:CJY65582 CTT65582:CTU65582 DDP65582:DDQ65582 DNL65582:DNM65582 DXH65582:DXI65582 EHD65582:EHE65582 EQZ65582:ERA65582 FAV65582:FAW65582 FKR65582:FKS65582 FUN65582:FUO65582 GEJ65582:GEK65582 GOF65582:GOG65582 GYB65582:GYC65582 HHX65582:HHY65582 HRT65582:HRU65582 IBP65582:IBQ65582 ILL65582:ILM65582 IVH65582:IVI65582 JFD65582:JFE65582 JOZ65582:JPA65582 JYV65582:JYW65582 KIR65582:KIS65582 KSN65582:KSO65582 LCJ65582:LCK65582 LMF65582:LMG65582 LWB65582:LWC65582 MFX65582:MFY65582 MPT65582:MPU65582 MZP65582:MZQ65582 NJL65582:NJM65582 NTH65582:NTI65582 ODD65582:ODE65582 OMZ65582:ONA65582 OWV65582:OWW65582 PGR65582:PGS65582 PQN65582:PQO65582 QAJ65582:QAK65582 QKF65582:QKG65582 QUB65582:QUC65582 RDX65582:RDY65582 RNT65582:RNU65582 RXP65582:RXQ65582 SHL65582:SHM65582 SRH65582:SRI65582 TBD65582:TBE65582 TKZ65582:TLA65582 TUV65582:TUW65582 UER65582:UES65582 UON65582:UOO65582 UYJ65582:UYK65582 VIF65582:VIG65582 VSB65582:VSC65582 WBX65582:WBY65582 WLT65582:WLU65582 WVP65582:WVQ65582 H131118:I131118 JD131118:JE131118 SZ131118:TA131118 ACV131118:ACW131118 AMR131118:AMS131118 AWN131118:AWO131118 BGJ131118:BGK131118 BQF131118:BQG131118 CAB131118:CAC131118 CJX131118:CJY131118 CTT131118:CTU131118 DDP131118:DDQ131118 DNL131118:DNM131118 DXH131118:DXI131118 EHD131118:EHE131118 EQZ131118:ERA131118 FAV131118:FAW131118 FKR131118:FKS131118 FUN131118:FUO131118 GEJ131118:GEK131118 GOF131118:GOG131118 GYB131118:GYC131118 HHX131118:HHY131118 HRT131118:HRU131118 IBP131118:IBQ131118 ILL131118:ILM131118 IVH131118:IVI131118 JFD131118:JFE131118 JOZ131118:JPA131118 JYV131118:JYW131118 KIR131118:KIS131118 KSN131118:KSO131118 LCJ131118:LCK131118 LMF131118:LMG131118 LWB131118:LWC131118 MFX131118:MFY131118 MPT131118:MPU131118 MZP131118:MZQ131118 NJL131118:NJM131118 NTH131118:NTI131118 ODD131118:ODE131118 OMZ131118:ONA131118 OWV131118:OWW131118 PGR131118:PGS131118 PQN131118:PQO131118 QAJ131118:QAK131118 QKF131118:QKG131118 QUB131118:QUC131118 RDX131118:RDY131118 RNT131118:RNU131118 RXP131118:RXQ131118 SHL131118:SHM131118 SRH131118:SRI131118 TBD131118:TBE131118 TKZ131118:TLA131118 TUV131118:TUW131118 UER131118:UES131118 UON131118:UOO131118 UYJ131118:UYK131118 VIF131118:VIG131118 VSB131118:VSC131118 WBX131118:WBY131118 WLT131118:WLU131118 WVP131118:WVQ131118 H196654:I196654 JD196654:JE196654 SZ196654:TA196654 ACV196654:ACW196654 AMR196654:AMS196654 AWN196654:AWO196654 BGJ196654:BGK196654 BQF196654:BQG196654 CAB196654:CAC196654 CJX196654:CJY196654 CTT196654:CTU196654 DDP196654:DDQ196654 DNL196654:DNM196654 DXH196654:DXI196654 EHD196654:EHE196654 EQZ196654:ERA196654 FAV196654:FAW196654 FKR196654:FKS196654 FUN196654:FUO196654 GEJ196654:GEK196654 GOF196654:GOG196654 GYB196654:GYC196654 HHX196654:HHY196654 HRT196654:HRU196654 IBP196654:IBQ196654 ILL196654:ILM196654 IVH196654:IVI196654 JFD196654:JFE196654 JOZ196654:JPA196654 JYV196654:JYW196654 KIR196654:KIS196654 KSN196654:KSO196654 LCJ196654:LCK196654 LMF196654:LMG196654 LWB196654:LWC196654 MFX196654:MFY196654 MPT196654:MPU196654 MZP196654:MZQ196654 NJL196654:NJM196654 NTH196654:NTI196654 ODD196654:ODE196654 OMZ196654:ONA196654 OWV196654:OWW196654 PGR196654:PGS196654 PQN196654:PQO196654 QAJ196654:QAK196654 QKF196654:QKG196654 QUB196654:QUC196654 RDX196654:RDY196654 RNT196654:RNU196654 RXP196654:RXQ196654 SHL196654:SHM196654 SRH196654:SRI196654 TBD196654:TBE196654 TKZ196654:TLA196654 TUV196654:TUW196654 UER196654:UES196654 UON196654:UOO196654 UYJ196654:UYK196654 VIF196654:VIG196654 VSB196654:VSC196654 WBX196654:WBY196654 WLT196654:WLU196654 WVP196654:WVQ196654 H262190:I262190 JD262190:JE262190 SZ262190:TA262190 ACV262190:ACW262190 AMR262190:AMS262190 AWN262190:AWO262190 BGJ262190:BGK262190 BQF262190:BQG262190 CAB262190:CAC262190 CJX262190:CJY262190 CTT262190:CTU262190 DDP262190:DDQ262190 DNL262190:DNM262190 DXH262190:DXI262190 EHD262190:EHE262190 EQZ262190:ERA262190 FAV262190:FAW262190 FKR262190:FKS262190 FUN262190:FUO262190 GEJ262190:GEK262190 GOF262190:GOG262190 GYB262190:GYC262190 HHX262190:HHY262190 HRT262190:HRU262190 IBP262190:IBQ262190 ILL262190:ILM262190 IVH262190:IVI262190 JFD262190:JFE262190 JOZ262190:JPA262190 JYV262190:JYW262190 KIR262190:KIS262190 KSN262190:KSO262190 LCJ262190:LCK262190 LMF262190:LMG262190 LWB262190:LWC262190 MFX262190:MFY262190 MPT262190:MPU262190 MZP262190:MZQ262190 NJL262190:NJM262190 NTH262190:NTI262190 ODD262190:ODE262190 OMZ262190:ONA262190 OWV262190:OWW262190 PGR262190:PGS262190 PQN262190:PQO262190 QAJ262190:QAK262190 QKF262190:QKG262190 QUB262190:QUC262190 RDX262190:RDY262190 RNT262190:RNU262190 RXP262190:RXQ262190 SHL262190:SHM262190 SRH262190:SRI262190 TBD262190:TBE262190 TKZ262190:TLA262190 TUV262190:TUW262190 UER262190:UES262190 UON262190:UOO262190 UYJ262190:UYK262190 VIF262190:VIG262190 VSB262190:VSC262190 WBX262190:WBY262190 WLT262190:WLU262190 WVP262190:WVQ262190 H327726:I327726 JD327726:JE327726 SZ327726:TA327726 ACV327726:ACW327726 AMR327726:AMS327726 AWN327726:AWO327726 BGJ327726:BGK327726 BQF327726:BQG327726 CAB327726:CAC327726 CJX327726:CJY327726 CTT327726:CTU327726 DDP327726:DDQ327726 DNL327726:DNM327726 DXH327726:DXI327726 EHD327726:EHE327726 EQZ327726:ERA327726 FAV327726:FAW327726 FKR327726:FKS327726 FUN327726:FUO327726 GEJ327726:GEK327726 GOF327726:GOG327726 GYB327726:GYC327726 HHX327726:HHY327726 HRT327726:HRU327726 IBP327726:IBQ327726 ILL327726:ILM327726 IVH327726:IVI327726 JFD327726:JFE327726 JOZ327726:JPA327726 JYV327726:JYW327726 KIR327726:KIS327726 KSN327726:KSO327726 LCJ327726:LCK327726 LMF327726:LMG327726 LWB327726:LWC327726 MFX327726:MFY327726 MPT327726:MPU327726 MZP327726:MZQ327726 NJL327726:NJM327726 NTH327726:NTI327726 ODD327726:ODE327726 OMZ327726:ONA327726 OWV327726:OWW327726 PGR327726:PGS327726 PQN327726:PQO327726 QAJ327726:QAK327726 QKF327726:QKG327726 QUB327726:QUC327726 RDX327726:RDY327726 RNT327726:RNU327726 RXP327726:RXQ327726 SHL327726:SHM327726 SRH327726:SRI327726 TBD327726:TBE327726 TKZ327726:TLA327726 TUV327726:TUW327726 UER327726:UES327726 UON327726:UOO327726 UYJ327726:UYK327726 VIF327726:VIG327726 VSB327726:VSC327726 WBX327726:WBY327726 WLT327726:WLU327726 WVP327726:WVQ327726 H393262:I393262 JD393262:JE393262 SZ393262:TA393262 ACV393262:ACW393262 AMR393262:AMS393262 AWN393262:AWO393262 BGJ393262:BGK393262 BQF393262:BQG393262 CAB393262:CAC393262 CJX393262:CJY393262 CTT393262:CTU393262 DDP393262:DDQ393262 DNL393262:DNM393262 DXH393262:DXI393262 EHD393262:EHE393262 EQZ393262:ERA393262 FAV393262:FAW393262 FKR393262:FKS393262 FUN393262:FUO393262 GEJ393262:GEK393262 GOF393262:GOG393262 GYB393262:GYC393262 HHX393262:HHY393262 HRT393262:HRU393262 IBP393262:IBQ393262 ILL393262:ILM393262 IVH393262:IVI393262 JFD393262:JFE393262 JOZ393262:JPA393262 JYV393262:JYW393262 KIR393262:KIS393262 KSN393262:KSO393262 LCJ393262:LCK393262 LMF393262:LMG393262 LWB393262:LWC393262 MFX393262:MFY393262 MPT393262:MPU393262 MZP393262:MZQ393262 NJL393262:NJM393262 NTH393262:NTI393262 ODD393262:ODE393262 OMZ393262:ONA393262 OWV393262:OWW393262 PGR393262:PGS393262 PQN393262:PQO393262 QAJ393262:QAK393262 QKF393262:QKG393262 QUB393262:QUC393262 RDX393262:RDY393262 RNT393262:RNU393262 RXP393262:RXQ393262 SHL393262:SHM393262 SRH393262:SRI393262 TBD393262:TBE393262 TKZ393262:TLA393262 TUV393262:TUW393262 UER393262:UES393262 UON393262:UOO393262 UYJ393262:UYK393262 VIF393262:VIG393262 VSB393262:VSC393262 WBX393262:WBY393262 WLT393262:WLU393262 WVP393262:WVQ393262 H458798:I458798 JD458798:JE458798 SZ458798:TA458798 ACV458798:ACW458798 AMR458798:AMS458798 AWN458798:AWO458798 BGJ458798:BGK458798 BQF458798:BQG458798 CAB458798:CAC458798 CJX458798:CJY458798 CTT458798:CTU458798 DDP458798:DDQ458798 DNL458798:DNM458798 DXH458798:DXI458798 EHD458798:EHE458798 EQZ458798:ERA458798 FAV458798:FAW458798 FKR458798:FKS458798 FUN458798:FUO458798 GEJ458798:GEK458798 GOF458798:GOG458798 GYB458798:GYC458798 HHX458798:HHY458798 HRT458798:HRU458798 IBP458798:IBQ458798 ILL458798:ILM458798 IVH458798:IVI458798 JFD458798:JFE458798 JOZ458798:JPA458798 JYV458798:JYW458798 KIR458798:KIS458798 KSN458798:KSO458798 LCJ458798:LCK458798 LMF458798:LMG458798 LWB458798:LWC458798 MFX458798:MFY458798 MPT458798:MPU458798 MZP458798:MZQ458798 NJL458798:NJM458798 NTH458798:NTI458798 ODD458798:ODE458798 OMZ458798:ONA458798 OWV458798:OWW458798 PGR458798:PGS458798 PQN458798:PQO458798 QAJ458798:QAK458798 QKF458798:QKG458798 QUB458798:QUC458798 RDX458798:RDY458798 RNT458798:RNU458798 RXP458798:RXQ458798 SHL458798:SHM458798 SRH458798:SRI458798 TBD458798:TBE458798 TKZ458798:TLA458798 TUV458798:TUW458798 UER458798:UES458798 UON458798:UOO458798 UYJ458798:UYK458798 VIF458798:VIG458798 VSB458798:VSC458798 WBX458798:WBY458798 WLT458798:WLU458798 WVP458798:WVQ458798 H524334:I524334 JD524334:JE524334 SZ524334:TA524334 ACV524334:ACW524334 AMR524334:AMS524334 AWN524334:AWO524334 BGJ524334:BGK524334 BQF524334:BQG524334 CAB524334:CAC524334 CJX524334:CJY524334 CTT524334:CTU524334 DDP524334:DDQ524334 DNL524334:DNM524334 DXH524334:DXI524334 EHD524334:EHE524334 EQZ524334:ERA524334 FAV524334:FAW524334 FKR524334:FKS524334 FUN524334:FUO524334 GEJ524334:GEK524334 GOF524334:GOG524334 GYB524334:GYC524334 HHX524334:HHY524334 HRT524334:HRU524334 IBP524334:IBQ524334 ILL524334:ILM524334 IVH524334:IVI524334 JFD524334:JFE524334 JOZ524334:JPA524334 JYV524334:JYW524334 KIR524334:KIS524334 KSN524334:KSO524334 LCJ524334:LCK524334 LMF524334:LMG524334 LWB524334:LWC524334 MFX524334:MFY524334 MPT524334:MPU524334 MZP524334:MZQ524334 NJL524334:NJM524334 NTH524334:NTI524334 ODD524334:ODE524334 OMZ524334:ONA524334 OWV524334:OWW524334 PGR524334:PGS524334 PQN524334:PQO524334 QAJ524334:QAK524334 QKF524334:QKG524334 QUB524334:QUC524334 RDX524334:RDY524334 RNT524334:RNU524334 RXP524334:RXQ524334 SHL524334:SHM524334 SRH524334:SRI524334 TBD524334:TBE524334 TKZ524334:TLA524334 TUV524334:TUW524334 UER524334:UES524334 UON524334:UOO524334 UYJ524334:UYK524334 VIF524334:VIG524334 VSB524334:VSC524334 WBX524334:WBY524334 WLT524334:WLU524334 WVP524334:WVQ524334 H589870:I589870 JD589870:JE589870 SZ589870:TA589870 ACV589870:ACW589870 AMR589870:AMS589870 AWN589870:AWO589870 BGJ589870:BGK589870 BQF589870:BQG589870 CAB589870:CAC589870 CJX589870:CJY589870 CTT589870:CTU589870 DDP589870:DDQ589870 DNL589870:DNM589870 DXH589870:DXI589870 EHD589870:EHE589870 EQZ589870:ERA589870 FAV589870:FAW589870 FKR589870:FKS589870 FUN589870:FUO589870 GEJ589870:GEK589870 GOF589870:GOG589870 GYB589870:GYC589870 HHX589870:HHY589870 HRT589870:HRU589870 IBP589870:IBQ589870 ILL589870:ILM589870 IVH589870:IVI589870 JFD589870:JFE589870 JOZ589870:JPA589870 JYV589870:JYW589870 KIR589870:KIS589870 KSN589870:KSO589870 LCJ589870:LCK589870 LMF589870:LMG589870 LWB589870:LWC589870 MFX589870:MFY589870 MPT589870:MPU589870 MZP589870:MZQ589870 NJL589870:NJM589870 NTH589870:NTI589870 ODD589870:ODE589870 OMZ589870:ONA589870 OWV589870:OWW589870 PGR589870:PGS589870 PQN589870:PQO589870 QAJ589870:QAK589870 QKF589870:QKG589870 QUB589870:QUC589870 RDX589870:RDY589870 RNT589870:RNU589870 RXP589870:RXQ589870 SHL589870:SHM589870 SRH589870:SRI589870 TBD589870:TBE589870 TKZ589870:TLA589870 TUV589870:TUW589870 UER589870:UES589870 UON589870:UOO589870 UYJ589870:UYK589870 VIF589870:VIG589870 VSB589870:VSC589870 WBX589870:WBY589870 WLT589870:WLU589870 WVP589870:WVQ589870 H655406:I655406 JD655406:JE655406 SZ655406:TA655406 ACV655406:ACW655406 AMR655406:AMS655406 AWN655406:AWO655406 BGJ655406:BGK655406 BQF655406:BQG655406 CAB655406:CAC655406 CJX655406:CJY655406 CTT655406:CTU655406 DDP655406:DDQ655406 DNL655406:DNM655406 DXH655406:DXI655406 EHD655406:EHE655406 EQZ655406:ERA655406 FAV655406:FAW655406 FKR655406:FKS655406 FUN655406:FUO655406 GEJ655406:GEK655406 GOF655406:GOG655406 GYB655406:GYC655406 HHX655406:HHY655406 HRT655406:HRU655406 IBP655406:IBQ655406 ILL655406:ILM655406 IVH655406:IVI655406 JFD655406:JFE655406 JOZ655406:JPA655406 JYV655406:JYW655406 KIR655406:KIS655406 KSN655406:KSO655406 LCJ655406:LCK655406 LMF655406:LMG655406 LWB655406:LWC655406 MFX655406:MFY655406 MPT655406:MPU655406 MZP655406:MZQ655406 NJL655406:NJM655406 NTH655406:NTI655406 ODD655406:ODE655406 OMZ655406:ONA655406 OWV655406:OWW655406 PGR655406:PGS655406 PQN655406:PQO655406 QAJ655406:QAK655406 QKF655406:QKG655406 QUB655406:QUC655406 RDX655406:RDY655406 RNT655406:RNU655406 RXP655406:RXQ655406 SHL655406:SHM655406 SRH655406:SRI655406 TBD655406:TBE655406 TKZ655406:TLA655406 TUV655406:TUW655406 UER655406:UES655406 UON655406:UOO655406 UYJ655406:UYK655406 VIF655406:VIG655406 VSB655406:VSC655406 WBX655406:WBY655406 WLT655406:WLU655406 WVP655406:WVQ655406 H720942:I720942 JD720942:JE720942 SZ720942:TA720942 ACV720942:ACW720942 AMR720942:AMS720942 AWN720942:AWO720942 BGJ720942:BGK720942 BQF720942:BQG720942 CAB720942:CAC720942 CJX720942:CJY720942 CTT720942:CTU720942 DDP720942:DDQ720942 DNL720942:DNM720942 DXH720942:DXI720942 EHD720942:EHE720942 EQZ720942:ERA720942 FAV720942:FAW720942 FKR720942:FKS720942 FUN720942:FUO720942 GEJ720942:GEK720942 GOF720942:GOG720942 GYB720942:GYC720942 HHX720942:HHY720942 HRT720942:HRU720942 IBP720942:IBQ720942 ILL720942:ILM720942 IVH720942:IVI720942 JFD720942:JFE720942 JOZ720942:JPA720942 JYV720942:JYW720942 KIR720942:KIS720942 KSN720942:KSO720942 LCJ720942:LCK720942 LMF720942:LMG720942 LWB720942:LWC720942 MFX720942:MFY720942 MPT720942:MPU720942 MZP720942:MZQ720942 NJL720942:NJM720942 NTH720942:NTI720942 ODD720942:ODE720942 OMZ720942:ONA720942 OWV720942:OWW720942 PGR720942:PGS720942 PQN720942:PQO720942 QAJ720942:QAK720942 QKF720942:QKG720942 QUB720942:QUC720942 RDX720942:RDY720942 RNT720942:RNU720942 RXP720942:RXQ720942 SHL720942:SHM720942 SRH720942:SRI720942 TBD720942:TBE720942 TKZ720942:TLA720942 TUV720942:TUW720942 UER720942:UES720942 UON720942:UOO720942 UYJ720942:UYK720942 VIF720942:VIG720942 VSB720942:VSC720942 WBX720942:WBY720942 WLT720942:WLU720942 WVP720942:WVQ720942 H786478:I786478 JD786478:JE786478 SZ786478:TA786478 ACV786478:ACW786478 AMR786478:AMS786478 AWN786478:AWO786478 BGJ786478:BGK786478 BQF786478:BQG786478 CAB786478:CAC786478 CJX786478:CJY786478 CTT786478:CTU786478 DDP786478:DDQ786478 DNL786478:DNM786478 DXH786478:DXI786478 EHD786478:EHE786478 EQZ786478:ERA786478 FAV786478:FAW786478 FKR786478:FKS786478 FUN786478:FUO786478 GEJ786478:GEK786478 GOF786478:GOG786478 GYB786478:GYC786478 HHX786478:HHY786478 HRT786478:HRU786478 IBP786478:IBQ786478 ILL786478:ILM786478 IVH786478:IVI786478 JFD786478:JFE786478 JOZ786478:JPA786478 JYV786478:JYW786478 KIR786478:KIS786478 KSN786478:KSO786478 LCJ786478:LCK786478 LMF786478:LMG786478 LWB786478:LWC786478 MFX786478:MFY786478 MPT786478:MPU786478 MZP786478:MZQ786478 NJL786478:NJM786478 NTH786478:NTI786478 ODD786478:ODE786478 OMZ786478:ONA786478 OWV786478:OWW786478 PGR786478:PGS786478 PQN786478:PQO786478 QAJ786478:QAK786478 QKF786478:QKG786478 QUB786478:QUC786478 RDX786478:RDY786478 RNT786478:RNU786478 RXP786478:RXQ786478 SHL786478:SHM786478 SRH786478:SRI786478 TBD786478:TBE786478 TKZ786478:TLA786478 TUV786478:TUW786478 UER786478:UES786478 UON786478:UOO786478 UYJ786478:UYK786478 VIF786478:VIG786478 VSB786478:VSC786478 WBX786478:WBY786478 WLT786478:WLU786478 WVP786478:WVQ786478 H852014:I852014 JD852014:JE852014 SZ852014:TA852014 ACV852014:ACW852014 AMR852014:AMS852014 AWN852014:AWO852014 BGJ852014:BGK852014 BQF852014:BQG852014 CAB852014:CAC852014 CJX852014:CJY852014 CTT852014:CTU852014 DDP852014:DDQ852014 DNL852014:DNM852014 DXH852014:DXI852014 EHD852014:EHE852014 EQZ852014:ERA852014 FAV852014:FAW852014 FKR852014:FKS852014 FUN852014:FUO852014 GEJ852014:GEK852014 GOF852014:GOG852014 GYB852014:GYC852014 HHX852014:HHY852014 HRT852014:HRU852014 IBP852014:IBQ852014 ILL852014:ILM852014 IVH852014:IVI852014 JFD852014:JFE852014 JOZ852014:JPA852014 JYV852014:JYW852014 KIR852014:KIS852014 KSN852014:KSO852014 LCJ852014:LCK852014 LMF852014:LMG852014 LWB852014:LWC852014 MFX852014:MFY852014 MPT852014:MPU852014 MZP852014:MZQ852014 NJL852014:NJM852014 NTH852014:NTI852014 ODD852014:ODE852014 OMZ852014:ONA852014 OWV852014:OWW852014 PGR852014:PGS852014 PQN852014:PQO852014 QAJ852014:QAK852014 QKF852014:QKG852014 QUB852014:QUC852014 RDX852014:RDY852014 RNT852014:RNU852014 RXP852014:RXQ852014 SHL852014:SHM852014 SRH852014:SRI852014 TBD852014:TBE852014 TKZ852014:TLA852014 TUV852014:TUW852014 UER852014:UES852014 UON852014:UOO852014 UYJ852014:UYK852014 VIF852014:VIG852014 VSB852014:VSC852014 WBX852014:WBY852014 WLT852014:WLU852014 WVP852014:WVQ852014 H917550:I917550 JD917550:JE917550 SZ917550:TA917550 ACV917550:ACW917550 AMR917550:AMS917550 AWN917550:AWO917550 BGJ917550:BGK917550 BQF917550:BQG917550 CAB917550:CAC917550 CJX917550:CJY917550 CTT917550:CTU917550 DDP917550:DDQ917550 DNL917550:DNM917550 DXH917550:DXI917550 EHD917550:EHE917550 EQZ917550:ERA917550 FAV917550:FAW917550 FKR917550:FKS917550 FUN917550:FUO917550 GEJ917550:GEK917550 GOF917550:GOG917550 GYB917550:GYC917550 HHX917550:HHY917550 HRT917550:HRU917550 IBP917550:IBQ917550 ILL917550:ILM917550 IVH917550:IVI917550 JFD917550:JFE917550 JOZ917550:JPA917550 JYV917550:JYW917550 KIR917550:KIS917550 KSN917550:KSO917550 LCJ917550:LCK917550 LMF917550:LMG917550 LWB917550:LWC917550 MFX917550:MFY917550 MPT917550:MPU917550 MZP917550:MZQ917550 NJL917550:NJM917550 NTH917550:NTI917550 ODD917550:ODE917550 OMZ917550:ONA917550 OWV917550:OWW917550 PGR917550:PGS917550 PQN917550:PQO917550 QAJ917550:QAK917550 QKF917550:QKG917550 QUB917550:QUC917550 RDX917550:RDY917550 RNT917550:RNU917550 RXP917550:RXQ917550 SHL917550:SHM917550 SRH917550:SRI917550 TBD917550:TBE917550 TKZ917550:TLA917550 TUV917550:TUW917550 UER917550:UES917550 UON917550:UOO917550 UYJ917550:UYK917550 VIF917550:VIG917550 VSB917550:VSC917550 WBX917550:WBY917550 WLT917550:WLU917550 WVP917550:WVQ917550 H983086:I983086 JD983086:JE983086 SZ983086:TA983086 ACV983086:ACW983086 AMR983086:AMS983086 AWN983086:AWO983086 BGJ983086:BGK983086 BQF983086:BQG983086 CAB983086:CAC983086 CJX983086:CJY983086 CTT983086:CTU983086 DDP983086:DDQ983086 DNL983086:DNM983086 DXH983086:DXI983086 EHD983086:EHE983086 EQZ983086:ERA983086 FAV983086:FAW983086 FKR983086:FKS983086 FUN983086:FUO983086 GEJ983086:GEK983086 GOF983086:GOG983086 GYB983086:GYC983086 HHX983086:HHY983086 HRT983086:HRU983086 IBP983086:IBQ983086 ILL983086:ILM983086 IVH983086:IVI983086 JFD983086:JFE983086 JOZ983086:JPA983086 JYV983086:JYW983086 KIR983086:KIS983086 KSN983086:KSO983086 LCJ983086:LCK983086 LMF983086:LMG983086 LWB983086:LWC983086 MFX983086:MFY983086 MPT983086:MPU983086 MZP983086:MZQ983086 NJL983086:NJM983086 NTH983086:NTI983086 ODD983086:ODE983086 OMZ983086:ONA983086 OWV983086:OWW983086 PGR983086:PGS983086 PQN983086:PQO983086 QAJ983086:QAK983086 QKF983086:QKG983086 QUB983086:QUC983086 RDX983086:RDY983086 RNT983086:RNU983086 RXP983086:RXQ983086 SHL983086:SHM983086 SRH983086:SRI983086 TBD983086:TBE983086 TKZ983086:TLA983086 TUV983086:TUW983086 UER983086:UES983086 UON983086:UOO983086 UYJ983086:UYK983086 VIF983086:VIG983086 VSB983086:VSC983086 WBX983086:WBY983086 WLT983086:WLU983086 WVP983086:WVQ983086 H48:I49 JD48:JE49 SZ48:TA49 ACV48:ACW49 AMR48:AMS49 AWN48:AWO49 BGJ48:BGK49 BQF48:BQG49 CAB48:CAC49 CJX48:CJY49 CTT48:CTU49 DDP48:DDQ49 DNL48:DNM49 DXH48:DXI49 EHD48:EHE49 EQZ48:ERA49 FAV48:FAW49 FKR48:FKS49 FUN48:FUO49 GEJ48:GEK49 GOF48:GOG49 GYB48:GYC49 HHX48:HHY49 HRT48:HRU49 IBP48:IBQ49 ILL48:ILM49 IVH48:IVI49 JFD48:JFE49 JOZ48:JPA49 JYV48:JYW49 KIR48:KIS49 KSN48:KSO49 LCJ48:LCK49 LMF48:LMG49 LWB48:LWC49 MFX48:MFY49 MPT48:MPU49 MZP48:MZQ49 NJL48:NJM49 NTH48:NTI49 ODD48:ODE49 OMZ48:ONA49 OWV48:OWW49 PGR48:PGS49 PQN48:PQO49 QAJ48:QAK49 QKF48:QKG49 QUB48:QUC49 RDX48:RDY49 RNT48:RNU49 RXP48:RXQ49 SHL48:SHM49 SRH48:SRI49 TBD48:TBE49 TKZ48:TLA49 TUV48:TUW49 UER48:UES49 UON48:UOO49 UYJ48:UYK49 VIF48:VIG49 VSB48:VSC49 WBX48:WBY49 WLT48:WLU49 WVP48:WVQ49 H65584:I65585 JD65584:JE65585 SZ65584:TA65585 ACV65584:ACW65585 AMR65584:AMS65585 AWN65584:AWO65585 BGJ65584:BGK65585 BQF65584:BQG65585 CAB65584:CAC65585 CJX65584:CJY65585 CTT65584:CTU65585 DDP65584:DDQ65585 DNL65584:DNM65585 DXH65584:DXI65585 EHD65584:EHE65585 EQZ65584:ERA65585 FAV65584:FAW65585 FKR65584:FKS65585 FUN65584:FUO65585 GEJ65584:GEK65585 GOF65584:GOG65585 GYB65584:GYC65585 HHX65584:HHY65585 HRT65584:HRU65585 IBP65584:IBQ65585 ILL65584:ILM65585 IVH65584:IVI65585 JFD65584:JFE65585 JOZ65584:JPA65585 JYV65584:JYW65585 KIR65584:KIS65585 KSN65584:KSO65585 LCJ65584:LCK65585 LMF65584:LMG65585 LWB65584:LWC65585 MFX65584:MFY65585 MPT65584:MPU65585 MZP65584:MZQ65585 NJL65584:NJM65585 NTH65584:NTI65585 ODD65584:ODE65585 OMZ65584:ONA65585 OWV65584:OWW65585 PGR65584:PGS65585 PQN65584:PQO65585 QAJ65584:QAK65585 QKF65584:QKG65585 QUB65584:QUC65585 RDX65584:RDY65585 RNT65584:RNU65585 RXP65584:RXQ65585 SHL65584:SHM65585 SRH65584:SRI65585 TBD65584:TBE65585 TKZ65584:TLA65585 TUV65584:TUW65585 UER65584:UES65585 UON65584:UOO65585 UYJ65584:UYK65585 VIF65584:VIG65585 VSB65584:VSC65585 WBX65584:WBY65585 WLT65584:WLU65585 WVP65584:WVQ65585 H131120:I131121 JD131120:JE131121 SZ131120:TA131121 ACV131120:ACW131121 AMR131120:AMS131121 AWN131120:AWO131121 BGJ131120:BGK131121 BQF131120:BQG131121 CAB131120:CAC131121 CJX131120:CJY131121 CTT131120:CTU131121 DDP131120:DDQ131121 DNL131120:DNM131121 DXH131120:DXI131121 EHD131120:EHE131121 EQZ131120:ERA131121 FAV131120:FAW131121 FKR131120:FKS131121 FUN131120:FUO131121 GEJ131120:GEK131121 GOF131120:GOG131121 GYB131120:GYC131121 HHX131120:HHY131121 HRT131120:HRU131121 IBP131120:IBQ131121 ILL131120:ILM131121 IVH131120:IVI131121 JFD131120:JFE131121 JOZ131120:JPA131121 JYV131120:JYW131121 KIR131120:KIS131121 KSN131120:KSO131121 LCJ131120:LCK131121 LMF131120:LMG131121 LWB131120:LWC131121 MFX131120:MFY131121 MPT131120:MPU131121 MZP131120:MZQ131121 NJL131120:NJM131121 NTH131120:NTI131121 ODD131120:ODE131121 OMZ131120:ONA131121 OWV131120:OWW131121 PGR131120:PGS131121 PQN131120:PQO131121 QAJ131120:QAK131121 QKF131120:QKG131121 QUB131120:QUC131121 RDX131120:RDY131121 RNT131120:RNU131121 RXP131120:RXQ131121 SHL131120:SHM131121 SRH131120:SRI131121 TBD131120:TBE131121 TKZ131120:TLA131121 TUV131120:TUW131121 UER131120:UES131121 UON131120:UOO131121 UYJ131120:UYK131121 VIF131120:VIG131121 VSB131120:VSC131121 WBX131120:WBY131121 WLT131120:WLU131121 WVP131120:WVQ131121 H196656:I196657 JD196656:JE196657 SZ196656:TA196657 ACV196656:ACW196657 AMR196656:AMS196657 AWN196656:AWO196657 BGJ196656:BGK196657 BQF196656:BQG196657 CAB196656:CAC196657 CJX196656:CJY196657 CTT196656:CTU196657 DDP196656:DDQ196657 DNL196656:DNM196657 DXH196656:DXI196657 EHD196656:EHE196657 EQZ196656:ERA196657 FAV196656:FAW196657 FKR196656:FKS196657 FUN196656:FUO196657 GEJ196656:GEK196657 GOF196656:GOG196657 GYB196656:GYC196657 HHX196656:HHY196657 HRT196656:HRU196657 IBP196656:IBQ196657 ILL196656:ILM196657 IVH196656:IVI196657 JFD196656:JFE196657 JOZ196656:JPA196657 JYV196656:JYW196657 KIR196656:KIS196657 KSN196656:KSO196657 LCJ196656:LCK196657 LMF196656:LMG196657 LWB196656:LWC196657 MFX196656:MFY196657 MPT196656:MPU196657 MZP196656:MZQ196657 NJL196656:NJM196657 NTH196656:NTI196657 ODD196656:ODE196657 OMZ196656:ONA196657 OWV196656:OWW196657 PGR196656:PGS196657 PQN196656:PQO196657 QAJ196656:QAK196657 QKF196656:QKG196657 QUB196656:QUC196657 RDX196656:RDY196657 RNT196656:RNU196657 RXP196656:RXQ196657 SHL196656:SHM196657 SRH196656:SRI196657 TBD196656:TBE196657 TKZ196656:TLA196657 TUV196656:TUW196657 UER196656:UES196657 UON196656:UOO196657 UYJ196656:UYK196657 VIF196656:VIG196657 VSB196656:VSC196657 WBX196656:WBY196657 WLT196656:WLU196657 WVP196656:WVQ196657 H262192:I262193 JD262192:JE262193 SZ262192:TA262193 ACV262192:ACW262193 AMR262192:AMS262193 AWN262192:AWO262193 BGJ262192:BGK262193 BQF262192:BQG262193 CAB262192:CAC262193 CJX262192:CJY262193 CTT262192:CTU262193 DDP262192:DDQ262193 DNL262192:DNM262193 DXH262192:DXI262193 EHD262192:EHE262193 EQZ262192:ERA262193 FAV262192:FAW262193 FKR262192:FKS262193 FUN262192:FUO262193 GEJ262192:GEK262193 GOF262192:GOG262193 GYB262192:GYC262193 HHX262192:HHY262193 HRT262192:HRU262193 IBP262192:IBQ262193 ILL262192:ILM262193 IVH262192:IVI262193 JFD262192:JFE262193 JOZ262192:JPA262193 JYV262192:JYW262193 KIR262192:KIS262193 KSN262192:KSO262193 LCJ262192:LCK262193 LMF262192:LMG262193 LWB262192:LWC262193 MFX262192:MFY262193 MPT262192:MPU262193 MZP262192:MZQ262193 NJL262192:NJM262193 NTH262192:NTI262193 ODD262192:ODE262193 OMZ262192:ONA262193 OWV262192:OWW262193 PGR262192:PGS262193 PQN262192:PQO262193 QAJ262192:QAK262193 QKF262192:QKG262193 QUB262192:QUC262193 RDX262192:RDY262193 RNT262192:RNU262193 RXP262192:RXQ262193 SHL262192:SHM262193 SRH262192:SRI262193 TBD262192:TBE262193 TKZ262192:TLA262193 TUV262192:TUW262193 UER262192:UES262193 UON262192:UOO262193 UYJ262192:UYK262193 VIF262192:VIG262193 VSB262192:VSC262193 WBX262192:WBY262193 WLT262192:WLU262193 WVP262192:WVQ262193 H327728:I327729 JD327728:JE327729 SZ327728:TA327729 ACV327728:ACW327729 AMR327728:AMS327729 AWN327728:AWO327729 BGJ327728:BGK327729 BQF327728:BQG327729 CAB327728:CAC327729 CJX327728:CJY327729 CTT327728:CTU327729 DDP327728:DDQ327729 DNL327728:DNM327729 DXH327728:DXI327729 EHD327728:EHE327729 EQZ327728:ERA327729 FAV327728:FAW327729 FKR327728:FKS327729 FUN327728:FUO327729 GEJ327728:GEK327729 GOF327728:GOG327729 GYB327728:GYC327729 HHX327728:HHY327729 HRT327728:HRU327729 IBP327728:IBQ327729 ILL327728:ILM327729 IVH327728:IVI327729 JFD327728:JFE327729 JOZ327728:JPA327729 JYV327728:JYW327729 KIR327728:KIS327729 KSN327728:KSO327729 LCJ327728:LCK327729 LMF327728:LMG327729 LWB327728:LWC327729 MFX327728:MFY327729 MPT327728:MPU327729 MZP327728:MZQ327729 NJL327728:NJM327729 NTH327728:NTI327729 ODD327728:ODE327729 OMZ327728:ONA327729 OWV327728:OWW327729 PGR327728:PGS327729 PQN327728:PQO327729 QAJ327728:QAK327729 QKF327728:QKG327729 QUB327728:QUC327729 RDX327728:RDY327729 RNT327728:RNU327729 RXP327728:RXQ327729 SHL327728:SHM327729 SRH327728:SRI327729 TBD327728:TBE327729 TKZ327728:TLA327729 TUV327728:TUW327729 UER327728:UES327729 UON327728:UOO327729 UYJ327728:UYK327729 VIF327728:VIG327729 VSB327728:VSC327729 WBX327728:WBY327729 WLT327728:WLU327729 WVP327728:WVQ327729 H393264:I393265 JD393264:JE393265 SZ393264:TA393265 ACV393264:ACW393265 AMR393264:AMS393265 AWN393264:AWO393265 BGJ393264:BGK393265 BQF393264:BQG393265 CAB393264:CAC393265 CJX393264:CJY393265 CTT393264:CTU393265 DDP393264:DDQ393265 DNL393264:DNM393265 DXH393264:DXI393265 EHD393264:EHE393265 EQZ393264:ERA393265 FAV393264:FAW393265 FKR393264:FKS393265 FUN393264:FUO393265 GEJ393264:GEK393265 GOF393264:GOG393265 GYB393264:GYC393265 HHX393264:HHY393265 HRT393264:HRU393265 IBP393264:IBQ393265 ILL393264:ILM393265 IVH393264:IVI393265 JFD393264:JFE393265 JOZ393264:JPA393265 JYV393264:JYW393265 KIR393264:KIS393265 KSN393264:KSO393265 LCJ393264:LCK393265 LMF393264:LMG393265 LWB393264:LWC393265 MFX393264:MFY393265 MPT393264:MPU393265 MZP393264:MZQ393265 NJL393264:NJM393265 NTH393264:NTI393265 ODD393264:ODE393265 OMZ393264:ONA393265 OWV393264:OWW393265 PGR393264:PGS393265 PQN393264:PQO393265 QAJ393264:QAK393265 QKF393264:QKG393265 QUB393264:QUC393265 RDX393264:RDY393265 RNT393264:RNU393265 RXP393264:RXQ393265 SHL393264:SHM393265 SRH393264:SRI393265 TBD393264:TBE393265 TKZ393264:TLA393265 TUV393264:TUW393265 UER393264:UES393265 UON393264:UOO393265 UYJ393264:UYK393265 VIF393264:VIG393265 VSB393264:VSC393265 WBX393264:WBY393265 WLT393264:WLU393265 WVP393264:WVQ393265 H458800:I458801 JD458800:JE458801 SZ458800:TA458801 ACV458800:ACW458801 AMR458800:AMS458801 AWN458800:AWO458801 BGJ458800:BGK458801 BQF458800:BQG458801 CAB458800:CAC458801 CJX458800:CJY458801 CTT458800:CTU458801 DDP458800:DDQ458801 DNL458800:DNM458801 DXH458800:DXI458801 EHD458800:EHE458801 EQZ458800:ERA458801 FAV458800:FAW458801 FKR458800:FKS458801 FUN458800:FUO458801 GEJ458800:GEK458801 GOF458800:GOG458801 GYB458800:GYC458801 HHX458800:HHY458801 HRT458800:HRU458801 IBP458800:IBQ458801 ILL458800:ILM458801 IVH458800:IVI458801 JFD458800:JFE458801 JOZ458800:JPA458801 JYV458800:JYW458801 KIR458800:KIS458801 KSN458800:KSO458801 LCJ458800:LCK458801 LMF458800:LMG458801 LWB458800:LWC458801 MFX458800:MFY458801 MPT458800:MPU458801 MZP458800:MZQ458801 NJL458800:NJM458801 NTH458800:NTI458801 ODD458800:ODE458801 OMZ458800:ONA458801 OWV458800:OWW458801 PGR458800:PGS458801 PQN458800:PQO458801 QAJ458800:QAK458801 QKF458800:QKG458801 QUB458800:QUC458801 RDX458800:RDY458801 RNT458800:RNU458801 RXP458800:RXQ458801 SHL458800:SHM458801 SRH458800:SRI458801 TBD458800:TBE458801 TKZ458800:TLA458801 TUV458800:TUW458801 UER458800:UES458801 UON458800:UOO458801 UYJ458800:UYK458801 VIF458800:VIG458801 VSB458800:VSC458801 WBX458800:WBY458801 WLT458800:WLU458801 WVP458800:WVQ458801 H524336:I524337 JD524336:JE524337 SZ524336:TA524337 ACV524336:ACW524337 AMR524336:AMS524337 AWN524336:AWO524337 BGJ524336:BGK524337 BQF524336:BQG524337 CAB524336:CAC524337 CJX524336:CJY524337 CTT524336:CTU524337 DDP524336:DDQ524337 DNL524336:DNM524337 DXH524336:DXI524337 EHD524336:EHE524337 EQZ524336:ERA524337 FAV524336:FAW524337 FKR524336:FKS524337 FUN524336:FUO524337 GEJ524336:GEK524337 GOF524336:GOG524337 GYB524336:GYC524337 HHX524336:HHY524337 HRT524336:HRU524337 IBP524336:IBQ524337 ILL524336:ILM524337 IVH524336:IVI524337 JFD524336:JFE524337 JOZ524336:JPA524337 JYV524336:JYW524337 KIR524336:KIS524337 KSN524336:KSO524337 LCJ524336:LCK524337 LMF524336:LMG524337 LWB524336:LWC524337 MFX524336:MFY524337 MPT524336:MPU524337 MZP524336:MZQ524337 NJL524336:NJM524337 NTH524336:NTI524337 ODD524336:ODE524337 OMZ524336:ONA524337 OWV524336:OWW524337 PGR524336:PGS524337 PQN524336:PQO524337 QAJ524336:QAK524337 QKF524336:QKG524337 QUB524336:QUC524337 RDX524336:RDY524337 RNT524336:RNU524337 RXP524336:RXQ524337 SHL524336:SHM524337 SRH524336:SRI524337 TBD524336:TBE524337 TKZ524336:TLA524337 TUV524336:TUW524337 UER524336:UES524337 UON524336:UOO524337 UYJ524336:UYK524337 VIF524336:VIG524337 VSB524336:VSC524337 WBX524336:WBY524337 WLT524336:WLU524337 WVP524336:WVQ524337 H589872:I589873 JD589872:JE589873 SZ589872:TA589873 ACV589872:ACW589873 AMR589872:AMS589873 AWN589872:AWO589873 BGJ589872:BGK589873 BQF589872:BQG589873 CAB589872:CAC589873 CJX589872:CJY589873 CTT589872:CTU589873 DDP589872:DDQ589873 DNL589872:DNM589873 DXH589872:DXI589873 EHD589872:EHE589873 EQZ589872:ERA589873 FAV589872:FAW589873 FKR589872:FKS589873 FUN589872:FUO589873 GEJ589872:GEK589873 GOF589872:GOG589873 GYB589872:GYC589873 HHX589872:HHY589873 HRT589872:HRU589873 IBP589872:IBQ589873 ILL589872:ILM589873 IVH589872:IVI589873 JFD589872:JFE589873 JOZ589872:JPA589873 JYV589872:JYW589873 KIR589872:KIS589873 KSN589872:KSO589873 LCJ589872:LCK589873 LMF589872:LMG589873 LWB589872:LWC589873 MFX589872:MFY589873 MPT589872:MPU589873 MZP589872:MZQ589873 NJL589872:NJM589873 NTH589872:NTI589873 ODD589872:ODE589873 OMZ589872:ONA589873 OWV589872:OWW589873 PGR589872:PGS589873 PQN589872:PQO589873 QAJ589872:QAK589873 QKF589872:QKG589873 QUB589872:QUC589873 RDX589872:RDY589873 RNT589872:RNU589873 RXP589872:RXQ589873 SHL589872:SHM589873 SRH589872:SRI589873 TBD589872:TBE589873 TKZ589872:TLA589873 TUV589872:TUW589873 UER589872:UES589873 UON589872:UOO589873 UYJ589872:UYK589873 VIF589872:VIG589873 VSB589872:VSC589873 WBX589872:WBY589873 WLT589872:WLU589873 WVP589872:WVQ589873 H655408:I655409 JD655408:JE655409 SZ655408:TA655409 ACV655408:ACW655409 AMR655408:AMS655409 AWN655408:AWO655409 BGJ655408:BGK655409 BQF655408:BQG655409 CAB655408:CAC655409 CJX655408:CJY655409 CTT655408:CTU655409 DDP655408:DDQ655409 DNL655408:DNM655409 DXH655408:DXI655409 EHD655408:EHE655409 EQZ655408:ERA655409 FAV655408:FAW655409 FKR655408:FKS655409 FUN655408:FUO655409 GEJ655408:GEK655409 GOF655408:GOG655409 GYB655408:GYC655409 HHX655408:HHY655409 HRT655408:HRU655409 IBP655408:IBQ655409 ILL655408:ILM655409 IVH655408:IVI655409 JFD655408:JFE655409 JOZ655408:JPA655409 JYV655408:JYW655409 KIR655408:KIS655409 KSN655408:KSO655409 LCJ655408:LCK655409 LMF655408:LMG655409 LWB655408:LWC655409 MFX655408:MFY655409 MPT655408:MPU655409 MZP655408:MZQ655409 NJL655408:NJM655409 NTH655408:NTI655409 ODD655408:ODE655409 OMZ655408:ONA655409 OWV655408:OWW655409 PGR655408:PGS655409 PQN655408:PQO655409 QAJ655408:QAK655409 QKF655408:QKG655409 QUB655408:QUC655409 RDX655408:RDY655409 RNT655408:RNU655409 RXP655408:RXQ655409 SHL655408:SHM655409 SRH655408:SRI655409 TBD655408:TBE655409 TKZ655408:TLA655409 TUV655408:TUW655409 UER655408:UES655409 UON655408:UOO655409 UYJ655408:UYK655409 VIF655408:VIG655409 VSB655408:VSC655409 WBX655408:WBY655409 WLT655408:WLU655409 WVP655408:WVQ655409 H720944:I720945 JD720944:JE720945 SZ720944:TA720945 ACV720944:ACW720945 AMR720944:AMS720945 AWN720944:AWO720945 BGJ720944:BGK720945 BQF720944:BQG720945 CAB720944:CAC720945 CJX720944:CJY720945 CTT720944:CTU720945 DDP720944:DDQ720945 DNL720944:DNM720945 DXH720944:DXI720945 EHD720944:EHE720945 EQZ720944:ERA720945 FAV720944:FAW720945 FKR720944:FKS720945 FUN720944:FUO720945 GEJ720944:GEK720945 GOF720944:GOG720945 GYB720944:GYC720945 HHX720944:HHY720945 HRT720944:HRU720945 IBP720944:IBQ720945 ILL720944:ILM720945 IVH720944:IVI720945 JFD720944:JFE720945 JOZ720944:JPA720945 JYV720944:JYW720945 KIR720944:KIS720945 KSN720944:KSO720945 LCJ720944:LCK720945 LMF720944:LMG720945 LWB720944:LWC720945 MFX720944:MFY720945 MPT720944:MPU720945 MZP720944:MZQ720945 NJL720944:NJM720945 NTH720944:NTI720945 ODD720944:ODE720945 OMZ720944:ONA720945 OWV720944:OWW720945 PGR720944:PGS720945 PQN720944:PQO720945 QAJ720944:QAK720945 QKF720944:QKG720945 QUB720944:QUC720945 RDX720944:RDY720945 RNT720944:RNU720945 RXP720944:RXQ720945 SHL720944:SHM720945 SRH720944:SRI720945 TBD720944:TBE720945 TKZ720944:TLA720945 TUV720944:TUW720945 UER720944:UES720945 UON720944:UOO720945 UYJ720944:UYK720945 VIF720944:VIG720945 VSB720944:VSC720945 WBX720944:WBY720945 WLT720944:WLU720945 WVP720944:WVQ720945 H786480:I786481 JD786480:JE786481 SZ786480:TA786481 ACV786480:ACW786481 AMR786480:AMS786481 AWN786480:AWO786481 BGJ786480:BGK786481 BQF786480:BQG786481 CAB786480:CAC786481 CJX786480:CJY786481 CTT786480:CTU786481 DDP786480:DDQ786481 DNL786480:DNM786481 DXH786480:DXI786481 EHD786480:EHE786481 EQZ786480:ERA786481 FAV786480:FAW786481 FKR786480:FKS786481 FUN786480:FUO786481 GEJ786480:GEK786481 GOF786480:GOG786481 GYB786480:GYC786481 HHX786480:HHY786481 HRT786480:HRU786481 IBP786480:IBQ786481 ILL786480:ILM786481 IVH786480:IVI786481 JFD786480:JFE786481 JOZ786480:JPA786481 JYV786480:JYW786481 KIR786480:KIS786481 KSN786480:KSO786481 LCJ786480:LCK786481 LMF786480:LMG786481 LWB786480:LWC786481 MFX786480:MFY786481 MPT786480:MPU786481 MZP786480:MZQ786481 NJL786480:NJM786481 NTH786480:NTI786481 ODD786480:ODE786481 OMZ786480:ONA786481 OWV786480:OWW786481 PGR786480:PGS786481 PQN786480:PQO786481 QAJ786480:QAK786481 QKF786480:QKG786481 QUB786480:QUC786481 RDX786480:RDY786481 RNT786480:RNU786481 RXP786480:RXQ786481 SHL786480:SHM786481 SRH786480:SRI786481 TBD786480:TBE786481 TKZ786480:TLA786481 TUV786480:TUW786481 UER786480:UES786481 UON786480:UOO786481 UYJ786480:UYK786481 VIF786480:VIG786481 VSB786480:VSC786481 WBX786480:WBY786481 WLT786480:WLU786481 WVP786480:WVQ786481 H852016:I852017 JD852016:JE852017 SZ852016:TA852017 ACV852016:ACW852017 AMR852016:AMS852017 AWN852016:AWO852017 BGJ852016:BGK852017 BQF852016:BQG852017 CAB852016:CAC852017 CJX852016:CJY852017 CTT852016:CTU852017 DDP852016:DDQ852017 DNL852016:DNM852017 DXH852016:DXI852017 EHD852016:EHE852017 EQZ852016:ERA852017 FAV852016:FAW852017 FKR852016:FKS852017 FUN852016:FUO852017 GEJ852016:GEK852017 GOF852016:GOG852017 GYB852016:GYC852017 HHX852016:HHY852017 HRT852016:HRU852017 IBP852016:IBQ852017 ILL852016:ILM852017 IVH852016:IVI852017 JFD852016:JFE852017 JOZ852016:JPA852017 JYV852016:JYW852017 KIR852016:KIS852017 KSN852016:KSO852017 LCJ852016:LCK852017 LMF852016:LMG852017 LWB852016:LWC852017 MFX852016:MFY852017 MPT852016:MPU852017 MZP852016:MZQ852017 NJL852016:NJM852017 NTH852016:NTI852017 ODD852016:ODE852017 OMZ852016:ONA852017 OWV852016:OWW852017 PGR852016:PGS852017 PQN852016:PQO852017 QAJ852016:QAK852017 QKF852016:QKG852017 QUB852016:QUC852017 RDX852016:RDY852017 RNT852016:RNU852017 RXP852016:RXQ852017 SHL852016:SHM852017 SRH852016:SRI852017 TBD852016:TBE852017 TKZ852016:TLA852017 TUV852016:TUW852017 UER852016:UES852017 UON852016:UOO852017 UYJ852016:UYK852017 VIF852016:VIG852017 VSB852016:VSC852017 WBX852016:WBY852017 WLT852016:WLU852017 WVP852016:WVQ852017 H917552:I917553 JD917552:JE917553 SZ917552:TA917553 ACV917552:ACW917553 AMR917552:AMS917553 AWN917552:AWO917553 BGJ917552:BGK917553 BQF917552:BQG917553 CAB917552:CAC917553 CJX917552:CJY917553 CTT917552:CTU917553 DDP917552:DDQ917553 DNL917552:DNM917553 DXH917552:DXI917553 EHD917552:EHE917553 EQZ917552:ERA917553 FAV917552:FAW917553 FKR917552:FKS917553 FUN917552:FUO917553 GEJ917552:GEK917553 GOF917552:GOG917553 GYB917552:GYC917553 HHX917552:HHY917553 HRT917552:HRU917553 IBP917552:IBQ917553 ILL917552:ILM917553 IVH917552:IVI917553 JFD917552:JFE917553 JOZ917552:JPA917553 JYV917552:JYW917553 KIR917552:KIS917553 KSN917552:KSO917553 LCJ917552:LCK917553 LMF917552:LMG917553 LWB917552:LWC917553 MFX917552:MFY917553 MPT917552:MPU917553 MZP917552:MZQ917553 NJL917552:NJM917553 NTH917552:NTI917553 ODD917552:ODE917553 OMZ917552:ONA917553 OWV917552:OWW917553 PGR917552:PGS917553 PQN917552:PQO917553 QAJ917552:QAK917553 QKF917552:QKG917553 QUB917552:QUC917553 RDX917552:RDY917553 RNT917552:RNU917553 RXP917552:RXQ917553 SHL917552:SHM917553 SRH917552:SRI917553 TBD917552:TBE917553 TKZ917552:TLA917553 TUV917552:TUW917553 UER917552:UES917553 UON917552:UOO917553 UYJ917552:UYK917553 VIF917552:VIG917553 VSB917552:VSC917553 WBX917552:WBY917553 WLT917552:WLU917553 WVP917552:WVQ917553 H983088:I983089 JD983088:JE983089 SZ983088:TA983089 ACV983088:ACW983089 AMR983088:AMS983089 AWN983088:AWO983089 BGJ983088:BGK983089 BQF983088:BQG983089 CAB983088:CAC983089 CJX983088:CJY983089 CTT983088:CTU983089 DDP983088:DDQ983089 DNL983088:DNM983089 DXH983088:DXI983089 EHD983088:EHE983089 EQZ983088:ERA983089 FAV983088:FAW983089 FKR983088:FKS983089 FUN983088:FUO983089 GEJ983088:GEK983089 GOF983088:GOG983089 GYB983088:GYC983089 HHX983088:HHY983089 HRT983088:HRU983089 IBP983088:IBQ983089 ILL983088:ILM983089 IVH983088:IVI983089 JFD983088:JFE983089 JOZ983088:JPA983089 JYV983088:JYW983089 KIR983088:KIS983089 KSN983088:KSO983089 LCJ983088:LCK983089 LMF983088:LMG983089 LWB983088:LWC983089 MFX983088:MFY983089 MPT983088:MPU983089 MZP983088:MZQ983089 NJL983088:NJM983089 NTH983088:NTI983089 ODD983088:ODE983089 OMZ983088:ONA983089 OWV983088:OWW983089 PGR983088:PGS983089 PQN983088:PQO983089 QAJ983088:QAK983089 QKF983088:QKG983089 QUB983088:QUC983089 RDX983088:RDY983089 RNT983088:RNU983089 RXP983088:RXQ983089 SHL983088:SHM983089 SRH983088:SRI983089 TBD983088:TBE983089 TKZ983088:TLA983089 TUV983088:TUW983089 UER983088:UES983089 UON983088:UOO983089 UYJ983088:UYK983089 VIF983088:VIG983089 VSB983088:VSC983089 WBX983088:WBY983089 WLT983088:WLU983089 WVP983088:WVQ983089 I50:I51 JE50:JE51 TA50:TA51 ACW50:ACW51 AMS50:AMS51 AWO50:AWO51 BGK50:BGK51 BQG50:BQG51 CAC50:CAC51 CJY50:CJY51 CTU50:CTU51 DDQ50:DDQ51 DNM50:DNM51 DXI50:DXI51 EHE50:EHE51 ERA50:ERA51 FAW50:FAW51 FKS50:FKS51 FUO50:FUO51 GEK50:GEK51 GOG50:GOG51 GYC50:GYC51 HHY50:HHY51 HRU50:HRU51 IBQ50:IBQ51 ILM50:ILM51 IVI50:IVI51 JFE50:JFE51 JPA50:JPA51 JYW50:JYW51 KIS50:KIS51 KSO50:KSO51 LCK50:LCK51 LMG50:LMG51 LWC50:LWC51 MFY50:MFY51 MPU50:MPU51 MZQ50:MZQ51 NJM50:NJM51 NTI50:NTI51 ODE50:ODE51 ONA50:ONA51 OWW50:OWW51 PGS50:PGS51 PQO50:PQO51 QAK50:QAK51 QKG50:QKG51 QUC50:QUC51 RDY50:RDY51 RNU50:RNU51 RXQ50:RXQ51 SHM50:SHM51 SRI50:SRI51 TBE50:TBE51 TLA50:TLA51 TUW50:TUW51 UES50:UES51 UOO50:UOO51 UYK50:UYK51 VIG50:VIG51 VSC50:VSC51 WBY50:WBY51 WLU50:WLU51 WVQ50:WVQ51 I65586:I65587 JE65586:JE65587 TA65586:TA65587 ACW65586:ACW65587 AMS65586:AMS65587 AWO65586:AWO65587 BGK65586:BGK65587 BQG65586:BQG65587 CAC65586:CAC65587 CJY65586:CJY65587 CTU65586:CTU65587 DDQ65586:DDQ65587 DNM65586:DNM65587 DXI65586:DXI65587 EHE65586:EHE65587 ERA65586:ERA65587 FAW65586:FAW65587 FKS65586:FKS65587 FUO65586:FUO65587 GEK65586:GEK65587 GOG65586:GOG65587 GYC65586:GYC65587 HHY65586:HHY65587 HRU65586:HRU65587 IBQ65586:IBQ65587 ILM65586:ILM65587 IVI65586:IVI65587 JFE65586:JFE65587 JPA65586:JPA65587 JYW65586:JYW65587 KIS65586:KIS65587 KSO65586:KSO65587 LCK65586:LCK65587 LMG65586:LMG65587 LWC65586:LWC65587 MFY65586:MFY65587 MPU65586:MPU65587 MZQ65586:MZQ65587 NJM65586:NJM65587 NTI65586:NTI65587 ODE65586:ODE65587 ONA65586:ONA65587 OWW65586:OWW65587 PGS65586:PGS65587 PQO65586:PQO65587 QAK65586:QAK65587 QKG65586:QKG65587 QUC65586:QUC65587 RDY65586:RDY65587 RNU65586:RNU65587 RXQ65586:RXQ65587 SHM65586:SHM65587 SRI65586:SRI65587 TBE65586:TBE65587 TLA65586:TLA65587 TUW65586:TUW65587 UES65586:UES65587 UOO65586:UOO65587 UYK65586:UYK65587 VIG65586:VIG65587 VSC65586:VSC65587 WBY65586:WBY65587 WLU65586:WLU65587 WVQ65586:WVQ65587 I131122:I131123 JE131122:JE131123 TA131122:TA131123 ACW131122:ACW131123 AMS131122:AMS131123 AWO131122:AWO131123 BGK131122:BGK131123 BQG131122:BQG131123 CAC131122:CAC131123 CJY131122:CJY131123 CTU131122:CTU131123 DDQ131122:DDQ131123 DNM131122:DNM131123 DXI131122:DXI131123 EHE131122:EHE131123 ERA131122:ERA131123 FAW131122:FAW131123 FKS131122:FKS131123 FUO131122:FUO131123 GEK131122:GEK131123 GOG131122:GOG131123 GYC131122:GYC131123 HHY131122:HHY131123 HRU131122:HRU131123 IBQ131122:IBQ131123 ILM131122:ILM131123 IVI131122:IVI131123 JFE131122:JFE131123 JPA131122:JPA131123 JYW131122:JYW131123 KIS131122:KIS131123 KSO131122:KSO131123 LCK131122:LCK131123 LMG131122:LMG131123 LWC131122:LWC131123 MFY131122:MFY131123 MPU131122:MPU131123 MZQ131122:MZQ131123 NJM131122:NJM131123 NTI131122:NTI131123 ODE131122:ODE131123 ONA131122:ONA131123 OWW131122:OWW131123 PGS131122:PGS131123 PQO131122:PQO131123 QAK131122:QAK131123 QKG131122:QKG131123 QUC131122:QUC131123 RDY131122:RDY131123 RNU131122:RNU131123 RXQ131122:RXQ131123 SHM131122:SHM131123 SRI131122:SRI131123 TBE131122:TBE131123 TLA131122:TLA131123 TUW131122:TUW131123 UES131122:UES131123 UOO131122:UOO131123 UYK131122:UYK131123 VIG131122:VIG131123 VSC131122:VSC131123 WBY131122:WBY131123 WLU131122:WLU131123 WVQ131122:WVQ131123 I196658:I196659 JE196658:JE196659 TA196658:TA196659 ACW196658:ACW196659 AMS196658:AMS196659 AWO196658:AWO196659 BGK196658:BGK196659 BQG196658:BQG196659 CAC196658:CAC196659 CJY196658:CJY196659 CTU196658:CTU196659 DDQ196658:DDQ196659 DNM196658:DNM196659 DXI196658:DXI196659 EHE196658:EHE196659 ERA196658:ERA196659 FAW196658:FAW196659 FKS196658:FKS196659 FUO196658:FUO196659 GEK196658:GEK196659 GOG196658:GOG196659 GYC196658:GYC196659 HHY196658:HHY196659 HRU196658:HRU196659 IBQ196658:IBQ196659 ILM196658:ILM196659 IVI196658:IVI196659 JFE196658:JFE196659 JPA196658:JPA196659 JYW196658:JYW196659 KIS196658:KIS196659 KSO196658:KSO196659 LCK196658:LCK196659 LMG196658:LMG196659 LWC196658:LWC196659 MFY196658:MFY196659 MPU196658:MPU196659 MZQ196658:MZQ196659 NJM196658:NJM196659 NTI196658:NTI196659 ODE196658:ODE196659 ONA196658:ONA196659 OWW196658:OWW196659 PGS196658:PGS196659 PQO196658:PQO196659 QAK196658:QAK196659 QKG196658:QKG196659 QUC196658:QUC196659 RDY196658:RDY196659 RNU196658:RNU196659 RXQ196658:RXQ196659 SHM196658:SHM196659 SRI196658:SRI196659 TBE196658:TBE196659 TLA196658:TLA196659 TUW196658:TUW196659 UES196658:UES196659 UOO196658:UOO196659 UYK196658:UYK196659 VIG196658:VIG196659 VSC196658:VSC196659 WBY196658:WBY196659 WLU196658:WLU196659 WVQ196658:WVQ196659 I262194:I262195 JE262194:JE262195 TA262194:TA262195 ACW262194:ACW262195 AMS262194:AMS262195 AWO262194:AWO262195 BGK262194:BGK262195 BQG262194:BQG262195 CAC262194:CAC262195 CJY262194:CJY262195 CTU262194:CTU262195 DDQ262194:DDQ262195 DNM262194:DNM262195 DXI262194:DXI262195 EHE262194:EHE262195 ERA262194:ERA262195 FAW262194:FAW262195 FKS262194:FKS262195 FUO262194:FUO262195 GEK262194:GEK262195 GOG262194:GOG262195 GYC262194:GYC262195 HHY262194:HHY262195 HRU262194:HRU262195 IBQ262194:IBQ262195 ILM262194:ILM262195 IVI262194:IVI262195 JFE262194:JFE262195 JPA262194:JPA262195 JYW262194:JYW262195 KIS262194:KIS262195 KSO262194:KSO262195 LCK262194:LCK262195 LMG262194:LMG262195 LWC262194:LWC262195 MFY262194:MFY262195 MPU262194:MPU262195 MZQ262194:MZQ262195 NJM262194:NJM262195 NTI262194:NTI262195 ODE262194:ODE262195 ONA262194:ONA262195 OWW262194:OWW262195 PGS262194:PGS262195 PQO262194:PQO262195 QAK262194:QAK262195 QKG262194:QKG262195 QUC262194:QUC262195 RDY262194:RDY262195 RNU262194:RNU262195 RXQ262194:RXQ262195 SHM262194:SHM262195 SRI262194:SRI262195 TBE262194:TBE262195 TLA262194:TLA262195 TUW262194:TUW262195 UES262194:UES262195 UOO262194:UOO262195 UYK262194:UYK262195 VIG262194:VIG262195 VSC262194:VSC262195 WBY262194:WBY262195 WLU262194:WLU262195 WVQ262194:WVQ262195 I327730:I327731 JE327730:JE327731 TA327730:TA327731 ACW327730:ACW327731 AMS327730:AMS327731 AWO327730:AWO327731 BGK327730:BGK327731 BQG327730:BQG327731 CAC327730:CAC327731 CJY327730:CJY327731 CTU327730:CTU327731 DDQ327730:DDQ327731 DNM327730:DNM327731 DXI327730:DXI327731 EHE327730:EHE327731 ERA327730:ERA327731 FAW327730:FAW327731 FKS327730:FKS327731 FUO327730:FUO327731 GEK327730:GEK327731 GOG327730:GOG327731 GYC327730:GYC327731 HHY327730:HHY327731 HRU327730:HRU327731 IBQ327730:IBQ327731 ILM327730:ILM327731 IVI327730:IVI327731 JFE327730:JFE327731 JPA327730:JPA327731 JYW327730:JYW327731 KIS327730:KIS327731 KSO327730:KSO327731 LCK327730:LCK327731 LMG327730:LMG327731 LWC327730:LWC327731 MFY327730:MFY327731 MPU327730:MPU327731 MZQ327730:MZQ327731 NJM327730:NJM327731 NTI327730:NTI327731 ODE327730:ODE327731 ONA327730:ONA327731 OWW327730:OWW327731 PGS327730:PGS327731 PQO327730:PQO327731 QAK327730:QAK327731 QKG327730:QKG327731 QUC327730:QUC327731 RDY327730:RDY327731 RNU327730:RNU327731 RXQ327730:RXQ327731 SHM327730:SHM327731 SRI327730:SRI327731 TBE327730:TBE327731 TLA327730:TLA327731 TUW327730:TUW327731 UES327730:UES327731 UOO327730:UOO327731 UYK327730:UYK327731 VIG327730:VIG327731 VSC327730:VSC327731 WBY327730:WBY327731 WLU327730:WLU327731 WVQ327730:WVQ327731 I393266:I393267 JE393266:JE393267 TA393266:TA393267 ACW393266:ACW393267 AMS393266:AMS393267 AWO393266:AWO393267 BGK393266:BGK393267 BQG393266:BQG393267 CAC393266:CAC393267 CJY393266:CJY393267 CTU393266:CTU393267 DDQ393266:DDQ393267 DNM393266:DNM393267 DXI393266:DXI393267 EHE393266:EHE393267 ERA393266:ERA393267 FAW393266:FAW393267 FKS393266:FKS393267 FUO393266:FUO393267 GEK393266:GEK393267 GOG393266:GOG393267 GYC393266:GYC393267 HHY393266:HHY393267 HRU393266:HRU393267 IBQ393266:IBQ393267 ILM393266:ILM393267 IVI393266:IVI393267 JFE393266:JFE393267 JPA393266:JPA393267 JYW393266:JYW393267 KIS393266:KIS393267 KSO393266:KSO393267 LCK393266:LCK393267 LMG393266:LMG393267 LWC393266:LWC393267 MFY393266:MFY393267 MPU393266:MPU393267 MZQ393266:MZQ393267 NJM393266:NJM393267 NTI393266:NTI393267 ODE393266:ODE393267 ONA393266:ONA393267 OWW393266:OWW393267 PGS393266:PGS393267 PQO393266:PQO393267 QAK393266:QAK393267 QKG393266:QKG393267 QUC393266:QUC393267 RDY393266:RDY393267 RNU393266:RNU393267 RXQ393266:RXQ393267 SHM393266:SHM393267 SRI393266:SRI393267 TBE393266:TBE393267 TLA393266:TLA393267 TUW393266:TUW393267 UES393266:UES393267 UOO393266:UOO393267 UYK393266:UYK393267 VIG393266:VIG393267 VSC393266:VSC393267 WBY393266:WBY393267 WLU393266:WLU393267 WVQ393266:WVQ393267 I458802:I458803 JE458802:JE458803 TA458802:TA458803 ACW458802:ACW458803 AMS458802:AMS458803 AWO458802:AWO458803 BGK458802:BGK458803 BQG458802:BQG458803 CAC458802:CAC458803 CJY458802:CJY458803 CTU458802:CTU458803 DDQ458802:DDQ458803 DNM458802:DNM458803 DXI458802:DXI458803 EHE458802:EHE458803 ERA458802:ERA458803 FAW458802:FAW458803 FKS458802:FKS458803 FUO458802:FUO458803 GEK458802:GEK458803 GOG458802:GOG458803 GYC458802:GYC458803 HHY458802:HHY458803 HRU458802:HRU458803 IBQ458802:IBQ458803 ILM458802:ILM458803 IVI458802:IVI458803 JFE458802:JFE458803 JPA458802:JPA458803 JYW458802:JYW458803 KIS458802:KIS458803 KSO458802:KSO458803 LCK458802:LCK458803 LMG458802:LMG458803 LWC458802:LWC458803 MFY458802:MFY458803 MPU458802:MPU458803 MZQ458802:MZQ458803 NJM458802:NJM458803 NTI458802:NTI458803 ODE458802:ODE458803 ONA458802:ONA458803 OWW458802:OWW458803 PGS458802:PGS458803 PQO458802:PQO458803 QAK458802:QAK458803 QKG458802:QKG458803 QUC458802:QUC458803 RDY458802:RDY458803 RNU458802:RNU458803 RXQ458802:RXQ458803 SHM458802:SHM458803 SRI458802:SRI458803 TBE458802:TBE458803 TLA458802:TLA458803 TUW458802:TUW458803 UES458802:UES458803 UOO458802:UOO458803 UYK458802:UYK458803 VIG458802:VIG458803 VSC458802:VSC458803 WBY458802:WBY458803 WLU458802:WLU458803 WVQ458802:WVQ458803 I524338:I524339 JE524338:JE524339 TA524338:TA524339 ACW524338:ACW524339 AMS524338:AMS524339 AWO524338:AWO524339 BGK524338:BGK524339 BQG524338:BQG524339 CAC524338:CAC524339 CJY524338:CJY524339 CTU524338:CTU524339 DDQ524338:DDQ524339 DNM524338:DNM524339 DXI524338:DXI524339 EHE524338:EHE524339 ERA524338:ERA524339 FAW524338:FAW524339 FKS524338:FKS524339 FUO524338:FUO524339 GEK524338:GEK524339 GOG524338:GOG524339 GYC524338:GYC524339 HHY524338:HHY524339 HRU524338:HRU524339 IBQ524338:IBQ524339 ILM524338:ILM524339 IVI524338:IVI524339 JFE524338:JFE524339 JPA524338:JPA524339 JYW524338:JYW524339 KIS524338:KIS524339 KSO524338:KSO524339 LCK524338:LCK524339 LMG524338:LMG524339 LWC524338:LWC524339 MFY524338:MFY524339 MPU524338:MPU524339 MZQ524338:MZQ524339 NJM524338:NJM524339 NTI524338:NTI524339 ODE524338:ODE524339 ONA524338:ONA524339 OWW524338:OWW524339 PGS524338:PGS524339 PQO524338:PQO524339 QAK524338:QAK524339 QKG524338:QKG524339 QUC524338:QUC524339 RDY524338:RDY524339 RNU524338:RNU524339 RXQ524338:RXQ524339 SHM524338:SHM524339 SRI524338:SRI524339 TBE524338:TBE524339 TLA524338:TLA524339 TUW524338:TUW524339 UES524338:UES524339 UOO524338:UOO524339 UYK524338:UYK524339 VIG524338:VIG524339 VSC524338:VSC524339 WBY524338:WBY524339 WLU524338:WLU524339 WVQ524338:WVQ524339 I589874:I589875 JE589874:JE589875 TA589874:TA589875 ACW589874:ACW589875 AMS589874:AMS589875 AWO589874:AWO589875 BGK589874:BGK589875 BQG589874:BQG589875 CAC589874:CAC589875 CJY589874:CJY589875 CTU589874:CTU589875 DDQ589874:DDQ589875 DNM589874:DNM589875 DXI589874:DXI589875 EHE589874:EHE589875 ERA589874:ERA589875 FAW589874:FAW589875 FKS589874:FKS589875 FUO589874:FUO589875 GEK589874:GEK589875 GOG589874:GOG589875 GYC589874:GYC589875 HHY589874:HHY589875 HRU589874:HRU589875 IBQ589874:IBQ589875 ILM589874:ILM589875 IVI589874:IVI589875 JFE589874:JFE589875 JPA589874:JPA589875 JYW589874:JYW589875 KIS589874:KIS589875 KSO589874:KSO589875 LCK589874:LCK589875 LMG589874:LMG589875 LWC589874:LWC589875 MFY589874:MFY589875 MPU589874:MPU589875 MZQ589874:MZQ589875 NJM589874:NJM589875 NTI589874:NTI589875 ODE589874:ODE589875 ONA589874:ONA589875 OWW589874:OWW589875 PGS589874:PGS589875 PQO589874:PQO589875 QAK589874:QAK589875 QKG589874:QKG589875 QUC589874:QUC589875 RDY589874:RDY589875 RNU589874:RNU589875 RXQ589874:RXQ589875 SHM589874:SHM589875 SRI589874:SRI589875 TBE589874:TBE589875 TLA589874:TLA589875 TUW589874:TUW589875 UES589874:UES589875 UOO589874:UOO589875 UYK589874:UYK589875 VIG589874:VIG589875 VSC589874:VSC589875 WBY589874:WBY589875 WLU589874:WLU589875 WVQ589874:WVQ589875 I655410:I655411 JE655410:JE655411 TA655410:TA655411 ACW655410:ACW655411 AMS655410:AMS655411 AWO655410:AWO655411 BGK655410:BGK655411 BQG655410:BQG655411 CAC655410:CAC655411 CJY655410:CJY655411 CTU655410:CTU655411 DDQ655410:DDQ655411 DNM655410:DNM655411 DXI655410:DXI655411 EHE655410:EHE655411 ERA655410:ERA655411 FAW655410:FAW655411 FKS655410:FKS655411 FUO655410:FUO655411 GEK655410:GEK655411 GOG655410:GOG655411 GYC655410:GYC655411 HHY655410:HHY655411 HRU655410:HRU655411 IBQ655410:IBQ655411 ILM655410:ILM655411 IVI655410:IVI655411 JFE655410:JFE655411 JPA655410:JPA655411 JYW655410:JYW655411 KIS655410:KIS655411 KSO655410:KSO655411 LCK655410:LCK655411 LMG655410:LMG655411 LWC655410:LWC655411 MFY655410:MFY655411 MPU655410:MPU655411 MZQ655410:MZQ655411 NJM655410:NJM655411 NTI655410:NTI655411 ODE655410:ODE655411 ONA655410:ONA655411 OWW655410:OWW655411 PGS655410:PGS655411 PQO655410:PQO655411 QAK655410:QAK655411 QKG655410:QKG655411 QUC655410:QUC655411 RDY655410:RDY655411 RNU655410:RNU655411 RXQ655410:RXQ655411 SHM655410:SHM655411 SRI655410:SRI655411 TBE655410:TBE655411 TLA655410:TLA655411 TUW655410:TUW655411 UES655410:UES655411 UOO655410:UOO655411 UYK655410:UYK655411 VIG655410:VIG655411 VSC655410:VSC655411 WBY655410:WBY655411 WLU655410:WLU655411 WVQ655410:WVQ655411 I720946:I720947 JE720946:JE720947 TA720946:TA720947 ACW720946:ACW720947 AMS720946:AMS720947 AWO720946:AWO720947 BGK720946:BGK720947 BQG720946:BQG720947 CAC720946:CAC720947 CJY720946:CJY720947 CTU720946:CTU720947 DDQ720946:DDQ720947 DNM720946:DNM720947 DXI720946:DXI720947 EHE720946:EHE720947 ERA720946:ERA720947 FAW720946:FAW720947 FKS720946:FKS720947 FUO720946:FUO720947 GEK720946:GEK720947 GOG720946:GOG720947 GYC720946:GYC720947 HHY720946:HHY720947 HRU720946:HRU720947 IBQ720946:IBQ720947 ILM720946:ILM720947 IVI720946:IVI720947 JFE720946:JFE720947 JPA720946:JPA720947 JYW720946:JYW720947 KIS720946:KIS720947 KSO720946:KSO720947 LCK720946:LCK720947 LMG720946:LMG720947 LWC720946:LWC720947 MFY720946:MFY720947 MPU720946:MPU720947 MZQ720946:MZQ720947 NJM720946:NJM720947 NTI720946:NTI720947 ODE720946:ODE720947 ONA720946:ONA720947 OWW720946:OWW720947 PGS720946:PGS720947 PQO720946:PQO720947 QAK720946:QAK720947 QKG720946:QKG720947 QUC720946:QUC720947 RDY720946:RDY720947 RNU720946:RNU720947 RXQ720946:RXQ720947 SHM720946:SHM720947 SRI720946:SRI720947 TBE720946:TBE720947 TLA720946:TLA720947 TUW720946:TUW720947 UES720946:UES720947 UOO720946:UOO720947 UYK720946:UYK720947 VIG720946:VIG720947 VSC720946:VSC720947 WBY720946:WBY720947 WLU720946:WLU720947 WVQ720946:WVQ720947 I786482:I786483 JE786482:JE786483 TA786482:TA786483 ACW786482:ACW786483 AMS786482:AMS786483 AWO786482:AWO786483 BGK786482:BGK786483 BQG786482:BQG786483 CAC786482:CAC786483 CJY786482:CJY786483 CTU786482:CTU786483 DDQ786482:DDQ786483 DNM786482:DNM786483 DXI786482:DXI786483 EHE786482:EHE786483 ERA786482:ERA786483 FAW786482:FAW786483 FKS786482:FKS786483 FUO786482:FUO786483 GEK786482:GEK786483 GOG786482:GOG786483 GYC786482:GYC786483 HHY786482:HHY786483 HRU786482:HRU786483 IBQ786482:IBQ786483 ILM786482:ILM786483 IVI786482:IVI786483 JFE786482:JFE786483 JPA786482:JPA786483 JYW786482:JYW786483 KIS786482:KIS786483 KSO786482:KSO786483 LCK786482:LCK786483 LMG786482:LMG786483 LWC786482:LWC786483 MFY786482:MFY786483 MPU786482:MPU786483 MZQ786482:MZQ786483 NJM786482:NJM786483 NTI786482:NTI786483 ODE786482:ODE786483 ONA786482:ONA786483 OWW786482:OWW786483 PGS786482:PGS786483 PQO786482:PQO786483 QAK786482:QAK786483 QKG786482:QKG786483 QUC786482:QUC786483 RDY786482:RDY786483 RNU786482:RNU786483 RXQ786482:RXQ786483 SHM786482:SHM786483 SRI786482:SRI786483 TBE786482:TBE786483 TLA786482:TLA786483 TUW786482:TUW786483 UES786482:UES786483 UOO786482:UOO786483 UYK786482:UYK786483 VIG786482:VIG786483 VSC786482:VSC786483 WBY786482:WBY786483 WLU786482:WLU786483 WVQ786482:WVQ786483 I852018:I852019 JE852018:JE852019 TA852018:TA852019 ACW852018:ACW852019 AMS852018:AMS852019 AWO852018:AWO852019 BGK852018:BGK852019 BQG852018:BQG852019 CAC852018:CAC852019 CJY852018:CJY852019 CTU852018:CTU852019 DDQ852018:DDQ852019 DNM852018:DNM852019 DXI852018:DXI852019 EHE852018:EHE852019 ERA852018:ERA852019 FAW852018:FAW852019 FKS852018:FKS852019 FUO852018:FUO852019 GEK852018:GEK852019 GOG852018:GOG852019 GYC852018:GYC852019 HHY852018:HHY852019 HRU852018:HRU852019 IBQ852018:IBQ852019 ILM852018:ILM852019 IVI852018:IVI852019 JFE852018:JFE852019 JPA852018:JPA852019 JYW852018:JYW852019 KIS852018:KIS852019 KSO852018:KSO852019 LCK852018:LCK852019 LMG852018:LMG852019 LWC852018:LWC852019 MFY852018:MFY852019 MPU852018:MPU852019 MZQ852018:MZQ852019 NJM852018:NJM852019 NTI852018:NTI852019 ODE852018:ODE852019 ONA852018:ONA852019 OWW852018:OWW852019 PGS852018:PGS852019 PQO852018:PQO852019 QAK852018:QAK852019 QKG852018:QKG852019 QUC852018:QUC852019 RDY852018:RDY852019 RNU852018:RNU852019 RXQ852018:RXQ852019 SHM852018:SHM852019 SRI852018:SRI852019 TBE852018:TBE852019 TLA852018:TLA852019 TUW852018:TUW852019 UES852018:UES852019 UOO852018:UOO852019 UYK852018:UYK852019 VIG852018:VIG852019 VSC852018:VSC852019 WBY852018:WBY852019 WLU852018:WLU852019 WVQ852018:WVQ852019 I917554:I917555 JE917554:JE917555 TA917554:TA917555 ACW917554:ACW917555 AMS917554:AMS917555 AWO917554:AWO917555 BGK917554:BGK917555 BQG917554:BQG917555 CAC917554:CAC917555 CJY917554:CJY917555 CTU917554:CTU917555 DDQ917554:DDQ917555 DNM917554:DNM917555 DXI917554:DXI917555 EHE917554:EHE917555 ERA917554:ERA917555 FAW917554:FAW917555 FKS917554:FKS917555 FUO917554:FUO917555 GEK917554:GEK917555 GOG917554:GOG917555 GYC917554:GYC917555 HHY917554:HHY917555 HRU917554:HRU917555 IBQ917554:IBQ917555 ILM917554:ILM917555 IVI917554:IVI917555 JFE917554:JFE917555 JPA917554:JPA917555 JYW917554:JYW917555 KIS917554:KIS917555 KSO917554:KSO917555 LCK917554:LCK917555 LMG917554:LMG917555 LWC917554:LWC917555 MFY917554:MFY917555 MPU917554:MPU917555 MZQ917554:MZQ917555 NJM917554:NJM917555 NTI917554:NTI917555 ODE917554:ODE917555 ONA917554:ONA917555 OWW917554:OWW917555 PGS917554:PGS917555 PQO917554:PQO917555 QAK917554:QAK917555 QKG917554:QKG917555 QUC917554:QUC917555 RDY917554:RDY917555 RNU917554:RNU917555 RXQ917554:RXQ917555 SHM917554:SHM917555 SRI917554:SRI917555 TBE917554:TBE917555 TLA917554:TLA917555 TUW917554:TUW917555 UES917554:UES917555 UOO917554:UOO917555 UYK917554:UYK917555 VIG917554:VIG917555 VSC917554:VSC917555 WBY917554:WBY917555 WLU917554:WLU917555 WVQ917554:WVQ917555 I983090:I983091 JE983090:JE983091 TA983090:TA983091 ACW983090:ACW983091 AMS983090:AMS983091 AWO983090:AWO983091 BGK983090:BGK983091 BQG983090:BQG983091 CAC983090:CAC983091 CJY983090:CJY983091 CTU983090:CTU983091 DDQ983090:DDQ983091 DNM983090:DNM983091 DXI983090:DXI983091 EHE983090:EHE983091 ERA983090:ERA983091 FAW983090:FAW983091 FKS983090:FKS983091 FUO983090:FUO983091 GEK983090:GEK983091 GOG983090:GOG983091 GYC983090:GYC983091 HHY983090:HHY983091 HRU983090:HRU983091 IBQ983090:IBQ983091 ILM983090:ILM983091 IVI983090:IVI983091 JFE983090:JFE983091 JPA983090:JPA983091 JYW983090:JYW983091 KIS983090:KIS983091 KSO983090:KSO983091 LCK983090:LCK983091 LMG983090:LMG983091 LWC983090:LWC983091 MFY983090:MFY983091 MPU983090:MPU983091 MZQ983090:MZQ983091 NJM983090:NJM983091 NTI983090:NTI983091 ODE983090:ODE983091 ONA983090:ONA983091 OWW983090:OWW983091 PGS983090:PGS983091 PQO983090:PQO983091 QAK983090:QAK983091 QKG983090:QKG983091 QUC983090:QUC983091 RDY983090:RDY983091 RNU983090:RNU983091 RXQ983090:RXQ983091 SHM983090:SHM983091 SRI983090:SRI983091 TBE983090:TBE983091 TLA983090:TLA983091 TUW983090:TUW983091 UES983090:UES983091 UOO983090:UOO983091 UYK983090:UYK983091 VIG983090:VIG983091 VSC983090:VSC983091 WBY983090:WBY983091 WLU983090:WLU983091 WVQ983090:WVQ983091">
      <formula1>"Yes,No,NA"</formula1>
    </dataValidation>
    <dataValidation type="list" allowBlank="1" showInputMessage="1" showErrorMessage="1" sqref="WVP983076:WVQ983076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H65572:I65572 JD65572:JE65572 SZ65572:TA65572 ACV65572:ACW65572 AMR65572:AMS65572 AWN65572:AWO65572 BGJ65572:BGK65572 BQF65572:BQG65572 CAB65572:CAC65572 CJX65572:CJY65572 CTT65572:CTU65572 DDP65572:DDQ65572 DNL65572:DNM65572 DXH65572:DXI65572 EHD65572:EHE65572 EQZ65572:ERA65572 FAV65572:FAW65572 FKR65572:FKS65572 FUN65572:FUO65572 GEJ65572:GEK65572 GOF65572:GOG65572 GYB65572:GYC65572 HHX65572:HHY65572 HRT65572:HRU65572 IBP65572:IBQ65572 ILL65572:ILM65572 IVH65572:IVI65572 JFD65572:JFE65572 JOZ65572:JPA65572 JYV65572:JYW65572 KIR65572:KIS65572 KSN65572:KSO65572 LCJ65572:LCK65572 LMF65572:LMG65572 LWB65572:LWC65572 MFX65572:MFY65572 MPT65572:MPU65572 MZP65572:MZQ65572 NJL65572:NJM65572 NTH65572:NTI65572 ODD65572:ODE65572 OMZ65572:ONA65572 OWV65572:OWW65572 PGR65572:PGS65572 PQN65572:PQO65572 QAJ65572:QAK65572 QKF65572:QKG65572 QUB65572:QUC65572 RDX65572:RDY65572 RNT65572:RNU65572 RXP65572:RXQ65572 SHL65572:SHM65572 SRH65572:SRI65572 TBD65572:TBE65572 TKZ65572:TLA65572 TUV65572:TUW65572 UER65572:UES65572 UON65572:UOO65572 UYJ65572:UYK65572 VIF65572:VIG65572 VSB65572:VSC65572 WBX65572:WBY65572 WLT65572:WLU65572 WVP65572:WVQ65572 H131108:I131108 JD131108:JE131108 SZ131108:TA131108 ACV131108:ACW131108 AMR131108:AMS131108 AWN131108:AWO131108 BGJ131108:BGK131108 BQF131108:BQG131108 CAB131108:CAC131108 CJX131108:CJY131108 CTT131108:CTU131108 DDP131108:DDQ131108 DNL131108:DNM131108 DXH131108:DXI131108 EHD131108:EHE131108 EQZ131108:ERA131108 FAV131108:FAW131108 FKR131108:FKS131108 FUN131108:FUO131108 GEJ131108:GEK131108 GOF131108:GOG131108 GYB131108:GYC131108 HHX131108:HHY131108 HRT131108:HRU131108 IBP131108:IBQ131108 ILL131108:ILM131108 IVH131108:IVI131108 JFD131108:JFE131108 JOZ131108:JPA131108 JYV131108:JYW131108 KIR131108:KIS131108 KSN131108:KSO131108 LCJ131108:LCK131108 LMF131108:LMG131108 LWB131108:LWC131108 MFX131108:MFY131108 MPT131108:MPU131108 MZP131108:MZQ131108 NJL131108:NJM131108 NTH131108:NTI131108 ODD131108:ODE131108 OMZ131108:ONA131108 OWV131108:OWW131108 PGR131108:PGS131108 PQN131108:PQO131108 QAJ131108:QAK131108 QKF131108:QKG131108 QUB131108:QUC131108 RDX131108:RDY131108 RNT131108:RNU131108 RXP131108:RXQ131108 SHL131108:SHM131108 SRH131108:SRI131108 TBD131108:TBE131108 TKZ131108:TLA131108 TUV131108:TUW131108 UER131108:UES131108 UON131108:UOO131108 UYJ131108:UYK131108 VIF131108:VIG131108 VSB131108:VSC131108 WBX131108:WBY131108 WLT131108:WLU131108 WVP131108:WVQ131108 H196644:I196644 JD196644:JE196644 SZ196644:TA196644 ACV196644:ACW196644 AMR196644:AMS196644 AWN196644:AWO196644 BGJ196644:BGK196644 BQF196644:BQG196644 CAB196644:CAC196644 CJX196644:CJY196644 CTT196644:CTU196644 DDP196644:DDQ196644 DNL196644:DNM196644 DXH196644:DXI196644 EHD196644:EHE196644 EQZ196644:ERA196644 FAV196644:FAW196644 FKR196644:FKS196644 FUN196644:FUO196644 GEJ196644:GEK196644 GOF196644:GOG196644 GYB196644:GYC196644 HHX196644:HHY196644 HRT196644:HRU196644 IBP196644:IBQ196644 ILL196644:ILM196644 IVH196644:IVI196644 JFD196644:JFE196644 JOZ196644:JPA196644 JYV196644:JYW196644 KIR196644:KIS196644 KSN196644:KSO196644 LCJ196644:LCK196644 LMF196644:LMG196644 LWB196644:LWC196644 MFX196644:MFY196644 MPT196644:MPU196644 MZP196644:MZQ196644 NJL196644:NJM196644 NTH196644:NTI196644 ODD196644:ODE196644 OMZ196644:ONA196644 OWV196644:OWW196644 PGR196644:PGS196644 PQN196644:PQO196644 QAJ196644:QAK196644 QKF196644:QKG196644 QUB196644:QUC196644 RDX196644:RDY196644 RNT196644:RNU196644 RXP196644:RXQ196644 SHL196644:SHM196644 SRH196644:SRI196644 TBD196644:TBE196644 TKZ196644:TLA196644 TUV196644:TUW196644 UER196644:UES196644 UON196644:UOO196644 UYJ196644:UYK196644 VIF196644:VIG196644 VSB196644:VSC196644 WBX196644:WBY196644 WLT196644:WLU196644 WVP196644:WVQ196644 H262180:I262180 JD262180:JE262180 SZ262180:TA262180 ACV262180:ACW262180 AMR262180:AMS262180 AWN262180:AWO262180 BGJ262180:BGK262180 BQF262180:BQG262180 CAB262180:CAC262180 CJX262180:CJY262180 CTT262180:CTU262180 DDP262180:DDQ262180 DNL262180:DNM262180 DXH262180:DXI262180 EHD262180:EHE262180 EQZ262180:ERA262180 FAV262180:FAW262180 FKR262180:FKS262180 FUN262180:FUO262180 GEJ262180:GEK262180 GOF262180:GOG262180 GYB262180:GYC262180 HHX262180:HHY262180 HRT262180:HRU262180 IBP262180:IBQ262180 ILL262180:ILM262180 IVH262180:IVI262180 JFD262180:JFE262180 JOZ262180:JPA262180 JYV262180:JYW262180 KIR262180:KIS262180 KSN262180:KSO262180 LCJ262180:LCK262180 LMF262180:LMG262180 LWB262180:LWC262180 MFX262180:MFY262180 MPT262180:MPU262180 MZP262180:MZQ262180 NJL262180:NJM262180 NTH262180:NTI262180 ODD262180:ODE262180 OMZ262180:ONA262180 OWV262180:OWW262180 PGR262180:PGS262180 PQN262180:PQO262180 QAJ262180:QAK262180 QKF262180:QKG262180 QUB262180:QUC262180 RDX262180:RDY262180 RNT262180:RNU262180 RXP262180:RXQ262180 SHL262180:SHM262180 SRH262180:SRI262180 TBD262180:TBE262180 TKZ262180:TLA262180 TUV262180:TUW262180 UER262180:UES262180 UON262180:UOO262180 UYJ262180:UYK262180 VIF262180:VIG262180 VSB262180:VSC262180 WBX262180:WBY262180 WLT262180:WLU262180 WVP262180:WVQ262180 H327716:I327716 JD327716:JE327716 SZ327716:TA327716 ACV327716:ACW327716 AMR327716:AMS327716 AWN327716:AWO327716 BGJ327716:BGK327716 BQF327716:BQG327716 CAB327716:CAC327716 CJX327716:CJY327716 CTT327716:CTU327716 DDP327716:DDQ327716 DNL327716:DNM327716 DXH327716:DXI327716 EHD327716:EHE327716 EQZ327716:ERA327716 FAV327716:FAW327716 FKR327716:FKS327716 FUN327716:FUO327716 GEJ327716:GEK327716 GOF327716:GOG327716 GYB327716:GYC327716 HHX327716:HHY327716 HRT327716:HRU327716 IBP327716:IBQ327716 ILL327716:ILM327716 IVH327716:IVI327716 JFD327716:JFE327716 JOZ327716:JPA327716 JYV327716:JYW327716 KIR327716:KIS327716 KSN327716:KSO327716 LCJ327716:LCK327716 LMF327716:LMG327716 LWB327716:LWC327716 MFX327716:MFY327716 MPT327716:MPU327716 MZP327716:MZQ327716 NJL327716:NJM327716 NTH327716:NTI327716 ODD327716:ODE327716 OMZ327716:ONA327716 OWV327716:OWW327716 PGR327716:PGS327716 PQN327716:PQO327716 QAJ327716:QAK327716 QKF327716:QKG327716 QUB327716:QUC327716 RDX327716:RDY327716 RNT327716:RNU327716 RXP327716:RXQ327716 SHL327716:SHM327716 SRH327716:SRI327716 TBD327716:TBE327716 TKZ327716:TLA327716 TUV327716:TUW327716 UER327716:UES327716 UON327716:UOO327716 UYJ327716:UYK327716 VIF327716:VIG327716 VSB327716:VSC327716 WBX327716:WBY327716 WLT327716:WLU327716 WVP327716:WVQ327716 H393252:I393252 JD393252:JE393252 SZ393252:TA393252 ACV393252:ACW393252 AMR393252:AMS393252 AWN393252:AWO393252 BGJ393252:BGK393252 BQF393252:BQG393252 CAB393252:CAC393252 CJX393252:CJY393252 CTT393252:CTU393252 DDP393252:DDQ393252 DNL393252:DNM393252 DXH393252:DXI393252 EHD393252:EHE393252 EQZ393252:ERA393252 FAV393252:FAW393252 FKR393252:FKS393252 FUN393252:FUO393252 GEJ393252:GEK393252 GOF393252:GOG393252 GYB393252:GYC393252 HHX393252:HHY393252 HRT393252:HRU393252 IBP393252:IBQ393252 ILL393252:ILM393252 IVH393252:IVI393252 JFD393252:JFE393252 JOZ393252:JPA393252 JYV393252:JYW393252 KIR393252:KIS393252 KSN393252:KSO393252 LCJ393252:LCK393252 LMF393252:LMG393252 LWB393252:LWC393252 MFX393252:MFY393252 MPT393252:MPU393252 MZP393252:MZQ393252 NJL393252:NJM393252 NTH393252:NTI393252 ODD393252:ODE393252 OMZ393252:ONA393252 OWV393252:OWW393252 PGR393252:PGS393252 PQN393252:PQO393252 QAJ393252:QAK393252 QKF393252:QKG393252 QUB393252:QUC393252 RDX393252:RDY393252 RNT393252:RNU393252 RXP393252:RXQ393252 SHL393252:SHM393252 SRH393252:SRI393252 TBD393252:TBE393252 TKZ393252:TLA393252 TUV393252:TUW393252 UER393252:UES393252 UON393252:UOO393252 UYJ393252:UYK393252 VIF393252:VIG393252 VSB393252:VSC393252 WBX393252:WBY393252 WLT393252:WLU393252 WVP393252:WVQ393252 H458788:I458788 JD458788:JE458788 SZ458788:TA458788 ACV458788:ACW458788 AMR458788:AMS458788 AWN458788:AWO458788 BGJ458788:BGK458788 BQF458788:BQG458788 CAB458788:CAC458788 CJX458788:CJY458788 CTT458788:CTU458788 DDP458788:DDQ458788 DNL458788:DNM458788 DXH458788:DXI458788 EHD458788:EHE458788 EQZ458788:ERA458788 FAV458788:FAW458788 FKR458788:FKS458788 FUN458788:FUO458788 GEJ458788:GEK458788 GOF458788:GOG458788 GYB458788:GYC458788 HHX458788:HHY458788 HRT458788:HRU458788 IBP458788:IBQ458788 ILL458788:ILM458788 IVH458788:IVI458788 JFD458788:JFE458788 JOZ458788:JPA458788 JYV458788:JYW458788 KIR458788:KIS458788 KSN458788:KSO458788 LCJ458788:LCK458788 LMF458788:LMG458788 LWB458788:LWC458788 MFX458788:MFY458788 MPT458788:MPU458788 MZP458788:MZQ458788 NJL458788:NJM458788 NTH458788:NTI458788 ODD458788:ODE458788 OMZ458788:ONA458788 OWV458788:OWW458788 PGR458788:PGS458788 PQN458788:PQO458788 QAJ458788:QAK458788 QKF458788:QKG458788 QUB458788:QUC458788 RDX458788:RDY458788 RNT458788:RNU458788 RXP458788:RXQ458788 SHL458788:SHM458788 SRH458788:SRI458788 TBD458788:TBE458788 TKZ458788:TLA458788 TUV458788:TUW458788 UER458788:UES458788 UON458788:UOO458788 UYJ458788:UYK458788 VIF458788:VIG458788 VSB458788:VSC458788 WBX458788:WBY458788 WLT458788:WLU458788 WVP458788:WVQ458788 H524324:I524324 JD524324:JE524324 SZ524324:TA524324 ACV524324:ACW524324 AMR524324:AMS524324 AWN524324:AWO524324 BGJ524324:BGK524324 BQF524324:BQG524324 CAB524324:CAC524324 CJX524324:CJY524324 CTT524324:CTU524324 DDP524324:DDQ524324 DNL524324:DNM524324 DXH524324:DXI524324 EHD524324:EHE524324 EQZ524324:ERA524324 FAV524324:FAW524324 FKR524324:FKS524324 FUN524324:FUO524324 GEJ524324:GEK524324 GOF524324:GOG524324 GYB524324:GYC524324 HHX524324:HHY524324 HRT524324:HRU524324 IBP524324:IBQ524324 ILL524324:ILM524324 IVH524324:IVI524324 JFD524324:JFE524324 JOZ524324:JPA524324 JYV524324:JYW524324 KIR524324:KIS524324 KSN524324:KSO524324 LCJ524324:LCK524324 LMF524324:LMG524324 LWB524324:LWC524324 MFX524324:MFY524324 MPT524324:MPU524324 MZP524324:MZQ524324 NJL524324:NJM524324 NTH524324:NTI524324 ODD524324:ODE524324 OMZ524324:ONA524324 OWV524324:OWW524324 PGR524324:PGS524324 PQN524324:PQO524324 QAJ524324:QAK524324 QKF524324:QKG524324 QUB524324:QUC524324 RDX524324:RDY524324 RNT524324:RNU524324 RXP524324:RXQ524324 SHL524324:SHM524324 SRH524324:SRI524324 TBD524324:TBE524324 TKZ524324:TLA524324 TUV524324:TUW524324 UER524324:UES524324 UON524324:UOO524324 UYJ524324:UYK524324 VIF524324:VIG524324 VSB524324:VSC524324 WBX524324:WBY524324 WLT524324:WLU524324 WVP524324:WVQ524324 H589860:I589860 JD589860:JE589860 SZ589860:TA589860 ACV589860:ACW589860 AMR589860:AMS589860 AWN589860:AWO589860 BGJ589860:BGK589860 BQF589860:BQG589860 CAB589860:CAC589860 CJX589860:CJY589860 CTT589860:CTU589860 DDP589860:DDQ589860 DNL589860:DNM589860 DXH589860:DXI589860 EHD589860:EHE589860 EQZ589860:ERA589860 FAV589860:FAW589860 FKR589860:FKS589860 FUN589860:FUO589860 GEJ589860:GEK589860 GOF589860:GOG589860 GYB589860:GYC589860 HHX589860:HHY589860 HRT589860:HRU589860 IBP589860:IBQ589860 ILL589860:ILM589860 IVH589860:IVI589860 JFD589860:JFE589860 JOZ589860:JPA589860 JYV589860:JYW589860 KIR589860:KIS589860 KSN589860:KSO589860 LCJ589860:LCK589860 LMF589860:LMG589860 LWB589860:LWC589860 MFX589860:MFY589860 MPT589860:MPU589860 MZP589860:MZQ589860 NJL589860:NJM589860 NTH589860:NTI589860 ODD589860:ODE589860 OMZ589860:ONA589860 OWV589860:OWW589860 PGR589860:PGS589860 PQN589860:PQO589860 QAJ589860:QAK589860 QKF589860:QKG589860 QUB589860:QUC589860 RDX589860:RDY589860 RNT589860:RNU589860 RXP589860:RXQ589860 SHL589860:SHM589860 SRH589860:SRI589860 TBD589860:TBE589860 TKZ589860:TLA589860 TUV589860:TUW589860 UER589860:UES589860 UON589860:UOO589860 UYJ589860:UYK589860 VIF589860:VIG589860 VSB589860:VSC589860 WBX589860:WBY589860 WLT589860:WLU589860 WVP589860:WVQ589860 H655396:I655396 JD655396:JE655396 SZ655396:TA655396 ACV655396:ACW655396 AMR655396:AMS655396 AWN655396:AWO655396 BGJ655396:BGK655396 BQF655396:BQG655396 CAB655396:CAC655396 CJX655396:CJY655396 CTT655396:CTU655396 DDP655396:DDQ655396 DNL655396:DNM655396 DXH655396:DXI655396 EHD655396:EHE655396 EQZ655396:ERA655396 FAV655396:FAW655396 FKR655396:FKS655396 FUN655396:FUO655396 GEJ655396:GEK655396 GOF655396:GOG655396 GYB655396:GYC655396 HHX655396:HHY655396 HRT655396:HRU655396 IBP655396:IBQ655396 ILL655396:ILM655396 IVH655396:IVI655396 JFD655396:JFE655396 JOZ655396:JPA655396 JYV655396:JYW655396 KIR655396:KIS655396 KSN655396:KSO655396 LCJ655396:LCK655396 LMF655396:LMG655396 LWB655396:LWC655396 MFX655396:MFY655396 MPT655396:MPU655396 MZP655396:MZQ655396 NJL655396:NJM655396 NTH655396:NTI655396 ODD655396:ODE655396 OMZ655396:ONA655396 OWV655396:OWW655396 PGR655396:PGS655396 PQN655396:PQO655396 QAJ655396:QAK655396 QKF655396:QKG655396 QUB655396:QUC655396 RDX655396:RDY655396 RNT655396:RNU655396 RXP655396:RXQ655396 SHL655396:SHM655396 SRH655396:SRI655396 TBD655396:TBE655396 TKZ655396:TLA655396 TUV655396:TUW655396 UER655396:UES655396 UON655396:UOO655396 UYJ655396:UYK655396 VIF655396:VIG655396 VSB655396:VSC655396 WBX655396:WBY655396 WLT655396:WLU655396 WVP655396:WVQ655396 H720932:I720932 JD720932:JE720932 SZ720932:TA720932 ACV720932:ACW720932 AMR720932:AMS720932 AWN720932:AWO720932 BGJ720932:BGK720932 BQF720932:BQG720932 CAB720932:CAC720932 CJX720932:CJY720932 CTT720932:CTU720932 DDP720932:DDQ720932 DNL720932:DNM720932 DXH720932:DXI720932 EHD720932:EHE720932 EQZ720932:ERA720932 FAV720932:FAW720932 FKR720932:FKS720932 FUN720932:FUO720932 GEJ720932:GEK720932 GOF720932:GOG720932 GYB720932:GYC720932 HHX720932:HHY720932 HRT720932:HRU720932 IBP720932:IBQ720932 ILL720932:ILM720932 IVH720932:IVI720932 JFD720932:JFE720932 JOZ720932:JPA720932 JYV720932:JYW720932 KIR720932:KIS720932 KSN720932:KSO720932 LCJ720932:LCK720932 LMF720932:LMG720932 LWB720932:LWC720932 MFX720932:MFY720932 MPT720932:MPU720932 MZP720932:MZQ720932 NJL720932:NJM720932 NTH720932:NTI720932 ODD720932:ODE720932 OMZ720932:ONA720932 OWV720932:OWW720932 PGR720932:PGS720932 PQN720932:PQO720932 QAJ720932:QAK720932 QKF720932:QKG720932 QUB720932:QUC720932 RDX720932:RDY720932 RNT720932:RNU720932 RXP720932:RXQ720932 SHL720932:SHM720932 SRH720932:SRI720932 TBD720932:TBE720932 TKZ720932:TLA720932 TUV720932:TUW720932 UER720932:UES720932 UON720932:UOO720932 UYJ720932:UYK720932 VIF720932:VIG720932 VSB720932:VSC720932 WBX720932:WBY720932 WLT720932:WLU720932 WVP720932:WVQ720932 H786468:I786468 JD786468:JE786468 SZ786468:TA786468 ACV786468:ACW786468 AMR786468:AMS786468 AWN786468:AWO786468 BGJ786468:BGK786468 BQF786468:BQG786468 CAB786468:CAC786468 CJX786468:CJY786468 CTT786468:CTU786468 DDP786468:DDQ786468 DNL786468:DNM786468 DXH786468:DXI786468 EHD786468:EHE786468 EQZ786468:ERA786468 FAV786468:FAW786468 FKR786468:FKS786468 FUN786468:FUO786468 GEJ786468:GEK786468 GOF786468:GOG786468 GYB786468:GYC786468 HHX786468:HHY786468 HRT786468:HRU786468 IBP786468:IBQ786468 ILL786468:ILM786468 IVH786468:IVI786468 JFD786468:JFE786468 JOZ786468:JPA786468 JYV786468:JYW786468 KIR786468:KIS786468 KSN786468:KSO786468 LCJ786468:LCK786468 LMF786468:LMG786468 LWB786468:LWC786468 MFX786468:MFY786468 MPT786468:MPU786468 MZP786468:MZQ786468 NJL786468:NJM786468 NTH786468:NTI786468 ODD786468:ODE786468 OMZ786468:ONA786468 OWV786468:OWW786468 PGR786468:PGS786468 PQN786468:PQO786468 QAJ786468:QAK786468 QKF786468:QKG786468 QUB786468:QUC786468 RDX786468:RDY786468 RNT786468:RNU786468 RXP786468:RXQ786468 SHL786468:SHM786468 SRH786468:SRI786468 TBD786468:TBE786468 TKZ786468:TLA786468 TUV786468:TUW786468 UER786468:UES786468 UON786468:UOO786468 UYJ786468:UYK786468 VIF786468:VIG786468 VSB786468:VSC786468 WBX786468:WBY786468 WLT786468:WLU786468 WVP786468:WVQ786468 H852004:I852004 JD852004:JE852004 SZ852004:TA852004 ACV852004:ACW852004 AMR852004:AMS852004 AWN852004:AWO852004 BGJ852004:BGK852004 BQF852004:BQG852004 CAB852004:CAC852004 CJX852004:CJY852004 CTT852004:CTU852004 DDP852004:DDQ852004 DNL852004:DNM852004 DXH852004:DXI852004 EHD852004:EHE852004 EQZ852004:ERA852004 FAV852004:FAW852004 FKR852004:FKS852004 FUN852004:FUO852004 GEJ852004:GEK852004 GOF852004:GOG852004 GYB852004:GYC852004 HHX852004:HHY852004 HRT852004:HRU852004 IBP852004:IBQ852004 ILL852004:ILM852004 IVH852004:IVI852004 JFD852004:JFE852004 JOZ852004:JPA852004 JYV852004:JYW852004 KIR852004:KIS852004 KSN852004:KSO852004 LCJ852004:LCK852004 LMF852004:LMG852004 LWB852004:LWC852004 MFX852004:MFY852004 MPT852004:MPU852004 MZP852004:MZQ852004 NJL852004:NJM852004 NTH852004:NTI852004 ODD852004:ODE852004 OMZ852004:ONA852004 OWV852004:OWW852004 PGR852004:PGS852004 PQN852004:PQO852004 QAJ852004:QAK852004 QKF852004:QKG852004 QUB852004:QUC852004 RDX852004:RDY852004 RNT852004:RNU852004 RXP852004:RXQ852004 SHL852004:SHM852004 SRH852004:SRI852004 TBD852004:TBE852004 TKZ852004:TLA852004 TUV852004:TUW852004 UER852004:UES852004 UON852004:UOO852004 UYJ852004:UYK852004 VIF852004:VIG852004 VSB852004:VSC852004 WBX852004:WBY852004 WLT852004:WLU852004 WVP852004:WVQ852004 H917540:I917540 JD917540:JE917540 SZ917540:TA917540 ACV917540:ACW917540 AMR917540:AMS917540 AWN917540:AWO917540 BGJ917540:BGK917540 BQF917540:BQG917540 CAB917540:CAC917540 CJX917540:CJY917540 CTT917540:CTU917540 DDP917540:DDQ917540 DNL917540:DNM917540 DXH917540:DXI917540 EHD917540:EHE917540 EQZ917540:ERA917540 FAV917540:FAW917540 FKR917540:FKS917540 FUN917540:FUO917540 GEJ917540:GEK917540 GOF917540:GOG917540 GYB917540:GYC917540 HHX917540:HHY917540 HRT917540:HRU917540 IBP917540:IBQ917540 ILL917540:ILM917540 IVH917540:IVI917540 JFD917540:JFE917540 JOZ917540:JPA917540 JYV917540:JYW917540 KIR917540:KIS917540 KSN917540:KSO917540 LCJ917540:LCK917540 LMF917540:LMG917540 LWB917540:LWC917540 MFX917540:MFY917540 MPT917540:MPU917540 MZP917540:MZQ917540 NJL917540:NJM917540 NTH917540:NTI917540 ODD917540:ODE917540 OMZ917540:ONA917540 OWV917540:OWW917540 PGR917540:PGS917540 PQN917540:PQO917540 QAJ917540:QAK917540 QKF917540:QKG917540 QUB917540:QUC917540 RDX917540:RDY917540 RNT917540:RNU917540 RXP917540:RXQ917540 SHL917540:SHM917540 SRH917540:SRI917540 TBD917540:TBE917540 TKZ917540:TLA917540 TUV917540:TUW917540 UER917540:UES917540 UON917540:UOO917540 UYJ917540:UYK917540 VIF917540:VIG917540 VSB917540:VSC917540 WBX917540:WBY917540 WLT917540:WLU917540 WVP917540:WVQ917540 H983076:I983076 JD983076:JE983076 SZ983076:TA983076 ACV983076:ACW983076 AMR983076:AMS983076 AWN983076:AWO983076 BGJ983076:BGK983076 BQF983076:BQG983076 CAB983076:CAC983076 CJX983076:CJY983076 CTT983076:CTU983076 DDP983076:DDQ983076 DNL983076:DNM983076 DXH983076:DXI983076 EHD983076:EHE983076 EQZ983076:ERA983076 FAV983076:FAW983076 FKR983076:FKS983076 FUN983076:FUO983076 GEJ983076:GEK983076 GOF983076:GOG983076 GYB983076:GYC983076 HHX983076:HHY983076 HRT983076:HRU983076 IBP983076:IBQ983076 ILL983076:ILM983076 IVH983076:IVI983076 JFD983076:JFE983076 JOZ983076:JPA983076 JYV983076:JYW983076 KIR983076:KIS983076 KSN983076:KSO983076 LCJ983076:LCK983076 LMF983076:LMG983076 LWB983076:LWC983076 MFX983076:MFY983076 MPT983076:MPU983076 MZP983076:MZQ983076 NJL983076:NJM983076 NTH983076:NTI983076 ODD983076:ODE983076 OMZ983076:ONA983076 OWV983076:OWW983076 PGR983076:PGS983076 PQN983076:PQO983076 QAJ983076:QAK983076 QKF983076:QKG983076 QUB983076:QUC983076 RDX983076:RDY983076 RNT983076:RNU983076 RXP983076:RXQ983076 SHL983076:SHM983076 SRH983076:SRI983076 TBD983076:TBE983076 TKZ983076:TLA983076 TUV983076:TUW983076 UER983076:UES983076 UON983076:UOO983076 UYJ983076:UYK983076 VIF983076:VIG983076 VSB983076:VSC983076 WBX983076:WBY983076 WLT983076:WLU983076">
      <formula1>$Q$61:$Q$64</formula1>
    </dataValidation>
  </dataValidations>
  <hyperlinks>
    <hyperlink ref="A1" location="'Table Of Contents'!A1" display="TOC"/>
  </hyperlinks>
  <pageMargins left="0.25" right="0.25" top="0.75" bottom="0.75" header="0.3" footer="0.3"/>
  <pageSetup scale="47" orientation="portrait" r:id="rId1"/>
  <headerFooter alignWithMargins="0"/>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9FF99"/>
  </sheetPr>
  <dimension ref="A1:DU203"/>
  <sheetViews>
    <sheetView showGridLines="0" view="pageBreakPreview" zoomScaleNormal="75" zoomScaleSheetLayoutView="100" workbookViewId="0">
      <selection activeCell="B1" sqref="B1"/>
    </sheetView>
  </sheetViews>
  <sheetFormatPr defaultRowHeight="12.75"/>
  <cols>
    <col min="1" max="1" width="9.140625" style="953"/>
    <col min="2" max="2" width="20" style="953" customWidth="1"/>
    <col min="3" max="3" width="17.85546875" style="953" customWidth="1"/>
    <col min="4" max="5" width="15.7109375" style="953" customWidth="1"/>
    <col min="6" max="6" width="35.7109375" style="953" customWidth="1"/>
    <col min="7" max="7" width="10.7109375" style="953" customWidth="1"/>
    <col min="8" max="8" width="5.7109375" style="953" customWidth="1"/>
    <col min="9" max="9" width="11" style="953" customWidth="1"/>
    <col min="10" max="10" width="32.85546875" style="953" customWidth="1"/>
    <col min="11" max="11" width="9.140625" style="1460"/>
    <col min="12" max="12" width="65.28515625" style="953" customWidth="1"/>
    <col min="13" max="13" width="24.7109375" style="953" customWidth="1"/>
    <col min="14" max="14" width="16.28515625" style="953" bestFit="1" customWidth="1"/>
    <col min="15" max="15" width="9.28515625" style="1460" customWidth="1"/>
    <col min="16" max="16" width="11.42578125" style="1460" customWidth="1"/>
    <col min="17" max="17" width="9.140625" style="953" hidden="1" customWidth="1"/>
    <col min="18" max="257" width="9.140625" style="953"/>
    <col min="258" max="258" width="20" style="953" customWidth="1"/>
    <col min="259" max="259" width="17.85546875" style="953" customWidth="1"/>
    <col min="260" max="261" width="15.7109375" style="953" customWidth="1"/>
    <col min="262" max="262" width="35.7109375" style="953" customWidth="1"/>
    <col min="263" max="263" width="10.7109375" style="953" customWidth="1"/>
    <col min="264" max="264" width="5.7109375" style="953" customWidth="1"/>
    <col min="265" max="265" width="11" style="953" customWidth="1"/>
    <col min="266" max="266" width="32.85546875" style="953" customWidth="1"/>
    <col min="267" max="267" width="9.140625" style="953"/>
    <col min="268" max="268" width="65.28515625" style="953" customWidth="1"/>
    <col min="269" max="269" width="24.7109375" style="953" customWidth="1"/>
    <col min="270" max="270" width="16.28515625" style="953" bestFit="1" customWidth="1"/>
    <col min="271" max="271" width="9.28515625" style="953" customWidth="1"/>
    <col min="272" max="272" width="11.42578125" style="953" customWidth="1"/>
    <col min="273" max="273" width="0" style="953" hidden="1" customWidth="1"/>
    <col min="274" max="513" width="9.140625" style="953"/>
    <col min="514" max="514" width="20" style="953" customWidth="1"/>
    <col min="515" max="515" width="17.85546875" style="953" customWidth="1"/>
    <col min="516" max="517" width="15.7109375" style="953" customWidth="1"/>
    <col min="518" max="518" width="35.7109375" style="953" customWidth="1"/>
    <col min="519" max="519" width="10.7109375" style="953" customWidth="1"/>
    <col min="520" max="520" width="5.7109375" style="953" customWidth="1"/>
    <col min="521" max="521" width="11" style="953" customWidth="1"/>
    <col min="522" max="522" width="32.85546875" style="953" customWidth="1"/>
    <col min="523" max="523" width="9.140625" style="953"/>
    <col min="524" max="524" width="65.28515625" style="953" customWidth="1"/>
    <col min="525" max="525" width="24.7109375" style="953" customWidth="1"/>
    <col min="526" max="526" width="16.28515625" style="953" bestFit="1" customWidth="1"/>
    <col min="527" max="527" width="9.28515625" style="953" customWidth="1"/>
    <col min="528" max="528" width="11.42578125" style="953" customWidth="1"/>
    <col min="529" max="529" width="0" style="953" hidden="1" customWidth="1"/>
    <col min="530" max="769" width="9.140625" style="953"/>
    <col min="770" max="770" width="20" style="953" customWidth="1"/>
    <col min="771" max="771" width="17.85546875" style="953" customWidth="1"/>
    <col min="772" max="773" width="15.7109375" style="953" customWidth="1"/>
    <col min="774" max="774" width="35.7109375" style="953" customWidth="1"/>
    <col min="775" max="775" width="10.7109375" style="953" customWidth="1"/>
    <col min="776" max="776" width="5.7109375" style="953" customWidth="1"/>
    <col min="777" max="777" width="11" style="953" customWidth="1"/>
    <col min="778" max="778" width="32.85546875" style="953" customWidth="1"/>
    <col min="779" max="779" width="9.140625" style="953"/>
    <col min="780" max="780" width="65.28515625" style="953" customWidth="1"/>
    <col min="781" max="781" width="24.7109375" style="953" customWidth="1"/>
    <col min="782" max="782" width="16.28515625" style="953" bestFit="1" customWidth="1"/>
    <col min="783" max="783" width="9.28515625" style="953" customWidth="1"/>
    <col min="784" max="784" width="11.42578125" style="953" customWidth="1"/>
    <col min="785" max="785" width="0" style="953" hidden="1" customWidth="1"/>
    <col min="786" max="1025" width="9.140625" style="953"/>
    <col min="1026" max="1026" width="20" style="953" customWidth="1"/>
    <col min="1027" max="1027" width="17.85546875" style="953" customWidth="1"/>
    <col min="1028" max="1029" width="15.7109375" style="953" customWidth="1"/>
    <col min="1030" max="1030" width="35.7109375" style="953" customWidth="1"/>
    <col min="1031" max="1031" width="10.7109375" style="953" customWidth="1"/>
    <col min="1032" max="1032" width="5.7109375" style="953" customWidth="1"/>
    <col min="1033" max="1033" width="11" style="953" customWidth="1"/>
    <col min="1034" max="1034" width="32.85546875" style="953" customWidth="1"/>
    <col min="1035" max="1035" width="9.140625" style="953"/>
    <col min="1036" max="1036" width="65.28515625" style="953" customWidth="1"/>
    <col min="1037" max="1037" width="24.7109375" style="953" customWidth="1"/>
    <col min="1038" max="1038" width="16.28515625" style="953" bestFit="1" customWidth="1"/>
    <col min="1039" max="1039" width="9.28515625" style="953" customWidth="1"/>
    <col min="1040" max="1040" width="11.42578125" style="953" customWidth="1"/>
    <col min="1041" max="1041" width="0" style="953" hidden="1" customWidth="1"/>
    <col min="1042" max="1281" width="9.140625" style="953"/>
    <col min="1282" max="1282" width="20" style="953" customWidth="1"/>
    <col min="1283" max="1283" width="17.85546875" style="953" customWidth="1"/>
    <col min="1284" max="1285" width="15.7109375" style="953" customWidth="1"/>
    <col min="1286" max="1286" width="35.7109375" style="953" customWidth="1"/>
    <col min="1287" max="1287" width="10.7109375" style="953" customWidth="1"/>
    <col min="1288" max="1288" width="5.7109375" style="953" customWidth="1"/>
    <col min="1289" max="1289" width="11" style="953" customWidth="1"/>
    <col min="1290" max="1290" width="32.85546875" style="953" customWidth="1"/>
    <col min="1291" max="1291" width="9.140625" style="953"/>
    <col min="1292" max="1292" width="65.28515625" style="953" customWidth="1"/>
    <col min="1293" max="1293" width="24.7109375" style="953" customWidth="1"/>
    <col min="1294" max="1294" width="16.28515625" style="953" bestFit="1" customWidth="1"/>
    <col min="1295" max="1295" width="9.28515625" style="953" customWidth="1"/>
    <col min="1296" max="1296" width="11.42578125" style="953" customWidth="1"/>
    <col min="1297" max="1297" width="0" style="953" hidden="1" customWidth="1"/>
    <col min="1298" max="1537" width="9.140625" style="953"/>
    <col min="1538" max="1538" width="20" style="953" customWidth="1"/>
    <col min="1539" max="1539" width="17.85546875" style="953" customWidth="1"/>
    <col min="1540" max="1541" width="15.7109375" style="953" customWidth="1"/>
    <col min="1542" max="1542" width="35.7109375" style="953" customWidth="1"/>
    <col min="1543" max="1543" width="10.7109375" style="953" customWidth="1"/>
    <col min="1544" max="1544" width="5.7109375" style="953" customWidth="1"/>
    <col min="1545" max="1545" width="11" style="953" customWidth="1"/>
    <col min="1546" max="1546" width="32.85546875" style="953" customWidth="1"/>
    <col min="1547" max="1547" width="9.140625" style="953"/>
    <col min="1548" max="1548" width="65.28515625" style="953" customWidth="1"/>
    <col min="1549" max="1549" width="24.7109375" style="953" customWidth="1"/>
    <col min="1550" max="1550" width="16.28515625" style="953" bestFit="1" customWidth="1"/>
    <col min="1551" max="1551" width="9.28515625" style="953" customWidth="1"/>
    <col min="1552" max="1552" width="11.42578125" style="953" customWidth="1"/>
    <col min="1553" max="1553" width="0" style="953" hidden="1" customWidth="1"/>
    <col min="1554" max="1793" width="9.140625" style="953"/>
    <col min="1794" max="1794" width="20" style="953" customWidth="1"/>
    <col min="1795" max="1795" width="17.85546875" style="953" customWidth="1"/>
    <col min="1796" max="1797" width="15.7109375" style="953" customWidth="1"/>
    <col min="1798" max="1798" width="35.7109375" style="953" customWidth="1"/>
    <col min="1799" max="1799" width="10.7109375" style="953" customWidth="1"/>
    <col min="1800" max="1800" width="5.7109375" style="953" customWidth="1"/>
    <col min="1801" max="1801" width="11" style="953" customWidth="1"/>
    <col min="1802" max="1802" width="32.85546875" style="953" customWidth="1"/>
    <col min="1803" max="1803" width="9.140625" style="953"/>
    <col min="1804" max="1804" width="65.28515625" style="953" customWidth="1"/>
    <col min="1805" max="1805" width="24.7109375" style="953" customWidth="1"/>
    <col min="1806" max="1806" width="16.28515625" style="953" bestFit="1" customWidth="1"/>
    <col min="1807" max="1807" width="9.28515625" style="953" customWidth="1"/>
    <col min="1808" max="1808" width="11.42578125" style="953" customWidth="1"/>
    <col min="1809" max="1809" width="0" style="953" hidden="1" customWidth="1"/>
    <col min="1810" max="2049" width="9.140625" style="953"/>
    <col min="2050" max="2050" width="20" style="953" customWidth="1"/>
    <col min="2051" max="2051" width="17.85546875" style="953" customWidth="1"/>
    <col min="2052" max="2053" width="15.7109375" style="953" customWidth="1"/>
    <col min="2054" max="2054" width="35.7109375" style="953" customWidth="1"/>
    <col min="2055" max="2055" width="10.7109375" style="953" customWidth="1"/>
    <col min="2056" max="2056" width="5.7109375" style="953" customWidth="1"/>
    <col min="2057" max="2057" width="11" style="953" customWidth="1"/>
    <col min="2058" max="2058" width="32.85546875" style="953" customWidth="1"/>
    <col min="2059" max="2059" width="9.140625" style="953"/>
    <col min="2060" max="2060" width="65.28515625" style="953" customWidth="1"/>
    <col min="2061" max="2061" width="24.7109375" style="953" customWidth="1"/>
    <col min="2062" max="2062" width="16.28515625" style="953" bestFit="1" customWidth="1"/>
    <col min="2063" max="2063" width="9.28515625" style="953" customWidth="1"/>
    <col min="2064" max="2064" width="11.42578125" style="953" customWidth="1"/>
    <col min="2065" max="2065" width="0" style="953" hidden="1" customWidth="1"/>
    <col min="2066" max="2305" width="9.140625" style="953"/>
    <col min="2306" max="2306" width="20" style="953" customWidth="1"/>
    <col min="2307" max="2307" width="17.85546875" style="953" customWidth="1"/>
    <col min="2308" max="2309" width="15.7109375" style="953" customWidth="1"/>
    <col min="2310" max="2310" width="35.7109375" style="953" customWidth="1"/>
    <col min="2311" max="2311" width="10.7109375" style="953" customWidth="1"/>
    <col min="2312" max="2312" width="5.7109375" style="953" customWidth="1"/>
    <col min="2313" max="2313" width="11" style="953" customWidth="1"/>
    <col min="2314" max="2314" width="32.85546875" style="953" customWidth="1"/>
    <col min="2315" max="2315" width="9.140625" style="953"/>
    <col min="2316" max="2316" width="65.28515625" style="953" customWidth="1"/>
    <col min="2317" max="2317" width="24.7109375" style="953" customWidth="1"/>
    <col min="2318" max="2318" width="16.28515625" style="953" bestFit="1" customWidth="1"/>
    <col min="2319" max="2319" width="9.28515625" style="953" customWidth="1"/>
    <col min="2320" max="2320" width="11.42578125" style="953" customWidth="1"/>
    <col min="2321" max="2321" width="0" style="953" hidden="1" customWidth="1"/>
    <col min="2322" max="2561" width="9.140625" style="953"/>
    <col min="2562" max="2562" width="20" style="953" customWidth="1"/>
    <col min="2563" max="2563" width="17.85546875" style="953" customWidth="1"/>
    <col min="2564" max="2565" width="15.7109375" style="953" customWidth="1"/>
    <col min="2566" max="2566" width="35.7109375" style="953" customWidth="1"/>
    <col min="2567" max="2567" width="10.7109375" style="953" customWidth="1"/>
    <col min="2568" max="2568" width="5.7109375" style="953" customWidth="1"/>
    <col min="2569" max="2569" width="11" style="953" customWidth="1"/>
    <col min="2570" max="2570" width="32.85546875" style="953" customWidth="1"/>
    <col min="2571" max="2571" width="9.140625" style="953"/>
    <col min="2572" max="2572" width="65.28515625" style="953" customWidth="1"/>
    <col min="2573" max="2573" width="24.7109375" style="953" customWidth="1"/>
    <col min="2574" max="2574" width="16.28515625" style="953" bestFit="1" customWidth="1"/>
    <col min="2575" max="2575" width="9.28515625" style="953" customWidth="1"/>
    <col min="2576" max="2576" width="11.42578125" style="953" customWidth="1"/>
    <col min="2577" max="2577" width="0" style="953" hidden="1" customWidth="1"/>
    <col min="2578" max="2817" width="9.140625" style="953"/>
    <col min="2818" max="2818" width="20" style="953" customWidth="1"/>
    <col min="2819" max="2819" width="17.85546875" style="953" customWidth="1"/>
    <col min="2820" max="2821" width="15.7109375" style="953" customWidth="1"/>
    <col min="2822" max="2822" width="35.7109375" style="953" customWidth="1"/>
    <col min="2823" max="2823" width="10.7109375" style="953" customWidth="1"/>
    <col min="2824" max="2824" width="5.7109375" style="953" customWidth="1"/>
    <col min="2825" max="2825" width="11" style="953" customWidth="1"/>
    <col min="2826" max="2826" width="32.85546875" style="953" customWidth="1"/>
    <col min="2827" max="2827" width="9.140625" style="953"/>
    <col min="2828" max="2828" width="65.28515625" style="953" customWidth="1"/>
    <col min="2829" max="2829" width="24.7109375" style="953" customWidth="1"/>
    <col min="2830" max="2830" width="16.28515625" style="953" bestFit="1" customWidth="1"/>
    <col min="2831" max="2831" width="9.28515625" style="953" customWidth="1"/>
    <col min="2832" max="2832" width="11.42578125" style="953" customWidth="1"/>
    <col min="2833" max="2833" width="0" style="953" hidden="1" customWidth="1"/>
    <col min="2834" max="3073" width="9.140625" style="953"/>
    <col min="3074" max="3074" width="20" style="953" customWidth="1"/>
    <col min="3075" max="3075" width="17.85546875" style="953" customWidth="1"/>
    <col min="3076" max="3077" width="15.7109375" style="953" customWidth="1"/>
    <col min="3078" max="3078" width="35.7109375" style="953" customWidth="1"/>
    <col min="3079" max="3079" width="10.7109375" style="953" customWidth="1"/>
    <col min="3080" max="3080" width="5.7109375" style="953" customWidth="1"/>
    <col min="3081" max="3081" width="11" style="953" customWidth="1"/>
    <col min="3082" max="3082" width="32.85546875" style="953" customWidth="1"/>
    <col min="3083" max="3083" width="9.140625" style="953"/>
    <col min="3084" max="3084" width="65.28515625" style="953" customWidth="1"/>
    <col min="3085" max="3085" width="24.7109375" style="953" customWidth="1"/>
    <col min="3086" max="3086" width="16.28515625" style="953" bestFit="1" customWidth="1"/>
    <col min="3087" max="3087" width="9.28515625" style="953" customWidth="1"/>
    <col min="3088" max="3088" width="11.42578125" style="953" customWidth="1"/>
    <col min="3089" max="3089" width="0" style="953" hidden="1" customWidth="1"/>
    <col min="3090" max="3329" width="9.140625" style="953"/>
    <col min="3330" max="3330" width="20" style="953" customWidth="1"/>
    <col min="3331" max="3331" width="17.85546875" style="953" customWidth="1"/>
    <col min="3332" max="3333" width="15.7109375" style="953" customWidth="1"/>
    <col min="3334" max="3334" width="35.7109375" style="953" customWidth="1"/>
    <col min="3335" max="3335" width="10.7109375" style="953" customWidth="1"/>
    <col min="3336" max="3336" width="5.7109375" style="953" customWidth="1"/>
    <col min="3337" max="3337" width="11" style="953" customWidth="1"/>
    <col min="3338" max="3338" width="32.85546875" style="953" customWidth="1"/>
    <col min="3339" max="3339" width="9.140625" style="953"/>
    <col min="3340" max="3340" width="65.28515625" style="953" customWidth="1"/>
    <col min="3341" max="3341" width="24.7109375" style="953" customWidth="1"/>
    <col min="3342" max="3342" width="16.28515625" style="953" bestFit="1" customWidth="1"/>
    <col min="3343" max="3343" width="9.28515625" style="953" customWidth="1"/>
    <col min="3344" max="3344" width="11.42578125" style="953" customWidth="1"/>
    <col min="3345" max="3345" width="0" style="953" hidden="1" customWidth="1"/>
    <col min="3346" max="3585" width="9.140625" style="953"/>
    <col min="3586" max="3586" width="20" style="953" customWidth="1"/>
    <col min="3587" max="3587" width="17.85546875" style="953" customWidth="1"/>
    <col min="3588" max="3589" width="15.7109375" style="953" customWidth="1"/>
    <col min="3590" max="3590" width="35.7109375" style="953" customWidth="1"/>
    <col min="3591" max="3591" width="10.7109375" style="953" customWidth="1"/>
    <col min="3592" max="3592" width="5.7109375" style="953" customWidth="1"/>
    <col min="3593" max="3593" width="11" style="953" customWidth="1"/>
    <col min="3594" max="3594" width="32.85546875" style="953" customWidth="1"/>
    <col min="3595" max="3595" width="9.140625" style="953"/>
    <col min="3596" max="3596" width="65.28515625" style="953" customWidth="1"/>
    <col min="3597" max="3597" width="24.7109375" style="953" customWidth="1"/>
    <col min="3598" max="3598" width="16.28515625" style="953" bestFit="1" customWidth="1"/>
    <col min="3599" max="3599" width="9.28515625" style="953" customWidth="1"/>
    <col min="3600" max="3600" width="11.42578125" style="953" customWidth="1"/>
    <col min="3601" max="3601" width="0" style="953" hidden="1" customWidth="1"/>
    <col min="3602" max="3841" width="9.140625" style="953"/>
    <col min="3842" max="3842" width="20" style="953" customWidth="1"/>
    <col min="3843" max="3843" width="17.85546875" style="953" customWidth="1"/>
    <col min="3844" max="3845" width="15.7109375" style="953" customWidth="1"/>
    <col min="3846" max="3846" width="35.7109375" style="953" customWidth="1"/>
    <col min="3847" max="3847" width="10.7109375" style="953" customWidth="1"/>
    <col min="3848" max="3848" width="5.7109375" style="953" customWidth="1"/>
    <col min="3849" max="3849" width="11" style="953" customWidth="1"/>
    <col min="3850" max="3850" width="32.85546875" style="953" customWidth="1"/>
    <col min="3851" max="3851" width="9.140625" style="953"/>
    <col min="3852" max="3852" width="65.28515625" style="953" customWidth="1"/>
    <col min="3853" max="3853" width="24.7109375" style="953" customWidth="1"/>
    <col min="3854" max="3854" width="16.28515625" style="953" bestFit="1" customWidth="1"/>
    <col min="3855" max="3855" width="9.28515625" style="953" customWidth="1"/>
    <col min="3856" max="3856" width="11.42578125" style="953" customWidth="1"/>
    <col min="3857" max="3857" width="0" style="953" hidden="1" customWidth="1"/>
    <col min="3858" max="4097" width="9.140625" style="953"/>
    <col min="4098" max="4098" width="20" style="953" customWidth="1"/>
    <col min="4099" max="4099" width="17.85546875" style="953" customWidth="1"/>
    <col min="4100" max="4101" width="15.7109375" style="953" customWidth="1"/>
    <col min="4102" max="4102" width="35.7109375" style="953" customWidth="1"/>
    <col min="4103" max="4103" width="10.7109375" style="953" customWidth="1"/>
    <col min="4104" max="4104" width="5.7109375" style="953" customWidth="1"/>
    <col min="4105" max="4105" width="11" style="953" customWidth="1"/>
    <col min="4106" max="4106" width="32.85546875" style="953" customWidth="1"/>
    <col min="4107" max="4107" width="9.140625" style="953"/>
    <col min="4108" max="4108" width="65.28515625" style="953" customWidth="1"/>
    <col min="4109" max="4109" width="24.7109375" style="953" customWidth="1"/>
    <col min="4110" max="4110" width="16.28515625" style="953" bestFit="1" customWidth="1"/>
    <col min="4111" max="4111" width="9.28515625" style="953" customWidth="1"/>
    <col min="4112" max="4112" width="11.42578125" style="953" customWidth="1"/>
    <col min="4113" max="4113" width="0" style="953" hidden="1" customWidth="1"/>
    <col min="4114" max="4353" width="9.140625" style="953"/>
    <col min="4354" max="4354" width="20" style="953" customWidth="1"/>
    <col min="4355" max="4355" width="17.85546875" style="953" customWidth="1"/>
    <col min="4356" max="4357" width="15.7109375" style="953" customWidth="1"/>
    <col min="4358" max="4358" width="35.7109375" style="953" customWidth="1"/>
    <col min="4359" max="4359" width="10.7109375" style="953" customWidth="1"/>
    <col min="4360" max="4360" width="5.7109375" style="953" customWidth="1"/>
    <col min="4361" max="4361" width="11" style="953" customWidth="1"/>
    <col min="4362" max="4362" width="32.85546875" style="953" customWidth="1"/>
    <col min="4363" max="4363" width="9.140625" style="953"/>
    <col min="4364" max="4364" width="65.28515625" style="953" customWidth="1"/>
    <col min="4365" max="4365" width="24.7109375" style="953" customWidth="1"/>
    <col min="4366" max="4366" width="16.28515625" style="953" bestFit="1" customWidth="1"/>
    <col min="4367" max="4367" width="9.28515625" style="953" customWidth="1"/>
    <col min="4368" max="4368" width="11.42578125" style="953" customWidth="1"/>
    <col min="4369" max="4369" width="0" style="953" hidden="1" customWidth="1"/>
    <col min="4370" max="4609" width="9.140625" style="953"/>
    <col min="4610" max="4610" width="20" style="953" customWidth="1"/>
    <col min="4611" max="4611" width="17.85546875" style="953" customWidth="1"/>
    <col min="4612" max="4613" width="15.7109375" style="953" customWidth="1"/>
    <col min="4614" max="4614" width="35.7109375" style="953" customWidth="1"/>
    <col min="4615" max="4615" width="10.7109375" style="953" customWidth="1"/>
    <col min="4616" max="4616" width="5.7109375" style="953" customWidth="1"/>
    <col min="4617" max="4617" width="11" style="953" customWidth="1"/>
    <col min="4618" max="4618" width="32.85546875" style="953" customWidth="1"/>
    <col min="4619" max="4619" width="9.140625" style="953"/>
    <col min="4620" max="4620" width="65.28515625" style="953" customWidth="1"/>
    <col min="4621" max="4621" width="24.7109375" style="953" customWidth="1"/>
    <col min="4622" max="4622" width="16.28515625" style="953" bestFit="1" customWidth="1"/>
    <col min="4623" max="4623" width="9.28515625" style="953" customWidth="1"/>
    <col min="4624" max="4624" width="11.42578125" style="953" customWidth="1"/>
    <col min="4625" max="4625" width="0" style="953" hidden="1" customWidth="1"/>
    <col min="4626" max="4865" width="9.140625" style="953"/>
    <col min="4866" max="4866" width="20" style="953" customWidth="1"/>
    <col min="4867" max="4867" width="17.85546875" style="953" customWidth="1"/>
    <col min="4868" max="4869" width="15.7109375" style="953" customWidth="1"/>
    <col min="4870" max="4870" width="35.7109375" style="953" customWidth="1"/>
    <col min="4871" max="4871" width="10.7109375" style="953" customWidth="1"/>
    <col min="4872" max="4872" width="5.7109375" style="953" customWidth="1"/>
    <col min="4873" max="4873" width="11" style="953" customWidth="1"/>
    <col min="4874" max="4874" width="32.85546875" style="953" customWidth="1"/>
    <col min="4875" max="4875" width="9.140625" style="953"/>
    <col min="4876" max="4876" width="65.28515625" style="953" customWidth="1"/>
    <col min="4877" max="4877" width="24.7109375" style="953" customWidth="1"/>
    <col min="4878" max="4878" width="16.28515625" style="953" bestFit="1" customWidth="1"/>
    <col min="4879" max="4879" width="9.28515625" style="953" customWidth="1"/>
    <col min="4880" max="4880" width="11.42578125" style="953" customWidth="1"/>
    <col min="4881" max="4881" width="0" style="953" hidden="1" customWidth="1"/>
    <col min="4882" max="5121" width="9.140625" style="953"/>
    <col min="5122" max="5122" width="20" style="953" customWidth="1"/>
    <col min="5123" max="5123" width="17.85546875" style="953" customWidth="1"/>
    <col min="5124" max="5125" width="15.7109375" style="953" customWidth="1"/>
    <col min="5126" max="5126" width="35.7109375" style="953" customWidth="1"/>
    <col min="5127" max="5127" width="10.7109375" style="953" customWidth="1"/>
    <col min="5128" max="5128" width="5.7109375" style="953" customWidth="1"/>
    <col min="5129" max="5129" width="11" style="953" customWidth="1"/>
    <col min="5130" max="5130" width="32.85546875" style="953" customWidth="1"/>
    <col min="5131" max="5131" width="9.140625" style="953"/>
    <col min="5132" max="5132" width="65.28515625" style="953" customWidth="1"/>
    <col min="5133" max="5133" width="24.7109375" style="953" customWidth="1"/>
    <col min="5134" max="5134" width="16.28515625" style="953" bestFit="1" customWidth="1"/>
    <col min="5135" max="5135" width="9.28515625" style="953" customWidth="1"/>
    <col min="5136" max="5136" width="11.42578125" style="953" customWidth="1"/>
    <col min="5137" max="5137" width="0" style="953" hidden="1" customWidth="1"/>
    <col min="5138" max="5377" width="9.140625" style="953"/>
    <col min="5378" max="5378" width="20" style="953" customWidth="1"/>
    <col min="5379" max="5379" width="17.85546875" style="953" customWidth="1"/>
    <col min="5380" max="5381" width="15.7109375" style="953" customWidth="1"/>
    <col min="5382" max="5382" width="35.7109375" style="953" customWidth="1"/>
    <col min="5383" max="5383" width="10.7109375" style="953" customWidth="1"/>
    <col min="5384" max="5384" width="5.7109375" style="953" customWidth="1"/>
    <col min="5385" max="5385" width="11" style="953" customWidth="1"/>
    <col min="5386" max="5386" width="32.85546875" style="953" customWidth="1"/>
    <col min="5387" max="5387" width="9.140625" style="953"/>
    <col min="5388" max="5388" width="65.28515625" style="953" customWidth="1"/>
    <col min="5389" max="5389" width="24.7109375" style="953" customWidth="1"/>
    <col min="5390" max="5390" width="16.28515625" style="953" bestFit="1" customWidth="1"/>
    <col min="5391" max="5391" width="9.28515625" style="953" customWidth="1"/>
    <col min="5392" max="5392" width="11.42578125" style="953" customWidth="1"/>
    <col min="5393" max="5393" width="0" style="953" hidden="1" customWidth="1"/>
    <col min="5394" max="5633" width="9.140625" style="953"/>
    <col min="5634" max="5634" width="20" style="953" customWidth="1"/>
    <col min="5635" max="5635" width="17.85546875" style="953" customWidth="1"/>
    <col min="5636" max="5637" width="15.7109375" style="953" customWidth="1"/>
    <col min="5638" max="5638" width="35.7109375" style="953" customWidth="1"/>
    <col min="5639" max="5639" width="10.7109375" style="953" customWidth="1"/>
    <col min="5640" max="5640" width="5.7109375" style="953" customWidth="1"/>
    <col min="5641" max="5641" width="11" style="953" customWidth="1"/>
    <col min="5642" max="5642" width="32.85546875" style="953" customWidth="1"/>
    <col min="5643" max="5643" width="9.140625" style="953"/>
    <col min="5644" max="5644" width="65.28515625" style="953" customWidth="1"/>
    <col min="5645" max="5645" width="24.7109375" style="953" customWidth="1"/>
    <col min="5646" max="5646" width="16.28515625" style="953" bestFit="1" customWidth="1"/>
    <col min="5647" max="5647" width="9.28515625" style="953" customWidth="1"/>
    <col min="5648" max="5648" width="11.42578125" style="953" customWidth="1"/>
    <col min="5649" max="5649" width="0" style="953" hidden="1" customWidth="1"/>
    <col min="5650" max="5889" width="9.140625" style="953"/>
    <col min="5890" max="5890" width="20" style="953" customWidth="1"/>
    <col min="5891" max="5891" width="17.85546875" style="953" customWidth="1"/>
    <col min="5892" max="5893" width="15.7109375" style="953" customWidth="1"/>
    <col min="5894" max="5894" width="35.7109375" style="953" customWidth="1"/>
    <col min="5895" max="5895" width="10.7109375" style="953" customWidth="1"/>
    <col min="5896" max="5896" width="5.7109375" style="953" customWidth="1"/>
    <col min="5897" max="5897" width="11" style="953" customWidth="1"/>
    <col min="5898" max="5898" width="32.85546875" style="953" customWidth="1"/>
    <col min="5899" max="5899" width="9.140625" style="953"/>
    <col min="5900" max="5900" width="65.28515625" style="953" customWidth="1"/>
    <col min="5901" max="5901" width="24.7109375" style="953" customWidth="1"/>
    <col min="5902" max="5902" width="16.28515625" style="953" bestFit="1" customWidth="1"/>
    <col min="5903" max="5903" width="9.28515625" style="953" customWidth="1"/>
    <col min="5904" max="5904" width="11.42578125" style="953" customWidth="1"/>
    <col min="5905" max="5905" width="0" style="953" hidden="1" customWidth="1"/>
    <col min="5906" max="6145" width="9.140625" style="953"/>
    <col min="6146" max="6146" width="20" style="953" customWidth="1"/>
    <col min="6147" max="6147" width="17.85546875" style="953" customWidth="1"/>
    <col min="6148" max="6149" width="15.7109375" style="953" customWidth="1"/>
    <col min="6150" max="6150" width="35.7109375" style="953" customWidth="1"/>
    <col min="6151" max="6151" width="10.7109375" style="953" customWidth="1"/>
    <col min="6152" max="6152" width="5.7109375" style="953" customWidth="1"/>
    <col min="6153" max="6153" width="11" style="953" customWidth="1"/>
    <col min="6154" max="6154" width="32.85546875" style="953" customWidth="1"/>
    <col min="6155" max="6155" width="9.140625" style="953"/>
    <col min="6156" max="6156" width="65.28515625" style="953" customWidth="1"/>
    <col min="6157" max="6157" width="24.7109375" style="953" customWidth="1"/>
    <col min="6158" max="6158" width="16.28515625" style="953" bestFit="1" customWidth="1"/>
    <col min="6159" max="6159" width="9.28515625" style="953" customWidth="1"/>
    <col min="6160" max="6160" width="11.42578125" style="953" customWidth="1"/>
    <col min="6161" max="6161" width="0" style="953" hidden="1" customWidth="1"/>
    <col min="6162" max="6401" width="9.140625" style="953"/>
    <col min="6402" max="6402" width="20" style="953" customWidth="1"/>
    <col min="6403" max="6403" width="17.85546875" style="953" customWidth="1"/>
    <col min="6404" max="6405" width="15.7109375" style="953" customWidth="1"/>
    <col min="6406" max="6406" width="35.7109375" style="953" customWidth="1"/>
    <col min="6407" max="6407" width="10.7109375" style="953" customWidth="1"/>
    <col min="6408" max="6408" width="5.7109375" style="953" customWidth="1"/>
    <col min="6409" max="6409" width="11" style="953" customWidth="1"/>
    <col min="6410" max="6410" width="32.85546875" style="953" customWidth="1"/>
    <col min="6411" max="6411" width="9.140625" style="953"/>
    <col min="6412" max="6412" width="65.28515625" style="953" customWidth="1"/>
    <col min="6413" max="6413" width="24.7109375" style="953" customWidth="1"/>
    <col min="6414" max="6414" width="16.28515625" style="953" bestFit="1" customWidth="1"/>
    <col min="6415" max="6415" width="9.28515625" style="953" customWidth="1"/>
    <col min="6416" max="6416" width="11.42578125" style="953" customWidth="1"/>
    <col min="6417" max="6417" width="0" style="953" hidden="1" customWidth="1"/>
    <col min="6418" max="6657" width="9.140625" style="953"/>
    <col min="6658" max="6658" width="20" style="953" customWidth="1"/>
    <col min="6659" max="6659" width="17.85546875" style="953" customWidth="1"/>
    <col min="6660" max="6661" width="15.7109375" style="953" customWidth="1"/>
    <col min="6662" max="6662" width="35.7109375" style="953" customWidth="1"/>
    <col min="6663" max="6663" width="10.7109375" style="953" customWidth="1"/>
    <col min="6664" max="6664" width="5.7109375" style="953" customWidth="1"/>
    <col min="6665" max="6665" width="11" style="953" customWidth="1"/>
    <col min="6666" max="6666" width="32.85546875" style="953" customWidth="1"/>
    <col min="6667" max="6667" width="9.140625" style="953"/>
    <col min="6668" max="6668" width="65.28515625" style="953" customWidth="1"/>
    <col min="6669" max="6669" width="24.7109375" style="953" customWidth="1"/>
    <col min="6670" max="6670" width="16.28515625" style="953" bestFit="1" customWidth="1"/>
    <col min="6671" max="6671" width="9.28515625" style="953" customWidth="1"/>
    <col min="6672" max="6672" width="11.42578125" style="953" customWidth="1"/>
    <col min="6673" max="6673" width="0" style="953" hidden="1" customWidth="1"/>
    <col min="6674" max="6913" width="9.140625" style="953"/>
    <col min="6914" max="6914" width="20" style="953" customWidth="1"/>
    <col min="6915" max="6915" width="17.85546875" style="953" customWidth="1"/>
    <col min="6916" max="6917" width="15.7109375" style="953" customWidth="1"/>
    <col min="6918" max="6918" width="35.7109375" style="953" customWidth="1"/>
    <col min="6919" max="6919" width="10.7109375" style="953" customWidth="1"/>
    <col min="6920" max="6920" width="5.7109375" style="953" customWidth="1"/>
    <col min="6921" max="6921" width="11" style="953" customWidth="1"/>
    <col min="6922" max="6922" width="32.85546875" style="953" customWidth="1"/>
    <col min="6923" max="6923" width="9.140625" style="953"/>
    <col min="6924" max="6924" width="65.28515625" style="953" customWidth="1"/>
    <col min="6925" max="6925" width="24.7109375" style="953" customWidth="1"/>
    <col min="6926" max="6926" width="16.28515625" style="953" bestFit="1" customWidth="1"/>
    <col min="6927" max="6927" width="9.28515625" style="953" customWidth="1"/>
    <col min="6928" max="6928" width="11.42578125" style="953" customWidth="1"/>
    <col min="6929" max="6929" width="0" style="953" hidden="1" customWidth="1"/>
    <col min="6930" max="7169" width="9.140625" style="953"/>
    <col min="7170" max="7170" width="20" style="953" customWidth="1"/>
    <col min="7171" max="7171" width="17.85546875" style="953" customWidth="1"/>
    <col min="7172" max="7173" width="15.7109375" style="953" customWidth="1"/>
    <col min="7174" max="7174" width="35.7109375" style="953" customWidth="1"/>
    <col min="7175" max="7175" width="10.7109375" style="953" customWidth="1"/>
    <col min="7176" max="7176" width="5.7109375" style="953" customWidth="1"/>
    <col min="7177" max="7177" width="11" style="953" customWidth="1"/>
    <col min="7178" max="7178" width="32.85546875" style="953" customWidth="1"/>
    <col min="7179" max="7179" width="9.140625" style="953"/>
    <col min="7180" max="7180" width="65.28515625" style="953" customWidth="1"/>
    <col min="7181" max="7181" width="24.7109375" style="953" customWidth="1"/>
    <col min="7182" max="7182" width="16.28515625" style="953" bestFit="1" customWidth="1"/>
    <col min="7183" max="7183" width="9.28515625" style="953" customWidth="1"/>
    <col min="7184" max="7184" width="11.42578125" style="953" customWidth="1"/>
    <col min="7185" max="7185" width="0" style="953" hidden="1" customWidth="1"/>
    <col min="7186" max="7425" width="9.140625" style="953"/>
    <col min="7426" max="7426" width="20" style="953" customWidth="1"/>
    <col min="7427" max="7427" width="17.85546875" style="953" customWidth="1"/>
    <col min="7428" max="7429" width="15.7109375" style="953" customWidth="1"/>
    <col min="7430" max="7430" width="35.7109375" style="953" customWidth="1"/>
    <col min="7431" max="7431" width="10.7109375" style="953" customWidth="1"/>
    <col min="7432" max="7432" width="5.7109375" style="953" customWidth="1"/>
    <col min="7433" max="7433" width="11" style="953" customWidth="1"/>
    <col min="7434" max="7434" width="32.85546875" style="953" customWidth="1"/>
    <col min="7435" max="7435" width="9.140625" style="953"/>
    <col min="7436" max="7436" width="65.28515625" style="953" customWidth="1"/>
    <col min="7437" max="7437" width="24.7109375" style="953" customWidth="1"/>
    <col min="7438" max="7438" width="16.28515625" style="953" bestFit="1" customWidth="1"/>
    <col min="7439" max="7439" width="9.28515625" style="953" customWidth="1"/>
    <col min="7440" max="7440" width="11.42578125" style="953" customWidth="1"/>
    <col min="7441" max="7441" width="0" style="953" hidden="1" customWidth="1"/>
    <col min="7442" max="7681" width="9.140625" style="953"/>
    <col min="7682" max="7682" width="20" style="953" customWidth="1"/>
    <col min="7683" max="7683" width="17.85546875" style="953" customWidth="1"/>
    <col min="7684" max="7685" width="15.7109375" style="953" customWidth="1"/>
    <col min="7686" max="7686" width="35.7109375" style="953" customWidth="1"/>
    <col min="7687" max="7687" width="10.7109375" style="953" customWidth="1"/>
    <col min="7688" max="7688" width="5.7109375" style="953" customWidth="1"/>
    <col min="7689" max="7689" width="11" style="953" customWidth="1"/>
    <col min="7690" max="7690" width="32.85546875" style="953" customWidth="1"/>
    <col min="7691" max="7691" width="9.140625" style="953"/>
    <col min="7692" max="7692" width="65.28515625" style="953" customWidth="1"/>
    <col min="7693" max="7693" width="24.7109375" style="953" customWidth="1"/>
    <col min="7694" max="7694" width="16.28515625" style="953" bestFit="1" customWidth="1"/>
    <col min="7695" max="7695" width="9.28515625" style="953" customWidth="1"/>
    <col min="7696" max="7696" width="11.42578125" style="953" customWidth="1"/>
    <col min="7697" max="7697" width="0" style="953" hidden="1" customWidth="1"/>
    <col min="7698" max="7937" width="9.140625" style="953"/>
    <col min="7938" max="7938" width="20" style="953" customWidth="1"/>
    <col min="7939" max="7939" width="17.85546875" style="953" customWidth="1"/>
    <col min="7940" max="7941" width="15.7109375" style="953" customWidth="1"/>
    <col min="7942" max="7942" width="35.7109375" style="953" customWidth="1"/>
    <col min="7943" max="7943" width="10.7109375" style="953" customWidth="1"/>
    <col min="7944" max="7944" width="5.7109375" style="953" customWidth="1"/>
    <col min="7945" max="7945" width="11" style="953" customWidth="1"/>
    <col min="7946" max="7946" width="32.85546875" style="953" customWidth="1"/>
    <col min="7947" max="7947" width="9.140625" style="953"/>
    <col min="7948" max="7948" width="65.28515625" style="953" customWidth="1"/>
    <col min="7949" max="7949" width="24.7109375" style="953" customWidth="1"/>
    <col min="7950" max="7950" width="16.28515625" style="953" bestFit="1" customWidth="1"/>
    <col min="7951" max="7951" width="9.28515625" style="953" customWidth="1"/>
    <col min="7952" max="7952" width="11.42578125" style="953" customWidth="1"/>
    <col min="7953" max="7953" width="0" style="953" hidden="1" customWidth="1"/>
    <col min="7954" max="8193" width="9.140625" style="953"/>
    <col min="8194" max="8194" width="20" style="953" customWidth="1"/>
    <col min="8195" max="8195" width="17.85546875" style="953" customWidth="1"/>
    <col min="8196" max="8197" width="15.7109375" style="953" customWidth="1"/>
    <col min="8198" max="8198" width="35.7109375" style="953" customWidth="1"/>
    <col min="8199" max="8199" width="10.7109375" style="953" customWidth="1"/>
    <col min="8200" max="8200" width="5.7109375" style="953" customWidth="1"/>
    <col min="8201" max="8201" width="11" style="953" customWidth="1"/>
    <col min="8202" max="8202" width="32.85546875" style="953" customWidth="1"/>
    <col min="8203" max="8203" width="9.140625" style="953"/>
    <col min="8204" max="8204" width="65.28515625" style="953" customWidth="1"/>
    <col min="8205" max="8205" width="24.7109375" style="953" customWidth="1"/>
    <col min="8206" max="8206" width="16.28515625" style="953" bestFit="1" customWidth="1"/>
    <col min="8207" max="8207" width="9.28515625" style="953" customWidth="1"/>
    <col min="8208" max="8208" width="11.42578125" style="953" customWidth="1"/>
    <col min="8209" max="8209" width="0" style="953" hidden="1" customWidth="1"/>
    <col min="8210" max="8449" width="9.140625" style="953"/>
    <col min="8450" max="8450" width="20" style="953" customWidth="1"/>
    <col min="8451" max="8451" width="17.85546875" style="953" customWidth="1"/>
    <col min="8452" max="8453" width="15.7109375" style="953" customWidth="1"/>
    <col min="8454" max="8454" width="35.7109375" style="953" customWidth="1"/>
    <col min="8455" max="8455" width="10.7109375" style="953" customWidth="1"/>
    <col min="8456" max="8456" width="5.7109375" style="953" customWidth="1"/>
    <col min="8457" max="8457" width="11" style="953" customWidth="1"/>
    <col min="8458" max="8458" width="32.85546875" style="953" customWidth="1"/>
    <col min="8459" max="8459" width="9.140625" style="953"/>
    <col min="8460" max="8460" width="65.28515625" style="953" customWidth="1"/>
    <col min="8461" max="8461" width="24.7109375" style="953" customWidth="1"/>
    <col min="8462" max="8462" width="16.28515625" style="953" bestFit="1" customWidth="1"/>
    <col min="8463" max="8463" width="9.28515625" style="953" customWidth="1"/>
    <col min="8464" max="8464" width="11.42578125" style="953" customWidth="1"/>
    <col min="8465" max="8465" width="0" style="953" hidden="1" customWidth="1"/>
    <col min="8466" max="8705" width="9.140625" style="953"/>
    <col min="8706" max="8706" width="20" style="953" customWidth="1"/>
    <col min="8707" max="8707" width="17.85546875" style="953" customWidth="1"/>
    <col min="8708" max="8709" width="15.7109375" style="953" customWidth="1"/>
    <col min="8710" max="8710" width="35.7109375" style="953" customWidth="1"/>
    <col min="8711" max="8711" width="10.7109375" style="953" customWidth="1"/>
    <col min="8712" max="8712" width="5.7109375" style="953" customWidth="1"/>
    <col min="8713" max="8713" width="11" style="953" customWidth="1"/>
    <col min="8714" max="8714" width="32.85546875" style="953" customWidth="1"/>
    <col min="8715" max="8715" width="9.140625" style="953"/>
    <col min="8716" max="8716" width="65.28515625" style="953" customWidth="1"/>
    <col min="8717" max="8717" width="24.7109375" style="953" customWidth="1"/>
    <col min="8718" max="8718" width="16.28515625" style="953" bestFit="1" customWidth="1"/>
    <col min="8719" max="8719" width="9.28515625" style="953" customWidth="1"/>
    <col min="8720" max="8720" width="11.42578125" style="953" customWidth="1"/>
    <col min="8721" max="8721" width="0" style="953" hidden="1" customWidth="1"/>
    <col min="8722" max="8961" width="9.140625" style="953"/>
    <col min="8962" max="8962" width="20" style="953" customWidth="1"/>
    <col min="8963" max="8963" width="17.85546875" style="953" customWidth="1"/>
    <col min="8964" max="8965" width="15.7109375" style="953" customWidth="1"/>
    <col min="8966" max="8966" width="35.7109375" style="953" customWidth="1"/>
    <col min="8967" max="8967" width="10.7109375" style="953" customWidth="1"/>
    <col min="8968" max="8968" width="5.7109375" style="953" customWidth="1"/>
    <col min="8969" max="8969" width="11" style="953" customWidth="1"/>
    <col min="8970" max="8970" width="32.85546875" style="953" customWidth="1"/>
    <col min="8971" max="8971" width="9.140625" style="953"/>
    <col min="8972" max="8972" width="65.28515625" style="953" customWidth="1"/>
    <col min="8973" max="8973" width="24.7109375" style="953" customWidth="1"/>
    <col min="8974" max="8974" width="16.28515625" style="953" bestFit="1" customWidth="1"/>
    <col min="8975" max="8975" width="9.28515625" style="953" customWidth="1"/>
    <col min="8976" max="8976" width="11.42578125" style="953" customWidth="1"/>
    <col min="8977" max="8977" width="0" style="953" hidden="1" customWidth="1"/>
    <col min="8978" max="9217" width="9.140625" style="953"/>
    <col min="9218" max="9218" width="20" style="953" customWidth="1"/>
    <col min="9219" max="9219" width="17.85546875" style="953" customWidth="1"/>
    <col min="9220" max="9221" width="15.7109375" style="953" customWidth="1"/>
    <col min="9222" max="9222" width="35.7109375" style="953" customWidth="1"/>
    <col min="9223" max="9223" width="10.7109375" style="953" customWidth="1"/>
    <col min="9224" max="9224" width="5.7109375" style="953" customWidth="1"/>
    <col min="9225" max="9225" width="11" style="953" customWidth="1"/>
    <col min="9226" max="9226" width="32.85546875" style="953" customWidth="1"/>
    <col min="9227" max="9227" width="9.140625" style="953"/>
    <col min="9228" max="9228" width="65.28515625" style="953" customWidth="1"/>
    <col min="9229" max="9229" width="24.7109375" style="953" customWidth="1"/>
    <col min="9230" max="9230" width="16.28515625" style="953" bestFit="1" customWidth="1"/>
    <col min="9231" max="9231" width="9.28515625" style="953" customWidth="1"/>
    <col min="9232" max="9232" width="11.42578125" style="953" customWidth="1"/>
    <col min="9233" max="9233" width="0" style="953" hidden="1" customWidth="1"/>
    <col min="9234" max="9473" width="9.140625" style="953"/>
    <col min="9474" max="9474" width="20" style="953" customWidth="1"/>
    <col min="9475" max="9475" width="17.85546875" style="953" customWidth="1"/>
    <col min="9476" max="9477" width="15.7109375" style="953" customWidth="1"/>
    <col min="9478" max="9478" width="35.7109375" style="953" customWidth="1"/>
    <col min="9479" max="9479" width="10.7109375" style="953" customWidth="1"/>
    <col min="9480" max="9480" width="5.7109375" style="953" customWidth="1"/>
    <col min="9481" max="9481" width="11" style="953" customWidth="1"/>
    <col min="9482" max="9482" width="32.85546875" style="953" customWidth="1"/>
    <col min="9483" max="9483" width="9.140625" style="953"/>
    <col min="9484" max="9484" width="65.28515625" style="953" customWidth="1"/>
    <col min="9485" max="9485" width="24.7109375" style="953" customWidth="1"/>
    <col min="9486" max="9486" width="16.28515625" style="953" bestFit="1" customWidth="1"/>
    <col min="9487" max="9487" width="9.28515625" style="953" customWidth="1"/>
    <col min="9488" max="9488" width="11.42578125" style="953" customWidth="1"/>
    <col min="9489" max="9489" width="0" style="953" hidden="1" customWidth="1"/>
    <col min="9490" max="9729" width="9.140625" style="953"/>
    <col min="9730" max="9730" width="20" style="953" customWidth="1"/>
    <col min="9731" max="9731" width="17.85546875" style="953" customWidth="1"/>
    <col min="9732" max="9733" width="15.7109375" style="953" customWidth="1"/>
    <col min="9734" max="9734" width="35.7109375" style="953" customWidth="1"/>
    <col min="9735" max="9735" width="10.7109375" style="953" customWidth="1"/>
    <col min="9736" max="9736" width="5.7109375" style="953" customWidth="1"/>
    <col min="9737" max="9737" width="11" style="953" customWidth="1"/>
    <col min="9738" max="9738" width="32.85546875" style="953" customWidth="1"/>
    <col min="9739" max="9739" width="9.140625" style="953"/>
    <col min="9740" max="9740" width="65.28515625" style="953" customWidth="1"/>
    <col min="9741" max="9741" width="24.7109375" style="953" customWidth="1"/>
    <col min="9742" max="9742" width="16.28515625" style="953" bestFit="1" customWidth="1"/>
    <col min="9743" max="9743" width="9.28515625" style="953" customWidth="1"/>
    <col min="9744" max="9744" width="11.42578125" style="953" customWidth="1"/>
    <col min="9745" max="9745" width="0" style="953" hidden="1" customWidth="1"/>
    <col min="9746" max="9985" width="9.140625" style="953"/>
    <col min="9986" max="9986" width="20" style="953" customWidth="1"/>
    <col min="9987" max="9987" width="17.85546875" style="953" customWidth="1"/>
    <col min="9988" max="9989" width="15.7109375" style="953" customWidth="1"/>
    <col min="9990" max="9990" width="35.7109375" style="953" customWidth="1"/>
    <col min="9991" max="9991" width="10.7109375" style="953" customWidth="1"/>
    <col min="9992" max="9992" width="5.7109375" style="953" customWidth="1"/>
    <col min="9993" max="9993" width="11" style="953" customWidth="1"/>
    <col min="9994" max="9994" width="32.85546875" style="953" customWidth="1"/>
    <col min="9995" max="9995" width="9.140625" style="953"/>
    <col min="9996" max="9996" width="65.28515625" style="953" customWidth="1"/>
    <col min="9997" max="9997" width="24.7109375" style="953" customWidth="1"/>
    <col min="9998" max="9998" width="16.28515625" style="953" bestFit="1" customWidth="1"/>
    <col min="9999" max="9999" width="9.28515625" style="953" customWidth="1"/>
    <col min="10000" max="10000" width="11.42578125" style="953" customWidth="1"/>
    <col min="10001" max="10001" width="0" style="953" hidden="1" customWidth="1"/>
    <col min="10002" max="10241" width="9.140625" style="953"/>
    <col min="10242" max="10242" width="20" style="953" customWidth="1"/>
    <col min="10243" max="10243" width="17.85546875" style="953" customWidth="1"/>
    <col min="10244" max="10245" width="15.7109375" style="953" customWidth="1"/>
    <col min="10246" max="10246" width="35.7109375" style="953" customWidth="1"/>
    <col min="10247" max="10247" width="10.7109375" style="953" customWidth="1"/>
    <col min="10248" max="10248" width="5.7109375" style="953" customWidth="1"/>
    <col min="10249" max="10249" width="11" style="953" customWidth="1"/>
    <col min="10250" max="10250" width="32.85546875" style="953" customWidth="1"/>
    <col min="10251" max="10251" width="9.140625" style="953"/>
    <col min="10252" max="10252" width="65.28515625" style="953" customWidth="1"/>
    <col min="10253" max="10253" width="24.7109375" style="953" customWidth="1"/>
    <col min="10254" max="10254" width="16.28515625" style="953" bestFit="1" customWidth="1"/>
    <col min="10255" max="10255" width="9.28515625" style="953" customWidth="1"/>
    <col min="10256" max="10256" width="11.42578125" style="953" customWidth="1"/>
    <col min="10257" max="10257" width="0" style="953" hidden="1" customWidth="1"/>
    <col min="10258" max="10497" width="9.140625" style="953"/>
    <col min="10498" max="10498" width="20" style="953" customWidth="1"/>
    <col min="10499" max="10499" width="17.85546875" style="953" customWidth="1"/>
    <col min="10500" max="10501" width="15.7109375" style="953" customWidth="1"/>
    <col min="10502" max="10502" width="35.7109375" style="953" customWidth="1"/>
    <col min="10503" max="10503" width="10.7109375" style="953" customWidth="1"/>
    <col min="10504" max="10504" width="5.7109375" style="953" customWidth="1"/>
    <col min="10505" max="10505" width="11" style="953" customWidth="1"/>
    <col min="10506" max="10506" width="32.85546875" style="953" customWidth="1"/>
    <col min="10507" max="10507" width="9.140625" style="953"/>
    <col min="10508" max="10508" width="65.28515625" style="953" customWidth="1"/>
    <col min="10509" max="10509" width="24.7109375" style="953" customWidth="1"/>
    <col min="10510" max="10510" width="16.28515625" style="953" bestFit="1" customWidth="1"/>
    <col min="10511" max="10511" width="9.28515625" style="953" customWidth="1"/>
    <col min="10512" max="10512" width="11.42578125" style="953" customWidth="1"/>
    <col min="10513" max="10513" width="0" style="953" hidden="1" customWidth="1"/>
    <col min="10514" max="10753" width="9.140625" style="953"/>
    <col min="10754" max="10754" width="20" style="953" customWidth="1"/>
    <col min="10755" max="10755" width="17.85546875" style="953" customWidth="1"/>
    <col min="10756" max="10757" width="15.7109375" style="953" customWidth="1"/>
    <col min="10758" max="10758" width="35.7109375" style="953" customWidth="1"/>
    <col min="10759" max="10759" width="10.7109375" style="953" customWidth="1"/>
    <col min="10760" max="10760" width="5.7109375" style="953" customWidth="1"/>
    <col min="10761" max="10761" width="11" style="953" customWidth="1"/>
    <col min="10762" max="10762" width="32.85546875" style="953" customWidth="1"/>
    <col min="10763" max="10763" width="9.140625" style="953"/>
    <col min="10764" max="10764" width="65.28515625" style="953" customWidth="1"/>
    <col min="10765" max="10765" width="24.7109375" style="953" customWidth="1"/>
    <col min="10766" max="10766" width="16.28515625" style="953" bestFit="1" customWidth="1"/>
    <col min="10767" max="10767" width="9.28515625" style="953" customWidth="1"/>
    <col min="10768" max="10768" width="11.42578125" style="953" customWidth="1"/>
    <col min="10769" max="10769" width="0" style="953" hidden="1" customWidth="1"/>
    <col min="10770" max="11009" width="9.140625" style="953"/>
    <col min="11010" max="11010" width="20" style="953" customWidth="1"/>
    <col min="11011" max="11011" width="17.85546875" style="953" customWidth="1"/>
    <col min="11012" max="11013" width="15.7109375" style="953" customWidth="1"/>
    <col min="11014" max="11014" width="35.7109375" style="953" customWidth="1"/>
    <col min="11015" max="11015" width="10.7109375" style="953" customWidth="1"/>
    <col min="11016" max="11016" width="5.7109375" style="953" customWidth="1"/>
    <col min="11017" max="11017" width="11" style="953" customWidth="1"/>
    <col min="11018" max="11018" width="32.85546875" style="953" customWidth="1"/>
    <col min="11019" max="11019" width="9.140625" style="953"/>
    <col min="11020" max="11020" width="65.28515625" style="953" customWidth="1"/>
    <col min="11021" max="11021" width="24.7109375" style="953" customWidth="1"/>
    <col min="11022" max="11022" width="16.28515625" style="953" bestFit="1" customWidth="1"/>
    <col min="11023" max="11023" width="9.28515625" style="953" customWidth="1"/>
    <col min="11024" max="11024" width="11.42578125" style="953" customWidth="1"/>
    <col min="11025" max="11025" width="0" style="953" hidden="1" customWidth="1"/>
    <col min="11026" max="11265" width="9.140625" style="953"/>
    <col min="11266" max="11266" width="20" style="953" customWidth="1"/>
    <col min="11267" max="11267" width="17.85546875" style="953" customWidth="1"/>
    <col min="11268" max="11269" width="15.7109375" style="953" customWidth="1"/>
    <col min="11270" max="11270" width="35.7109375" style="953" customWidth="1"/>
    <col min="11271" max="11271" width="10.7109375" style="953" customWidth="1"/>
    <col min="11272" max="11272" width="5.7109375" style="953" customWidth="1"/>
    <col min="11273" max="11273" width="11" style="953" customWidth="1"/>
    <col min="11274" max="11274" width="32.85546875" style="953" customWidth="1"/>
    <col min="11275" max="11275" width="9.140625" style="953"/>
    <col min="11276" max="11276" width="65.28515625" style="953" customWidth="1"/>
    <col min="11277" max="11277" width="24.7109375" style="953" customWidth="1"/>
    <col min="11278" max="11278" width="16.28515625" style="953" bestFit="1" customWidth="1"/>
    <col min="11279" max="11279" width="9.28515625" style="953" customWidth="1"/>
    <col min="11280" max="11280" width="11.42578125" style="953" customWidth="1"/>
    <col min="11281" max="11281" width="0" style="953" hidden="1" customWidth="1"/>
    <col min="11282" max="11521" width="9.140625" style="953"/>
    <col min="11522" max="11522" width="20" style="953" customWidth="1"/>
    <col min="11523" max="11523" width="17.85546875" style="953" customWidth="1"/>
    <col min="11524" max="11525" width="15.7109375" style="953" customWidth="1"/>
    <col min="11526" max="11526" width="35.7109375" style="953" customWidth="1"/>
    <col min="11527" max="11527" width="10.7109375" style="953" customWidth="1"/>
    <col min="11528" max="11528" width="5.7109375" style="953" customWidth="1"/>
    <col min="11529" max="11529" width="11" style="953" customWidth="1"/>
    <col min="11530" max="11530" width="32.85546875" style="953" customWidth="1"/>
    <col min="11531" max="11531" width="9.140625" style="953"/>
    <col min="11532" max="11532" width="65.28515625" style="953" customWidth="1"/>
    <col min="11533" max="11533" width="24.7109375" style="953" customWidth="1"/>
    <col min="11534" max="11534" width="16.28515625" style="953" bestFit="1" customWidth="1"/>
    <col min="11535" max="11535" width="9.28515625" style="953" customWidth="1"/>
    <col min="11536" max="11536" width="11.42578125" style="953" customWidth="1"/>
    <col min="11537" max="11537" width="0" style="953" hidden="1" customWidth="1"/>
    <col min="11538" max="11777" width="9.140625" style="953"/>
    <col min="11778" max="11778" width="20" style="953" customWidth="1"/>
    <col min="11779" max="11779" width="17.85546875" style="953" customWidth="1"/>
    <col min="11780" max="11781" width="15.7109375" style="953" customWidth="1"/>
    <col min="11782" max="11782" width="35.7109375" style="953" customWidth="1"/>
    <col min="11783" max="11783" width="10.7109375" style="953" customWidth="1"/>
    <col min="11784" max="11784" width="5.7109375" style="953" customWidth="1"/>
    <col min="11785" max="11785" width="11" style="953" customWidth="1"/>
    <col min="11786" max="11786" width="32.85546875" style="953" customWidth="1"/>
    <col min="11787" max="11787" width="9.140625" style="953"/>
    <col min="11788" max="11788" width="65.28515625" style="953" customWidth="1"/>
    <col min="11789" max="11789" width="24.7109375" style="953" customWidth="1"/>
    <col min="11790" max="11790" width="16.28515625" style="953" bestFit="1" customWidth="1"/>
    <col min="11791" max="11791" width="9.28515625" style="953" customWidth="1"/>
    <col min="11792" max="11792" width="11.42578125" style="953" customWidth="1"/>
    <col min="11793" max="11793" width="0" style="953" hidden="1" customWidth="1"/>
    <col min="11794" max="12033" width="9.140625" style="953"/>
    <col min="12034" max="12034" width="20" style="953" customWidth="1"/>
    <col min="12035" max="12035" width="17.85546875" style="953" customWidth="1"/>
    <col min="12036" max="12037" width="15.7109375" style="953" customWidth="1"/>
    <col min="12038" max="12038" width="35.7109375" style="953" customWidth="1"/>
    <col min="12039" max="12039" width="10.7109375" style="953" customWidth="1"/>
    <col min="12040" max="12040" width="5.7109375" style="953" customWidth="1"/>
    <col min="12041" max="12041" width="11" style="953" customWidth="1"/>
    <col min="12042" max="12042" width="32.85546875" style="953" customWidth="1"/>
    <col min="12043" max="12043" width="9.140625" style="953"/>
    <col min="12044" max="12044" width="65.28515625" style="953" customWidth="1"/>
    <col min="12045" max="12045" width="24.7109375" style="953" customWidth="1"/>
    <col min="12046" max="12046" width="16.28515625" style="953" bestFit="1" customWidth="1"/>
    <col min="12047" max="12047" width="9.28515625" style="953" customWidth="1"/>
    <col min="12048" max="12048" width="11.42578125" style="953" customWidth="1"/>
    <col min="12049" max="12049" width="0" style="953" hidden="1" customWidth="1"/>
    <col min="12050" max="12289" width="9.140625" style="953"/>
    <col min="12290" max="12290" width="20" style="953" customWidth="1"/>
    <col min="12291" max="12291" width="17.85546875" style="953" customWidth="1"/>
    <col min="12292" max="12293" width="15.7109375" style="953" customWidth="1"/>
    <col min="12294" max="12294" width="35.7109375" style="953" customWidth="1"/>
    <col min="12295" max="12295" width="10.7109375" style="953" customWidth="1"/>
    <col min="12296" max="12296" width="5.7109375" style="953" customWidth="1"/>
    <col min="12297" max="12297" width="11" style="953" customWidth="1"/>
    <col min="12298" max="12298" width="32.85546875" style="953" customWidth="1"/>
    <col min="12299" max="12299" width="9.140625" style="953"/>
    <col min="12300" max="12300" width="65.28515625" style="953" customWidth="1"/>
    <col min="12301" max="12301" width="24.7109375" style="953" customWidth="1"/>
    <col min="12302" max="12302" width="16.28515625" style="953" bestFit="1" customWidth="1"/>
    <col min="12303" max="12303" width="9.28515625" style="953" customWidth="1"/>
    <col min="12304" max="12304" width="11.42578125" style="953" customWidth="1"/>
    <col min="12305" max="12305" width="0" style="953" hidden="1" customWidth="1"/>
    <col min="12306" max="12545" width="9.140625" style="953"/>
    <col min="12546" max="12546" width="20" style="953" customWidth="1"/>
    <col min="12547" max="12547" width="17.85546875" style="953" customWidth="1"/>
    <col min="12548" max="12549" width="15.7109375" style="953" customWidth="1"/>
    <col min="12550" max="12550" width="35.7109375" style="953" customWidth="1"/>
    <col min="12551" max="12551" width="10.7109375" style="953" customWidth="1"/>
    <col min="12552" max="12552" width="5.7109375" style="953" customWidth="1"/>
    <col min="12553" max="12553" width="11" style="953" customWidth="1"/>
    <col min="12554" max="12554" width="32.85546875" style="953" customWidth="1"/>
    <col min="12555" max="12555" width="9.140625" style="953"/>
    <col min="12556" max="12556" width="65.28515625" style="953" customWidth="1"/>
    <col min="12557" max="12557" width="24.7109375" style="953" customWidth="1"/>
    <col min="12558" max="12558" width="16.28515625" style="953" bestFit="1" customWidth="1"/>
    <col min="12559" max="12559" width="9.28515625" style="953" customWidth="1"/>
    <col min="12560" max="12560" width="11.42578125" style="953" customWidth="1"/>
    <col min="12561" max="12561" width="0" style="953" hidden="1" customWidth="1"/>
    <col min="12562" max="12801" width="9.140625" style="953"/>
    <col min="12802" max="12802" width="20" style="953" customWidth="1"/>
    <col min="12803" max="12803" width="17.85546875" style="953" customWidth="1"/>
    <col min="12804" max="12805" width="15.7109375" style="953" customWidth="1"/>
    <col min="12806" max="12806" width="35.7109375" style="953" customWidth="1"/>
    <col min="12807" max="12807" width="10.7109375" style="953" customWidth="1"/>
    <col min="12808" max="12808" width="5.7109375" style="953" customWidth="1"/>
    <col min="12809" max="12809" width="11" style="953" customWidth="1"/>
    <col min="12810" max="12810" width="32.85546875" style="953" customWidth="1"/>
    <col min="12811" max="12811" width="9.140625" style="953"/>
    <col min="12812" max="12812" width="65.28515625" style="953" customWidth="1"/>
    <col min="12813" max="12813" width="24.7109375" style="953" customWidth="1"/>
    <col min="12814" max="12814" width="16.28515625" style="953" bestFit="1" customWidth="1"/>
    <col min="12815" max="12815" width="9.28515625" style="953" customWidth="1"/>
    <col min="12816" max="12816" width="11.42578125" style="953" customWidth="1"/>
    <col min="12817" max="12817" width="0" style="953" hidden="1" customWidth="1"/>
    <col min="12818" max="13057" width="9.140625" style="953"/>
    <col min="13058" max="13058" width="20" style="953" customWidth="1"/>
    <col min="13059" max="13059" width="17.85546875" style="953" customWidth="1"/>
    <col min="13060" max="13061" width="15.7109375" style="953" customWidth="1"/>
    <col min="13062" max="13062" width="35.7109375" style="953" customWidth="1"/>
    <col min="13063" max="13063" width="10.7109375" style="953" customWidth="1"/>
    <col min="13064" max="13064" width="5.7109375" style="953" customWidth="1"/>
    <col min="13065" max="13065" width="11" style="953" customWidth="1"/>
    <col min="13066" max="13066" width="32.85546875" style="953" customWidth="1"/>
    <col min="13067" max="13067" width="9.140625" style="953"/>
    <col min="13068" max="13068" width="65.28515625" style="953" customWidth="1"/>
    <col min="13069" max="13069" width="24.7109375" style="953" customWidth="1"/>
    <col min="13070" max="13070" width="16.28515625" style="953" bestFit="1" customWidth="1"/>
    <col min="13071" max="13071" width="9.28515625" style="953" customWidth="1"/>
    <col min="13072" max="13072" width="11.42578125" style="953" customWidth="1"/>
    <col min="13073" max="13073" width="0" style="953" hidden="1" customWidth="1"/>
    <col min="13074" max="13313" width="9.140625" style="953"/>
    <col min="13314" max="13314" width="20" style="953" customWidth="1"/>
    <col min="13315" max="13315" width="17.85546875" style="953" customWidth="1"/>
    <col min="13316" max="13317" width="15.7109375" style="953" customWidth="1"/>
    <col min="13318" max="13318" width="35.7109375" style="953" customWidth="1"/>
    <col min="13319" max="13319" width="10.7109375" style="953" customWidth="1"/>
    <col min="13320" max="13320" width="5.7109375" style="953" customWidth="1"/>
    <col min="13321" max="13321" width="11" style="953" customWidth="1"/>
    <col min="13322" max="13322" width="32.85546875" style="953" customWidth="1"/>
    <col min="13323" max="13323" width="9.140625" style="953"/>
    <col min="13324" max="13324" width="65.28515625" style="953" customWidth="1"/>
    <col min="13325" max="13325" width="24.7109375" style="953" customWidth="1"/>
    <col min="13326" max="13326" width="16.28515625" style="953" bestFit="1" customWidth="1"/>
    <col min="13327" max="13327" width="9.28515625" style="953" customWidth="1"/>
    <col min="13328" max="13328" width="11.42578125" style="953" customWidth="1"/>
    <col min="13329" max="13329" width="0" style="953" hidden="1" customWidth="1"/>
    <col min="13330" max="13569" width="9.140625" style="953"/>
    <col min="13570" max="13570" width="20" style="953" customWidth="1"/>
    <col min="13571" max="13571" width="17.85546875" style="953" customWidth="1"/>
    <col min="13572" max="13573" width="15.7109375" style="953" customWidth="1"/>
    <col min="13574" max="13574" width="35.7109375" style="953" customWidth="1"/>
    <col min="13575" max="13575" width="10.7109375" style="953" customWidth="1"/>
    <col min="13576" max="13576" width="5.7109375" style="953" customWidth="1"/>
    <col min="13577" max="13577" width="11" style="953" customWidth="1"/>
    <col min="13578" max="13578" width="32.85546875" style="953" customWidth="1"/>
    <col min="13579" max="13579" width="9.140625" style="953"/>
    <col min="13580" max="13580" width="65.28515625" style="953" customWidth="1"/>
    <col min="13581" max="13581" width="24.7109375" style="953" customWidth="1"/>
    <col min="13582" max="13582" width="16.28515625" style="953" bestFit="1" customWidth="1"/>
    <col min="13583" max="13583" width="9.28515625" style="953" customWidth="1"/>
    <col min="13584" max="13584" width="11.42578125" style="953" customWidth="1"/>
    <col min="13585" max="13585" width="0" style="953" hidden="1" customWidth="1"/>
    <col min="13586" max="13825" width="9.140625" style="953"/>
    <col min="13826" max="13826" width="20" style="953" customWidth="1"/>
    <col min="13827" max="13827" width="17.85546875" style="953" customWidth="1"/>
    <col min="13828" max="13829" width="15.7109375" style="953" customWidth="1"/>
    <col min="13830" max="13830" width="35.7109375" style="953" customWidth="1"/>
    <col min="13831" max="13831" width="10.7109375" style="953" customWidth="1"/>
    <col min="13832" max="13832" width="5.7109375" style="953" customWidth="1"/>
    <col min="13833" max="13833" width="11" style="953" customWidth="1"/>
    <col min="13834" max="13834" width="32.85546875" style="953" customWidth="1"/>
    <col min="13835" max="13835" width="9.140625" style="953"/>
    <col min="13836" max="13836" width="65.28515625" style="953" customWidth="1"/>
    <col min="13837" max="13837" width="24.7109375" style="953" customWidth="1"/>
    <col min="13838" max="13838" width="16.28515625" style="953" bestFit="1" customWidth="1"/>
    <col min="13839" max="13839" width="9.28515625" style="953" customWidth="1"/>
    <col min="13840" max="13840" width="11.42578125" style="953" customWidth="1"/>
    <col min="13841" max="13841" width="0" style="953" hidden="1" customWidth="1"/>
    <col min="13842" max="14081" width="9.140625" style="953"/>
    <col min="14082" max="14082" width="20" style="953" customWidth="1"/>
    <col min="14083" max="14083" width="17.85546875" style="953" customWidth="1"/>
    <col min="14084" max="14085" width="15.7109375" style="953" customWidth="1"/>
    <col min="14086" max="14086" width="35.7109375" style="953" customWidth="1"/>
    <col min="14087" max="14087" width="10.7109375" style="953" customWidth="1"/>
    <col min="14088" max="14088" width="5.7109375" style="953" customWidth="1"/>
    <col min="14089" max="14089" width="11" style="953" customWidth="1"/>
    <col min="14090" max="14090" width="32.85546875" style="953" customWidth="1"/>
    <col min="14091" max="14091" width="9.140625" style="953"/>
    <col min="14092" max="14092" width="65.28515625" style="953" customWidth="1"/>
    <col min="14093" max="14093" width="24.7109375" style="953" customWidth="1"/>
    <col min="14094" max="14094" width="16.28515625" style="953" bestFit="1" customWidth="1"/>
    <col min="14095" max="14095" width="9.28515625" style="953" customWidth="1"/>
    <col min="14096" max="14096" width="11.42578125" style="953" customWidth="1"/>
    <col min="14097" max="14097" width="0" style="953" hidden="1" customWidth="1"/>
    <col min="14098" max="14337" width="9.140625" style="953"/>
    <col min="14338" max="14338" width="20" style="953" customWidth="1"/>
    <col min="14339" max="14339" width="17.85546875" style="953" customWidth="1"/>
    <col min="14340" max="14341" width="15.7109375" style="953" customWidth="1"/>
    <col min="14342" max="14342" width="35.7109375" style="953" customWidth="1"/>
    <col min="14343" max="14343" width="10.7109375" style="953" customWidth="1"/>
    <col min="14344" max="14344" width="5.7109375" style="953" customWidth="1"/>
    <col min="14345" max="14345" width="11" style="953" customWidth="1"/>
    <col min="14346" max="14346" width="32.85546875" style="953" customWidth="1"/>
    <col min="14347" max="14347" width="9.140625" style="953"/>
    <col min="14348" max="14348" width="65.28515625" style="953" customWidth="1"/>
    <col min="14349" max="14349" width="24.7109375" style="953" customWidth="1"/>
    <col min="14350" max="14350" width="16.28515625" style="953" bestFit="1" customWidth="1"/>
    <col min="14351" max="14351" width="9.28515625" style="953" customWidth="1"/>
    <col min="14352" max="14352" width="11.42578125" style="953" customWidth="1"/>
    <col min="14353" max="14353" width="0" style="953" hidden="1" customWidth="1"/>
    <col min="14354" max="14593" width="9.140625" style="953"/>
    <col min="14594" max="14594" width="20" style="953" customWidth="1"/>
    <col min="14595" max="14595" width="17.85546875" style="953" customWidth="1"/>
    <col min="14596" max="14597" width="15.7109375" style="953" customWidth="1"/>
    <col min="14598" max="14598" width="35.7109375" style="953" customWidth="1"/>
    <col min="14599" max="14599" width="10.7109375" style="953" customWidth="1"/>
    <col min="14600" max="14600" width="5.7109375" style="953" customWidth="1"/>
    <col min="14601" max="14601" width="11" style="953" customWidth="1"/>
    <col min="14602" max="14602" width="32.85546875" style="953" customWidth="1"/>
    <col min="14603" max="14603" width="9.140625" style="953"/>
    <col min="14604" max="14604" width="65.28515625" style="953" customWidth="1"/>
    <col min="14605" max="14605" width="24.7109375" style="953" customWidth="1"/>
    <col min="14606" max="14606" width="16.28515625" style="953" bestFit="1" customWidth="1"/>
    <col min="14607" max="14607" width="9.28515625" style="953" customWidth="1"/>
    <col min="14608" max="14608" width="11.42578125" style="953" customWidth="1"/>
    <col min="14609" max="14609" width="0" style="953" hidden="1" customWidth="1"/>
    <col min="14610" max="14849" width="9.140625" style="953"/>
    <col min="14850" max="14850" width="20" style="953" customWidth="1"/>
    <col min="14851" max="14851" width="17.85546875" style="953" customWidth="1"/>
    <col min="14852" max="14853" width="15.7109375" style="953" customWidth="1"/>
    <col min="14854" max="14854" width="35.7109375" style="953" customWidth="1"/>
    <col min="14855" max="14855" width="10.7109375" style="953" customWidth="1"/>
    <col min="14856" max="14856" width="5.7109375" style="953" customWidth="1"/>
    <col min="14857" max="14857" width="11" style="953" customWidth="1"/>
    <col min="14858" max="14858" width="32.85546875" style="953" customWidth="1"/>
    <col min="14859" max="14859" width="9.140625" style="953"/>
    <col min="14860" max="14860" width="65.28515625" style="953" customWidth="1"/>
    <col min="14861" max="14861" width="24.7109375" style="953" customWidth="1"/>
    <col min="14862" max="14862" width="16.28515625" style="953" bestFit="1" customWidth="1"/>
    <col min="14863" max="14863" width="9.28515625" style="953" customWidth="1"/>
    <col min="14864" max="14864" width="11.42578125" style="953" customWidth="1"/>
    <col min="14865" max="14865" width="0" style="953" hidden="1" customWidth="1"/>
    <col min="14866" max="15105" width="9.140625" style="953"/>
    <col min="15106" max="15106" width="20" style="953" customWidth="1"/>
    <col min="15107" max="15107" width="17.85546875" style="953" customWidth="1"/>
    <col min="15108" max="15109" width="15.7109375" style="953" customWidth="1"/>
    <col min="15110" max="15110" width="35.7109375" style="953" customWidth="1"/>
    <col min="15111" max="15111" width="10.7109375" style="953" customWidth="1"/>
    <col min="15112" max="15112" width="5.7109375" style="953" customWidth="1"/>
    <col min="15113" max="15113" width="11" style="953" customWidth="1"/>
    <col min="15114" max="15114" width="32.85546875" style="953" customWidth="1"/>
    <col min="15115" max="15115" width="9.140625" style="953"/>
    <col min="15116" max="15116" width="65.28515625" style="953" customWidth="1"/>
    <col min="15117" max="15117" width="24.7109375" style="953" customWidth="1"/>
    <col min="15118" max="15118" width="16.28515625" style="953" bestFit="1" customWidth="1"/>
    <col min="15119" max="15119" width="9.28515625" style="953" customWidth="1"/>
    <col min="15120" max="15120" width="11.42578125" style="953" customWidth="1"/>
    <col min="15121" max="15121" width="0" style="953" hidden="1" customWidth="1"/>
    <col min="15122" max="15361" width="9.140625" style="953"/>
    <col min="15362" max="15362" width="20" style="953" customWidth="1"/>
    <col min="15363" max="15363" width="17.85546875" style="953" customWidth="1"/>
    <col min="15364" max="15365" width="15.7109375" style="953" customWidth="1"/>
    <col min="15366" max="15366" width="35.7109375" style="953" customWidth="1"/>
    <col min="15367" max="15367" width="10.7109375" style="953" customWidth="1"/>
    <col min="15368" max="15368" width="5.7109375" style="953" customWidth="1"/>
    <col min="15369" max="15369" width="11" style="953" customWidth="1"/>
    <col min="15370" max="15370" width="32.85546875" style="953" customWidth="1"/>
    <col min="15371" max="15371" width="9.140625" style="953"/>
    <col min="15372" max="15372" width="65.28515625" style="953" customWidth="1"/>
    <col min="15373" max="15373" width="24.7109375" style="953" customWidth="1"/>
    <col min="15374" max="15374" width="16.28515625" style="953" bestFit="1" customWidth="1"/>
    <col min="15375" max="15375" width="9.28515625" style="953" customWidth="1"/>
    <col min="15376" max="15376" width="11.42578125" style="953" customWidth="1"/>
    <col min="15377" max="15377" width="0" style="953" hidden="1" customWidth="1"/>
    <col min="15378" max="15617" width="9.140625" style="953"/>
    <col min="15618" max="15618" width="20" style="953" customWidth="1"/>
    <col min="15619" max="15619" width="17.85546875" style="953" customWidth="1"/>
    <col min="15620" max="15621" width="15.7109375" style="953" customWidth="1"/>
    <col min="15622" max="15622" width="35.7109375" style="953" customWidth="1"/>
    <col min="15623" max="15623" width="10.7109375" style="953" customWidth="1"/>
    <col min="15624" max="15624" width="5.7109375" style="953" customWidth="1"/>
    <col min="15625" max="15625" width="11" style="953" customWidth="1"/>
    <col min="15626" max="15626" width="32.85546875" style="953" customWidth="1"/>
    <col min="15627" max="15627" width="9.140625" style="953"/>
    <col min="15628" max="15628" width="65.28515625" style="953" customWidth="1"/>
    <col min="15629" max="15629" width="24.7109375" style="953" customWidth="1"/>
    <col min="15630" max="15630" width="16.28515625" style="953" bestFit="1" customWidth="1"/>
    <col min="15631" max="15631" width="9.28515625" style="953" customWidth="1"/>
    <col min="15632" max="15632" width="11.42578125" style="953" customWidth="1"/>
    <col min="15633" max="15633" width="0" style="953" hidden="1" customWidth="1"/>
    <col min="15634" max="15873" width="9.140625" style="953"/>
    <col min="15874" max="15874" width="20" style="953" customWidth="1"/>
    <col min="15875" max="15875" width="17.85546875" style="953" customWidth="1"/>
    <col min="15876" max="15877" width="15.7109375" style="953" customWidth="1"/>
    <col min="15878" max="15878" width="35.7109375" style="953" customWidth="1"/>
    <col min="15879" max="15879" width="10.7109375" style="953" customWidth="1"/>
    <col min="15880" max="15880" width="5.7109375" style="953" customWidth="1"/>
    <col min="15881" max="15881" width="11" style="953" customWidth="1"/>
    <col min="15882" max="15882" width="32.85546875" style="953" customWidth="1"/>
    <col min="15883" max="15883" width="9.140625" style="953"/>
    <col min="15884" max="15884" width="65.28515625" style="953" customWidth="1"/>
    <col min="15885" max="15885" width="24.7109375" style="953" customWidth="1"/>
    <col min="15886" max="15886" width="16.28515625" style="953" bestFit="1" customWidth="1"/>
    <col min="15887" max="15887" width="9.28515625" style="953" customWidth="1"/>
    <col min="15888" max="15888" width="11.42578125" style="953" customWidth="1"/>
    <col min="15889" max="15889" width="0" style="953" hidden="1" customWidth="1"/>
    <col min="15890" max="16129" width="9.140625" style="953"/>
    <col min="16130" max="16130" width="20" style="953" customWidth="1"/>
    <col min="16131" max="16131" width="17.85546875" style="953" customWidth="1"/>
    <col min="16132" max="16133" width="15.7109375" style="953" customWidth="1"/>
    <col min="16134" max="16134" width="35.7109375" style="953" customWidth="1"/>
    <col min="16135" max="16135" width="10.7109375" style="953" customWidth="1"/>
    <col min="16136" max="16136" width="5.7109375" style="953" customWidth="1"/>
    <col min="16137" max="16137" width="11" style="953" customWidth="1"/>
    <col min="16138" max="16138" width="32.85546875" style="953" customWidth="1"/>
    <col min="16139" max="16139" width="9.140625" style="953"/>
    <col min="16140" max="16140" width="65.28515625" style="953" customWidth="1"/>
    <col min="16141" max="16141" width="24.7109375" style="953" customWidth="1"/>
    <col min="16142" max="16142" width="16.28515625" style="953" bestFit="1" customWidth="1"/>
    <col min="16143" max="16143" width="9.28515625" style="953" customWidth="1"/>
    <col min="16144" max="16144" width="11.42578125" style="953" customWidth="1"/>
    <col min="16145" max="16145" width="0" style="953" hidden="1" customWidth="1"/>
    <col min="16146" max="16384" width="9.140625" style="953"/>
  </cols>
  <sheetData>
    <row r="1" spans="1:125" ht="26.25" customHeight="1">
      <c r="A1" s="1437" t="s">
        <v>1597</v>
      </c>
      <c r="B1" s="1438" t="s">
        <v>1598</v>
      </c>
      <c r="C1" s="1439"/>
      <c r="D1" s="1439"/>
      <c r="E1" s="1439"/>
      <c r="F1" s="1441"/>
      <c r="G1" s="1439"/>
      <c r="H1" s="1439"/>
      <c r="I1" s="1439"/>
      <c r="J1" s="1439"/>
      <c r="K1" s="953"/>
      <c r="O1" s="953"/>
      <c r="P1" s="953"/>
    </row>
    <row r="2" spans="1:125" ht="26.25" customHeight="1">
      <c r="B2" s="1438" t="s">
        <v>1599</v>
      </c>
      <c r="C2" s="1439"/>
      <c r="D2" s="1439"/>
      <c r="E2" s="1439"/>
      <c r="F2" s="1441"/>
      <c r="G2" s="1439"/>
      <c r="H2" s="1439"/>
      <c r="I2" s="1439"/>
      <c r="J2" s="1439"/>
      <c r="K2" s="953"/>
      <c r="O2" s="953"/>
      <c r="P2" s="953"/>
    </row>
    <row r="3" spans="1:125" ht="26.25" customHeight="1">
      <c r="B3" s="1440" t="s">
        <v>409</v>
      </c>
      <c r="C3" s="1440">
        <f>'Project Info'!$C$3</f>
        <v>0</v>
      </c>
      <c r="D3" s="1440"/>
      <c r="E3" s="1439"/>
      <c r="F3" s="1441"/>
      <c r="G3" s="1439"/>
      <c r="H3" s="1439"/>
      <c r="I3" s="1439"/>
      <c r="J3" s="1439"/>
      <c r="K3" s="953"/>
      <c r="O3" s="953"/>
      <c r="P3" s="953"/>
    </row>
    <row r="4" spans="1:125" ht="26.25" customHeight="1">
      <c r="A4" s="1469"/>
      <c r="B4" s="1439"/>
      <c r="C4" s="1439"/>
      <c r="D4" s="1439"/>
      <c r="E4" s="1439"/>
      <c r="F4" s="1439"/>
      <c r="G4" s="1439"/>
      <c r="H4" s="1439"/>
      <c r="I4" s="1439"/>
      <c r="J4" s="1452"/>
    </row>
    <row r="5" spans="1:125" s="1543" customFormat="1" ht="15.75">
      <c r="A5" s="1475"/>
      <c r="B5" s="1443" t="s">
        <v>1775</v>
      </c>
      <c r="C5" s="1570"/>
      <c r="D5" s="1570"/>
      <c r="E5" s="1571"/>
      <c r="F5" s="1572"/>
      <c r="G5" s="1572"/>
      <c r="H5" s="2628" t="s">
        <v>1601</v>
      </c>
      <c r="I5" s="2628"/>
      <c r="J5" s="1447" t="s">
        <v>1602</v>
      </c>
      <c r="K5" s="1563"/>
      <c r="L5" s="1442"/>
      <c r="M5" s="1442"/>
      <c r="N5" s="1442"/>
      <c r="O5" s="1563"/>
      <c r="P5" s="1563"/>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c r="BO5" s="1475"/>
      <c r="BP5" s="1475"/>
      <c r="BQ5" s="1475"/>
      <c r="BR5" s="1475"/>
      <c r="BS5" s="1475"/>
      <c r="BT5" s="1475"/>
      <c r="BU5" s="1475"/>
      <c r="BV5" s="1475"/>
      <c r="BW5" s="1475"/>
      <c r="BX5" s="1475"/>
      <c r="BY5" s="1475"/>
      <c r="BZ5" s="1475"/>
      <c r="CA5" s="1475"/>
      <c r="CB5" s="1475"/>
      <c r="CC5" s="1475"/>
      <c r="CD5" s="1475"/>
      <c r="CE5" s="1475"/>
      <c r="CF5" s="1475"/>
      <c r="CG5" s="1475"/>
      <c r="CH5" s="1475"/>
      <c r="CI5" s="1475"/>
      <c r="CJ5" s="1475"/>
      <c r="CK5" s="1475"/>
      <c r="CL5" s="1475"/>
      <c r="CM5" s="1475"/>
      <c r="CN5" s="1475"/>
      <c r="CO5" s="1475"/>
      <c r="CP5" s="1475"/>
      <c r="CQ5" s="1475"/>
      <c r="CR5" s="1475"/>
      <c r="CS5" s="1475"/>
      <c r="CT5" s="1475"/>
      <c r="CU5" s="1475"/>
      <c r="CV5" s="1475"/>
      <c r="CW5" s="1475"/>
      <c r="CX5" s="1475"/>
      <c r="CY5" s="1475"/>
      <c r="CZ5" s="1475"/>
      <c r="DA5" s="1475"/>
      <c r="DB5" s="1475"/>
      <c r="DC5" s="1475"/>
      <c r="DD5" s="1475"/>
      <c r="DE5" s="1475"/>
      <c r="DF5" s="1475"/>
      <c r="DG5" s="1475"/>
      <c r="DH5" s="1475"/>
      <c r="DI5" s="1475"/>
      <c r="DJ5" s="1475"/>
      <c r="DK5" s="1475"/>
      <c r="DL5" s="1475"/>
      <c r="DM5" s="1475"/>
      <c r="DN5" s="1475"/>
      <c r="DO5" s="1475"/>
      <c r="DP5" s="1475"/>
      <c r="DQ5" s="1475"/>
      <c r="DR5" s="1475"/>
      <c r="DS5" s="1475"/>
      <c r="DT5" s="1475"/>
      <c r="DU5" s="1475"/>
    </row>
    <row r="6" spans="1:125" s="1543" customFormat="1">
      <c r="A6" s="1475"/>
      <c r="B6" s="1573"/>
      <c r="C6" s="1573"/>
      <c r="D6" s="1574"/>
      <c r="E6" s="1574"/>
      <c r="F6" s="1574"/>
      <c r="G6" s="1574"/>
      <c r="H6" s="2674" t="s">
        <v>1603</v>
      </c>
      <c r="I6" s="2624"/>
      <c r="J6" s="1137"/>
      <c r="K6" s="1563"/>
      <c r="L6" s="1313"/>
      <c r="M6" s="1313"/>
      <c r="N6" s="1313"/>
      <c r="O6" s="1563"/>
      <c r="P6" s="1563"/>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5"/>
      <c r="AS6" s="1475"/>
      <c r="AT6" s="1475"/>
      <c r="AU6" s="1475"/>
      <c r="AV6" s="1475"/>
      <c r="AW6" s="1475"/>
      <c r="AX6" s="1475"/>
      <c r="AY6" s="1475"/>
      <c r="AZ6" s="1475"/>
      <c r="BA6" s="1475"/>
      <c r="BB6" s="1475"/>
      <c r="BC6" s="1475"/>
      <c r="BD6" s="1475"/>
      <c r="BE6" s="1475"/>
      <c r="BF6" s="1475"/>
      <c r="BG6" s="1475"/>
      <c r="BH6" s="1475"/>
      <c r="BI6" s="1475"/>
      <c r="BJ6" s="1475"/>
      <c r="BK6" s="1475"/>
      <c r="BL6" s="1475"/>
      <c r="BM6" s="1475"/>
      <c r="BN6" s="1475"/>
      <c r="BO6" s="1475"/>
      <c r="BP6" s="1475"/>
      <c r="BQ6" s="1475"/>
      <c r="BR6" s="1475"/>
      <c r="BS6" s="1475"/>
      <c r="BT6" s="1475"/>
      <c r="BU6" s="1475"/>
      <c r="BV6" s="1475"/>
      <c r="BW6" s="1475"/>
      <c r="BX6" s="1475"/>
      <c r="BY6" s="1475"/>
      <c r="BZ6" s="1475"/>
      <c r="CA6" s="1475"/>
      <c r="CB6" s="1475"/>
      <c r="CC6" s="1475"/>
      <c r="CD6" s="1475"/>
      <c r="CE6" s="1475"/>
      <c r="CF6" s="1475"/>
      <c r="CG6" s="1475"/>
      <c r="CH6" s="1475"/>
      <c r="CI6" s="1475"/>
      <c r="CJ6" s="1475"/>
      <c r="CK6" s="1475"/>
      <c r="CL6" s="1475"/>
      <c r="CM6" s="1475"/>
      <c r="CN6" s="1475"/>
      <c r="CO6" s="1475"/>
      <c r="CP6" s="1475"/>
      <c r="CQ6" s="1475"/>
      <c r="CR6" s="1475"/>
      <c r="CS6" s="1475"/>
      <c r="CT6" s="1475"/>
      <c r="CU6" s="1475"/>
      <c r="CV6" s="1475"/>
      <c r="CW6" s="1475"/>
      <c r="CX6" s="1475"/>
      <c r="CY6" s="1475"/>
      <c r="CZ6" s="1475"/>
      <c r="DA6" s="1475"/>
      <c r="DB6" s="1475"/>
      <c r="DC6" s="1475"/>
      <c r="DD6" s="1475"/>
      <c r="DE6" s="1475"/>
      <c r="DF6" s="1475"/>
      <c r="DG6" s="1475"/>
      <c r="DH6" s="1475"/>
      <c r="DI6" s="1475"/>
      <c r="DJ6" s="1475"/>
      <c r="DK6" s="1475"/>
      <c r="DL6" s="1475"/>
      <c r="DM6" s="1475"/>
      <c r="DN6" s="1475"/>
      <c r="DO6" s="1475"/>
      <c r="DP6" s="1475"/>
      <c r="DQ6" s="1475"/>
      <c r="DR6" s="1475"/>
      <c r="DS6" s="1475"/>
      <c r="DT6" s="1475"/>
      <c r="DU6" s="1475"/>
    </row>
    <row r="7" spans="1:125">
      <c r="B7" s="2679"/>
      <c r="C7" s="2679"/>
      <c r="D7" s="2679"/>
      <c r="E7" s="2679"/>
      <c r="F7" s="2679"/>
      <c r="G7" s="2679"/>
      <c r="H7" s="2624"/>
      <c r="I7" s="2624"/>
      <c r="J7" s="1111"/>
      <c r="L7" s="1313"/>
      <c r="M7" s="1313"/>
      <c r="N7" s="1313"/>
      <c r="Q7" s="1439"/>
      <c r="R7" s="1439"/>
      <c r="S7" s="1439"/>
      <c r="T7" s="1439"/>
      <c r="U7" s="1439"/>
      <c r="V7" s="1439"/>
      <c r="W7" s="1439"/>
      <c r="X7" s="1439"/>
      <c r="Y7" s="1439"/>
      <c r="Z7" s="1439"/>
      <c r="AA7" s="1439"/>
      <c r="AB7" s="1439"/>
      <c r="AC7" s="1439"/>
      <c r="AD7" s="1439"/>
      <c r="AE7" s="1439"/>
      <c r="AF7" s="1439"/>
      <c r="AG7" s="1439"/>
      <c r="AH7" s="1439"/>
      <c r="AI7" s="1439"/>
      <c r="AJ7" s="1439"/>
      <c r="AK7" s="1439"/>
      <c r="AL7" s="1439"/>
      <c r="AM7" s="1439"/>
      <c r="AN7" s="1439"/>
      <c r="AO7" s="1439"/>
      <c r="AP7" s="1439"/>
      <c r="AQ7" s="1439"/>
      <c r="AR7" s="1439"/>
      <c r="AS7" s="1439"/>
      <c r="AT7" s="1439"/>
      <c r="AU7" s="1439"/>
      <c r="AV7" s="1439"/>
      <c r="AW7" s="1439"/>
      <c r="AX7" s="1439"/>
      <c r="AY7" s="1439"/>
      <c r="AZ7" s="1439"/>
      <c r="BA7" s="1439"/>
      <c r="BB7" s="1439"/>
      <c r="BC7" s="1439"/>
      <c r="BD7" s="1439"/>
      <c r="BE7" s="1439"/>
      <c r="BF7" s="1439"/>
      <c r="BG7" s="1439"/>
      <c r="BH7" s="1439"/>
      <c r="BI7" s="1439"/>
      <c r="BJ7" s="1439"/>
      <c r="BK7" s="1439"/>
      <c r="BL7" s="1439"/>
      <c r="BM7" s="1439"/>
      <c r="BN7" s="1439"/>
      <c r="BO7" s="1439"/>
      <c r="BP7" s="1439"/>
      <c r="BQ7" s="1439"/>
      <c r="BR7" s="1439"/>
      <c r="BS7" s="1439"/>
      <c r="BT7" s="1439"/>
      <c r="BU7" s="1439"/>
      <c r="BV7" s="1439"/>
      <c r="BW7" s="1439"/>
      <c r="BX7" s="1439"/>
      <c r="BY7" s="1439"/>
      <c r="BZ7" s="1439"/>
      <c r="CA7" s="1439"/>
      <c r="CB7" s="1439"/>
      <c r="CC7" s="1439"/>
      <c r="CD7" s="1439"/>
      <c r="CE7" s="1439"/>
      <c r="CF7" s="1439"/>
      <c r="CG7" s="1439"/>
      <c r="CH7" s="1439"/>
      <c r="CI7" s="1439"/>
      <c r="CJ7" s="1439"/>
      <c r="CK7" s="1439"/>
      <c r="CL7" s="1439"/>
      <c r="CM7" s="1439"/>
      <c r="CN7" s="1439"/>
      <c r="CO7" s="1439"/>
      <c r="CP7" s="1439"/>
      <c r="CQ7" s="1439"/>
      <c r="CR7" s="1439"/>
      <c r="CS7" s="1439"/>
      <c r="CT7" s="1439"/>
      <c r="CU7" s="1439"/>
      <c r="CV7" s="1439"/>
      <c r="CW7" s="1439"/>
      <c r="CX7" s="1439"/>
      <c r="CY7" s="1439"/>
      <c r="CZ7" s="1439"/>
      <c r="DA7" s="1439"/>
      <c r="DB7" s="1439"/>
      <c r="DC7" s="1439"/>
      <c r="DD7" s="1439"/>
      <c r="DE7" s="1439"/>
      <c r="DF7" s="1439"/>
      <c r="DG7" s="1439"/>
      <c r="DH7" s="1439"/>
      <c r="DI7" s="1439"/>
      <c r="DJ7" s="1439"/>
      <c r="DK7" s="1439"/>
      <c r="DL7" s="1439"/>
      <c r="DM7" s="1439"/>
      <c r="DN7" s="1439"/>
      <c r="DO7" s="1439"/>
      <c r="DP7" s="1439"/>
      <c r="DQ7" s="1439"/>
      <c r="DR7" s="1439"/>
      <c r="DS7" s="1439"/>
      <c r="DT7" s="1439"/>
      <c r="DU7" s="1439"/>
    </row>
    <row r="8" spans="1:125">
      <c r="A8" s="1313"/>
      <c r="B8" s="1454" t="s">
        <v>1604</v>
      </c>
      <c r="C8" s="1498"/>
      <c r="D8" s="1499"/>
      <c r="E8" s="1499"/>
      <c r="F8" s="1499"/>
      <c r="G8" s="1499"/>
      <c r="H8" s="2624"/>
      <c r="I8" s="2624"/>
      <c r="J8" s="1111"/>
      <c r="K8" s="1313"/>
      <c r="L8" s="1313"/>
      <c r="M8" s="1313"/>
      <c r="N8" s="1313"/>
      <c r="O8" s="1313"/>
      <c r="P8" s="1313"/>
      <c r="Q8" s="1313"/>
      <c r="R8" s="1313"/>
      <c r="S8" s="1313"/>
      <c r="T8" s="1313"/>
      <c r="U8" s="1313"/>
      <c r="V8" s="1313"/>
      <c r="W8" s="1313"/>
      <c r="X8" s="1313"/>
      <c r="Y8" s="1313"/>
      <c r="Z8" s="1313"/>
      <c r="AA8" s="1313"/>
      <c r="AB8" s="1313"/>
      <c r="AC8" s="1313"/>
      <c r="AD8" s="1313"/>
      <c r="AE8" s="1313"/>
      <c r="AF8" s="1313"/>
      <c r="AG8" s="1313"/>
      <c r="AH8" s="1313"/>
      <c r="AI8" s="1313"/>
      <c r="AJ8" s="1313"/>
      <c r="AK8" s="1313"/>
      <c r="AL8" s="1313"/>
      <c r="AM8" s="1313"/>
      <c r="AN8" s="1313"/>
      <c r="AO8" s="1313"/>
      <c r="AP8" s="1313"/>
      <c r="AQ8" s="1313"/>
      <c r="AR8" s="1313"/>
      <c r="AS8" s="1313"/>
      <c r="AT8" s="1313"/>
      <c r="AU8" s="1313"/>
      <c r="AV8" s="1313"/>
      <c r="AW8" s="1313"/>
      <c r="AX8" s="1313"/>
      <c r="AY8" s="1313"/>
      <c r="AZ8" s="1313"/>
      <c r="BA8" s="1313"/>
    </row>
    <row r="9" spans="1:125" ht="29.25" customHeight="1">
      <c r="A9" s="1313"/>
      <c r="B9" s="2585" t="s">
        <v>1671</v>
      </c>
      <c r="C9" s="2585"/>
      <c r="D9" s="2585"/>
      <c r="E9" s="2585"/>
      <c r="F9" s="2585"/>
      <c r="G9" s="2585"/>
      <c r="H9" s="1449"/>
      <c r="I9" s="1449"/>
      <c r="J9" s="1452"/>
      <c r="K9" s="1313"/>
      <c r="L9" s="1313"/>
      <c r="M9" s="1313"/>
      <c r="N9" s="1313"/>
      <c r="O9" s="1313"/>
      <c r="P9" s="1313"/>
      <c r="Q9" s="1313"/>
      <c r="R9" s="1313"/>
      <c r="S9" s="1313"/>
      <c r="T9" s="1313"/>
      <c r="U9" s="1313"/>
      <c r="V9" s="1313"/>
      <c r="W9" s="1313"/>
      <c r="X9" s="1313"/>
      <c r="Y9" s="1313"/>
      <c r="Z9" s="1313"/>
      <c r="AA9" s="1313"/>
      <c r="AB9" s="1313"/>
      <c r="AC9" s="1313"/>
      <c r="AD9" s="1313"/>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1313"/>
      <c r="BA9" s="1313"/>
      <c r="BB9" s="1313"/>
    </row>
    <row r="10" spans="1:125" ht="29.25" customHeight="1">
      <c r="A10" s="1313"/>
      <c r="B10" s="2585"/>
      <c r="C10" s="2585"/>
      <c r="D10" s="2585"/>
      <c r="E10" s="2585"/>
      <c r="F10" s="2585"/>
      <c r="G10" s="2585"/>
      <c r="H10" s="1449"/>
      <c r="I10" s="1449"/>
      <c r="J10" s="1452"/>
      <c r="K10" s="1313"/>
      <c r="L10" s="1313"/>
      <c r="M10" s="1313"/>
      <c r="N10" s="1313"/>
      <c r="O10" s="1313"/>
      <c r="P10" s="1313"/>
      <c r="Q10" s="1313"/>
      <c r="R10" s="1313"/>
      <c r="S10" s="1313"/>
      <c r="T10" s="1313"/>
      <c r="U10" s="1313"/>
      <c r="V10" s="1313"/>
      <c r="W10" s="1313"/>
      <c r="X10" s="1313"/>
      <c r="Y10" s="1313"/>
      <c r="Z10" s="1313"/>
      <c r="AA10" s="1313"/>
      <c r="AB10" s="1313"/>
      <c r="AC10" s="1313"/>
      <c r="AD10" s="1313"/>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row>
    <row r="11" spans="1:125">
      <c r="A11" s="1313"/>
      <c r="B11" s="1499"/>
      <c r="C11" s="1498"/>
      <c r="D11" s="1499"/>
      <c r="E11" s="1499"/>
      <c r="F11" s="1499"/>
      <c r="G11" s="1499"/>
      <c r="H11" s="1449"/>
      <c r="I11" s="1449"/>
      <c r="J11" s="1452"/>
      <c r="K11" s="953"/>
      <c r="O11" s="953"/>
      <c r="P11" s="953"/>
    </row>
    <row r="12" spans="1:125">
      <c r="A12" s="1313"/>
      <c r="B12" s="1454" t="s">
        <v>1607</v>
      </c>
      <c r="C12" s="1498"/>
      <c r="D12" s="1499"/>
      <c r="E12" s="1499"/>
      <c r="F12" s="1499"/>
      <c r="G12" s="1499"/>
      <c r="H12" s="1449"/>
      <c r="I12" s="1449"/>
      <c r="J12" s="1452"/>
      <c r="K12" s="953"/>
      <c r="O12" s="953"/>
      <c r="P12" s="953"/>
    </row>
    <row r="13" spans="1:125">
      <c r="A13" s="1313"/>
      <c r="B13" s="1499" t="s">
        <v>1608</v>
      </c>
      <c r="C13" s="1498"/>
      <c r="D13" s="1499"/>
      <c r="E13" s="1499"/>
      <c r="F13" s="1499"/>
      <c r="G13" s="1499"/>
      <c r="H13" s="1449"/>
      <c r="I13" s="1449"/>
      <c r="J13" s="1449"/>
      <c r="K13" s="953"/>
      <c r="O13" s="953"/>
      <c r="P13" s="953"/>
    </row>
    <row r="14" spans="1:125">
      <c r="A14" s="1313"/>
      <c r="B14" s="1500" t="s">
        <v>1674</v>
      </c>
      <c r="C14" s="1498"/>
      <c r="D14" s="1499"/>
      <c r="E14" s="1499"/>
      <c r="F14" s="1499"/>
      <c r="G14" s="1499"/>
      <c r="H14" s="1449"/>
      <c r="I14" s="1449"/>
      <c r="J14" s="1449"/>
      <c r="K14" s="953"/>
      <c r="O14" s="953"/>
      <c r="P14" s="953"/>
    </row>
    <row r="15" spans="1:125">
      <c r="A15" s="1313"/>
      <c r="B15" s="1500" t="s">
        <v>1776</v>
      </c>
      <c r="C15" s="1498"/>
      <c r="D15" s="1499"/>
      <c r="E15" s="1499"/>
      <c r="F15" s="1499"/>
      <c r="G15" s="1499"/>
      <c r="H15" s="1449"/>
      <c r="I15" s="1449"/>
      <c r="J15" s="1449"/>
      <c r="K15" s="953"/>
      <c r="O15" s="953"/>
      <c r="P15" s="953"/>
    </row>
    <row r="16" spans="1:125">
      <c r="A16" s="1313"/>
      <c r="B16" s="1499"/>
      <c r="C16" s="1498"/>
      <c r="D16" s="1499"/>
      <c r="E16" s="1499"/>
      <c r="F16" s="1499"/>
      <c r="G16" s="1499"/>
      <c r="H16" s="1449"/>
      <c r="I16" s="1449"/>
      <c r="J16" s="1449"/>
      <c r="K16" s="953"/>
      <c r="O16" s="953"/>
      <c r="P16" s="953"/>
    </row>
    <row r="17" spans="1:17">
      <c r="A17" s="1313"/>
      <c r="B17" s="1454" t="s">
        <v>1611</v>
      </c>
      <c r="C17" s="1498"/>
      <c r="D17" s="1499"/>
      <c r="E17" s="1499"/>
      <c r="F17" s="1499"/>
      <c r="G17" s="1499"/>
      <c r="H17" s="1449"/>
      <c r="I17" s="1449"/>
      <c r="J17" s="1449"/>
      <c r="K17" s="953"/>
      <c r="O17" s="953"/>
      <c r="P17" s="953"/>
    </row>
    <row r="18" spans="1:17" ht="39.75" customHeight="1">
      <c r="A18" s="1313"/>
      <c r="B18" s="2585" t="s">
        <v>1777</v>
      </c>
      <c r="C18" s="2585"/>
      <c r="D18" s="2585"/>
      <c r="E18" s="2585"/>
      <c r="F18" s="2585"/>
      <c r="G18" s="2585"/>
      <c r="H18" s="1449"/>
      <c r="I18" s="1449"/>
      <c r="J18" s="1449"/>
      <c r="K18" s="953"/>
      <c r="O18" s="953"/>
      <c r="P18" s="953"/>
    </row>
    <row r="19" spans="1:17" ht="57" customHeight="1">
      <c r="A19" s="1313"/>
      <c r="B19" s="2585" t="s">
        <v>1778</v>
      </c>
      <c r="C19" s="2585"/>
      <c r="D19" s="2585"/>
      <c r="E19" s="2585"/>
      <c r="F19" s="2585"/>
      <c r="G19" s="2585"/>
      <c r="H19" s="1449"/>
      <c r="I19" s="1449"/>
      <c r="J19" s="1449"/>
      <c r="K19" s="953"/>
      <c r="O19" s="953"/>
      <c r="P19" s="953"/>
    </row>
    <row r="20" spans="1:17" ht="52.5" customHeight="1">
      <c r="A20" s="1313"/>
      <c r="B20" s="2585" t="s">
        <v>1692</v>
      </c>
      <c r="C20" s="2585"/>
      <c r="D20" s="2585"/>
      <c r="E20" s="2585"/>
      <c r="F20" s="2585"/>
      <c r="G20" s="2585"/>
      <c r="H20" s="1449"/>
      <c r="I20" s="1449"/>
      <c r="J20" s="1449"/>
      <c r="K20" s="953"/>
      <c r="O20" s="953"/>
      <c r="P20" s="953"/>
    </row>
    <row r="21" spans="1:17" ht="18" customHeight="1">
      <c r="A21" s="1313"/>
      <c r="B21" s="2644" t="s">
        <v>1694</v>
      </c>
      <c r="C21" s="2644"/>
      <c r="D21" s="2644"/>
      <c r="E21" s="2644"/>
      <c r="F21" s="2644"/>
      <c r="G21" s="2644"/>
      <c r="H21" s="1449"/>
      <c r="I21" s="1449"/>
      <c r="J21" s="1449"/>
      <c r="K21" s="1457"/>
      <c r="O21" s="1457"/>
      <c r="P21" s="1457"/>
    </row>
    <row r="22" spans="1:17" ht="80.25" customHeight="1">
      <c r="A22" s="1313"/>
      <c r="B22" s="2609" t="s">
        <v>1779</v>
      </c>
      <c r="C22" s="2662"/>
      <c r="D22" s="2662"/>
      <c r="E22" s="2662"/>
      <c r="F22" s="2662"/>
      <c r="G22" s="2662"/>
      <c r="H22" s="1449"/>
      <c r="I22" s="1449"/>
      <c r="J22" s="1449"/>
      <c r="K22" s="1457"/>
      <c r="L22" s="1457"/>
      <c r="M22" s="1457"/>
      <c r="N22" s="1457"/>
      <c r="O22" s="1457"/>
      <c r="P22" s="1457"/>
    </row>
    <row r="23" spans="1:17" s="1466" customFormat="1" ht="78" customHeight="1">
      <c r="A23" s="1462"/>
      <c r="B23" s="1456" t="s">
        <v>1617</v>
      </c>
      <c r="C23" s="1463"/>
      <c r="D23" s="1463"/>
      <c r="E23" s="1463"/>
      <c r="F23" s="1463" t="s">
        <v>1626</v>
      </c>
      <c r="G23" s="1459" t="s">
        <v>1627</v>
      </c>
      <c r="H23" s="1465" t="s">
        <v>1628</v>
      </c>
      <c r="I23" s="1546"/>
      <c r="J23" s="1546"/>
      <c r="K23" s="1546"/>
      <c r="L23" s="1509"/>
      <c r="M23" s="1509"/>
      <c r="N23" s="1509"/>
    </row>
    <row r="24" spans="1:17" ht="234" customHeight="1">
      <c r="A24" s="1321"/>
      <c r="B24" s="2575" t="s">
        <v>1780</v>
      </c>
      <c r="C24" s="2589"/>
      <c r="D24" s="2589"/>
      <c r="E24" s="2647"/>
      <c r="F24" s="1267"/>
      <c r="G24" s="1263"/>
      <c r="H24" s="1253"/>
      <c r="K24" s="953"/>
      <c r="L24" s="1457"/>
      <c r="M24" s="1457"/>
      <c r="N24" s="1457"/>
      <c r="O24" s="953"/>
      <c r="P24" s="953"/>
    </row>
    <row r="25" spans="1:17" ht="87.75" customHeight="1">
      <c r="A25" s="1313"/>
      <c r="B25" s="2573" t="s">
        <v>1781</v>
      </c>
      <c r="C25" s="2573"/>
      <c r="D25" s="2676"/>
      <c r="E25" s="2676"/>
      <c r="F25" s="1459" t="s">
        <v>1702</v>
      </c>
      <c r="G25" s="1463" t="s">
        <v>1627</v>
      </c>
      <c r="H25" s="1465" t="s">
        <v>1628</v>
      </c>
      <c r="I25" s="1465" t="s">
        <v>1629</v>
      </c>
      <c r="J25" s="1463" t="s">
        <v>1630</v>
      </c>
      <c r="L25" s="1457"/>
      <c r="M25" s="1457"/>
      <c r="N25" s="1457"/>
    </row>
    <row r="26" spans="1:17" s="1520" customFormat="1" ht="25.5" customHeight="1">
      <c r="A26" s="1521"/>
      <c r="B26" s="2677" t="s">
        <v>1782</v>
      </c>
      <c r="C26" s="2678"/>
      <c r="D26" s="2678"/>
      <c r="E26" s="1518" t="s">
        <v>1706</v>
      </c>
      <c r="F26" s="1143"/>
      <c r="G26" s="2648"/>
      <c r="H26" s="1117"/>
      <c r="I26" s="1273"/>
      <c r="J26" s="1251"/>
      <c r="K26" s="1519"/>
      <c r="L26" s="953"/>
      <c r="M26" s="953"/>
      <c r="N26" s="953"/>
      <c r="O26" s="1519"/>
      <c r="P26" s="1575"/>
      <c r="Q26" s="1514"/>
    </row>
    <row r="27" spans="1:17" s="1520" customFormat="1" ht="45">
      <c r="A27" s="1521"/>
      <c r="B27" s="1522"/>
      <c r="C27" s="1523"/>
      <c r="D27" s="1523"/>
      <c r="E27" s="1524" t="s">
        <v>1707</v>
      </c>
      <c r="F27" s="1143"/>
      <c r="G27" s="2649"/>
      <c r="H27" s="1117"/>
      <c r="I27" s="1273"/>
      <c r="J27" s="1251"/>
      <c r="K27" s="1519"/>
      <c r="L27" s="1501" t="s">
        <v>1675</v>
      </c>
      <c r="M27" s="1502" t="s">
        <v>1676</v>
      </c>
      <c r="N27" s="1501" t="s">
        <v>1677</v>
      </c>
      <c r="O27" s="1519"/>
      <c r="P27" s="1575"/>
      <c r="Q27" s="1514"/>
    </row>
    <row r="28" spans="1:17" s="1520" customFormat="1">
      <c r="A28" s="1521"/>
      <c r="B28" s="1522"/>
      <c r="C28" s="1523"/>
      <c r="D28" s="1523"/>
      <c r="E28" s="1524" t="s">
        <v>1708</v>
      </c>
      <c r="F28" s="1274"/>
      <c r="G28" s="2649"/>
      <c r="H28" s="1117"/>
      <c r="I28" s="1273"/>
      <c r="J28" s="1251"/>
      <c r="K28" s="1519"/>
      <c r="L28" s="1503" t="s">
        <v>1679</v>
      </c>
      <c r="M28" s="1504">
        <v>5</v>
      </c>
      <c r="N28" s="1503" t="s">
        <v>1680</v>
      </c>
      <c r="O28" s="1519"/>
      <c r="P28" s="1575"/>
      <c r="Q28" s="1514"/>
    </row>
    <row r="29" spans="1:17" s="1520" customFormat="1">
      <c r="A29" s="1521"/>
      <c r="B29" s="1525"/>
      <c r="C29" s="1523"/>
      <c r="D29" s="1523"/>
      <c r="E29" s="1524" t="s">
        <v>1709</v>
      </c>
      <c r="F29" s="1124"/>
      <c r="G29" s="2649"/>
      <c r="H29" s="1144"/>
      <c r="I29" s="1273"/>
      <c r="J29" s="1251"/>
      <c r="K29" s="1519"/>
      <c r="L29" s="1503" t="s">
        <v>1682</v>
      </c>
      <c r="M29" s="1505">
        <v>5.6</v>
      </c>
      <c r="N29" s="1503" t="s">
        <v>1683</v>
      </c>
      <c r="O29" s="1519"/>
      <c r="P29" s="1575"/>
      <c r="Q29" s="1514"/>
    </row>
    <row r="30" spans="1:17" s="1520" customFormat="1">
      <c r="A30" s="1521"/>
      <c r="B30" s="1522"/>
      <c r="C30" s="1523"/>
      <c r="D30" s="1523"/>
      <c r="E30" s="1524" t="s">
        <v>1710</v>
      </c>
      <c r="F30" s="1117"/>
      <c r="G30" s="2649"/>
      <c r="H30" s="1144"/>
      <c r="I30" s="1273"/>
      <c r="J30" s="1125"/>
      <c r="K30" s="1519"/>
      <c r="L30" s="1503" t="s">
        <v>1684</v>
      </c>
      <c r="M30" s="1505">
        <v>3.4</v>
      </c>
      <c r="N30" s="1503" t="s">
        <v>1685</v>
      </c>
      <c r="O30" s="1519"/>
      <c r="P30" s="1575"/>
      <c r="Q30" s="1514"/>
    </row>
    <row r="31" spans="1:17" s="1520" customFormat="1">
      <c r="A31" s="1521"/>
      <c r="B31" s="1526"/>
      <c r="C31" s="1527"/>
      <c r="D31" s="1527"/>
      <c r="E31" s="1528"/>
      <c r="F31" s="1274"/>
      <c r="G31" s="2649"/>
      <c r="H31" s="1144"/>
      <c r="I31" s="1273"/>
      <c r="J31" s="1251"/>
      <c r="K31" s="1519"/>
      <c r="L31" s="1503" t="s">
        <v>1686</v>
      </c>
      <c r="M31" s="1505">
        <v>3.4</v>
      </c>
      <c r="N31" s="1503" t="s">
        <v>1685</v>
      </c>
      <c r="O31" s="1519"/>
      <c r="P31" s="1519"/>
      <c r="Q31" s="1514"/>
    </row>
    <row r="32" spans="1:17" s="1520" customFormat="1" ht="27" customHeight="1">
      <c r="A32" s="1521"/>
      <c r="B32" s="2655" t="s">
        <v>1783</v>
      </c>
      <c r="C32" s="2675"/>
      <c r="D32" s="2656"/>
      <c r="E32" s="1531" t="s">
        <v>1712</v>
      </c>
      <c r="F32" s="1274"/>
      <c r="G32" s="2650"/>
      <c r="H32" s="1144"/>
      <c r="I32" s="1273"/>
      <c r="J32" s="1251"/>
      <c r="K32" s="1519"/>
      <c r="L32" s="1506" t="s">
        <v>1688</v>
      </c>
      <c r="M32" s="1504">
        <v>3.2</v>
      </c>
      <c r="N32" s="1503" t="s">
        <v>1685</v>
      </c>
      <c r="O32" s="1519"/>
      <c r="P32" s="1519"/>
      <c r="Q32" s="1514"/>
    </row>
    <row r="33" spans="1:18" s="1519" customFormat="1" ht="105.75" customHeight="1">
      <c r="B33" s="2642" t="s">
        <v>1619</v>
      </c>
      <c r="C33" s="2642"/>
      <c r="D33" s="2643" t="s">
        <v>1714</v>
      </c>
      <c r="E33" s="2643"/>
      <c r="F33" s="1459" t="s">
        <v>1784</v>
      </c>
      <c r="G33" s="1459" t="s">
        <v>1703</v>
      </c>
      <c r="H33" s="1465" t="s">
        <v>1628</v>
      </c>
      <c r="I33" s="1465" t="s">
        <v>1629</v>
      </c>
      <c r="J33" s="1535"/>
      <c r="L33" s="1506" t="s">
        <v>1690</v>
      </c>
      <c r="M33" s="1504" t="s">
        <v>1691</v>
      </c>
      <c r="N33" s="1503" t="s">
        <v>1685</v>
      </c>
    </row>
    <row r="34" spans="1:18" s="1520" customFormat="1" ht="123" customHeight="1">
      <c r="A34" s="1515"/>
      <c r="B34" s="2580" t="str">
        <f>IF('Project Info'!C4='Project Info'!P32,'Mod Prescriptive Path Checklist'!C27,IF('Project Info'!C4='Project Info'!P33,#REF!,"&lt;Select compliance path on the 'Project Info' tab&gt;"))</f>
        <v>Assembly U-value determinations must follow ASHRAE 90.1-2007, Appendix A.
See Tables 2 and 3 for climate specific envelope requirements for the following components: roof insulation; above grade and below grade wall insulation; floor and slab insulation; exterior doors; and vertical glazing.</v>
      </c>
      <c r="C34" s="2580"/>
      <c r="D34" s="2595">
        <f>ERMs!C25</f>
        <v>0</v>
      </c>
      <c r="E34" s="2638"/>
      <c r="F34" s="1284"/>
      <c r="G34" s="1284"/>
      <c r="H34" s="1253"/>
      <c r="I34" s="1134"/>
      <c r="J34" s="1252"/>
      <c r="K34" s="1519"/>
      <c r="O34" s="1514"/>
      <c r="P34" s="1514"/>
      <c r="Q34" s="1461"/>
      <c r="R34" s="1514"/>
    </row>
    <row r="35" spans="1:18" s="1520" customFormat="1">
      <c r="A35" s="1521"/>
      <c r="B35" s="1532"/>
      <c r="C35" s="1126"/>
      <c r="D35" s="1126"/>
      <c r="E35" s="1533"/>
      <c r="F35" s="1534"/>
      <c r="G35" s="1126"/>
      <c r="H35" s="1534"/>
      <c r="I35" s="1534"/>
      <c r="J35" s="1535"/>
      <c r="K35" s="1519"/>
      <c r="O35" s="1514"/>
      <c r="P35" s="1514"/>
      <c r="Q35" s="1461"/>
      <c r="R35" s="1514"/>
    </row>
    <row r="36" spans="1:18" s="1520" customFormat="1">
      <c r="A36" s="1521"/>
      <c r="B36" s="1516" t="s">
        <v>1785</v>
      </c>
      <c r="C36" s="1517"/>
      <c r="D36" s="1517"/>
      <c r="E36" s="1518" t="s">
        <v>1706</v>
      </c>
      <c r="F36" s="1143"/>
      <c r="G36" s="2648"/>
      <c r="H36" s="1117"/>
      <c r="I36" s="1273"/>
      <c r="J36" s="1251"/>
      <c r="K36" s="1519"/>
      <c r="O36" s="1514"/>
      <c r="P36" s="1514"/>
      <c r="Q36" s="1461"/>
      <c r="R36" s="1514"/>
    </row>
    <row r="37" spans="1:18" s="1520" customFormat="1">
      <c r="A37" s="1521"/>
      <c r="B37" s="1522"/>
      <c r="C37" s="1523"/>
      <c r="D37" s="1523"/>
      <c r="E37" s="1524" t="s">
        <v>1707</v>
      </c>
      <c r="F37" s="1143"/>
      <c r="G37" s="2649"/>
      <c r="H37" s="1117"/>
      <c r="I37" s="1273"/>
      <c r="J37" s="1251"/>
      <c r="K37" s="1519"/>
      <c r="O37" s="1514"/>
      <c r="P37" s="1514"/>
      <c r="Q37" s="1461"/>
      <c r="R37" s="1514"/>
    </row>
    <row r="38" spans="1:18" s="1520" customFormat="1">
      <c r="A38" s="1521"/>
      <c r="B38" s="1522"/>
      <c r="C38" s="1523"/>
      <c r="D38" s="1523"/>
      <c r="E38" s="1524" t="s">
        <v>1708</v>
      </c>
      <c r="F38" s="1274"/>
      <c r="G38" s="2649"/>
      <c r="H38" s="1117"/>
      <c r="I38" s="1273"/>
      <c r="J38" s="1251"/>
      <c r="K38" s="1519"/>
      <c r="O38" s="1514"/>
      <c r="P38" s="1514"/>
      <c r="Q38" s="1461"/>
      <c r="R38" s="1514"/>
    </row>
    <row r="39" spans="1:18" s="1520" customFormat="1">
      <c r="A39" s="1515"/>
      <c r="B39" s="1525"/>
      <c r="C39" s="1523"/>
      <c r="D39" s="1523"/>
      <c r="E39" s="1524" t="s">
        <v>1709</v>
      </c>
      <c r="F39" s="1124"/>
      <c r="G39" s="2649"/>
      <c r="H39" s="1144"/>
      <c r="I39" s="1273"/>
      <c r="J39" s="1251"/>
      <c r="K39" s="1519"/>
      <c r="O39" s="1514"/>
      <c r="P39" s="1514"/>
      <c r="Q39" s="1461"/>
      <c r="R39" s="1514"/>
    </row>
    <row r="40" spans="1:18" s="1520" customFormat="1">
      <c r="A40" s="1521"/>
      <c r="B40" s="1522"/>
      <c r="C40" s="1523"/>
      <c r="D40" s="1523"/>
      <c r="E40" s="1524" t="s">
        <v>1710</v>
      </c>
      <c r="F40" s="1117"/>
      <c r="G40" s="2649"/>
      <c r="H40" s="1144"/>
      <c r="I40" s="1273"/>
      <c r="J40" s="1125"/>
      <c r="K40" s="1519"/>
      <c r="O40" s="1514"/>
      <c r="P40" s="1514"/>
      <c r="Q40" s="1461"/>
      <c r="R40" s="1514"/>
    </row>
    <row r="41" spans="1:18">
      <c r="A41" s="1313"/>
      <c r="B41" s="1526"/>
      <c r="C41" s="1527"/>
      <c r="D41" s="1527"/>
      <c r="E41" s="1528"/>
      <c r="F41" s="1274"/>
      <c r="G41" s="2649"/>
      <c r="H41" s="1144"/>
      <c r="I41" s="1273"/>
      <c r="J41" s="1251"/>
      <c r="L41" s="1457"/>
      <c r="M41" s="1457"/>
      <c r="N41" s="1457"/>
      <c r="O41" s="1457"/>
      <c r="P41" s="1457"/>
      <c r="Q41" s="1457"/>
      <c r="R41" s="1457"/>
    </row>
    <row r="42" spans="1:18" ht="14.25">
      <c r="A42" s="1536"/>
      <c r="B42" s="2655" t="s">
        <v>1786</v>
      </c>
      <c r="C42" s="2675"/>
      <c r="D42" s="2656"/>
      <c r="E42" s="1531" t="s">
        <v>1712</v>
      </c>
      <c r="F42" s="1274"/>
      <c r="G42" s="2650"/>
      <c r="H42" s="1144"/>
      <c r="I42" s="1273"/>
      <c r="J42" s="1251"/>
      <c r="L42" s="1537"/>
      <c r="M42" s="1537"/>
      <c r="N42" s="1537"/>
      <c r="O42" s="1537"/>
      <c r="P42" s="1537"/>
      <c r="Q42" s="1457"/>
      <c r="R42" s="1457"/>
    </row>
    <row r="43" spans="1:18" s="1520" customFormat="1" ht="105.75" customHeight="1">
      <c r="A43" s="1521"/>
      <c r="B43" s="2642" t="s">
        <v>1619</v>
      </c>
      <c r="C43" s="2642"/>
      <c r="D43" s="2643" t="s">
        <v>1714</v>
      </c>
      <c r="E43" s="2643"/>
      <c r="F43" s="1459" t="s">
        <v>1787</v>
      </c>
      <c r="G43" s="1459" t="s">
        <v>1703</v>
      </c>
      <c r="H43" s="1465" t="s">
        <v>1628</v>
      </c>
      <c r="I43" s="1465" t="s">
        <v>1629</v>
      </c>
      <c r="J43" s="1535"/>
      <c r="K43" s="1519"/>
      <c r="O43" s="1514"/>
      <c r="P43" s="1514"/>
      <c r="Q43" s="1461"/>
      <c r="R43" s="1514"/>
    </row>
    <row r="44" spans="1:18" s="1520" customFormat="1" ht="123.75" customHeight="1">
      <c r="A44" s="1515"/>
      <c r="B44" s="2580" t="str">
        <f>IF('Project Info'!C4='Project Info'!P32,'Mod Prescriptive Path Checklist'!C27,IF('Project Info'!C4='Project Info'!P33,#REF!,"&lt;Select compliance path on the 'Project Info' tab&gt;"))</f>
        <v>Assembly U-value determinations must follow ASHRAE 90.1-2007, Appendix A.
See Tables 2 and 3 for climate specific envelope requirements for the following components: roof insulation; above grade and below grade wall insulation; floor and slab insulation; exterior doors; and vertical glazing.</v>
      </c>
      <c r="C44" s="2580"/>
      <c r="D44" s="2595">
        <f>ERMs!C26</f>
        <v>0</v>
      </c>
      <c r="E44" s="2638"/>
      <c r="F44" s="1284"/>
      <c r="G44" s="1284"/>
      <c r="H44" s="1253"/>
      <c r="I44" s="1134"/>
      <c r="J44" s="1252"/>
      <c r="K44" s="1519"/>
      <c r="O44" s="1514"/>
      <c r="P44" s="1514"/>
      <c r="Q44" s="1461"/>
      <c r="R44" s="1514"/>
    </row>
    <row r="45" spans="1:18" s="1520" customFormat="1">
      <c r="A45" s="1521"/>
      <c r="B45" s="1532"/>
      <c r="C45" s="1126"/>
      <c r="D45" s="1126"/>
      <c r="E45" s="1533"/>
      <c r="F45" s="1534"/>
      <c r="G45" s="1126"/>
      <c r="H45" s="1534"/>
      <c r="I45" s="1534"/>
      <c r="J45" s="1535"/>
      <c r="K45" s="1519"/>
      <c r="O45" s="1514"/>
      <c r="P45" s="1514"/>
      <c r="Q45" s="1461"/>
      <c r="R45" s="1514"/>
    </row>
    <row r="46" spans="1:18" s="1520" customFormat="1">
      <c r="A46" s="1521"/>
      <c r="B46" s="1516" t="s">
        <v>1788</v>
      </c>
      <c r="C46" s="1517"/>
      <c r="D46" s="1517"/>
      <c r="E46" s="1518" t="s">
        <v>1706</v>
      </c>
      <c r="F46" s="1143"/>
      <c r="G46" s="2648"/>
      <c r="H46" s="1117"/>
      <c r="I46" s="1273"/>
      <c r="J46" s="1251"/>
      <c r="K46" s="1519"/>
      <c r="O46" s="1514"/>
      <c r="P46" s="1514"/>
      <c r="Q46" s="1461"/>
      <c r="R46" s="1514"/>
    </row>
    <row r="47" spans="1:18" s="1520" customFormat="1">
      <c r="A47" s="1521"/>
      <c r="B47" s="1522"/>
      <c r="C47" s="1523"/>
      <c r="D47" s="1523"/>
      <c r="E47" s="1524" t="s">
        <v>1707</v>
      </c>
      <c r="F47" s="1143"/>
      <c r="G47" s="2649"/>
      <c r="H47" s="1117"/>
      <c r="I47" s="1273"/>
      <c r="J47" s="1251"/>
      <c r="K47" s="1519"/>
      <c r="O47" s="1514"/>
      <c r="P47" s="1514"/>
      <c r="Q47" s="1461"/>
      <c r="R47" s="1514"/>
    </row>
    <row r="48" spans="1:18" s="1520" customFormat="1">
      <c r="A48" s="1521"/>
      <c r="B48" s="1522"/>
      <c r="C48" s="1523"/>
      <c r="D48" s="1523"/>
      <c r="E48" s="1524" t="s">
        <v>1708</v>
      </c>
      <c r="F48" s="1274"/>
      <c r="G48" s="2649"/>
      <c r="H48" s="1117"/>
      <c r="I48" s="1273"/>
      <c r="J48" s="1251"/>
      <c r="K48" s="1519"/>
      <c r="O48" s="1514"/>
      <c r="P48" s="1514"/>
      <c r="Q48" s="1461"/>
      <c r="R48" s="1514"/>
    </row>
    <row r="49" spans="1:18" s="1520" customFormat="1">
      <c r="A49" s="1515"/>
      <c r="B49" s="1525"/>
      <c r="C49" s="1523"/>
      <c r="D49" s="1523"/>
      <c r="E49" s="1524" t="s">
        <v>1709</v>
      </c>
      <c r="F49" s="1124"/>
      <c r="G49" s="2649"/>
      <c r="H49" s="1144"/>
      <c r="I49" s="1273"/>
      <c r="J49" s="1251"/>
      <c r="K49" s="1519"/>
      <c r="O49" s="1514"/>
      <c r="P49" s="1514"/>
      <c r="Q49" s="1461"/>
      <c r="R49" s="1514"/>
    </row>
    <row r="50" spans="1:18" s="1520" customFormat="1">
      <c r="A50" s="1521"/>
      <c r="B50" s="1522"/>
      <c r="C50" s="1523"/>
      <c r="D50" s="1523"/>
      <c r="E50" s="1524" t="s">
        <v>1710</v>
      </c>
      <c r="F50" s="1117"/>
      <c r="G50" s="2649"/>
      <c r="H50" s="1144"/>
      <c r="I50" s="1273"/>
      <c r="J50" s="1125"/>
      <c r="K50" s="1519"/>
      <c r="O50" s="1514"/>
      <c r="P50" s="1514"/>
      <c r="Q50" s="1461"/>
      <c r="R50" s="1514"/>
    </row>
    <row r="51" spans="1:18">
      <c r="A51" s="1313"/>
      <c r="B51" s="1526"/>
      <c r="C51" s="1527"/>
      <c r="D51" s="1527"/>
      <c r="E51" s="1528"/>
      <c r="F51" s="1274"/>
      <c r="G51" s="2649"/>
      <c r="H51" s="1144"/>
      <c r="I51" s="1273"/>
      <c r="J51" s="1251"/>
      <c r="L51" s="1457"/>
      <c r="M51" s="1457"/>
      <c r="N51" s="1457"/>
      <c r="O51" s="1457"/>
      <c r="P51" s="1457"/>
      <c r="Q51" s="1457"/>
      <c r="R51" s="1457"/>
    </row>
    <row r="52" spans="1:18" ht="14.25">
      <c r="A52" s="1536"/>
      <c r="B52" s="2655" t="s">
        <v>1789</v>
      </c>
      <c r="C52" s="2675"/>
      <c r="D52" s="2656"/>
      <c r="E52" s="1531" t="s">
        <v>1712</v>
      </c>
      <c r="F52" s="1274"/>
      <c r="G52" s="2650"/>
      <c r="H52" s="1144"/>
      <c r="I52" s="1273"/>
      <c r="J52" s="1251"/>
      <c r="L52" s="1537"/>
      <c r="M52" s="1537"/>
      <c r="N52" s="1537"/>
      <c r="O52" s="1537"/>
      <c r="P52" s="1537"/>
      <c r="Q52" s="1457"/>
      <c r="R52" s="1457"/>
    </row>
    <row r="53" spans="1:18" s="1520" customFormat="1" ht="96.75" customHeight="1">
      <c r="A53" s="1521"/>
      <c r="B53" s="2642" t="s">
        <v>1619</v>
      </c>
      <c r="C53" s="2642"/>
      <c r="D53" s="2643" t="s">
        <v>1714</v>
      </c>
      <c r="E53" s="2643"/>
      <c r="F53" s="1459" t="s">
        <v>1790</v>
      </c>
      <c r="G53" s="1459" t="s">
        <v>1703</v>
      </c>
      <c r="H53" s="1465" t="s">
        <v>1628</v>
      </c>
      <c r="I53" s="1465" t="s">
        <v>1629</v>
      </c>
      <c r="J53" s="1535"/>
      <c r="K53" s="1519"/>
      <c r="O53" s="1514"/>
      <c r="P53" s="1514"/>
      <c r="Q53" s="1461"/>
      <c r="R53" s="1514"/>
    </row>
    <row r="54" spans="1:18" s="1520" customFormat="1" ht="120.75" customHeight="1">
      <c r="A54" s="1515"/>
      <c r="B54" s="2580" t="str">
        <f>IF('Project Info'!C4='Project Info'!P32,'Mod Prescriptive Path Checklist'!C27,IF('Project Info'!C4='Project Info'!P33,#REF!,"&lt;Select compliance path on the 'Project Info' tab&gt;"))</f>
        <v>Assembly U-value determinations must follow ASHRAE 90.1-2007, Appendix A.
See Tables 2 and 3 for climate specific envelope requirements for the following components: roof insulation; above grade and below grade wall insulation; floor and slab insulation; exterior doors; and vertical glazing.</v>
      </c>
      <c r="C54" s="2580"/>
      <c r="D54" s="2595">
        <f>ERMs!C27</f>
        <v>0</v>
      </c>
      <c r="E54" s="2638"/>
      <c r="F54" s="1284"/>
      <c r="G54" s="1284"/>
      <c r="H54" s="1253"/>
      <c r="I54" s="1134"/>
      <c r="J54" s="1252"/>
      <c r="K54" s="1519"/>
      <c r="O54" s="1514"/>
      <c r="P54" s="1514"/>
      <c r="Q54" s="1461"/>
      <c r="R54" s="1514"/>
    </row>
    <row r="55" spans="1:18" s="1520" customFormat="1">
      <c r="A55" s="1521"/>
      <c r="B55" s="1532"/>
      <c r="C55" s="1126"/>
      <c r="D55" s="1126"/>
      <c r="E55" s="1533"/>
      <c r="F55" s="1534"/>
      <c r="G55" s="1126"/>
      <c r="H55" s="1534"/>
      <c r="I55" s="1534"/>
      <c r="J55" s="1535"/>
      <c r="K55" s="1519"/>
      <c r="O55" s="1514"/>
      <c r="P55" s="1514"/>
      <c r="Q55" s="1461"/>
      <c r="R55" s="1514"/>
    </row>
    <row r="56" spans="1:18" s="1520" customFormat="1">
      <c r="A56" s="1521"/>
      <c r="B56" s="1516" t="s">
        <v>1791</v>
      </c>
      <c r="C56" s="1517"/>
      <c r="D56" s="1517"/>
      <c r="E56" s="1518" t="s">
        <v>1706</v>
      </c>
      <c r="F56" s="1143"/>
      <c r="G56" s="2648"/>
      <c r="H56" s="1117"/>
      <c r="I56" s="1273"/>
      <c r="J56" s="1251"/>
      <c r="K56" s="1519"/>
      <c r="O56" s="1514"/>
      <c r="P56" s="1514"/>
      <c r="Q56" s="1461"/>
      <c r="R56" s="1514"/>
    </row>
    <row r="57" spans="1:18" s="1520" customFormat="1">
      <c r="A57" s="1521"/>
      <c r="B57" s="1522"/>
      <c r="C57" s="1523"/>
      <c r="D57" s="1523"/>
      <c r="E57" s="1524" t="s">
        <v>1707</v>
      </c>
      <c r="F57" s="1143"/>
      <c r="G57" s="2649"/>
      <c r="H57" s="1117"/>
      <c r="I57" s="1273"/>
      <c r="J57" s="1251"/>
      <c r="K57" s="1519"/>
      <c r="O57" s="1514"/>
      <c r="P57" s="1514"/>
      <c r="Q57" s="1461"/>
      <c r="R57" s="1514"/>
    </row>
    <row r="58" spans="1:18" s="1520" customFormat="1">
      <c r="A58" s="1521"/>
      <c r="B58" s="1522"/>
      <c r="C58" s="1523"/>
      <c r="D58" s="1523"/>
      <c r="E58" s="1524" t="s">
        <v>1708</v>
      </c>
      <c r="F58" s="1274"/>
      <c r="G58" s="2649"/>
      <c r="H58" s="1117"/>
      <c r="I58" s="1273"/>
      <c r="J58" s="1251"/>
      <c r="K58" s="1519"/>
      <c r="O58" s="1514"/>
      <c r="P58" s="1514"/>
      <c r="Q58" s="1461"/>
      <c r="R58" s="1514"/>
    </row>
    <row r="59" spans="1:18" s="1520" customFormat="1">
      <c r="A59" s="1515"/>
      <c r="B59" s="1525"/>
      <c r="C59" s="1523"/>
      <c r="D59" s="1523"/>
      <c r="E59" s="1524" t="s">
        <v>1709</v>
      </c>
      <c r="F59" s="1124"/>
      <c r="G59" s="2649"/>
      <c r="H59" s="1144"/>
      <c r="I59" s="1273"/>
      <c r="J59" s="1251"/>
      <c r="K59" s="1519"/>
      <c r="O59" s="1514"/>
      <c r="P59" s="1514"/>
      <c r="Q59" s="1461"/>
      <c r="R59" s="1514"/>
    </row>
    <row r="60" spans="1:18" s="1520" customFormat="1">
      <c r="A60" s="1521"/>
      <c r="B60" s="1522"/>
      <c r="C60" s="1523"/>
      <c r="D60" s="1523"/>
      <c r="E60" s="1524" t="s">
        <v>1710</v>
      </c>
      <c r="F60" s="1117"/>
      <c r="G60" s="2649"/>
      <c r="H60" s="1144"/>
      <c r="I60" s="1273"/>
      <c r="J60" s="1125"/>
      <c r="K60" s="1519"/>
      <c r="O60" s="1514"/>
      <c r="P60" s="1514"/>
      <c r="Q60" s="1461"/>
      <c r="R60" s="1514"/>
    </row>
    <row r="61" spans="1:18">
      <c r="A61" s="1313"/>
      <c r="B61" s="1526"/>
      <c r="C61" s="1527"/>
      <c r="D61" s="1527"/>
      <c r="E61" s="1528"/>
      <c r="F61" s="1274"/>
      <c r="G61" s="2649"/>
      <c r="H61" s="1144"/>
      <c r="I61" s="1273"/>
      <c r="J61" s="1251"/>
      <c r="L61" s="1457"/>
      <c r="M61" s="1457"/>
      <c r="N61" s="1457"/>
      <c r="O61" s="1457"/>
      <c r="P61" s="1457"/>
      <c r="Q61" s="1457"/>
      <c r="R61" s="1457"/>
    </row>
    <row r="62" spans="1:18" ht="14.25">
      <c r="A62" s="1536"/>
      <c r="B62" s="2655" t="s">
        <v>1792</v>
      </c>
      <c r="C62" s="2675"/>
      <c r="D62" s="2656"/>
      <c r="E62" s="1531" t="s">
        <v>1712</v>
      </c>
      <c r="F62" s="1274"/>
      <c r="G62" s="2650"/>
      <c r="H62" s="1144"/>
      <c r="I62" s="1273"/>
      <c r="J62" s="1251"/>
      <c r="L62" s="1537"/>
      <c r="M62" s="1537"/>
      <c r="N62" s="1537"/>
      <c r="O62" s="1537"/>
      <c r="P62" s="1537"/>
      <c r="Q62" s="1457"/>
      <c r="R62" s="1457"/>
    </row>
    <row r="63" spans="1:18" s="1520" customFormat="1" ht="100.5" customHeight="1">
      <c r="A63" s="1521"/>
      <c r="B63" s="2642" t="s">
        <v>1619</v>
      </c>
      <c r="C63" s="2642"/>
      <c r="D63" s="2643" t="s">
        <v>1714</v>
      </c>
      <c r="E63" s="2643"/>
      <c r="F63" s="1459" t="s">
        <v>1793</v>
      </c>
      <c r="G63" s="1459" t="s">
        <v>1703</v>
      </c>
      <c r="H63" s="1465" t="s">
        <v>1628</v>
      </c>
      <c r="I63" s="1465" t="s">
        <v>1629</v>
      </c>
      <c r="J63" s="1535"/>
      <c r="K63" s="1519"/>
      <c r="O63" s="1514"/>
      <c r="P63" s="1514"/>
      <c r="Q63" s="1461"/>
      <c r="R63" s="1514"/>
    </row>
    <row r="64" spans="1:18" s="1520" customFormat="1" ht="123.75" customHeight="1">
      <c r="A64" s="1515"/>
      <c r="B64" s="2580" t="str">
        <f>IF('Project Info'!C4='Project Info'!P32,'Mod Prescriptive Path Checklist'!C27,IF('Project Info'!C4='Project Info'!P33,#REF!,"&lt;Select compliance path on the 'Project Info' tab&gt;"))</f>
        <v>Assembly U-value determinations must follow ASHRAE 90.1-2007, Appendix A.
See Tables 2 and 3 for climate specific envelope requirements for the following components: roof insulation; above grade and below grade wall insulation; floor and slab insulation; exterior doors; and vertical glazing.</v>
      </c>
      <c r="C64" s="2580"/>
      <c r="D64" s="2595">
        <f>ERMs!C28</f>
        <v>0</v>
      </c>
      <c r="E64" s="2638"/>
      <c r="F64" s="1284"/>
      <c r="G64" s="1284"/>
      <c r="H64" s="1253"/>
      <c r="I64" s="1134"/>
      <c r="J64" s="1252"/>
      <c r="K64" s="1519"/>
      <c r="O64" s="1514"/>
      <c r="P64" s="1514"/>
      <c r="Q64" s="1461"/>
      <c r="R64" s="1514"/>
    </row>
    <row r="65" spans="1:18" s="1520" customFormat="1">
      <c r="A65" s="1521"/>
      <c r="B65" s="1532"/>
      <c r="C65" s="1126"/>
      <c r="D65" s="1126"/>
      <c r="E65" s="1533"/>
      <c r="F65" s="1534"/>
      <c r="G65" s="1126"/>
      <c r="H65" s="1534"/>
      <c r="I65" s="1534"/>
      <c r="J65" s="1535"/>
      <c r="K65" s="1519"/>
      <c r="O65" s="1514"/>
      <c r="P65" s="1514"/>
      <c r="Q65" s="1461"/>
      <c r="R65" s="1514"/>
    </row>
    <row r="66" spans="1:18" s="1520" customFormat="1" ht="93" customHeight="1">
      <c r="A66" s="1521"/>
      <c r="B66" s="2639" t="s">
        <v>1633</v>
      </c>
      <c r="C66" s="2639"/>
      <c r="D66" s="2639" t="s">
        <v>1619</v>
      </c>
      <c r="E66" s="2639"/>
      <c r="F66" s="1463" t="s">
        <v>1794</v>
      </c>
      <c r="G66" s="1459" t="s">
        <v>1627</v>
      </c>
      <c r="H66" s="1465" t="s">
        <v>1628</v>
      </c>
      <c r="I66" s="1465" t="s">
        <v>1629</v>
      </c>
      <c r="J66" s="1453" t="s">
        <v>1795</v>
      </c>
      <c r="K66" s="1519"/>
      <c r="O66" s="1514"/>
      <c r="P66" s="1514"/>
      <c r="Q66" s="1461"/>
      <c r="R66" s="1514"/>
    </row>
    <row r="67" spans="1:18" s="1520" customFormat="1" ht="43.5" customHeight="1">
      <c r="A67" s="1521"/>
      <c r="B67" s="2671" t="s">
        <v>1796</v>
      </c>
      <c r="C67" s="2672"/>
      <c r="D67" s="2672"/>
      <c r="E67" s="2673"/>
      <c r="F67" s="1284"/>
      <c r="G67" s="1284"/>
      <c r="H67" s="1253"/>
      <c r="I67" s="1134"/>
      <c r="J67" s="1283"/>
      <c r="K67" s="1519"/>
      <c r="O67" s="1514"/>
      <c r="P67" s="1514"/>
      <c r="Q67" s="1461"/>
      <c r="R67" s="1514"/>
    </row>
    <row r="68" spans="1:18" s="1520" customFormat="1" ht="149.25" customHeight="1">
      <c r="A68" s="1521"/>
      <c r="B68" s="2588" t="s">
        <v>1797</v>
      </c>
      <c r="C68" s="2598"/>
      <c r="D68" s="2657" t="str">
        <f>IF('Project Info'!C4='Project Info'!P32,'Mod Prescriptive Path Checklist'!C37,IF('Project Info'!C4='Project Info'!P33,#REF!,"&lt;Select compliance path on the 'Project Info' tab&gt;"))</f>
        <v>The envelope components must comply with ASHRAE 90.1-2007 Sections 5.4.
All roof, wall, floor and slab insulation shall achieve RESNET-defined Grade I installation or, alternatively, Grade II for surfaces with continuous insulation (≥R-3 in CZ1-4 and ≥R-5 in CZ 5-8).</v>
      </c>
      <c r="E68" s="2658"/>
      <c r="F68" s="1284"/>
      <c r="G68" s="1284"/>
      <c r="H68" s="1253"/>
      <c r="I68" s="1278"/>
      <c r="J68" s="1278"/>
      <c r="K68" s="1519"/>
      <c r="O68" s="1514"/>
      <c r="P68" s="1514"/>
      <c r="Q68" s="1461"/>
      <c r="R68" s="1514"/>
    </row>
    <row r="69" spans="1:18" s="1520" customFormat="1" ht="133.5" customHeight="1">
      <c r="A69" s="1515"/>
      <c r="B69" s="2588" t="s">
        <v>1798</v>
      </c>
      <c r="C69" s="2598"/>
      <c r="D69" s="2657"/>
      <c r="E69" s="2658"/>
      <c r="F69" s="1284"/>
      <c r="G69" s="1284"/>
      <c r="H69" s="1253"/>
      <c r="I69" s="1278"/>
      <c r="J69" s="1278"/>
      <c r="K69" s="1519"/>
      <c r="O69" s="1514"/>
      <c r="P69" s="1514"/>
      <c r="Q69" s="1461"/>
      <c r="R69" s="1514"/>
    </row>
    <row r="70" spans="1:18" s="1520" customFormat="1" ht="132.75" customHeight="1">
      <c r="A70" s="1521"/>
      <c r="B70" s="2588" t="s">
        <v>1799</v>
      </c>
      <c r="C70" s="2598"/>
      <c r="D70" s="2657"/>
      <c r="E70" s="2658"/>
      <c r="F70" s="1284"/>
      <c r="G70" s="1284"/>
      <c r="H70" s="1253"/>
      <c r="I70" s="1278"/>
      <c r="J70" s="1278"/>
      <c r="K70" s="1519"/>
      <c r="O70" s="1514"/>
      <c r="P70" s="1514"/>
      <c r="Q70" s="1461"/>
      <c r="R70" s="1514"/>
    </row>
    <row r="71" spans="1:18" ht="138.75" customHeight="1">
      <c r="A71" s="1313"/>
      <c r="B71" s="2588" t="s">
        <v>1800</v>
      </c>
      <c r="C71" s="2598"/>
      <c r="D71" s="2659"/>
      <c r="E71" s="2660"/>
      <c r="F71" s="1284"/>
      <c r="G71" s="1284"/>
      <c r="H71" s="1253"/>
      <c r="I71" s="1278"/>
      <c r="J71" s="1278"/>
      <c r="L71" s="1457"/>
      <c r="M71" s="1457"/>
      <c r="N71" s="1457"/>
      <c r="O71" s="1457"/>
      <c r="P71" s="1457"/>
      <c r="Q71" s="1457"/>
      <c r="R71" s="1457"/>
    </row>
    <row r="72" spans="1:18" ht="49.5" customHeight="1">
      <c r="A72" s="1536"/>
      <c r="B72" s="2575" t="s">
        <v>1719</v>
      </c>
      <c r="C72" s="2576"/>
      <c r="D72" s="2576"/>
      <c r="E72" s="2576"/>
      <c r="F72" s="2569"/>
      <c r="G72" s="2569"/>
      <c r="H72" s="2569"/>
      <c r="I72" s="1278"/>
      <c r="J72" s="1278"/>
      <c r="L72" s="1537"/>
      <c r="M72" s="1537"/>
      <c r="N72" s="1537"/>
      <c r="O72" s="1537"/>
      <c r="P72" s="1537"/>
      <c r="Q72" s="1457"/>
      <c r="R72" s="1457"/>
    </row>
    <row r="73" spans="1:18" s="1520" customFormat="1" ht="32.25" customHeight="1">
      <c r="A73" s="1521"/>
      <c r="B73" s="2575" t="s">
        <v>1720</v>
      </c>
      <c r="C73" s="2576"/>
      <c r="D73" s="2576"/>
      <c r="E73" s="2576"/>
      <c r="F73" s="2576"/>
      <c r="G73" s="2576"/>
      <c r="H73" s="2576"/>
      <c r="I73" s="1278"/>
      <c r="J73" s="1278"/>
      <c r="K73" s="1519"/>
      <c r="O73" s="1514"/>
      <c r="P73" s="1514"/>
      <c r="Q73" s="1461"/>
      <c r="R73" s="1514"/>
    </row>
    <row r="74" spans="1:18" s="1466" customFormat="1" ht="33.75" customHeight="1">
      <c r="A74" s="1462"/>
      <c r="B74" s="2585" t="s">
        <v>1721</v>
      </c>
      <c r="C74" s="2585"/>
      <c r="D74" s="2585"/>
      <c r="E74" s="2585"/>
      <c r="F74" s="2585"/>
      <c r="G74" s="2585"/>
      <c r="H74" s="2585"/>
      <c r="I74" s="2585"/>
      <c r="J74" s="2585"/>
      <c r="K74" s="1546"/>
      <c r="L74" s="1457"/>
      <c r="M74" s="1457"/>
      <c r="N74" s="1457"/>
      <c r="O74" s="1546"/>
      <c r="P74" s="1546"/>
    </row>
    <row r="75" spans="1:18" ht="212.25" customHeight="1">
      <c r="K75" s="1569"/>
      <c r="O75" s="1569"/>
      <c r="P75" s="1569"/>
    </row>
    <row r="76" spans="1:18" ht="282" customHeight="1">
      <c r="A76" s="1467"/>
      <c r="O76" s="1457"/>
      <c r="P76" s="1457"/>
      <c r="Q76" s="1457"/>
    </row>
    <row r="77" spans="1:18" ht="194.25" customHeight="1">
      <c r="A77" s="1536"/>
      <c r="O77" s="1457"/>
      <c r="P77" s="1457"/>
      <c r="Q77" s="1457"/>
    </row>
    <row r="78" spans="1:18" ht="274.5" customHeight="1">
      <c r="A78" s="1467"/>
      <c r="C78" s="1468"/>
      <c r="O78" s="1457"/>
      <c r="P78" s="1457"/>
      <c r="Q78" s="1457"/>
    </row>
    <row r="79" spans="1:18" ht="139.5" customHeight="1">
      <c r="A79" s="1467"/>
      <c r="C79" s="1468"/>
      <c r="O79" s="1457"/>
      <c r="P79" s="1457"/>
      <c r="Q79" s="1457"/>
    </row>
    <row r="80" spans="1:18" ht="41.25" customHeight="1">
      <c r="A80" s="1313"/>
      <c r="C80" s="1468"/>
      <c r="K80" s="1540"/>
      <c r="O80" s="1457"/>
      <c r="P80" s="1457"/>
      <c r="Q80" s="1457"/>
    </row>
    <row r="81" spans="1:17" ht="30" customHeight="1">
      <c r="A81" s="1467"/>
      <c r="O81" s="1457"/>
      <c r="P81" s="1457"/>
      <c r="Q81" s="1457"/>
    </row>
    <row r="82" spans="1:17" ht="30" customHeight="1">
      <c r="A82" s="1536"/>
      <c r="O82" s="1457"/>
      <c r="P82" s="1457"/>
      <c r="Q82" s="1457"/>
    </row>
    <row r="83" spans="1:17">
      <c r="K83" s="1576"/>
    </row>
    <row r="84" spans="1:17">
      <c r="K84" s="1576"/>
    </row>
    <row r="85" spans="1:17">
      <c r="K85" s="1577"/>
      <c r="O85" s="953"/>
      <c r="P85" s="953"/>
    </row>
    <row r="86" spans="1:17">
      <c r="K86" s="953"/>
      <c r="O86" s="953"/>
      <c r="P86" s="953"/>
    </row>
    <row r="87" spans="1:17">
      <c r="K87" s="953"/>
      <c r="O87" s="953"/>
      <c r="P87" s="953"/>
      <c r="Q87" s="1321" t="s">
        <v>403</v>
      </c>
    </row>
    <row r="88" spans="1:17">
      <c r="K88" s="953"/>
      <c r="O88" s="953"/>
      <c r="P88" s="953"/>
      <c r="Q88" s="1321" t="s">
        <v>405</v>
      </c>
    </row>
    <row r="89" spans="1:17">
      <c r="Q89" s="1321" t="s">
        <v>404</v>
      </c>
    </row>
    <row r="203" spans="2:2" ht="18">
      <c r="B203" s="1323"/>
    </row>
  </sheetData>
  <sheetProtection sheet="1" objects="1" scenarios="1" formatCells="0" formatColumns="0" formatRows="0" insertColumns="0" insertRows="0"/>
  <mergeCells count="50">
    <mergeCell ref="B9:G9"/>
    <mergeCell ref="H5:I5"/>
    <mergeCell ref="H6:I6"/>
    <mergeCell ref="B7:G7"/>
    <mergeCell ref="H7:I7"/>
    <mergeCell ref="H8:I8"/>
    <mergeCell ref="B33:C33"/>
    <mergeCell ref="D33:E33"/>
    <mergeCell ref="B10:G10"/>
    <mergeCell ref="B18:G18"/>
    <mergeCell ref="B19:G19"/>
    <mergeCell ref="B20:G20"/>
    <mergeCell ref="B21:G21"/>
    <mergeCell ref="B22:G22"/>
    <mergeCell ref="B24:E24"/>
    <mergeCell ref="B25:E25"/>
    <mergeCell ref="B26:D26"/>
    <mergeCell ref="G26:G32"/>
    <mergeCell ref="B32:D32"/>
    <mergeCell ref="B34:C34"/>
    <mergeCell ref="D34:E34"/>
    <mergeCell ref="G36:G42"/>
    <mergeCell ref="B42:D42"/>
    <mergeCell ref="B43:C43"/>
    <mergeCell ref="D43:E43"/>
    <mergeCell ref="B44:C44"/>
    <mergeCell ref="D44:E44"/>
    <mergeCell ref="G46:G52"/>
    <mergeCell ref="B52:D52"/>
    <mergeCell ref="B53:C53"/>
    <mergeCell ref="D53:E53"/>
    <mergeCell ref="B54:C54"/>
    <mergeCell ref="D54:E54"/>
    <mergeCell ref="G56:G62"/>
    <mergeCell ref="B62:D62"/>
    <mergeCell ref="B63:C63"/>
    <mergeCell ref="D63:E63"/>
    <mergeCell ref="B72:H72"/>
    <mergeCell ref="B73:H73"/>
    <mergeCell ref="B74:J74"/>
    <mergeCell ref="B64:C64"/>
    <mergeCell ref="D64:E64"/>
    <mergeCell ref="B66:C66"/>
    <mergeCell ref="D66:E66"/>
    <mergeCell ref="B67:E67"/>
    <mergeCell ref="B68:C68"/>
    <mergeCell ref="D68:E71"/>
    <mergeCell ref="B69:C69"/>
    <mergeCell ref="B70:C70"/>
    <mergeCell ref="B71:C71"/>
  </mergeCells>
  <dataValidations count="2">
    <dataValidation type="list" allowBlank="1" showInputMessage="1" showErrorMessage="1" sqref="WVP983075:WVQ983075 JD65:JE65 SZ65:TA65 ACV65:ACW65 AMR65:AMS65 AWN65:AWO65 BGJ65:BGK65 BQF65:BQG65 CAB65:CAC65 CJX65:CJY65 CTT65:CTU65 DDP65:DDQ65 DNL65:DNM65 DXH65:DXI65 EHD65:EHE65 EQZ65:ERA65 FAV65:FAW65 FKR65:FKS65 FUN65:FUO65 GEJ65:GEK65 GOF65:GOG65 GYB65:GYC65 HHX65:HHY65 HRT65:HRU65 IBP65:IBQ65 ILL65:ILM65 IVH65:IVI65 JFD65:JFE65 JOZ65:JPA65 JYV65:JYW65 KIR65:KIS65 KSN65:KSO65 LCJ65:LCK65 LMF65:LMG65 LWB65:LWC65 MFX65:MFY65 MPT65:MPU65 MZP65:MZQ65 NJL65:NJM65 NTH65:NTI65 ODD65:ODE65 OMZ65:ONA65 OWV65:OWW65 PGR65:PGS65 PQN65:PQO65 QAJ65:QAK65 QKF65:QKG65 QUB65:QUC65 RDX65:RDY65 RNT65:RNU65 RXP65:RXQ65 SHL65:SHM65 SRH65:SRI65 TBD65:TBE65 TKZ65:TLA65 TUV65:TUW65 UER65:UES65 UON65:UOO65 UYJ65:UYK65 VIF65:VIG65 VSB65:VSC65 WBX65:WBY65 WLT65:WLU65 WVP65:WVQ65 H65601:I65601 JD65601:JE65601 SZ65601:TA65601 ACV65601:ACW65601 AMR65601:AMS65601 AWN65601:AWO65601 BGJ65601:BGK65601 BQF65601:BQG65601 CAB65601:CAC65601 CJX65601:CJY65601 CTT65601:CTU65601 DDP65601:DDQ65601 DNL65601:DNM65601 DXH65601:DXI65601 EHD65601:EHE65601 EQZ65601:ERA65601 FAV65601:FAW65601 FKR65601:FKS65601 FUN65601:FUO65601 GEJ65601:GEK65601 GOF65601:GOG65601 GYB65601:GYC65601 HHX65601:HHY65601 HRT65601:HRU65601 IBP65601:IBQ65601 ILL65601:ILM65601 IVH65601:IVI65601 JFD65601:JFE65601 JOZ65601:JPA65601 JYV65601:JYW65601 KIR65601:KIS65601 KSN65601:KSO65601 LCJ65601:LCK65601 LMF65601:LMG65601 LWB65601:LWC65601 MFX65601:MFY65601 MPT65601:MPU65601 MZP65601:MZQ65601 NJL65601:NJM65601 NTH65601:NTI65601 ODD65601:ODE65601 OMZ65601:ONA65601 OWV65601:OWW65601 PGR65601:PGS65601 PQN65601:PQO65601 QAJ65601:QAK65601 QKF65601:QKG65601 QUB65601:QUC65601 RDX65601:RDY65601 RNT65601:RNU65601 RXP65601:RXQ65601 SHL65601:SHM65601 SRH65601:SRI65601 TBD65601:TBE65601 TKZ65601:TLA65601 TUV65601:TUW65601 UER65601:UES65601 UON65601:UOO65601 UYJ65601:UYK65601 VIF65601:VIG65601 VSB65601:VSC65601 WBX65601:WBY65601 WLT65601:WLU65601 WVP65601:WVQ65601 H131137:I131137 JD131137:JE131137 SZ131137:TA131137 ACV131137:ACW131137 AMR131137:AMS131137 AWN131137:AWO131137 BGJ131137:BGK131137 BQF131137:BQG131137 CAB131137:CAC131137 CJX131137:CJY131137 CTT131137:CTU131137 DDP131137:DDQ131137 DNL131137:DNM131137 DXH131137:DXI131137 EHD131137:EHE131137 EQZ131137:ERA131137 FAV131137:FAW131137 FKR131137:FKS131137 FUN131137:FUO131137 GEJ131137:GEK131137 GOF131137:GOG131137 GYB131137:GYC131137 HHX131137:HHY131137 HRT131137:HRU131137 IBP131137:IBQ131137 ILL131137:ILM131137 IVH131137:IVI131137 JFD131137:JFE131137 JOZ131137:JPA131137 JYV131137:JYW131137 KIR131137:KIS131137 KSN131137:KSO131137 LCJ131137:LCK131137 LMF131137:LMG131137 LWB131137:LWC131137 MFX131137:MFY131137 MPT131137:MPU131137 MZP131137:MZQ131137 NJL131137:NJM131137 NTH131137:NTI131137 ODD131137:ODE131137 OMZ131137:ONA131137 OWV131137:OWW131137 PGR131137:PGS131137 PQN131137:PQO131137 QAJ131137:QAK131137 QKF131137:QKG131137 QUB131137:QUC131137 RDX131137:RDY131137 RNT131137:RNU131137 RXP131137:RXQ131137 SHL131137:SHM131137 SRH131137:SRI131137 TBD131137:TBE131137 TKZ131137:TLA131137 TUV131137:TUW131137 UER131137:UES131137 UON131137:UOO131137 UYJ131137:UYK131137 VIF131137:VIG131137 VSB131137:VSC131137 WBX131137:WBY131137 WLT131137:WLU131137 WVP131137:WVQ131137 H196673:I196673 JD196673:JE196673 SZ196673:TA196673 ACV196673:ACW196673 AMR196673:AMS196673 AWN196673:AWO196673 BGJ196673:BGK196673 BQF196673:BQG196673 CAB196673:CAC196673 CJX196673:CJY196673 CTT196673:CTU196673 DDP196673:DDQ196673 DNL196673:DNM196673 DXH196673:DXI196673 EHD196673:EHE196673 EQZ196673:ERA196673 FAV196673:FAW196673 FKR196673:FKS196673 FUN196673:FUO196673 GEJ196673:GEK196673 GOF196673:GOG196673 GYB196673:GYC196673 HHX196673:HHY196673 HRT196673:HRU196673 IBP196673:IBQ196673 ILL196673:ILM196673 IVH196673:IVI196673 JFD196673:JFE196673 JOZ196673:JPA196673 JYV196673:JYW196673 KIR196673:KIS196673 KSN196673:KSO196673 LCJ196673:LCK196673 LMF196673:LMG196673 LWB196673:LWC196673 MFX196673:MFY196673 MPT196673:MPU196673 MZP196673:MZQ196673 NJL196673:NJM196673 NTH196673:NTI196673 ODD196673:ODE196673 OMZ196673:ONA196673 OWV196673:OWW196673 PGR196673:PGS196673 PQN196673:PQO196673 QAJ196673:QAK196673 QKF196673:QKG196673 QUB196673:QUC196673 RDX196673:RDY196673 RNT196673:RNU196673 RXP196673:RXQ196673 SHL196673:SHM196673 SRH196673:SRI196673 TBD196673:TBE196673 TKZ196673:TLA196673 TUV196673:TUW196673 UER196673:UES196673 UON196673:UOO196673 UYJ196673:UYK196673 VIF196673:VIG196673 VSB196673:VSC196673 WBX196673:WBY196673 WLT196673:WLU196673 WVP196673:WVQ196673 H262209:I262209 JD262209:JE262209 SZ262209:TA262209 ACV262209:ACW262209 AMR262209:AMS262209 AWN262209:AWO262209 BGJ262209:BGK262209 BQF262209:BQG262209 CAB262209:CAC262209 CJX262209:CJY262209 CTT262209:CTU262209 DDP262209:DDQ262209 DNL262209:DNM262209 DXH262209:DXI262209 EHD262209:EHE262209 EQZ262209:ERA262209 FAV262209:FAW262209 FKR262209:FKS262209 FUN262209:FUO262209 GEJ262209:GEK262209 GOF262209:GOG262209 GYB262209:GYC262209 HHX262209:HHY262209 HRT262209:HRU262209 IBP262209:IBQ262209 ILL262209:ILM262209 IVH262209:IVI262209 JFD262209:JFE262209 JOZ262209:JPA262209 JYV262209:JYW262209 KIR262209:KIS262209 KSN262209:KSO262209 LCJ262209:LCK262209 LMF262209:LMG262209 LWB262209:LWC262209 MFX262209:MFY262209 MPT262209:MPU262209 MZP262209:MZQ262209 NJL262209:NJM262209 NTH262209:NTI262209 ODD262209:ODE262209 OMZ262209:ONA262209 OWV262209:OWW262209 PGR262209:PGS262209 PQN262209:PQO262209 QAJ262209:QAK262209 QKF262209:QKG262209 QUB262209:QUC262209 RDX262209:RDY262209 RNT262209:RNU262209 RXP262209:RXQ262209 SHL262209:SHM262209 SRH262209:SRI262209 TBD262209:TBE262209 TKZ262209:TLA262209 TUV262209:TUW262209 UER262209:UES262209 UON262209:UOO262209 UYJ262209:UYK262209 VIF262209:VIG262209 VSB262209:VSC262209 WBX262209:WBY262209 WLT262209:WLU262209 WVP262209:WVQ262209 H327745:I327745 JD327745:JE327745 SZ327745:TA327745 ACV327745:ACW327745 AMR327745:AMS327745 AWN327745:AWO327745 BGJ327745:BGK327745 BQF327745:BQG327745 CAB327745:CAC327745 CJX327745:CJY327745 CTT327745:CTU327745 DDP327745:DDQ327745 DNL327745:DNM327745 DXH327745:DXI327745 EHD327745:EHE327745 EQZ327745:ERA327745 FAV327745:FAW327745 FKR327745:FKS327745 FUN327745:FUO327745 GEJ327745:GEK327745 GOF327745:GOG327745 GYB327745:GYC327745 HHX327745:HHY327745 HRT327745:HRU327745 IBP327745:IBQ327745 ILL327745:ILM327745 IVH327745:IVI327745 JFD327745:JFE327745 JOZ327745:JPA327745 JYV327745:JYW327745 KIR327745:KIS327745 KSN327745:KSO327745 LCJ327745:LCK327745 LMF327745:LMG327745 LWB327745:LWC327745 MFX327745:MFY327745 MPT327745:MPU327745 MZP327745:MZQ327745 NJL327745:NJM327745 NTH327745:NTI327745 ODD327745:ODE327745 OMZ327745:ONA327745 OWV327745:OWW327745 PGR327745:PGS327745 PQN327745:PQO327745 QAJ327745:QAK327745 QKF327745:QKG327745 QUB327745:QUC327745 RDX327745:RDY327745 RNT327745:RNU327745 RXP327745:RXQ327745 SHL327745:SHM327745 SRH327745:SRI327745 TBD327745:TBE327745 TKZ327745:TLA327745 TUV327745:TUW327745 UER327745:UES327745 UON327745:UOO327745 UYJ327745:UYK327745 VIF327745:VIG327745 VSB327745:VSC327745 WBX327745:WBY327745 WLT327745:WLU327745 WVP327745:WVQ327745 H393281:I393281 JD393281:JE393281 SZ393281:TA393281 ACV393281:ACW393281 AMR393281:AMS393281 AWN393281:AWO393281 BGJ393281:BGK393281 BQF393281:BQG393281 CAB393281:CAC393281 CJX393281:CJY393281 CTT393281:CTU393281 DDP393281:DDQ393281 DNL393281:DNM393281 DXH393281:DXI393281 EHD393281:EHE393281 EQZ393281:ERA393281 FAV393281:FAW393281 FKR393281:FKS393281 FUN393281:FUO393281 GEJ393281:GEK393281 GOF393281:GOG393281 GYB393281:GYC393281 HHX393281:HHY393281 HRT393281:HRU393281 IBP393281:IBQ393281 ILL393281:ILM393281 IVH393281:IVI393281 JFD393281:JFE393281 JOZ393281:JPA393281 JYV393281:JYW393281 KIR393281:KIS393281 KSN393281:KSO393281 LCJ393281:LCK393281 LMF393281:LMG393281 LWB393281:LWC393281 MFX393281:MFY393281 MPT393281:MPU393281 MZP393281:MZQ393281 NJL393281:NJM393281 NTH393281:NTI393281 ODD393281:ODE393281 OMZ393281:ONA393281 OWV393281:OWW393281 PGR393281:PGS393281 PQN393281:PQO393281 QAJ393281:QAK393281 QKF393281:QKG393281 QUB393281:QUC393281 RDX393281:RDY393281 RNT393281:RNU393281 RXP393281:RXQ393281 SHL393281:SHM393281 SRH393281:SRI393281 TBD393281:TBE393281 TKZ393281:TLA393281 TUV393281:TUW393281 UER393281:UES393281 UON393281:UOO393281 UYJ393281:UYK393281 VIF393281:VIG393281 VSB393281:VSC393281 WBX393281:WBY393281 WLT393281:WLU393281 WVP393281:WVQ393281 H458817:I458817 JD458817:JE458817 SZ458817:TA458817 ACV458817:ACW458817 AMR458817:AMS458817 AWN458817:AWO458817 BGJ458817:BGK458817 BQF458817:BQG458817 CAB458817:CAC458817 CJX458817:CJY458817 CTT458817:CTU458817 DDP458817:DDQ458817 DNL458817:DNM458817 DXH458817:DXI458817 EHD458817:EHE458817 EQZ458817:ERA458817 FAV458817:FAW458817 FKR458817:FKS458817 FUN458817:FUO458817 GEJ458817:GEK458817 GOF458817:GOG458817 GYB458817:GYC458817 HHX458817:HHY458817 HRT458817:HRU458817 IBP458817:IBQ458817 ILL458817:ILM458817 IVH458817:IVI458817 JFD458817:JFE458817 JOZ458817:JPA458817 JYV458817:JYW458817 KIR458817:KIS458817 KSN458817:KSO458817 LCJ458817:LCK458817 LMF458817:LMG458817 LWB458817:LWC458817 MFX458817:MFY458817 MPT458817:MPU458817 MZP458817:MZQ458817 NJL458817:NJM458817 NTH458817:NTI458817 ODD458817:ODE458817 OMZ458817:ONA458817 OWV458817:OWW458817 PGR458817:PGS458817 PQN458817:PQO458817 QAJ458817:QAK458817 QKF458817:QKG458817 QUB458817:QUC458817 RDX458817:RDY458817 RNT458817:RNU458817 RXP458817:RXQ458817 SHL458817:SHM458817 SRH458817:SRI458817 TBD458817:TBE458817 TKZ458817:TLA458817 TUV458817:TUW458817 UER458817:UES458817 UON458817:UOO458817 UYJ458817:UYK458817 VIF458817:VIG458817 VSB458817:VSC458817 WBX458817:WBY458817 WLT458817:WLU458817 WVP458817:WVQ458817 H524353:I524353 JD524353:JE524353 SZ524353:TA524353 ACV524353:ACW524353 AMR524353:AMS524353 AWN524353:AWO524353 BGJ524353:BGK524353 BQF524353:BQG524353 CAB524353:CAC524353 CJX524353:CJY524353 CTT524353:CTU524353 DDP524353:DDQ524353 DNL524353:DNM524353 DXH524353:DXI524353 EHD524353:EHE524353 EQZ524353:ERA524353 FAV524353:FAW524353 FKR524353:FKS524353 FUN524353:FUO524353 GEJ524353:GEK524353 GOF524353:GOG524353 GYB524353:GYC524353 HHX524353:HHY524353 HRT524353:HRU524353 IBP524353:IBQ524353 ILL524353:ILM524353 IVH524353:IVI524353 JFD524353:JFE524353 JOZ524353:JPA524353 JYV524353:JYW524353 KIR524353:KIS524353 KSN524353:KSO524353 LCJ524353:LCK524353 LMF524353:LMG524353 LWB524353:LWC524353 MFX524353:MFY524353 MPT524353:MPU524353 MZP524353:MZQ524353 NJL524353:NJM524353 NTH524353:NTI524353 ODD524353:ODE524353 OMZ524353:ONA524353 OWV524353:OWW524353 PGR524353:PGS524353 PQN524353:PQO524353 QAJ524353:QAK524353 QKF524353:QKG524353 QUB524353:QUC524353 RDX524353:RDY524353 RNT524353:RNU524353 RXP524353:RXQ524353 SHL524353:SHM524353 SRH524353:SRI524353 TBD524353:TBE524353 TKZ524353:TLA524353 TUV524353:TUW524353 UER524353:UES524353 UON524353:UOO524353 UYJ524353:UYK524353 VIF524353:VIG524353 VSB524353:VSC524353 WBX524353:WBY524353 WLT524353:WLU524353 WVP524353:WVQ524353 H589889:I589889 JD589889:JE589889 SZ589889:TA589889 ACV589889:ACW589889 AMR589889:AMS589889 AWN589889:AWO589889 BGJ589889:BGK589889 BQF589889:BQG589889 CAB589889:CAC589889 CJX589889:CJY589889 CTT589889:CTU589889 DDP589889:DDQ589889 DNL589889:DNM589889 DXH589889:DXI589889 EHD589889:EHE589889 EQZ589889:ERA589889 FAV589889:FAW589889 FKR589889:FKS589889 FUN589889:FUO589889 GEJ589889:GEK589889 GOF589889:GOG589889 GYB589889:GYC589889 HHX589889:HHY589889 HRT589889:HRU589889 IBP589889:IBQ589889 ILL589889:ILM589889 IVH589889:IVI589889 JFD589889:JFE589889 JOZ589889:JPA589889 JYV589889:JYW589889 KIR589889:KIS589889 KSN589889:KSO589889 LCJ589889:LCK589889 LMF589889:LMG589889 LWB589889:LWC589889 MFX589889:MFY589889 MPT589889:MPU589889 MZP589889:MZQ589889 NJL589889:NJM589889 NTH589889:NTI589889 ODD589889:ODE589889 OMZ589889:ONA589889 OWV589889:OWW589889 PGR589889:PGS589889 PQN589889:PQO589889 QAJ589889:QAK589889 QKF589889:QKG589889 QUB589889:QUC589889 RDX589889:RDY589889 RNT589889:RNU589889 RXP589889:RXQ589889 SHL589889:SHM589889 SRH589889:SRI589889 TBD589889:TBE589889 TKZ589889:TLA589889 TUV589889:TUW589889 UER589889:UES589889 UON589889:UOO589889 UYJ589889:UYK589889 VIF589889:VIG589889 VSB589889:VSC589889 WBX589889:WBY589889 WLT589889:WLU589889 WVP589889:WVQ589889 H655425:I655425 JD655425:JE655425 SZ655425:TA655425 ACV655425:ACW655425 AMR655425:AMS655425 AWN655425:AWO655425 BGJ655425:BGK655425 BQF655425:BQG655425 CAB655425:CAC655425 CJX655425:CJY655425 CTT655425:CTU655425 DDP655425:DDQ655425 DNL655425:DNM655425 DXH655425:DXI655425 EHD655425:EHE655425 EQZ655425:ERA655425 FAV655425:FAW655425 FKR655425:FKS655425 FUN655425:FUO655425 GEJ655425:GEK655425 GOF655425:GOG655425 GYB655425:GYC655425 HHX655425:HHY655425 HRT655425:HRU655425 IBP655425:IBQ655425 ILL655425:ILM655425 IVH655425:IVI655425 JFD655425:JFE655425 JOZ655425:JPA655425 JYV655425:JYW655425 KIR655425:KIS655425 KSN655425:KSO655425 LCJ655425:LCK655425 LMF655425:LMG655425 LWB655425:LWC655425 MFX655425:MFY655425 MPT655425:MPU655425 MZP655425:MZQ655425 NJL655425:NJM655425 NTH655425:NTI655425 ODD655425:ODE655425 OMZ655425:ONA655425 OWV655425:OWW655425 PGR655425:PGS655425 PQN655425:PQO655425 QAJ655425:QAK655425 QKF655425:QKG655425 QUB655425:QUC655425 RDX655425:RDY655425 RNT655425:RNU655425 RXP655425:RXQ655425 SHL655425:SHM655425 SRH655425:SRI655425 TBD655425:TBE655425 TKZ655425:TLA655425 TUV655425:TUW655425 UER655425:UES655425 UON655425:UOO655425 UYJ655425:UYK655425 VIF655425:VIG655425 VSB655425:VSC655425 WBX655425:WBY655425 WLT655425:WLU655425 WVP655425:WVQ655425 H720961:I720961 JD720961:JE720961 SZ720961:TA720961 ACV720961:ACW720961 AMR720961:AMS720961 AWN720961:AWO720961 BGJ720961:BGK720961 BQF720961:BQG720961 CAB720961:CAC720961 CJX720961:CJY720961 CTT720961:CTU720961 DDP720961:DDQ720961 DNL720961:DNM720961 DXH720961:DXI720961 EHD720961:EHE720961 EQZ720961:ERA720961 FAV720961:FAW720961 FKR720961:FKS720961 FUN720961:FUO720961 GEJ720961:GEK720961 GOF720961:GOG720961 GYB720961:GYC720961 HHX720961:HHY720961 HRT720961:HRU720961 IBP720961:IBQ720961 ILL720961:ILM720961 IVH720961:IVI720961 JFD720961:JFE720961 JOZ720961:JPA720961 JYV720961:JYW720961 KIR720961:KIS720961 KSN720961:KSO720961 LCJ720961:LCK720961 LMF720961:LMG720961 LWB720961:LWC720961 MFX720961:MFY720961 MPT720961:MPU720961 MZP720961:MZQ720961 NJL720961:NJM720961 NTH720961:NTI720961 ODD720961:ODE720961 OMZ720961:ONA720961 OWV720961:OWW720961 PGR720961:PGS720961 PQN720961:PQO720961 QAJ720961:QAK720961 QKF720961:QKG720961 QUB720961:QUC720961 RDX720961:RDY720961 RNT720961:RNU720961 RXP720961:RXQ720961 SHL720961:SHM720961 SRH720961:SRI720961 TBD720961:TBE720961 TKZ720961:TLA720961 TUV720961:TUW720961 UER720961:UES720961 UON720961:UOO720961 UYJ720961:UYK720961 VIF720961:VIG720961 VSB720961:VSC720961 WBX720961:WBY720961 WLT720961:WLU720961 WVP720961:WVQ720961 H786497:I786497 JD786497:JE786497 SZ786497:TA786497 ACV786497:ACW786497 AMR786497:AMS786497 AWN786497:AWO786497 BGJ786497:BGK786497 BQF786497:BQG786497 CAB786497:CAC786497 CJX786497:CJY786497 CTT786497:CTU786497 DDP786497:DDQ786497 DNL786497:DNM786497 DXH786497:DXI786497 EHD786497:EHE786497 EQZ786497:ERA786497 FAV786497:FAW786497 FKR786497:FKS786497 FUN786497:FUO786497 GEJ786497:GEK786497 GOF786497:GOG786497 GYB786497:GYC786497 HHX786497:HHY786497 HRT786497:HRU786497 IBP786497:IBQ786497 ILL786497:ILM786497 IVH786497:IVI786497 JFD786497:JFE786497 JOZ786497:JPA786497 JYV786497:JYW786497 KIR786497:KIS786497 KSN786497:KSO786497 LCJ786497:LCK786497 LMF786497:LMG786497 LWB786497:LWC786497 MFX786497:MFY786497 MPT786497:MPU786497 MZP786497:MZQ786497 NJL786497:NJM786497 NTH786497:NTI786497 ODD786497:ODE786497 OMZ786497:ONA786497 OWV786497:OWW786497 PGR786497:PGS786497 PQN786497:PQO786497 QAJ786497:QAK786497 QKF786497:QKG786497 QUB786497:QUC786497 RDX786497:RDY786497 RNT786497:RNU786497 RXP786497:RXQ786497 SHL786497:SHM786497 SRH786497:SRI786497 TBD786497:TBE786497 TKZ786497:TLA786497 TUV786497:TUW786497 UER786497:UES786497 UON786497:UOO786497 UYJ786497:UYK786497 VIF786497:VIG786497 VSB786497:VSC786497 WBX786497:WBY786497 WLT786497:WLU786497 WVP786497:WVQ786497 H852033:I852033 JD852033:JE852033 SZ852033:TA852033 ACV852033:ACW852033 AMR852033:AMS852033 AWN852033:AWO852033 BGJ852033:BGK852033 BQF852033:BQG852033 CAB852033:CAC852033 CJX852033:CJY852033 CTT852033:CTU852033 DDP852033:DDQ852033 DNL852033:DNM852033 DXH852033:DXI852033 EHD852033:EHE852033 EQZ852033:ERA852033 FAV852033:FAW852033 FKR852033:FKS852033 FUN852033:FUO852033 GEJ852033:GEK852033 GOF852033:GOG852033 GYB852033:GYC852033 HHX852033:HHY852033 HRT852033:HRU852033 IBP852033:IBQ852033 ILL852033:ILM852033 IVH852033:IVI852033 JFD852033:JFE852033 JOZ852033:JPA852033 JYV852033:JYW852033 KIR852033:KIS852033 KSN852033:KSO852033 LCJ852033:LCK852033 LMF852033:LMG852033 LWB852033:LWC852033 MFX852033:MFY852033 MPT852033:MPU852033 MZP852033:MZQ852033 NJL852033:NJM852033 NTH852033:NTI852033 ODD852033:ODE852033 OMZ852033:ONA852033 OWV852033:OWW852033 PGR852033:PGS852033 PQN852033:PQO852033 QAJ852033:QAK852033 QKF852033:QKG852033 QUB852033:QUC852033 RDX852033:RDY852033 RNT852033:RNU852033 RXP852033:RXQ852033 SHL852033:SHM852033 SRH852033:SRI852033 TBD852033:TBE852033 TKZ852033:TLA852033 TUV852033:TUW852033 UER852033:UES852033 UON852033:UOO852033 UYJ852033:UYK852033 VIF852033:VIG852033 VSB852033:VSC852033 WBX852033:WBY852033 WLT852033:WLU852033 WVP852033:WVQ852033 H917569:I917569 JD917569:JE917569 SZ917569:TA917569 ACV917569:ACW917569 AMR917569:AMS917569 AWN917569:AWO917569 BGJ917569:BGK917569 BQF917569:BQG917569 CAB917569:CAC917569 CJX917569:CJY917569 CTT917569:CTU917569 DDP917569:DDQ917569 DNL917569:DNM917569 DXH917569:DXI917569 EHD917569:EHE917569 EQZ917569:ERA917569 FAV917569:FAW917569 FKR917569:FKS917569 FUN917569:FUO917569 GEJ917569:GEK917569 GOF917569:GOG917569 GYB917569:GYC917569 HHX917569:HHY917569 HRT917569:HRU917569 IBP917569:IBQ917569 ILL917569:ILM917569 IVH917569:IVI917569 JFD917569:JFE917569 JOZ917569:JPA917569 JYV917569:JYW917569 KIR917569:KIS917569 KSN917569:KSO917569 LCJ917569:LCK917569 LMF917569:LMG917569 LWB917569:LWC917569 MFX917569:MFY917569 MPT917569:MPU917569 MZP917569:MZQ917569 NJL917569:NJM917569 NTH917569:NTI917569 ODD917569:ODE917569 OMZ917569:ONA917569 OWV917569:OWW917569 PGR917569:PGS917569 PQN917569:PQO917569 QAJ917569:QAK917569 QKF917569:QKG917569 QUB917569:QUC917569 RDX917569:RDY917569 RNT917569:RNU917569 RXP917569:RXQ917569 SHL917569:SHM917569 SRH917569:SRI917569 TBD917569:TBE917569 TKZ917569:TLA917569 TUV917569:TUW917569 UER917569:UES917569 UON917569:UOO917569 UYJ917569:UYK917569 VIF917569:VIG917569 VSB917569:VSC917569 WBX917569:WBY917569 WLT917569:WLU917569 WVP917569:WVQ917569 H983105:I983105 JD983105:JE983105 SZ983105:TA983105 ACV983105:ACW983105 AMR983105:AMS983105 AWN983105:AWO983105 BGJ983105:BGK983105 BQF983105:BQG983105 CAB983105:CAC983105 CJX983105:CJY983105 CTT983105:CTU983105 DDP983105:DDQ983105 DNL983105:DNM983105 DXH983105:DXI983105 EHD983105:EHE983105 EQZ983105:ERA983105 FAV983105:FAW983105 FKR983105:FKS983105 FUN983105:FUO983105 GEJ983105:GEK983105 GOF983105:GOG983105 GYB983105:GYC983105 HHX983105:HHY983105 HRT983105:HRU983105 IBP983105:IBQ983105 ILL983105:ILM983105 IVH983105:IVI983105 JFD983105:JFE983105 JOZ983105:JPA983105 JYV983105:JYW983105 KIR983105:KIS983105 KSN983105:KSO983105 LCJ983105:LCK983105 LMF983105:LMG983105 LWB983105:LWC983105 MFX983105:MFY983105 MPT983105:MPU983105 MZP983105:MZQ983105 NJL983105:NJM983105 NTH983105:NTI983105 ODD983105:ODE983105 OMZ983105:ONA983105 OWV983105:OWW983105 PGR983105:PGS983105 PQN983105:PQO983105 QAJ983105:QAK983105 QKF983105:QKG983105 QUB983105:QUC983105 RDX983105:RDY983105 RNT983105:RNU983105 RXP983105:RXQ983105 SHL983105:SHM983105 SRH983105:SRI983105 TBD983105:TBE983105 TKZ983105:TLA983105 TUV983105:TUW983105 UER983105:UES983105 UON983105:UOO983105 UYJ983105:UYK983105 VIF983105:VIG983105 VSB983105:VSC983105 WBX983105:WBY983105 WLT983105:WLU983105 WVP983105:WVQ983105 H55:I55 JD55:JE55 SZ55:TA55 ACV55:ACW55 AMR55:AMS55 AWN55:AWO55 BGJ55:BGK55 BQF55:BQG55 CAB55:CAC55 CJX55:CJY55 CTT55:CTU55 DDP55:DDQ55 DNL55:DNM55 DXH55:DXI55 EHD55:EHE55 EQZ55:ERA55 FAV55:FAW55 FKR55:FKS55 FUN55:FUO55 GEJ55:GEK55 GOF55:GOG55 GYB55:GYC55 HHX55:HHY55 HRT55:HRU55 IBP55:IBQ55 ILL55:ILM55 IVH55:IVI55 JFD55:JFE55 JOZ55:JPA55 JYV55:JYW55 KIR55:KIS55 KSN55:KSO55 LCJ55:LCK55 LMF55:LMG55 LWB55:LWC55 MFX55:MFY55 MPT55:MPU55 MZP55:MZQ55 NJL55:NJM55 NTH55:NTI55 ODD55:ODE55 OMZ55:ONA55 OWV55:OWW55 PGR55:PGS55 PQN55:PQO55 QAJ55:QAK55 QKF55:QKG55 QUB55:QUC55 RDX55:RDY55 RNT55:RNU55 RXP55:RXQ55 SHL55:SHM55 SRH55:SRI55 TBD55:TBE55 TKZ55:TLA55 TUV55:TUW55 UER55:UES55 UON55:UOO55 UYJ55:UYK55 VIF55:VIG55 VSB55:VSC55 WBX55:WBY55 WLT55:WLU55 WVP55:WVQ55 H65591:I65591 JD65591:JE65591 SZ65591:TA65591 ACV65591:ACW65591 AMR65591:AMS65591 AWN65591:AWO65591 BGJ65591:BGK65591 BQF65591:BQG65591 CAB65591:CAC65591 CJX65591:CJY65591 CTT65591:CTU65591 DDP65591:DDQ65591 DNL65591:DNM65591 DXH65591:DXI65591 EHD65591:EHE65591 EQZ65591:ERA65591 FAV65591:FAW65591 FKR65591:FKS65591 FUN65591:FUO65591 GEJ65591:GEK65591 GOF65591:GOG65591 GYB65591:GYC65591 HHX65591:HHY65591 HRT65591:HRU65591 IBP65591:IBQ65591 ILL65591:ILM65591 IVH65591:IVI65591 JFD65591:JFE65591 JOZ65591:JPA65591 JYV65591:JYW65591 KIR65591:KIS65591 KSN65591:KSO65591 LCJ65591:LCK65591 LMF65591:LMG65591 LWB65591:LWC65591 MFX65591:MFY65591 MPT65591:MPU65591 MZP65591:MZQ65591 NJL65591:NJM65591 NTH65591:NTI65591 ODD65591:ODE65591 OMZ65591:ONA65591 OWV65591:OWW65591 PGR65591:PGS65591 PQN65591:PQO65591 QAJ65591:QAK65591 QKF65591:QKG65591 QUB65591:QUC65591 RDX65591:RDY65591 RNT65591:RNU65591 RXP65591:RXQ65591 SHL65591:SHM65591 SRH65591:SRI65591 TBD65591:TBE65591 TKZ65591:TLA65591 TUV65591:TUW65591 UER65591:UES65591 UON65591:UOO65591 UYJ65591:UYK65591 VIF65591:VIG65591 VSB65591:VSC65591 WBX65591:WBY65591 WLT65591:WLU65591 WVP65591:WVQ65591 H131127:I131127 JD131127:JE131127 SZ131127:TA131127 ACV131127:ACW131127 AMR131127:AMS131127 AWN131127:AWO131127 BGJ131127:BGK131127 BQF131127:BQG131127 CAB131127:CAC131127 CJX131127:CJY131127 CTT131127:CTU131127 DDP131127:DDQ131127 DNL131127:DNM131127 DXH131127:DXI131127 EHD131127:EHE131127 EQZ131127:ERA131127 FAV131127:FAW131127 FKR131127:FKS131127 FUN131127:FUO131127 GEJ131127:GEK131127 GOF131127:GOG131127 GYB131127:GYC131127 HHX131127:HHY131127 HRT131127:HRU131127 IBP131127:IBQ131127 ILL131127:ILM131127 IVH131127:IVI131127 JFD131127:JFE131127 JOZ131127:JPA131127 JYV131127:JYW131127 KIR131127:KIS131127 KSN131127:KSO131127 LCJ131127:LCK131127 LMF131127:LMG131127 LWB131127:LWC131127 MFX131127:MFY131127 MPT131127:MPU131127 MZP131127:MZQ131127 NJL131127:NJM131127 NTH131127:NTI131127 ODD131127:ODE131127 OMZ131127:ONA131127 OWV131127:OWW131127 PGR131127:PGS131127 PQN131127:PQO131127 QAJ131127:QAK131127 QKF131127:QKG131127 QUB131127:QUC131127 RDX131127:RDY131127 RNT131127:RNU131127 RXP131127:RXQ131127 SHL131127:SHM131127 SRH131127:SRI131127 TBD131127:TBE131127 TKZ131127:TLA131127 TUV131127:TUW131127 UER131127:UES131127 UON131127:UOO131127 UYJ131127:UYK131127 VIF131127:VIG131127 VSB131127:VSC131127 WBX131127:WBY131127 WLT131127:WLU131127 WVP131127:WVQ131127 H196663:I196663 JD196663:JE196663 SZ196663:TA196663 ACV196663:ACW196663 AMR196663:AMS196663 AWN196663:AWO196663 BGJ196663:BGK196663 BQF196663:BQG196663 CAB196663:CAC196663 CJX196663:CJY196663 CTT196663:CTU196663 DDP196663:DDQ196663 DNL196663:DNM196663 DXH196663:DXI196663 EHD196663:EHE196663 EQZ196663:ERA196663 FAV196663:FAW196663 FKR196663:FKS196663 FUN196663:FUO196663 GEJ196663:GEK196663 GOF196663:GOG196663 GYB196663:GYC196663 HHX196663:HHY196663 HRT196663:HRU196663 IBP196663:IBQ196663 ILL196663:ILM196663 IVH196663:IVI196663 JFD196663:JFE196663 JOZ196663:JPA196663 JYV196663:JYW196663 KIR196663:KIS196663 KSN196663:KSO196663 LCJ196663:LCK196663 LMF196663:LMG196663 LWB196663:LWC196663 MFX196663:MFY196663 MPT196663:MPU196663 MZP196663:MZQ196663 NJL196663:NJM196663 NTH196663:NTI196663 ODD196663:ODE196663 OMZ196663:ONA196663 OWV196663:OWW196663 PGR196663:PGS196663 PQN196663:PQO196663 QAJ196663:QAK196663 QKF196663:QKG196663 QUB196663:QUC196663 RDX196663:RDY196663 RNT196663:RNU196663 RXP196663:RXQ196663 SHL196663:SHM196663 SRH196663:SRI196663 TBD196663:TBE196663 TKZ196663:TLA196663 TUV196663:TUW196663 UER196663:UES196663 UON196663:UOO196663 UYJ196663:UYK196663 VIF196663:VIG196663 VSB196663:VSC196663 WBX196663:WBY196663 WLT196663:WLU196663 WVP196663:WVQ196663 H262199:I262199 JD262199:JE262199 SZ262199:TA262199 ACV262199:ACW262199 AMR262199:AMS262199 AWN262199:AWO262199 BGJ262199:BGK262199 BQF262199:BQG262199 CAB262199:CAC262199 CJX262199:CJY262199 CTT262199:CTU262199 DDP262199:DDQ262199 DNL262199:DNM262199 DXH262199:DXI262199 EHD262199:EHE262199 EQZ262199:ERA262199 FAV262199:FAW262199 FKR262199:FKS262199 FUN262199:FUO262199 GEJ262199:GEK262199 GOF262199:GOG262199 GYB262199:GYC262199 HHX262199:HHY262199 HRT262199:HRU262199 IBP262199:IBQ262199 ILL262199:ILM262199 IVH262199:IVI262199 JFD262199:JFE262199 JOZ262199:JPA262199 JYV262199:JYW262199 KIR262199:KIS262199 KSN262199:KSO262199 LCJ262199:LCK262199 LMF262199:LMG262199 LWB262199:LWC262199 MFX262199:MFY262199 MPT262199:MPU262199 MZP262199:MZQ262199 NJL262199:NJM262199 NTH262199:NTI262199 ODD262199:ODE262199 OMZ262199:ONA262199 OWV262199:OWW262199 PGR262199:PGS262199 PQN262199:PQO262199 QAJ262199:QAK262199 QKF262199:QKG262199 QUB262199:QUC262199 RDX262199:RDY262199 RNT262199:RNU262199 RXP262199:RXQ262199 SHL262199:SHM262199 SRH262199:SRI262199 TBD262199:TBE262199 TKZ262199:TLA262199 TUV262199:TUW262199 UER262199:UES262199 UON262199:UOO262199 UYJ262199:UYK262199 VIF262199:VIG262199 VSB262199:VSC262199 WBX262199:WBY262199 WLT262199:WLU262199 WVP262199:WVQ262199 H327735:I327735 JD327735:JE327735 SZ327735:TA327735 ACV327735:ACW327735 AMR327735:AMS327735 AWN327735:AWO327735 BGJ327735:BGK327735 BQF327735:BQG327735 CAB327735:CAC327735 CJX327735:CJY327735 CTT327735:CTU327735 DDP327735:DDQ327735 DNL327735:DNM327735 DXH327735:DXI327735 EHD327735:EHE327735 EQZ327735:ERA327735 FAV327735:FAW327735 FKR327735:FKS327735 FUN327735:FUO327735 GEJ327735:GEK327735 GOF327735:GOG327735 GYB327735:GYC327735 HHX327735:HHY327735 HRT327735:HRU327735 IBP327735:IBQ327735 ILL327735:ILM327735 IVH327735:IVI327735 JFD327735:JFE327735 JOZ327735:JPA327735 JYV327735:JYW327735 KIR327735:KIS327735 KSN327735:KSO327735 LCJ327735:LCK327735 LMF327735:LMG327735 LWB327735:LWC327735 MFX327735:MFY327735 MPT327735:MPU327735 MZP327735:MZQ327735 NJL327735:NJM327735 NTH327735:NTI327735 ODD327735:ODE327735 OMZ327735:ONA327735 OWV327735:OWW327735 PGR327735:PGS327735 PQN327735:PQO327735 QAJ327735:QAK327735 QKF327735:QKG327735 QUB327735:QUC327735 RDX327735:RDY327735 RNT327735:RNU327735 RXP327735:RXQ327735 SHL327735:SHM327735 SRH327735:SRI327735 TBD327735:TBE327735 TKZ327735:TLA327735 TUV327735:TUW327735 UER327735:UES327735 UON327735:UOO327735 UYJ327735:UYK327735 VIF327735:VIG327735 VSB327735:VSC327735 WBX327735:WBY327735 WLT327735:WLU327735 WVP327735:WVQ327735 H393271:I393271 JD393271:JE393271 SZ393271:TA393271 ACV393271:ACW393271 AMR393271:AMS393271 AWN393271:AWO393271 BGJ393271:BGK393271 BQF393271:BQG393271 CAB393271:CAC393271 CJX393271:CJY393271 CTT393271:CTU393271 DDP393271:DDQ393271 DNL393271:DNM393271 DXH393271:DXI393271 EHD393271:EHE393271 EQZ393271:ERA393271 FAV393271:FAW393271 FKR393271:FKS393271 FUN393271:FUO393271 GEJ393271:GEK393271 GOF393271:GOG393271 GYB393271:GYC393271 HHX393271:HHY393271 HRT393271:HRU393271 IBP393271:IBQ393271 ILL393271:ILM393271 IVH393271:IVI393271 JFD393271:JFE393271 JOZ393271:JPA393271 JYV393271:JYW393271 KIR393271:KIS393271 KSN393271:KSO393271 LCJ393271:LCK393271 LMF393271:LMG393271 LWB393271:LWC393271 MFX393271:MFY393271 MPT393271:MPU393271 MZP393271:MZQ393271 NJL393271:NJM393271 NTH393271:NTI393271 ODD393271:ODE393271 OMZ393271:ONA393271 OWV393271:OWW393271 PGR393271:PGS393271 PQN393271:PQO393271 QAJ393271:QAK393271 QKF393271:QKG393271 QUB393271:QUC393271 RDX393271:RDY393271 RNT393271:RNU393271 RXP393271:RXQ393271 SHL393271:SHM393271 SRH393271:SRI393271 TBD393271:TBE393271 TKZ393271:TLA393271 TUV393271:TUW393271 UER393271:UES393271 UON393271:UOO393271 UYJ393271:UYK393271 VIF393271:VIG393271 VSB393271:VSC393271 WBX393271:WBY393271 WLT393271:WLU393271 WVP393271:WVQ393271 H458807:I458807 JD458807:JE458807 SZ458807:TA458807 ACV458807:ACW458807 AMR458807:AMS458807 AWN458807:AWO458807 BGJ458807:BGK458807 BQF458807:BQG458807 CAB458807:CAC458807 CJX458807:CJY458807 CTT458807:CTU458807 DDP458807:DDQ458807 DNL458807:DNM458807 DXH458807:DXI458807 EHD458807:EHE458807 EQZ458807:ERA458807 FAV458807:FAW458807 FKR458807:FKS458807 FUN458807:FUO458807 GEJ458807:GEK458807 GOF458807:GOG458807 GYB458807:GYC458807 HHX458807:HHY458807 HRT458807:HRU458807 IBP458807:IBQ458807 ILL458807:ILM458807 IVH458807:IVI458807 JFD458807:JFE458807 JOZ458807:JPA458807 JYV458807:JYW458807 KIR458807:KIS458807 KSN458807:KSO458807 LCJ458807:LCK458807 LMF458807:LMG458807 LWB458807:LWC458807 MFX458807:MFY458807 MPT458807:MPU458807 MZP458807:MZQ458807 NJL458807:NJM458807 NTH458807:NTI458807 ODD458807:ODE458807 OMZ458807:ONA458807 OWV458807:OWW458807 PGR458807:PGS458807 PQN458807:PQO458807 QAJ458807:QAK458807 QKF458807:QKG458807 QUB458807:QUC458807 RDX458807:RDY458807 RNT458807:RNU458807 RXP458807:RXQ458807 SHL458807:SHM458807 SRH458807:SRI458807 TBD458807:TBE458807 TKZ458807:TLA458807 TUV458807:TUW458807 UER458807:UES458807 UON458807:UOO458807 UYJ458807:UYK458807 VIF458807:VIG458807 VSB458807:VSC458807 WBX458807:WBY458807 WLT458807:WLU458807 WVP458807:WVQ458807 H524343:I524343 JD524343:JE524343 SZ524343:TA524343 ACV524343:ACW524343 AMR524343:AMS524343 AWN524343:AWO524343 BGJ524343:BGK524343 BQF524343:BQG524343 CAB524343:CAC524343 CJX524343:CJY524343 CTT524343:CTU524343 DDP524343:DDQ524343 DNL524343:DNM524343 DXH524343:DXI524343 EHD524343:EHE524343 EQZ524343:ERA524343 FAV524343:FAW524343 FKR524343:FKS524343 FUN524343:FUO524343 GEJ524343:GEK524343 GOF524343:GOG524343 GYB524343:GYC524343 HHX524343:HHY524343 HRT524343:HRU524343 IBP524343:IBQ524343 ILL524343:ILM524343 IVH524343:IVI524343 JFD524343:JFE524343 JOZ524343:JPA524343 JYV524343:JYW524343 KIR524343:KIS524343 KSN524343:KSO524343 LCJ524343:LCK524343 LMF524343:LMG524343 LWB524343:LWC524343 MFX524343:MFY524343 MPT524343:MPU524343 MZP524343:MZQ524343 NJL524343:NJM524343 NTH524343:NTI524343 ODD524343:ODE524343 OMZ524343:ONA524343 OWV524343:OWW524343 PGR524343:PGS524343 PQN524343:PQO524343 QAJ524343:QAK524343 QKF524343:QKG524343 QUB524343:QUC524343 RDX524343:RDY524343 RNT524343:RNU524343 RXP524343:RXQ524343 SHL524343:SHM524343 SRH524343:SRI524343 TBD524343:TBE524343 TKZ524343:TLA524343 TUV524343:TUW524343 UER524343:UES524343 UON524343:UOO524343 UYJ524343:UYK524343 VIF524343:VIG524343 VSB524343:VSC524343 WBX524343:WBY524343 WLT524343:WLU524343 WVP524343:WVQ524343 H589879:I589879 JD589879:JE589879 SZ589879:TA589879 ACV589879:ACW589879 AMR589879:AMS589879 AWN589879:AWO589879 BGJ589879:BGK589879 BQF589879:BQG589879 CAB589879:CAC589879 CJX589879:CJY589879 CTT589879:CTU589879 DDP589879:DDQ589879 DNL589879:DNM589879 DXH589879:DXI589879 EHD589879:EHE589879 EQZ589879:ERA589879 FAV589879:FAW589879 FKR589879:FKS589879 FUN589879:FUO589879 GEJ589879:GEK589879 GOF589879:GOG589879 GYB589879:GYC589879 HHX589879:HHY589879 HRT589879:HRU589879 IBP589879:IBQ589879 ILL589879:ILM589879 IVH589879:IVI589879 JFD589879:JFE589879 JOZ589879:JPA589879 JYV589879:JYW589879 KIR589879:KIS589879 KSN589879:KSO589879 LCJ589879:LCK589879 LMF589879:LMG589879 LWB589879:LWC589879 MFX589879:MFY589879 MPT589879:MPU589879 MZP589879:MZQ589879 NJL589879:NJM589879 NTH589879:NTI589879 ODD589879:ODE589879 OMZ589879:ONA589879 OWV589879:OWW589879 PGR589879:PGS589879 PQN589879:PQO589879 QAJ589879:QAK589879 QKF589879:QKG589879 QUB589879:QUC589879 RDX589879:RDY589879 RNT589879:RNU589879 RXP589879:RXQ589879 SHL589879:SHM589879 SRH589879:SRI589879 TBD589879:TBE589879 TKZ589879:TLA589879 TUV589879:TUW589879 UER589879:UES589879 UON589879:UOO589879 UYJ589879:UYK589879 VIF589879:VIG589879 VSB589879:VSC589879 WBX589879:WBY589879 WLT589879:WLU589879 WVP589879:WVQ589879 H655415:I655415 JD655415:JE655415 SZ655415:TA655415 ACV655415:ACW655415 AMR655415:AMS655415 AWN655415:AWO655415 BGJ655415:BGK655415 BQF655415:BQG655415 CAB655415:CAC655415 CJX655415:CJY655415 CTT655415:CTU655415 DDP655415:DDQ655415 DNL655415:DNM655415 DXH655415:DXI655415 EHD655415:EHE655415 EQZ655415:ERA655415 FAV655415:FAW655415 FKR655415:FKS655415 FUN655415:FUO655415 GEJ655415:GEK655415 GOF655415:GOG655415 GYB655415:GYC655415 HHX655415:HHY655415 HRT655415:HRU655415 IBP655415:IBQ655415 ILL655415:ILM655415 IVH655415:IVI655415 JFD655415:JFE655415 JOZ655415:JPA655415 JYV655415:JYW655415 KIR655415:KIS655415 KSN655415:KSO655415 LCJ655415:LCK655415 LMF655415:LMG655415 LWB655415:LWC655415 MFX655415:MFY655415 MPT655415:MPU655415 MZP655415:MZQ655415 NJL655415:NJM655415 NTH655415:NTI655415 ODD655415:ODE655415 OMZ655415:ONA655415 OWV655415:OWW655415 PGR655415:PGS655415 PQN655415:PQO655415 QAJ655415:QAK655415 QKF655415:QKG655415 QUB655415:QUC655415 RDX655415:RDY655415 RNT655415:RNU655415 RXP655415:RXQ655415 SHL655415:SHM655415 SRH655415:SRI655415 TBD655415:TBE655415 TKZ655415:TLA655415 TUV655415:TUW655415 UER655415:UES655415 UON655415:UOO655415 UYJ655415:UYK655415 VIF655415:VIG655415 VSB655415:VSC655415 WBX655415:WBY655415 WLT655415:WLU655415 WVP655415:WVQ655415 H720951:I720951 JD720951:JE720951 SZ720951:TA720951 ACV720951:ACW720951 AMR720951:AMS720951 AWN720951:AWO720951 BGJ720951:BGK720951 BQF720951:BQG720951 CAB720951:CAC720951 CJX720951:CJY720951 CTT720951:CTU720951 DDP720951:DDQ720951 DNL720951:DNM720951 DXH720951:DXI720951 EHD720951:EHE720951 EQZ720951:ERA720951 FAV720951:FAW720951 FKR720951:FKS720951 FUN720951:FUO720951 GEJ720951:GEK720951 GOF720951:GOG720951 GYB720951:GYC720951 HHX720951:HHY720951 HRT720951:HRU720951 IBP720951:IBQ720951 ILL720951:ILM720951 IVH720951:IVI720951 JFD720951:JFE720951 JOZ720951:JPA720951 JYV720951:JYW720951 KIR720951:KIS720951 KSN720951:KSO720951 LCJ720951:LCK720951 LMF720951:LMG720951 LWB720951:LWC720951 MFX720951:MFY720951 MPT720951:MPU720951 MZP720951:MZQ720951 NJL720951:NJM720951 NTH720951:NTI720951 ODD720951:ODE720951 OMZ720951:ONA720951 OWV720951:OWW720951 PGR720951:PGS720951 PQN720951:PQO720951 QAJ720951:QAK720951 QKF720951:QKG720951 QUB720951:QUC720951 RDX720951:RDY720951 RNT720951:RNU720951 RXP720951:RXQ720951 SHL720951:SHM720951 SRH720951:SRI720951 TBD720951:TBE720951 TKZ720951:TLA720951 TUV720951:TUW720951 UER720951:UES720951 UON720951:UOO720951 UYJ720951:UYK720951 VIF720951:VIG720951 VSB720951:VSC720951 WBX720951:WBY720951 WLT720951:WLU720951 WVP720951:WVQ720951 H786487:I786487 JD786487:JE786487 SZ786487:TA786487 ACV786487:ACW786487 AMR786487:AMS786487 AWN786487:AWO786487 BGJ786487:BGK786487 BQF786487:BQG786487 CAB786487:CAC786487 CJX786487:CJY786487 CTT786487:CTU786487 DDP786487:DDQ786487 DNL786487:DNM786487 DXH786487:DXI786487 EHD786487:EHE786487 EQZ786487:ERA786487 FAV786487:FAW786487 FKR786487:FKS786487 FUN786487:FUO786487 GEJ786487:GEK786487 GOF786487:GOG786487 GYB786487:GYC786487 HHX786487:HHY786487 HRT786487:HRU786487 IBP786487:IBQ786487 ILL786487:ILM786487 IVH786487:IVI786487 JFD786487:JFE786487 JOZ786487:JPA786487 JYV786487:JYW786487 KIR786487:KIS786487 KSN786487:KSO786487 LCJ786487:LCK786487 LMF786487:LMG786487 LWB786487:LWC786487 MFX786487:MFY786487 MPT786487:MPU786487 MZP786487:MZQ786487 NJL786487:NJM786487 NTH786487:NTI786487 ODD786487:ODE786487 OMZ786487:ONA786487 OWV786487:OWW786487 PGR786487:PGS786487 PQN786487:PQO786487 QAJ786487:QAK786487 QKF786487:QKG786487 QUB786487:QUC786487 RDX786487:RDY786487 RNT786487:RNU786487 RXP786487:RXQ786487 SHL786487:SHM786487 SRH786487:SRI786487 TBD786487:TBE786487 TKZ786487:TLA786487 TUV786487:TUW786487 UER786487:UES786487 UON786487:UOO786487 UYJ786487:UYK786487 VIF786487:VIG786487 VSB786487:VSC786487 WBX786487:WBY786487 WLT786487:WLU786487 WVP786487:WVQ786487 H852023:I852023 JD852023:JE852023 SZ852023:TA852023 ACV852023:ACW852023 AMR852023:AMS852023 AWN852023:AWO852023 BGJ852023:BGK852023 BQF852023:BQG852023 CAB852023:CAC852023 CJX852023:CJY852023 CTT852023:CTU852023 DDP852023:DDQ852023 DNL852023:DNM852023 DXH852023:DXI852023 EHD852023:EHE852023 EQZ852023:ERA852023 FAV852023:FAW852023 FKR852023:FKS852023 FUN852023:FUO852023 GEJ852023:GEK852023 GOF852023:GOG852023 GYB852023:GYC852023 HHX852023:HHY852023 HRT852023:HRU852023 IBP852023:IBQ852023 ILL852023:ILM852023 IVH852023:IVI852023 JFD852023:JFE852023 JOZ852023:JPA852023 JYV852023:JYW852023 KIR852023:KIS852023 KSN852023:KSO852023 LCJ852023:LCK852023 LMF852023:LMG852023 LWB852023:LWC852023 MFX852023:MFY852023 MPT852023:MPU852023 MZP852023:MZQ852023 NJL852023:NJM852023 NTH852023:NTI852023 ODD852023:ODE852023 OMZ852023:ONA852023 OWV852023:OWW852023 PGR852023:PGS852023 PQN852023:PQO852023 QAJ852023:QAK852023 QKF852023:QKG852023 QUB852023:QUC852023 RDX852023:RDY852023 RNT852023:RNU852023 RXP852023:RXQ852023 SHL852023:SHM852023 SRH852023:SRI852023 TBD852023:TBE852023 TKZ852023:TLA852023 TUV852023:TUW852023 UER852023:UES852023 UON852023:UOO852023 UYJ852023:UYK852023 VIF852023:VIG852023 VSB852023:VSC852023 WBX852023:WBY852023 WLT852023:WLU852023 WVP852023:WVQ852023 H917559:I917559 JD917559:JE917559 SZ917559:TA917559 ACV917559:ACW917559 AMR917559:AMS917559 AWN917559:AWO917559 BGJ917559:BGK917559 BQF917559:BQG917559 CAB917559:CAC917559 CJX917559:CJY917559 CTT917559:CTU917559 DDP917559:DDQ917559 DNL917559:DNM917559 DXH917559:DXI917559 EHD917559:EHE917559 EQZ917559:ERA917559 FAV917559:FAW917559 FKR917559:FKS917559 FUN917559:FUO917559 GEJ917559:GEK917559 GOF917559:GOG917559 GYB917559:GYC917559 HHX917559:HHY917559 HRT917559:HRU917559 IBP917559:IBQ917559 ILL917559:ILM917559 IVH917559:IVI917559 JFD917559:JFE917559 JOZ917559:JPA917559 JYV917559:JYW917559 KIR917559:KIS917559 KSN917559:KSO917559 LCJ917559:LCK917559 LMF917559:LMG917559 LWB917559:LWC917559 MFX917559:MFY917559 MPT917559:MPU917559 MZP917559:MZQ917559 NJL917559:NJM917559 NTH917559:NTI917559 ODD917559:ODE917559 OMZ917559:ONA917559 OWV917559:OWW917559 PGR917559:PGS917559 PQN917559:PQO917559 QAJ917559:QAK917559 QKF917559:QKG917559 QUB917559:QUC917559 RDX917559:RDY917559 RNT917559:RNU917559 RXP917559:RXQ917559 SHL917559:SHM917559 SRH917559:SRI917559 TBD917559:TBE917559 TKZ917559:TLA917559 TUV917559:TUW917559 UER917559:UES917559 UON917559:UOO917559 UYJ917559:UYK917559 VIF917559:VIG917559 VSB917559:VSC917559 WBX917559:WBY917559 WLT917559:WLU917559 WVP917559:WVQ917559 H983095:I983095 JD983095:JE983095 SZ983095:TA983095 ACV983095:ACW983095 AMR983095:AMS983095 AWN983095:AWO983095 BGJ983095:BGK983095 BQF983095:BQG983095 CAB983095:CAC983095 CJX983095:CJY983095 CTT983095:CTU983095 DDP983095:DDQ983095 DNL983095:DNM983095 DXH983095:DXI983095 EHD983095:EHE983095 EQZ983095:ERA983095 FAV983095:FAW983095 FKR983095:FKS983095 FUN983095:FUO983095 GEJ983095:GEK983095 GOF983095:GOG983095 GYB983095:GYC983095 HHX983095:HHY983095 HRT983095:HRU983095 IBP983095:IBQ983095 ILL983095:ILM983095 IVH983095:IVI983095 JFD983095:JFE983095 JOZ983095:JPA983095 JYV983095:JYW983095 KIR983095:KIS983095 KSN983095:KSO983095 LCJ983095:LCK983095 LMF983095:LMG983095 LWB983095:LWC983095 MFX983095:MFY983095 MPT983095:MPU983095 MZP983095:MZQ983095 NJL983095:NJM983095 NTH983095:NTI983095 ODD983095:ODE983095 OMZ983095:ONA983095 OWV983095:OWW983095 PGR983095:PGS983095 PQN983095:PQO983095 QAJ983095:QAK983095 QKF983095:QKG983095 QUB983095:QUC983095 RDX983095:RDY983095 RNT983095:RNU983095 RXP983095:RXQ983095 SHL983095:SHM983095 SRH983095:SRI983095 TBD983095:TBE983095 TKZ983095:TLA983095 TUV983095:TUW983095 UER983095:UES983095 UON983095:UOO983095 UYJ983095:UYK983095 VIF983095:VIG983095 VSB983095:VSC983095 WBX983095:WBY983095 WLT983095:WLU983095 WVP983095:WVQ983095 H45:I45 JD45:JE45 SZ45:TA45 ACV45:ACW45 AMR45:AMS45 AWN45:AWO45 BGJ45:BGK45 BQF45:BQG45 CAB45:CAC45 CJX45:CJY45 CTT45:CTU45 DDP45:DDQ45 DNL45:DNM45 DXH45:DXI45 EHD45:EHE45 EQZ45:ERA45 FAV45:FAW45 FKR45:FKS45 FUN45:FUO45 GEJ45:GEK45 GOF45:GOG45 GYB45:GYC45 HHX45:HHY45 HRT45:HRU45 IBP45:IBQ45 ILL45:ILM45 IVH45:IVI45 JFD45:JFE45 JOZ45:JPA45 JYV45:JYW45 KIR45:KIS45 KSN45:KSO45 LCJ45:LCK45 LMF45:LMG45 LWB45:LWC45 MFX45:MFY45 MPT45:MPU45 MZP45:MZQ45 NJL45:NJM45 NTH45:NTI45 ODD45:ODE45 OMZ45:ONA45 OWV45:OWW45 PGR45:PGS45 PQN45:PQO45 QAJ45:QAK45 QKF45:QKG45 QUB45:QUC45 RDX45:RDY45 RNT45:RNU45 RXP45:RXQ45 SHL45:SHM45 SRH45:SRI45 TBD45:TBE45 TKZ45:TLA45 TUV45:TUW45 UER45:UES45 UON45:UOO45 UYJ45:UYK45 VIF45:VIG45 VSB45:VSC45 WBX45:WBY45 WLT45:WLU45 WVP45:WVQ45 H65581:I65581 JD65581:JE65581 SZ65581:TA65581 ACV65581:ACW65581 AMR65581:AMS65581 AWN65581:AWO65581 BGJ65581:BGK65581 BQF65581:BQG65581 CAB65581:CAC65581 CJX65581:CJY65581 CTT65581:CTU65581 DDP65581:DDQ65581 DNL65581:DNM65581 DXH65581:DXI65581 EHD65581:EHE65581 EQZ65581:ERA65581 FAV65581:FAW65581 FKR65581:FKS65581 FUN65581:FUO65581 GEJ65581:GEK65581 GOF65581:GOG65581 GYB65581:GYC65581 HHX65581:HHY65581 HRT65581:HRU65581 IBP65581:IBQ65581 ILL65581:ILM65581 IVH65581:IVI65581 JFD65581:JFE65581 JOZ65581:JPA65581 JYV65581:JYW65581 KIR65581:KIS65581 KSN65581:KSO65581 LCJ65581:LCK65581 LMF65581:LMG65581 LWB65581:LWC65581 MFX65581:MFY65581 MPT65581:MPU65581 MZP65581:MZQ65581 NJL65581:NJM65581 NTH65581:NTI65581 ODD65581:ODE65581 OMZ65581:ONA65581 OWV65581:OWW65581 PGR65581:PGS65581 PQN65581:PQO65581 QAJ65581:QAK65581 QKF65581:QKG65581 QUB65581:QUC65581 RDX65581:RDY65581 RNT65581:RNU65581 RXP65581:RXQ65581 SHL65581:SHM65581 SRH65581:SRI65581 TBD65581:TBE65581 TKZ65581:TLA65581 TUV65581:TUW65581 UER65581:UES65581 UON65581:UOO65581 UYJ65581:UYK65581 VIF65581:VIG65581 VSB65581:VSC65581 WBX65581:WBY65581 WLT65581:WLU65581 WVP65581:WVQ65581 H131117:I131117 JD131117:JE131117 SZ131117:TA131117 ACV131117:ACW131117 AMR131117:AMS131117 AWN131117:AWO131117 BGJ131117:BGK131117 BQF131117:BQG131117 CAB131117:CAC131117 CJX131117:CJY131117 CTT131117:CTU131117 DDP131117:DDQ131117 DNL131117:DNM131117 DXH131117:DXI131117 EHD131117:EHE131117 EQZ131117:ERA131117 FAV131117:FAW131117 FKR131117:FKS131117 FUN131117:FUO131117 GEJ131117:GEK131117 GOF131117:GOG131117 GYB131117:GYC131117 HHX131117:HHY131117 HRT131117:HRU131117 IBP131117:IBQ131117 ILL131117:ILM131117 IVH131117:IVI131117 JFD131117:JFE131117 JOZ131117:JPA131117 JYV131117:JYW131117 KIR131117:KIS131117 KSN131117:KSO131117 LCJ131117:LCK131117 LMF131117:LMG131117 LWB131117:LWC131117 MFX131117:MFY131117 MPT131117:MPU131117 MZP131117:MZQ131117 NJL131117:NJM131117 NTH131117:NTI131117 ODD131117:ODE131117 OMZ131117:ONA131117 OWV131117:OWW131117 PGR131117:PGS131117 PQN131117:PQO131117 QAJ131117:QAK131117 QKF131117:QKG131117 QUB131117:QUC131117 RDX131117:RDY131117 RNT131117:RNU131117 RXP131117:RXQ131117 SHL131117:SHM131117 SRH131117:SRI131117 TBD131117:TBE131117 TKZ131117:TLA131117 TUV131117:TUW131117 UER131117:UES131117 UON131117:UOO131117 UYJ131117:UYK131117 VIF131117:VIG131117 VSB131117:VSC131117 WBX131117:WBY131117 WLT131117:WLU131117 WVP131117:WVQ131117 H196653:I196653 JD196653:JE196653 SZ196653:TA196653 ACV196653:ACW196653 AMR196653:AMS196653 AWN196653:AWO196653 BGJ196653:BGK196653 BQF196653:BQG196653 CAB196653:CAC196653 CJX196653:CJY196653 CTT196653:CTU196653 DDP196653:DDQ196653 DNL196653:DNM196653 DXH196653:DXI196653 EHD196653:EHE196653 EQZ196653:ERA196653 FAV196653:FAW196653 FKR196653:FKS196653 FUN196653:FUO196653 GEJ196653:GEK196653 GOF196653:GOG196653 GYB196653:GYC196653 HHX196653:HHY196653 HRT196653:HRU196653 IBP196653:IBQ196653 ILL196653:ILM196653 IVH196653:IVI196653 JFD196653:JFE196653 JOZ196653:JPA196653 JYV196653:JYW196653 KIR196653:KIS196653 KSN196653:KSO196653 LCJ196653:LCK196653 LMF196653:LMG196653 LWB196653:LWC196653 MFX196653:MFY196653 MPT196653:MPU196653 MZP196653:MZQ196653 NJL196653:NJM196653 NTH196653:NTI196653 ODD196653:ODE196653 OMZ196653:ONA196653 OWV196653:OWW196653 PGR196653:PGS196653 PQN196653:PQO196653 QAJ196653:QAK196653 QKF196653:QKG196653 QUB196653:QUC196653 RDX196653:RDY196653 RNT196653:RNU196653 RXP196653:RXQ196653 SHL196653:SHM196653 SRH196653:SRI196653 TBD196653:TBE196653 TKZ196653:TLA196653 TUV196653:TUW196653 UER196653:UES196653 UON196653:UOO196653 UYJ196653:UYK196653 VIF196653:VIG196653 VSB196653:VSC196653 WBX196653:WBY196653 WLT196653:WLU196653 WVP196653:WVQ196653 H262189:I262189 JD262189:JE262189 SZ262189:TA262189 ACV262189:ACW262189 AMR262189:AMS262189 AWN262189:AWO262189 BGJ262189:BGK262189 BQF262189:BQG262189 CAB262189:CAC262189 CJX262189:CJY262189 CTT262189:CTU262189 DDP262189:DDQ262189 DNL262189:DNM262189 DXH262189:DXI262189 EHD262189:EHE262189 EQZ262189:ERA262189 FAV262189:FAW262189 FKR262189:FKS262189 FUN262189:FUO262189 GEJ262189:GEK262189 GOF262189:GOG262189 GYB262189:GYC262189 HHX262189:HHY262189 HRT262189:HRU262189 IBP262189:IBQ262189 ILL262189:ILM262189 IVH262189:IVI262189 JFD262189:JFE262189 JOZ262189:JPA262189 JYV262189:JYW262189 KIR262189:KIS262189 KSN262189:KSO262189 LCJ262189:LCK262189 LMF262189:LMG262189 LWB262189:LWC262189 MFX262189:MFY262189 MPT262189:MPU262189 MZP262189:MZQ262189 NJL262189:NJM262189 NTH262189:NTI262189 ODD262189:ODE262189 OMZ262189:ONA262189 OWV262189:OWW262189 PGR262189:PGS262189 PQN262189:PQO262189 QAJ262189:QAK262189 QKF262189:QKG262189 QUB262189:QUC262189 RDX262189:RDY262189 RNT262189:RNU262189 RXP262189:RXQ262189 SHL262189:SHM262189 SRH262189:SRI262189 TBD262189:TBE262189 TKZ262189:TLA262189 TUV262189:TUW262189 UER262189:UES262189 UON262189:UOO262189 UYJ262189:UYK262189 VIF262189:VIG262189 VSB262189:VSC262189 WBX262189:WBY262189 WLT262189:WLU262189 WVP262189:WVQ262189 H327725:I327725 JD327725:JE327725 SZ327725:TA327725 ACV327725:ACW327725 AMR327725:AMS327725 AWN327725:AWO327725 BGJ327725:BGK327725 BQF327725:BQG327725 CAB327725:CAC327725 CJX327725:CJY327725 CTT327725:CTU327725 DDP327725:DDQ327725 DNL327725:DNM327725 DXH327725:DXI327725 EHD327725:EHE327725 EQZ327725:ERA327725 FAV327725:FAW327725 FKR327725:FKS327725 FUN327725:FUO327725 GEJ327725:GEK327725 GOF327725:GOG327725 GYB327725:GYC327725 HHX327725:HHY327725 HRT327725:HRU327725 IBP327725:IBQ327725 ILL327725:ILM327725 IVH327725:IVI327725 JFD327725:JFE327725 JOZ327725:JPA327725 JYV327725:JYW327725 KIR327725:KIS327725 KSN327725:KSO327725 LCJ327725:LCK327725 LMF327725:LMG327725 LWB327725:LWC327725 MFX327725:MFY327725 MPT327725:MPU327725 MZP327725:MZQ327725 NJL327725:NJM327725 NTH327725:NTI327725 ODD327725:ODE327725 OMZ327725:ONA327725 OWV327725:OWW327725 PGR327725:PGS327725 PQN327725:PQO327725 QAJ327725:QAK327725 QKF327725:QKG327725 QUB327725:QUC327725 RDX327725:RDY327725 RNT327725:RNU327725 RXP327725:RXQ327725 SHL327725:SHM327725 SRH327725:SRI327725 TBD327725:TBE327725 TKZ327725:TLA327725 TUV327725:TUW327725 UER327725:UES327725 UON327725:UOO327725 UYJ327725:UYK327725 VIF327725:VIG327725 VSB327725:VSC327725 WBX327725:WBY327725 WLT327725:WLU327725 WVP327725:WVQ327725 H393261:I393261 JD393261:JE393261 SZ393261:TA393261 ACV393261:ACW393261 AMR393261:AMS393261 AWN393261:AWO393261 BGJ393261:BGK393261 BQF393261:BQG393261 CAB393261:CAC393261 CJX393261:CJY393261 CTT393261:CTU393261 DDP393261:DDQ393261 DNL393261:DNM393261 DXH393261:DXI393261 EHD393261:EHE393261 EQZ393261:ERA393261 FAV393261:FAW393261 FKR393261:FKS393261 FUN393261:FUO393261 GEJ393261:GEK393261 GOF393261:GOG393261 GYB393261:GYC393261 HHX393261:HHY393261 HRT393261:HRU393261 IBP393261:IBQ393261 ILL393261:ILM393261 IVH393261:IVI393261 JFD393261:JFE393261 JOZ393261:JPA393261 JYV393261:JYW393261 KIR393261:KIS393261 KSN393261:KSO393261 LCJ393261:LCK393261 LMF393261:LMG393261 LWB393261:LWC393261 MFX393261:MFY393261 MPT393261:MPU393261 MZP393261:MZQ393261 NJL393261:NJM393261 NTH393261:NTI393261 ODD393261:ODE393261 OMZ393261:ONA393261 OWV393261:OWW393261 PGR393261:PGS393261 PQN393261:PQO393261 QAJ393261:QAK393261 QKF393261:QKG393261 QUB393261:QUC393261 RDX393261:RDY393261 RNT393261:RNU393261 RXP393261:RXQ393261 SHL393261:SHM393261 SRH393261:SRI393261 TBD393261:TBE393261 TKZ393261:TLA393261 TUV393261:TUW393261 UER393261:UES393261 UON393261:UOO393261 UYJ393261:UYK393261 VIF393261:VIG393261 VSB393261:VSC393261 WBX393261:WBY393261 WLT393261:WLU393261 WVP393261:WVQ393261 H458797:I458797 JD458797:JE458797 SZ458797:TA458797 ACV458797:ACW458797 AMR458797:AMS458797 AWN458797:AWO458797 BGJ458797:BGK458797 BQF458797:BQG458797 CAB458797:CAC458797 CJX458797:CJY458797 CTT458797:CTU458797 DDP458797:DDQ458797 DNL458797:DNM458797 DXH458797:DXI458797 EHD458797:EHE458797 EQZ458797:ERA458797 FAV458797:FAW458797 FKR458797:FKS458797 FUN458797:FUO458797 GEJ458797:GEK458797 GOF458797:GOG458797 GYB458797:GYC458797 HHX458797:HHY458797 HRT458797:HRU458797 IBP458797:IBQ458797 ILL458797:ILM458797 IVH458797:IVI458797 JFD458797:JFE458797 JOZ458797:JPA458797 JYV458797:JYW458797 KIR458797:KIS458797 KSN458797:KSO458797 LCJ458797:LCK458797 LMF458797:LMG458797 LWB458797:LWC458797 MFX458797:MFY458797 MPT458797:MPU458797 MZP458797:MZQ458797 NJL458797:NJM458797 NTH458797:NTI458797 ODD458797:ODE458797 OMZ458797:ONA458797 OWV458797:OWW458797 PGR458797:PGS458797 PQN458797:PQO458797 QAJ458797:QAK458797 QKF458797:QKG458797 QUB458797:QUC458797 RDX458797:RDY458797 RNT458797:RNU458797 RXP458797:RXQ458797 SHL458797:SHM458797 SRH458797:SRI458797 TBD458797:TBE458797 TKZ458797:TLA458797 TUV458797:TUW458797 UER458797:UES458797 UON458797:UOO458797 UYJ458797:UYK458797 VIF458797:VIG458797 VSB458797:VSC458797 WBX458797:WBY458797 WLT458797:WLU458797 WVP458797:WVQ458797 H524333:I524333 JD524333:JE524333 SZ524333:TA524333 ACV524333:ACW524333 AMR524333:AMS524333 AWN524333:AWO524333 BGJ524333:BGK524333 BQF524333:BQG524333 CAB524333:CAC524333 CJX524333:CJY524333 CTT524333:CTU524333 DDP524333:DDQ524333 DNL524333:DNM524333 DXH524333:DXI524333 EHD524333:EHE524333 EQZ524333:ERA524333 FAV524333:FAW524333 FKR524333:FKS524333 FUN524333:FUO524333 GEJ524333:GEK524333 GOF524333:GOG524333 GYB524333:GYC524333 HHX524333:HHY524333 HRT524333:HRU524333 IBP524333:IBQ524333 ILL524333:ILM524333 IVH524333:IVI524333 JFD524333:JFE524333 JOZ524333:JPA524333 JYV524333:JYW524333 KIR524333:KIS524333 KSN524333:KSO524333 LCJ524333:LCK524333 LMF524333:LMG524333 LWB524333:LWC524333 MFX524333:MFY524333 MPT524333:MPU524333 MZP524333:MZQ524333 NJL524333:NJM524333 NTH524333:NTI524333 ODD524333:ODE524333 OMZ524333:ONA524333 OWV524333:OWW524333 PGR524333:PGS524333 PQN524333:PQO524333 QAJ524333:QAK524333 QKF524333:QKG524333 QUB524333:QUC524333 RDX524333:RDY524333 RNT524333:RNU524333 RXP524333:RXQ524333 SHL524333:SHM524333 SRH524333:SRI524333 TBD524333:TBE524333 TKZ524333:TLA524333 TUV524333:TUW524333 UER524333:UES524333 UON524333:UOO524333 UYJ524333:UYK524333 VIF524333:VIG524333 VSB524333:VSC524333 WBX524333:WBY524333 WLT524333:WLU524333 WVP524333:WVQ524333 H589869:I589869 JD589869:JE589869 SZ589869:TA589869 ACV589869:ACW589869 AMR589869:AMS589869 AWN589869:AWO589869 BGJ589869:BGK589869 BQF589869:BQG589869 CAB589869:CAC589869 CJX589869:CJY589869 CTT589869:CTU589869 DDP589869:DDQ589869 DNL589869:DNM589869 DXH589869:DXI589869 EHD589869:EHE589869 EQZ589869:ERA589869 FAV589869:FAW589869 FKR589869:FKS589869 FUN589869:FUO589869 GEJ589869:GEK589869 GOF589869:GOG589869 GYB589869:GYC589869 HHX589869:HHY589869 HRT589869:HRU589869 IBP589869:IBQ589869 ILL589869:ILM589869 IVH589869:IVI589869 JFD589869:JFE589869 JOZ589869:JPA589869 JYV589869:JYW589869 KIR589869:KIS589869 KSN589869:KSO589869 LCJ589869:LCK589869 LMF589869:LMG589869 LWB589869:LWC589869 MFX589869:MFY589869 MPT589869:MPU589869 MZP589869:MZQ589869 NJL589869:NJM589869 NTH589869:NTI589869 ODD589869:ODE589869 OMZ589869:ONA589869 OWV589869:OWW589869 PGR589869:PGS589869 PQN589869:PQO589869 QAJ589869:QAK589869 QKF589869:QKG589869 QUB589869:QUC589869 RDX589869:RDY589869 RNT589869:RNU589869 RXP589869:RXQ589869 SHL589869:SHM589869 SRH589869:SRI589869 TBD589869:TBE589869 TKZ589869:TLA589869 TUV589869:TUW589869 UER589869:UES589869 UON589869:UOO589869 UYJ589869:UYK589869 VIF589869:VIG589869 VSB589869:VSC589869 WBX589869:WBY589869 WLT589869:WLU589869 WVP589869:WVQ589869 H655405:I655405 JD655405:JE655405 SZ655405:TA655405 ACV655405:ACW655405 AMR655405:AMS655405 AWN655405:AWO655405 BGJ655405:BGK655405 BQF655405:BQG655405 CAB655405:CAC655405 CJX655405:CJY655405 CTT655405:CTU655405 DDP655405:DDQ655405 DNL655405:DNM655405 DXH655405:DXI655405 EHD655405:EHE655405 EQZ655405:ERA655405 FAV655405:FAW655405 FKR655405:FKS655405 FUN655405:FUO655405 GEJ655405:GEK655405 GOF655405:GOG655405 GYB655405:GYC655405 HHX655405:HHY655405 HRT655405:HRU655405 IBP655405:IBQ655405 ILL655405:ILM655405 IVH655405:IVI655405 JFD655405:JFE655405 JOZ655405:JPA655405 JYV655405:JYW655405 KIR655405:KIS655405 KSN655405:KSO655405 LCJ655405:LCK655405 LMF655405:LMG655405 LWB655405:LWC655405 MFX655405:MFY655405 MPT655405:MPU655405 MZP655405:MZQ655405 NJL655405:NJM655405 NTH655405:NTI655405 ODD655405:ODE655405 OMZ655405:ONA655405 OWV655405:OWW655405 PGR655405:PGS655405 PQN655405:PQO655405 QAJ655405:QAK655405 QKF655405:QKG655405 QUB655405:QUC655405 RDX655405:RDY655405 RNT655405:RNU655405 RXP655405:RXQ655405 SHL655405:SHM655405 SRH655405:SRI655405 TBD655405:TBE655405 TKZ655405:TLA655405 TUV655405:TUW655405 UER655405:UES655405 UON655405:UOO655405 UYJ655405:UYK655405 VIF655405:VIG655405 VSB655405:VSC655405 WBX655405:WBY655405 WLT655405:WLU655405 WVP655405:WVQ655405 H720941:I720941 JD720941:JE720941 SZ720941:TA720941 ACV720941:ACW720941 AMR720941:AMS720941 AWN720941:AWO720941 BGJ720941:BGK720941 BQF720941:BQG720941 CAB720941:CAC720941 CJX720941:CJY720941 CTT720941:CTU720941 DDP720941:DDQ720941 DNL720941:DNM720941 DXH720941:DXI720941 EHD720941:EHE720941 EQZ720941:ERA720941 FAV720941:FAW720941 FKR720941:FKS720941 FUN720941:FUO720941 GEJ720941:GEK720941 GOF720941:GOG720941 GYB720941:GYC720941 HHX720941:HHY720941 HRT720941:HRU720941 IBP720941:IBQ720941 ILL720941:ILM720941 IVH720941:IVI720941 JFD720941:JFE720941 JOZ720941:JPA720941 JYV720941:JYW720941 KIR720941:KIS720941 KSN720941:KSO720941 LCJ720941:LCK720941 LMF720941:LMG720941 LWB720941:LWC720941 MFX720941:MFY720941 MPT720941:MPU720941 MZP720941:MZQ720941 NJL720941:NJM720941 NTH720941:NTI720941 ODD720941:ODE720941 OMZ720941:ONA720941 OWV720941:OWW720941 PGR720941:PGS720941 PQN720941:PQO720941 QAJ720941:QAK720941 QKF720941:QKG720941 QUB720941:QUC720941 RDX720941:RDY720941 RNT720941:RNU720941 RXP720941:RXQ720941 SHL720941:SHM720941 SRH720941:SRI720941 TBD720941:TBE720941 TKZ720941:TLA720941 TUV720941:TUW720941 UER720941:UES720941 UON720941:UOO720941 UYJ720941:UYK720941 VIF720941:VIG720941 VSB720941:VSC720941 WBX720941:WBY720941 WLT720941:WLU720941 WVP720941:WVQ720941 H786477:I786477 JD786477:JE786477 SZ786477:TA786477 ACV786477:ACW786477 AMR786477:AMS786477 AWN786477:AWO786477 BGJ786477:BGK786477 BQF786477:BQG786477 CAB786477:CAC786477 CJX786477:CJY786477 CTT786477:CTU786477 DDP786477:DDQ786477 DNL786477:DNM786477 DXH786477:DXI786477 EHD786477:EHE786477 EQZ786477:ERA786477 FAV786477:FAW786477 FKR786477:FKS786477 FUN786477:FUO786477 GEJ786477:GEK786477 GOF786477:GOG786477 GYB786477:GYC786477 HHX786477:HHY786477 HRT786477:HRU786477 IBP786477:IBQ786477 ILL786477:ILM786477 IVH786477:IVI786477 JFD786477:JFE786477 JOZ786477:JPA786477 JYV786477:JYW786477 KIR786477:KIS786477 KSN786477:KSO786477 LCJ786477:LCK786477 LMF786477:LMG786477 LWB786477:LWC786477 MFX786477:MFY786477 MPT786477:MPU786477 MZP786477:MZQ786477 NJL786477:NJM786477 NTH786477:NTI786477 ODD786477:ODE786477 OMZ786477:ONA786477 OWV786477:OWW786477 PGR786477:PGS786477 PQN786477:PQO786477 QAJ786477:QAK786477 QKF786477:QKG786477 QUB786477:QUC786477 RDX786477:RDY786477 RNT786477:RNU786477 RXP786477:RXQ786477 SHL786477:SHM786477 SRH786477:SRI786477 TBD786477:TBE786477 TKZ786477:TLA786477 TUV786477:TUW786477 UER786477:UES786477 UON786477:UOO786477 UYJ786477:UYK786477 VIF786477:VIG786477 VSB786477:VSC786477 WBX786477:WBY786477 WLT786477:WLU786477 WVP786477:WVQ786477 H852013:I852013 JD852013:JE852013 SZ852013:TA852013 ACV852013:ACW852013 AMR852013:AMS852013 AWN852013:AWO852013 BGJ852013:BGK852013 BQF852013:BQG852013 CAB852013:CAC852013 CJX852013:CJY852013 CTT852013:CTU852013 DDP852013:DDQ852013 DNL852013:DNM852013 DXH852013:DXI852013 EHD852013:EHE852013 EQZ852013:ERA852013 FAV852013:FAW852013 FKR852013:FKS852013 FUN852013:FUO852013 GEJ852013:GEK852013 GOF852013:GOG852013 GYB852013:GYC852013 HHX852013:HHY852013 HRT852013:HRU852013 IBP852013:IBQ852013 ILL852013:ILM852013 IVH852013:IVI852013 JFD852013:JFE852013 JOZ852013:JPA852013 JYV852013:JYW852013 KIR852013:KIS852013 KSN852013:KSO852013 LCJ852013:LCK852013 LMF852013:LMG852013 LWB852013:LWC852013 MFX852013:MFY852013 MPT852013:MPU852013 MZP852013:MZQ852013 NJL852013:NJM852013 NTH852013:NTI852013 ODD852013:ODE852013 OMZ852013:ONA852013 OWV852013:OWW852013 PGR852013:PGS852013 PQN852013:PQO852013 QAJ852013:QAK852013 QKF852013:QKG852013 QUB852013:QUC852013 RDX852013:RDY852013 RNT852013:RNU852013 RXP852013:RXQ852013 SHL852013:SHM852013 SRH852013:SRI852013 TBD852013:TBE852013 TKZ852013:TLA852013 TUV852013:TUW852013 UER852013:UES852013 UON852013:UOO852013 UYJ852013:UYK852013 VIF852013:VIG852013 VSB852013:VSC852013 WBX852013:WBY852013 WLT852013:WLU852013 WVP852013:WVQ852013 H917549:I917549 JD917549:JE917549 SZ917549:TA917549 ACV917549:ACW917549 AMR917549:AMS917549 AWN917549:AWO917549 BGJ917549:BGK917549 BQF917549:BQG917549 CAB917549:CAC917549 CJX917549:CJY917549 CTT917549:CTU917549 DDP917549:DDQ917549 DNL917549:DNM917549 DXH917549:DXI917549 EHD917549:EHE917549 EQZ917549:ERA917549 FAV917549:FAW917549 FKR917549:FKS917549 FUN917549:FUO917549 GEJ917549:GEK917549 GOF917549:GOG917549 GYB917549:GYC917549 HHX917549:HHY917549 HRT917549:HRU917549 IBP917549:IBQ917549 ILL917549:ILM917549 IVH917549:IVI917549 JFD917549:JFE917549 JOZ917549:JPA917549 JYV917549:JYW917549 KIR917549:KIS917549 KSN917549:KSO917549 LCJ917549:LCK917549 LMF917549:LMG917549 LWB917549:LWC917549 MFX917549:MFY917549 MPT917549:MPU917549 MZP917549:MZQ917549 NJL917549:NJM917549 NTH917549:NTI917549 ODD917549:ODE917549 OMZ917549:ONA917549 OWV917549:OWW917549 PGR917549:PGS917549 PQN917549:PQO917549 QAJ917549:QAK917549 QKF917549:QKG917549 QUB917549:QUC917549 RDX917549:RDY917549 RNT917549:RNU917549 RXP917549:RXQ917549 SHL917549:SHM917549 SRH917549:SRI917549 TBD917549:TBE917549 TKZ917549:TLA917549 TUV917549:TUW917549 UER917549:UES917549 UON917549:UOO917549 UYJ917549:UYK917549 VIF917549:VIG917549 VSB917549:VSC917549 WBX917549:WBY917549 WLT917549:WLU917549 WVP917549:WVQ917549 H983085:I983085 JD983085:JE983085 SZ983085:TA983085 ACV983085:ACW983085 AMR983085:AMS983085 AWN983085:AWO983085 BGJ983085:BGK983085 BQF983085:BQG983085 CAB983085:CAC983085 CJX983085:CJY983085 CTT983085:CTU983085 DDP983085:DDQ983085 DNL983085:DNM983085 DXH983085:DXI983085 EHD983085:EHE983085 EQZ983085:ERA983085 FAV983085:FAW983085 FKR983085:FKS983085 FUN983085:FUO983085 GEJ983085:GEK983085 GOF983085:GOG983085 GYB983085:GYC983085 HHX983085:HHY983085 HRT983085:HRU983085 IBP983085:IBQ983085 ILL983085:ILM983085 IVH983085:IVI983085 JFD983085:JFE983085 JOZ983085:JPA983085 JYV983085:JYW983085 KIR983085:KIS983085 KSN983085:KSO983085 LCJ983085:LCK983085 LMF983085:LMG983085 LWB983085:LWC983085 MFX983085:MFY983085 MPT983085:MPU983085 MZP983085:MZQ983085 NJL983085:NJM983085 NTH983085:NTI983085 ODD983085:ODE983085 OMZ983085:ONA983085 OWV983085:OWW983085 PGR983085:PGS983085 PQN983085:PQO983085 QAJ983085:QAK983085 QKF983085:QKG983085 QUB983085:QUC983085 RDX983085:RDY983085 RNT983085:RNU983085 RXP983085:RXQ983085 SHL983085:SHM983085 SRH983085:SRI983085 TBD983085:TBE983085 TKZ983085:TLA983085 TUV983085:TUW983085 UER983085:UES983085 UON983085:UOO983085 UYJ983085:UYK983085 VIF983085:VIG983085 VSB983085:VSC983085 WBX983085:WBY983085 WLT983085:WLU983085 WVP983085:WVQ983085 H35:I35 JD35:JE35 SZ35:TA35 ACV35:ACW35 AMR35:AMS35 AWN35:AWO35 BGJ35:BGK35 BQF35:BQG35 CAB35:CAC35 CJX35:CJY35 CTT35:CTU35 DDP35:DDQ35 DNL35:DNM35 DXH35:DXI35 EHD35:EHE35 EQZ35:ERA35 FAV35:FAW35 FKR35:FKS35 FUN35:FUO35 GEJ35:GEK35 GOF35:GOG35 GYB35:GYC35 HHX35:HHY35 HRT35:HRU35 IBP35:IBQ35 ILL35:ILM35 IVH35:IVI35 JFD35:JFE35 JOZ35:JPA35 JYV35:JYW35 KIR35:KIS35 KSN35:KSO35 LCJ35:LCK35 LMF35:LMG35 LWB35:LWC35 MFX35:MFY35 MPT35:MPU35 MZP35:MZQ35 NJL35:NJM35 NTH35:NTI35 ODD35:ODE35 OMZ35:ONA35 OWV35:OWW35 PGR35:PGS35 PQN35:PQO35 QAJ35:QAK35 QKF35:QKG35 QUB35:QUC35 RDX35:RDY35 RNT35:RNU35 RXP35:RXQ35 SHL35:SHM35 SRH35:SRI35 TBD35:TBE35 TKZ35:TLA35 TUV35:TUW35 UER35:UES35 UON35:UOO35 UYJ35:UYK35 VIF35:VIG35 VSB35:VSC35 WBX35:WBY35 WLT35:WLU35 WVP35:WVQ35 H65571:I65571 JD65571:JE65571 SZ65571:TA65571 ACV65571:ACW65571 AMR65571:AMS65571 AWN65571:AWO65571 BGJ65571:BGK65571 BQF65571:BQG65571 CAB65571:CAC65571 CJX65571:CJY65571 CTT65571:CTU65571 DDP65571:DDQ65571 DNL65571:DNM65571 DXH65571:DXI65571 EHD65571:EHE65571 EQZ65571:ERA65571 FAV65571:FAW65571 FKR65571:FKS65571 FUN65571:FUO65571 GEJ65571:GEK65571 GOF65571:GOG65571 GYB65571:GYC65571 HHX65571:HHY65571 HRT65571:HRU65571 IBP65571:IBQ65571 ILL65571:ILM65571 IVH65571:IVI65571 JFD65571:JFE65571 JOZ65571:JPA65571 JYV65571:JYW65571 KIR65571:KIS65571 KSN65571:KSO65571 LCJ65571:LCK65571 LMF65571:LMG65571 LWB65571:LWC65571 MFX65571:MFY65571 MPT65571:MPU65571 MZP65571:MZQ65571 NJL65571:NJM65571 NTH65571:NTI65571 ODD65571:ODE65571 OMZ65571:ONA65571 OWV65571:OWW65571 PGR65571:PGS65571 PQN65571:PQO65571 QAJ65571:QAK65571 QKF65571:QKG65571 QUB65571:QUC65571 RDX65571:RDY65571 RNT65571:RNU65571 RXP65571:RXQ65571 SHL65571:SHM65571 SRH65571:SRI65571 TBD65571:TBE65571 TKZ65571:TLA65571 TUV65571:TUW65571 UER65571:UES65571 UON65571:UOO65571 UYJ65571:UYK65571 VIF65571:VIG65571 VSB65571:VSC65571 WBX65571:WBY65571 WLT65571:WLU65571 WVP65571:WVQ65571 H131107:I131107 JD131107:JE131107 SZ131107:TA131107 ACV131107:ACW131107 AMR131107:AMS131107 AWN131107:AWO131107 BGJ131107:BGK131107 BQF131107:BQG131107 CAB131107:CAC131107 CJX131107:CJY131107 CTT131107:CTU131107 DDP131107:DDQ131107 DNL131107:DNM131107 DXH131107:DXI131107 EHD131107:EHE131107 EQZ131107:ERA131107 FAV131107:FAW131107 FKR131107:FKS131107 FUN131107:FUO131107 GEJ131107:GEK131107 GOF131107:GOG131107 GYB131107:GYC131107 HHX131107:HHY131107 HRT131107:HRU131107 IBP131107:IBQ131107 ILL131107:ILM131107 IVH131107:IVI131107 JFD131107:JFE131107 JOZ131107:JPA131107 JYV131107:JYW131107 KIR131107:KIS131107 KSN131107:KSO131107 LCJ131107:LCK131107 LMF131107:LMG131107 LWB131107:LWC131107 MFX131107:MFY131107 MPT131107:MPU131107 MZP131107:MZQ131107 NJL131107:NJM131107 NTH131107:NTI131107 ODD131107:ODE131107 OMZ131107:ONA131107 OWV131107:OWW131107 PGR131107:PGS131107 PQN131107:PQO131107 QAJ131107:QAK131107 QKF131107:QKG131107 QUB131107:QUC131107 RDX131107:RDY131107 RNT131107:RNU131107 RXP131107:RXQ131107 SHL131107:SHM131107 SRH131107:SRI131107 TBD131107:TBE131107 TKZ131107:TLA131107 TUV131107:TUW131107 UER131107:UES131107 UON131107:UOO131107 UYJ131107:UYK131107 VIF131107:VIG131107 VSB131107:VSC131107 WBX131107:WBY131107 WLT131107:WLU131107 WVP131107:WVQ131107 H196643:I196643 JD196643:JE196643 SZ196643:TA196643 ACV196643:ACW196643 AMR196643:AMS196643 AWN196643:AWO196643 BGJ196643:BGK196643 BQF196643:BQG196643 CAB196643:CAC196643 CJX196643:CJY196643 CTT196643:CTU196643 DDP196643:DDQ196643 DNL196643:DNM196643 DXH196643:DXI196643 EHD196643:EHE196643 EQZ196643:ERA196643 FAV196643:FAW196643 FKR196643:FKS196643 FUN196643:FUO196643 GEJ196643:GEK196643 GOF196643:GOG196643 GYB196643:GYC196643 HHX196643:HHY196643 HRT196643:HRU196643 IBP196643:IBQ196643 ILL196643:ILM196643 IVH196643:IVI196643 JFD196643:JFE196643 JOZ196643:JPA196643 JYV196643:JYW196643 KIR196643:KIS196643 KSN196643:KSO196643 LCJ196643:LCK196643 LMF196643:LMG196643 LWB196643:LWC196643 MFX196643:MFY196643 MPT196643:MPU196643 MZP196643:MZQ196643 NJL196643:NJM196643 NTH196643:NTI196643 ODD196643:ODE196643 OMZ196643:ONA196643 OWV196643:OWW196643 PGR196643:PGS196643 PQN196643:PQO196643 QAJ196643:QAK196643 QKF196643:QKG196643 QUB196643:QUC196643 RDX196643:RDY196643 RNT196643:RNU196643 RXP196643:RXQ196643 SHL196643:SHM196643 SRH196643:SRI196643 TBD196643:TBE196643 TKZ196643:TLA196643 TUV196643:TUW196643 UER196643:UES196643 UON196643:UOO196643 UYJ196643:UYK196643 VIF196643:VIG196643 VSB196643:VSC196643 WBX196643:WBY196643 WLT196643:WLU196643 WVP196643:WVQ196643 H262179:I262179 JD262179:JE262179 SZ262179:TA262179 ACV262179:ACW262179 AMR262179:AMS262179 AWN262179:AWO262179 BGJ262179:BGK262179 BQF262179:BQG262179 CAB262179:CAC262179 CJX262179:CJY262179 CTT262179:CTU262179 DDP262179:DDQ262179 DNL262179:DNM262179 DXH262179:DXI262179 EHD262179:EHE262179 EQZ262179:ERA262179 FAV262179:FAW262179 FKR262179:FKS262179 FUN262179:FUO262179 GEJ262179:GEK262179 GOF262179:GOG262179 GYB262179:GYC262179 HHX262179:HHY262179 HRT262179:HRU262179 IBP262179:IBQ262179 ILL262179:ILM262179 IVH262179:IVI262179 JFD262179:JFE262179 JOZ262179:JPA262179 JYV262179:JYW262179 KIR262179:KIS262179 KSN262179:KSO262179 LCJ262179:LCK262179 LMF262179:LMG262179 LWB262179:LWC262179 MFX262179:MFY262179 MPT262179:MPU262179 MZP262179:MZQ262179 NJL262179:NJM262179 NTH262179:NTI262179 ODD262179:ODE262179 OMZ262179:ONA262179 OWV262179:OWW262179 PGR262179:PGS262179 PQN262179:PQO262179 QAJ262179:QAK262179 QKF262179:QKG262179 QUB262179:QUC262179 RDX262179:RDY262179 RNT262179:RNU262179 RXP262179:RXQ262179 SHL262179:SHM262179 SRH262179:SRI262179 TBD262179:TBE262179 TKZ262179:TLA262179 TUV262179:TUW262179 UER262179:UES262179 UON262179:UOO262179 UYJ262179:UYK262179 VIF262179:VIG262179 VSB262179:VSC262179 WBX262179:WBY262179 WLT262179:WLU262179 WVP262179:WVQ262179 H327715:I327715 JD327715:JE327715 SZ327715:TA327715 ACV327715:ACW327715 AMR327715:AMS327715 AWN327715:AWO327715 BGJ327715:BGK327715 BQF327715:BQG327715 CAB327715:CAC327715 CJX327715:CJY327715 CTT327715:CTU327715 DDP327715:DDQ327715 DNL327715:DNM327715 DXH327715:DXI327715 EHD327715:EHE327715 EQZ327715:ERA327715 FAV327715:FAW327715 FKR327715:FKS327715 FUN327715:FUO327715 GEJ327715:GEK327715 GOF327715:GOG327715 GYB327715:GYC327715 HHX327715:HHY327715 HRT327715:HRU327715 IBP327715:IBQ327715 ILL327715:ILM327715 IVH327715:IVI327715 JFD327715:JFE327715 JOZ327715:JPA327715 JYV327715:JYW327715 KIR327715:KIS327715 KSN327715:KSO327715 LCJ327715:LCK327715 LMF327715:LMG327715 LWB327715:LWC327715 MFX327715:MFY327715 MPT327715:MPU327715 MZP327715:MZQ327715 NJL327715:NJM327715 NTH327715:NTI327715 ODD327715:ODE327715 OMZ327715:ONA327715 OWV327715:OWW327715 PGR327715:PGS327715 PQN327715:PQO327715 QAJ327715:QAK327715 QKF327715:QKG327715 QUB327715:QUC327715 RDX327715:RDY327715 RNT327715:RNU327715 RXP327715:RXQ327715 SHL327715:SHM327715 SRH327715:SRI327715 TBD327715:TBE327715 TKZ327715:TLA327715 TUV327715:TUW327715 UER327715:UES327715 UON327715:UOO327715 UYJ327715:UYK327715 VIF327715:VIG327715 VSB327715:VSC327715 WBX327715:WBY327715 WLT327715:WLU327715 WVP327715:WVQ327715 H393251:I393251 JD393251:JE393251 SZ393251:TA393251 ACV393251:ACW393251 AMR393251:AMS393251 AWN393251:AWO393251 BGJ393251:BGK393251 BQF393251:BQG393251 CAB393251:CAC393251 CJX393251:CJY393251 CTT393251:CTU393251 DDP393251:DDQ393251 DNL393251:DNM393251 DXH393251:DXI393251 EHD393251:EHE393251 EQZ393251:ERA393251 FAV393251:FAW393251 FKR393251:FKS393251 FUN393251:FUO393251 GEJ393251:GEK393251 GOF393251:GOG393251 GYB393251:GYC393251 HHX393251:HHY393251 HRT393251:HRU393251 IBP393251:IBQ393251 ILL393251:ILM393251 IVH393251:IVI393251 JFD393251:JFE393251 JOZ393251:JPA393251 JYV393251:JYW393251 KIR393251:KIS393251 KSN393251:KSO393251 LCJ393251:LCK393251 LMF393251:LMG393251 LWB393251:LWC393251 MFX393251:MFY393251 MPT393251:MPU393251 MZP393251:MZQ393251 NJL393251:NJM393251 NTH393251:NTI393251 ODD393251:ODE393251 OMZ393251:ONA393251 OWV393251:OWW393251 PGR393251:PGS393251 PQN393251:PQO393251 QAJ393251:QAK393251 QKF393251:QKG393251 QUB393251:QUC393251 RDX393251:RDY393251 RNT393251:RNU393251 RXP393251:RXQ393251 SHL393251:SHM393251 SRH393251:SRI393251 TBD393251:TBE393251 TKZ393251:TLA393251 TUV393251:TUW393251 UER393251:UES393251 UON393251:UOO393251 UYJ393251:UYK393251 VIF393251:VIG393251 VSB393251:VSC393251 WBX393251:WBY393251 WLT393251:WLU393251 WVP393251:WVQ393251 H458787:I458787 JD458787:JE458787 SZ458787:TA458787 ACV458787:ACW458787 AMR458787:AMS458787 AWN458787:AWO458787 BGJ458787:BGK458787 BQF458787:BQG458787 CAB458787:CAC458787 CJX458787:CJY458787 CTT458787:CTU458787 DDP458787:DDQ458787 DNL458787:DNM458787 DXH458787:DXI458787 EHD458787:EHE458787 EQZ458787:ERA458787 FAV458787:FAW458787 FKR458787:FKS458787 FUN458787:FUO458787 GEJ458787:GEK458787 GOF458787:GOG458787 GYB458787:GYC458787 HHX458787:HHY458787 HRT458787:HRU458787 IBP458787:IBQ458787 ILL458787:ILM458787 IVH458787:IVI458787 JFD458787:JFE458787 JOZ458787:JPA458787 JYV458787:JYW458787 KIR458787:KIS458787 KSN458787:KSO458787 LCJ458787:LCK458787 LMF458787:LMG458787 LWB458787:LWC458787 MFX458787:MFY458787 MPT458787:MPU458787 MZP458787:MZQ458787 NJL458787:NJM458787 NTH458787:NTI458787 ODD458787:ODE458787 OMZ458787:ONA458787 OWV458787:OWW458787 PGR458787:PGS458787 PQN458787:PQO458787 QAJ458787:QAK458787 QKF458787:QKG458787 QUB458787:QUC458787 RDX458787:RDY458787 RNT458787:RNU458787 RXP458787:RXQ458787 SHL458787:SHM458787 SRH458787:SRI458787 TBD458787:TBE458787 TKZ458787:TLA458787 TUV458787:TUW458787 UER458787:UES458787 UON458787:UOO458787 UYJ458787:UYK458787 VIF458787:VIG458787 VSB458787:VSC458787 WBX458787:WBY458787 WLT458787:WLU458787 WVP458787:WVQ458787 H524323:I524323 JD524323:JE524323 SZ524323:TA524323 ACV524323:ACW524323 AMR524323:AMS524323 AWN524323:AWO524323 BGJ524323:BGK524323 BQF524323:BQG524323 CAB524323:CAC524323 CJX524323:CJY524323 CTT524323:CTU524323 DDP524323:DDQ524323 DNL524323:DNM524323 DXH524323:DXI524323 EHD524323:EHE524323 EQZ524323:ERA524323 FAV524323:FAW524323 FKR524323:FKS524323 FUN524323:FUO524323 GEJ524323:GEK524323 GOF524323:GOG524323 GYB524323:GYC524323 HHX524323:HHY524323 HRT524323:HRU524323 IBP524323:IBQ524323 ILL524323:ILM524323 IVH524323:IVI524323 JFD524323:JFE524323 JOZ524323:JPA524323 JYV524323:JYW524323 KIR524323:KIS524323 KSN524323:KSO524323 LCJ524323:LCK524323 LMF524323:LMG524323 LWB524323:LWC524323 MFX524323:MFY524323 MPT524323:MPU524323 MZP524323:MZQ524323 NJL524323:NJM524323 NTH524323:NTI524323 ODD524323:ODE524323 OMZ524323:ONA524323 OWV524323:OWW524323 PGR524323:PGS524323 PQN524323:PQO524323 QAJ524323:QAK524323 QKF524323:QKG524323 QUB524323:QUC524323 RDX524323:RDY524323 RNT524323:RNU524323 RXP524323:RXQ524323 SHL524323:SHM524323 SRH524323:SRI524323 TBD524323:TBE524323 TKZ524323:TLA524323 TUV524323:TUW524323 UER524323:UES524323 UON524323:UOO524323 UYJ524323:UYK524323 VIF524323:VIG524323 VSB524323:VSC524323 WBX524323:WBY524323 WLT524323:WLU524323 WVP524323:WVQ524323 H589859:I589859 JD589859:JE589859 SZ589859:TA589859 ACV589859:ACW589859 AMR589859:AMS589859 AWN589859:AWO589859 BGJ589859:BGK589859 BQF589859:BQG589859 CAB589859:CAC589859 CJX589859:CJY589859 CTT589859:CTU589859 DDP589859:DDQ589859 DNL589859:DNM589859 DXH589859:DXI589859 EHD589859:EHE589859 EQZ589859:ERA589859 FAV589859:FAW589859 FKR589859:FKS589859 FUN589859:FUO589859 GEJ589859:GEK589859 GOF589859:GOG589859 GYB589859:GYC589859 HHX589859:HHY589859 HRT589859:HRU589859 IBP589859:IBQ589859 ILL589859:ILM589859 IVH589859:IVI589859 JFD589859:JFE589859 JOZ589859:JPA589859 JYV589859:JYW589859 KIR589859:KIS589859 KSN589859:KSO589859 LCJ589859:LCK589859 LMF589859:LMG589859 LWB589859:LWC589859 MFX589859:MFY589859 MPT589859:MPU589859 MZP589859:MZQ589859 NJL589859:NJM589859 NTH589859:NTI589859 ODD589859:ODE589859 OMZ589859:ONA589859 OWV589859:OWW589859 PGR589859:PGS589859 PQN589859:PQO589859 QAJ589859:QAK589859 QKF589859:QKG589859 QUB589859:QUC589859 RDX589859:RDY589859 RNT589859:RNU589859 RXP589859:RXQ589859 SHL589859:SHM589859 SRH589859:SRI589859 TBD589859:TBE589859 TKZ589859:TLA589859 TUV589859:TUW589859 UER589859:UES589859 UON589859:UOO589859 UYJ589859:UYK589859 VIF589859:VIG589859 VSB589859:VSC589859 WBX589859:WBY589859 WLT589859:WLU589859 WVP589859:WVQ589859 H655395:I655395 JD655395:JE655395 SZ655395:TA655395 ACV655395:ACW655395 AMR655395:AMS655395 AWN655395:AWO655395 BGJ655395:BGK655395 BQF655395:BQG655395 CAB655395:CAC655395 CJX655395:CJY655395 CTT655395:CTU655395 DDP655395:DDQ655395 DNL655395:DNM655395 DXH655395:DXI655395 EHD655395:EHE655395 EQZ655395:ERA655395 FAV655395:FAW655395 FKR655395:FKS655395 FUN655395:FUO655395 GEJ655395:GEK655395 GOF655395:GOG655395 GYB655395:GYC655395 HHX655395:HHY655395 HRT655395:HRU655395 IBP655395:IBQ655395 ILL655395:ILM655395 IVH655395:IVI655395 JFD655395:JFE655395 JOZ655395:JPA655395 JYV655395:JYW655395 KIR655395:KIS655395 KSN655395:KSO655395 LCJ655395:LCK655395 LMF655395:LMG655395 LWB655395:LWC655395 MFX655395:MFY655395 MPT655395:MPU655395 MZP655395:MZQ655395 NJL655395:NJM655395 NTH655395:NTI655395 ODD655395:ODE655395 OMZ655395:ONA655395 OWV655395:OWW655395 PGR655395:PGS655395 PQN655395:PQO655395 QAJ655395:QAK655395 QKF655395:QKG655395 QUB655395:QUC655395 RDX655395:RDY655395 RNT655395:RNU655395 RXP655395:RXQ655395 SHL655395:SHM655395 SRH655395:SRI655395 TBD655395:TBE655395 TKZ655395:TLA655395 TUV655395:TUW655395 UER655395:UES655395 UON655395:UOO655395 UYJ655395:UYK655395 VIF655395:VIG655395 VSB655395:VSC655395 WBX655395:WBY655395 WLT655395:WLU655395 WVP655395:WVQ655395 H720931:I720931 JD720931:JE720931 SZ720931:TA720931 ACV720931:ACW720931 AMR720931:AMS720931 AWN720931:AWO720931 BGJ720931:BGK720931 BQF720931:BQG720931 CAB720931:CAC720931 CJX720931:CJY720931 CTT720931:CTU720931 DDP720931:DDQ720931 DNL720931:DNM720931 DXH720931:DXI720931 EHD720931:EHE720931 EQZ720931:ERA720931 FAV720931:FAW720931 FKR720931:FKS720931 FUN720931:FUO720931 GEJ720931:GEK720931 GOF720931:GOG720931 GYB720931:GYC720931 HHX720931:HHY720931 HRT720931:HRU720931 IBP720931:IBQ720931 ILL720931:ILM720931 IVH720931:IVI720931 JFD720931:JFE720931 JOZ720931:JPA720931 JYV720931:JYW720931 KIR720931:KIS720931 KSN720931:KSO720931 LCJ720931:LCK720931 LMF720931:LMG720931 LWB720931:LWC720931 MFX720931:MFY720931 MPT720931:MPU720931 MZP720931:MZQ720931 NJL720931:NJM720931 NTH720931:NTI720931 ODD720931:ODE720931 OMZ720931:ONA720931 OWV720931:OWW720931 PGR720931:PGS720931 PQN720931:PQO720931 QAJ720931:QAK720931 QKF720931:QKG720931 QUB720931:QUC720931 RDX720931:RDY720931 RNT720931:RNU720931 RXP720931:RXQ720931 SHL720931:SHM720931 SRH720931:SRI720931 TBD720931:TBE720931 TKZ720931:TLA720931 TUV720931:TUW720931 UER720931:UES720931 UON720931:UOO720931 UYJ720931:UYK720931 VIF720931:VIG720931 VSB720931:VSC720931 WBX720931:WBY720931 WLT720931:WLU720931 WVP720931:WVQ720931 H786467:I786467 JD786467:JE786467 SZ786467:TA786467 ACV786467:ACW786467 AMR786467:AMS786467 AWN786467:AWO786467 BGJ786467:BGK786467 BQF786467:BQG786467 CAB786467:CAC786467 CJX786467:CJY786467 CTT786467:CTU786467 DDP786467:DDQ786467 DNL786467:DNM786467 DXH786467:DXI786467 EHD786467:EHE786467 EQZ786467:ERA786467 FAV786467:FAW786467 FKR786467:FKS786467 FUN786467:FUO786467 GEJ786467:GEK786467 GOF786467:GOG786467 GYB786467:GYC786467 HHX786467:HHY786467 HRT786467:HRU786467 IBP786467:IBQ786467 ILL786467:ILM786467 IVH786467:IVI786467 JFD786467:JFE786467 JOZ786467:JPA786467 JYV786467:JYW786467 KIR786467:KIS786467 KSN786467:KSO786467 LCJ786467:LCK786467 LMF786467:LMG786467 LWB786467:LWC786467 MFX786467:MFY786467 MPT786467:MPU786467 MZP786467:MZQ786467 NJL786467:NJM786467 NTH786467:NTI786467 ODD786467:ODE786467 OMZ786467:ONA786467 OWV786467:OWW786467 PGR786467:PGS786467 PQN786467:PQO786467 QAJ786467:QAK786467 QKF786467:QKG786467 QUB786467:QUC786467 RDX786467:RDY786467 RNT786467:RNU786467 RXP786467:RXQ786467 SHL786467:SHM786467 SRH786467:SRI786467 TBD786467:TBE786467 TKZ786467:TLA786467 TUV786467:TUW786467 UER786467:UES786467 UON786467:UOO786467 UYJ786467:UYK786467 VIF786467:VIG786467 VSB786467:VSC786467 WBX786467:WBY786467 WLT786467:WLU786467 WVP786467:WVQ786467 H852003:I852003 JD852003:JE852003 SZ852003:TA852003 ACV852003:ACW852003 AMR852003:AMS852003 AWN852003:AWO852003 BGJ852003:BGK852003 BQF852003:BQG852003 CAB852003:CAC852003 CJX852003:CJY852003 CTT852003:CTU852003 DDP852003:DDQ852003 DNL852003:DNM852003 DXH852003:DXI852003 EHD852003:EHE852003 EQZ852003:ERA852003 FAV852003:FAW852003 FKR852003:FKS852003 FUN852003:FUO852003 GEJ852003:GEK852003 GOF852003:GOG852003 GYB852003:GYC852003 HHX852003:HHY852003 HRT852003:HRU852003 IBP852003:IBQ852003 ILL852003:ILM852003 IVH852003:IVI852003 JFD852003:JFE852003 JOZ852003:JPA852003 JYV852003:JYW852003 KIR852003:KIS852003 KSN852003:KSO852003 LCJ852003:LCK852003 LMF852003:LMG852003 LWB852003:LWC852003 MFX852003:MFY852003 MPT852003:MPU852003 MZP852003:MZQ852003 NJL852003:NJM852003 NTH852003:NTI852003 ODD852003:ODE852003 OMZ852003:ONA852003 OWV852003:OWW852003 PGR852003:PGS852003 PQN852003:PQO852003 QAJ852003:QAK852003 QKF852003:QKG852003 QUB852003:QUC852003 RDX852003:RDY852003 RNT852003:RNU852003 RXP852003:RXQ852003 SHL852003:SHM852003 SRH852003:SRI852003 TBD852003:TBE852003 TKZ852003:TLA852003 TUV852003:TUW852003 UER852003:UES852003 UON852003:UOO852003 UYJ852003:UYK852003 VIF852003:VIG852003 VSB852003:VSC852003 WBX852003:WBY852003 WLT852003:WLU852003 WVP852003:WVQ852003 H917539:I917539 JD917539:JE917539 SZ917539:TA917539 ACV917539:ACW917539 AMR917539:AMS917539 AWN917539:AWO917539 BGJ917539:BGK917539 BQF917539:BQG917539 CAB917539:CAC917539 CJX917539:CJY917539 CTT917539:CTU917539 DDP917539:DDQ917539 DNL917539:DNM917539 DXH917539:DXI917539 EHD917539:EHE917539 EQZ917539:ERA917539 FAV917539:FAW917539 FKR917539:FKS917539 FUN917539:FUO917539 GEJ917539:GEK917539 GOF917539:GOG917539 GYB917539:GYC917539 HHX917539:HHY917539 HRT917539:HRU917539 IBP917539:IBQ917539 ILL917539:ILM917539 IVH917539:IVI917539 JFD917539:JFE917539 JOZ917539:JPA917539 JYV917539:JYW917539 KIR917539:KIS917539 KSN917539:KSO917539 LCJ917539:LCK917539 LMF917539:LMG917539 LWB917539:LWC917539 MFX917539:MFY917539 MPT917539:MPU917539 MZP917539:MZQ917539 NJL917539:NJM917539 NTH917539:NTI917539 ODD917539:ODE917539 OMZ917539:ONA917539 OWV917539:OWW917539 PGR917539:PGS917539 PQN917539:PQO917539 QAJ917539:QAK917539 QKF917539:QKG917539 QUB917539:QUC917539 RDX917539:RDY917539 RNT917539:RNU917539 RXP917539:RXQ917539 SHL917539:SHM917539 SRH917539:SRI917539 TBD917539:TBE917539 TKZ917539:TLA917539 TUV917539:TUW917539 UER917539:UES917539 UON917539:UOO917539 UYJ917539:UYK917539 VIF917539:VIG917539 VSB917539:VSC917539 WBX917539:WBY917539 WLT917539:WLU917539 WVP917539:WVQ917539 H983075:I983075 JD983075:JE983075 SZ983075:TA983075 ACV983075:ACW983075 AMR983075:AMS983075 AWN983075:AWO983075 BGJ983075:BGK983075 BQF983075:BQG983075 CAB983075:CAC983075 CJX983075:CJY983075 CTT983075:CTU983075 DDP983075:DDQ983075 DNL983075:DNM983075 DXH983075:DXI983075 EHD983075:EHE983075 EQZ983075:ERA983075 FAV983075:FAW983075 FKR983075:FKS983075 FUN983075:FUO983075 GEJ983075:GEK983075 GOF983075:GOG983075 GYB983075:GYC983075 HHX983075:HHY983075 HRT983075:HRU983075 IBP983075:IBQ983075 ILL983075:ILM983075 IVH983075:IVI983075 JFD983075:JFE983075 JOZ983075:JPA983075 JYV983075:JYW983075 KIR983075:KIS983075 KSN983075:KSO983075 LCJ983075:LCK983075 LMF983075:LMG983075 LWB983075:LWC983075 MFX983075:MFY983075 MPT983075:MPU983075 MZP983075:MZQ983075 NJL983075:NJM983075 NTH983075:NTI983075 ODD983075:ODE983075 OMZ983075:ONA983075 OWV983075:OWW983075 PGR983075:PGS983075 PQN983075:PQO983075 QAJ983075:QAK983075 QKF983075:QKG983075 QUB983075:QUC983075 RDX983075:RDY983075 RNT983075:RNU983075 RXP983075:RXQ983075 SHL983075:SHM983075 SRH983075:SRI983075 TBD983075:TBE983075 TKZ983075:TLA983075 TUV983075:TUW983075 UER983075:UES983075 UON983075:UOO983075 UYJ983075:UYK983075 VIF983075:VIG983075 VSB983075:VSC983075 WBX983075:WBY983075 WLT983075:WLU983075">
      <formula1>$Q$85:$Q$88</formula1>
    </dataValidation>
    <dataValidation type="list" allowBlank="1" showInputMessage="1" showErrorMessage="1" sqref="H24">
      <formula1>YesNo</formula1>
    </dataValidation>
  </dataValidations>
  <hyperlinks>
    <hyperlink ref="A1" location="'Table Of Contents'!A1" display="TOC"/>
  </hyperlinks>
  <pageMargins left="0.25" right="0.25" top="0.75" bottom="0.75" header="0.3" footer="0.3"/>
  <pageSetup scale="47" orientation="portrait" r:id="rId1"/>
  <headerFooter alignWithMargins="0"/>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"Yes,No,NA"</xm:f>
          </x14:formula1>
          <xm:sqref>WVQ983112:WVQ983113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H26:I32 JD26:JE32 SZ26:TA32 ACV26:ACW32 AMR26:AMS32 AWN26:AWO32 BGJ26:BGK32 BQF26:BQG32 CAB26:CAC32 CJX26:CJY32 CTT26:CTU32 DDP26:DDQ32 DNL26:DNM32 DXH26:DXI32 EHD26:EHE32 EQZ26:ERA32 FAV26:FAW32 FKR26:FKS32 FUN26:FUO32 GEJ26:GEK32 GOF26:GOG32 GYB26:GYC32 HHX26:HHY32 HRT26:HRU32 IBP26:IBQ32 ILL26:ILM32 IVH26:IVI32 JFD26:JFE32 JOZ26:JPA32 JYV26:JYW32 KIR26:KIS32 KSN26:KSO32 LCJ26:LCK32 LMF26:LMG32 LWB26:LWC32 MFX26:MFY32 MPT26:MPU32 MZP26:MZQ32 NJL26:NJM32 NTH26:NTI32 ODD26:ODE32 OMZ26:ONA32 OWV26:OWW32 PGR26:PGS32 PQN26:PQO32 QAJ26:QAK32 QKF26:QKG32 QUB26:QUC32 RDX26:RDY32 RNT26:RNU32 RXP26:RXQ32 SHL26:SHM32 SRH26:SRI32 TBD26:TBE32 TKZ26:TLA32 TUV26:TUW32 UER26:UES32 UON26:UOO32 UYJ26:UYK32 VIF26:VIG32 VSB26:VSC32 WBX26:WBY32 WLT26:WLU32 WVP26:WVQ32 H65562:I65568 JD65562:JE65568 SZ65562:TA65568 ACV65562:ACW65568 AMR65562:AMS65568 AWN65562:AWO65568 BGJ65562:BGK65568 BQF65562:BQG65568 CAB65562:CAC65568 CJX65562:CJY65568 CTT65562:CTU65568 DDP65562:DDQ65568 DNL65562:DNM65568 DXH65562:DXI65568 EHD65562:EHE65568 EQZ65562:ERA65568 FAV65562:FAW65568 FKR65562:FKS65568 FUN65562:FUO65568 GEJ65562:GEK65568 GOF65562:GOG65568 GYB65562:GYC65568 HHX65562:HHY65568 HRT65562:HRU65568 IBP65562:IBQ65568 ILL65562:ILM65568 IVH65562:IVI65568 JFD65562:JFE65568 JOZ65562:JPA65568 JYV65562:JYW65568 KIR65562:KIS65568 KSN65562:KSO65568 LCJ65562:LCK65568 LMF65562:LMG65568 LWB65562:LWC65568 MFX65562:MFY65568 MPT65562:MPU65568 MZP65562:MZQ65568 NJL65562:NJM65568 NTH65562:NTI65568 ODD65562:ODE65568 OMZ65562:ONA65568 OWV65562:OWW65568 PGR65562:PGS65568 PQN65562:PQO65568 QAJ65562:QAK65568 QKF65562:QKG65568 QUB65562:QUC65568 RDX65562:RDY65568 RNT65562:RNU65568 RXP65562:RXQ65568 SHL65562:SHM65568 SRH65562:SRI65568 TBD65562:TBE65568 TKZ65562:TLA65568 TUV65562:TUW65568 UER65562:UES65568 UON65562:UOO65568 UYJ65562:UYK65568 VIF65562:VIG65568 VSB65562:VSC65568 WBX65562:WBY65568 WLT65562:WLU65568 WVP65562:WVQ65568 H131098:I131104 JD131098:JE131104 SZ131098:TA131104 ACV131098:ACW131104 AMR131098:AMS131104 AWN131098:AWO131104 BGJ131098:BGK131104 BQF131098:BQG131104 CAB131098:CAC131104 CJX131098:CJY131104 CTT131098:CTU131104 DDP131098:DDQ131104 DNL131098:DNM131104 DXH131098:DXI131104 EHD131098:EHE131104 EQZ131098:ERA131104 FAV131098:FAW131104 FKR131098:FKS131104 FUN131098:FUO131104 GEJ131098:GEK131104 GOF131098:GOG131104 GYB131098:GYC131104 HHX131098:HHY131104 HRT131098:HRU131104 IBP131098:IBQ131104 ILL131098:ILM131104 IVH131098:IVI131104 JFD131098:JFE131104 JOZ131098:JPA131104 JYV131098:JYW131104 KIR131098:KIS131104 KSN131098:KSO131104 LCJ131098:LCK131104 LMF131098:LMG131104 LWB131098:LWC131104 MFX131098:MFY131104 MPT131098:MPU131104 MZP131098:MZQ131104 NJL131098:NJM131104 NTH131098:NTI131104 ODD131098:ODE131104 OMZ131098:ONA131104 OWV131098:OWW131104 PGR131098:PGS131104 PQN131098:PQO131104 QAJ131098:QAK131104 QKF131098:QKG131104 QUB131098:QUC131104 RDX131098:RDY131104 RNT131098:RNU131104 RXP131098:RXQ131104 SHL131098:SHM131104 SRH131098:SRI131104 TBD131098:TBE131104 TKZ131098:TLA131104 TUV131098:TUW131104 UER131098:UES131104 UON131098:UOO131104 UYJ131098:UYK131104 VIF131098:VIG131104 VSB131098:VSC131104 WBX131098:WBY131104 WLT131098:WLU131104 WVP131098:WVQ131104 H196634:I196640 JD196634:JE196640 SZ196634:TA196640 ACV196634:ACW196640 AMR196634:AMS196640 AWN196634:AWO196640 BGJ196634:BGK196640 BQF196634:BQG196640 CAB196634:CAC196640 CJX196634:CJY196640 CTT196634:CTU196640 DDP196634:DDQ196640 DNL196634:DNM196640 DXH196634:DXI196640 EHD196634:EHE196640 EQZ196634:ERA196640 FAV196634:FAW196640 FKR196634:FKS196640 FUN196634:FUO196640 GEJ196634:GEK196640 GOF196634:GOG196640 GYB196634:GYC196640 HHX196634:HHY196640 HRT196634:HRU196640 IBP196634:IBQ196640 ILL196634:ILM196640 IVH196634:IVI196640 JFD196634:JFE196640 JOZ196634:JPA196640 JYV196634:JYW196640 KIR196634:KIS196640 KSN196634:KSO196640 LCJ196634:LCK196640 LMF196634:LMG196640 LWB196634:LWC196640 MFX196634:MFY196640 MPT196634:MPU196640 MZP196634:MZQ196640 NJL196634:NJM196640 NTH196634:NTI196640 ODD196634:ODE196640 OMZ196634:ONA196640 OWV196634:OWW196640 PGR196634:PGS196640 PQN196634:PQO196640 QAJ196634:QAK196640 QKF196634:QKG196640 QUB196634:QUC196640 RDX196634:RDY196640 RNT196634:RNU196640 RXP196634:RXQ196640 SHL196634:SHM196640 SRH196634:SRI196640 TBD196634:TBE196640 TKZ196634:TLA196640 TUV196634:TUW196640 UER196634:UES196640 UON196634:UOO196640 UYJ196634:UYK196640 VIF196634:VIG196640 VSB196634:VSC196640 WBX196634:WBY196640 WLT196634:WLU196640 WVP196634:WVQ196640 H262170:I262176 JD262170:JE262176 SZ262170:TA262176 ACV262170:ACW262176 AMR262170:AMS262176 AWN262170:AWO262176 BGJ262170:BGK262176 BQF262170:BQG262176 CAB262170:CAC262176 CJX262170:CJY262176 CTT262170:CTU262176 DDP262170:DDQ262176 DNL262170:DNM262176 DXH262170:DXI262176 EHD262170:EHE262176 EQZ262170:ERA262176 FAV262170:FAW262176 FKR262170:FKS262176 FUN262170:FUO262176 GEJ262170:GEK262176 GOF262170:GOG262176 GYB262170:GYC262176 HHX262170:HHY262176 HRT262170:HRU262176 IBP262170:IBQ262176 ILL262170:ILM262176 IVH262170:IVI262176 JFD262170:JFE262176 JOZ262170:JPA262176 JYV262170:JYW262176 KIR262170:KIS262176 KSN262170:KSO262176 LCJ262170:LCK262176 LMF262170:LMG262176 LWB262170:LWC262176 MFX262170:MFY262176 MPT262170:MPU262176 MZP262170:MZQ262176 NJL262170:NJM262176 NTH262170:NTI262176 ODD262170:ODE262176 OMZ262170:ONA262176 OWV262170:OWW262176 PGR262170:PGS262176 PQN262170:PQO262176 QAJ262170:QAK262176 QKF262170:QKG262176 QUB262170:QUC262176 RDX262170:RDY262176 RNT262170:RNU262176 RXP262170:RXQ262176 SHL262170:SHM262176 SRH262170:SRI262176 TBD262170:TBE262176 TKZ262170:TLA262176 TUV262170:TUW262176 UER262170:UES262176 UON262170:UOO262176 UYJ262170:UYK262176 VIF262170:VIG262176 VSB262170:VSC262176 WBX262170:WBY262176 WLT262170:WLU262176 WVP262170:WVQ262176 H327706:I327712 JD327706:JE327712 SZ327706:TA327712 ACV327706:ACW327712 AMR327706:AMS327712 AWN327706:AWO327712 BGJ327706:BGK327712 BQF327706:BQG327712 CAB327706:CAC327712 CJX327706:CJY327712 CTT327706:CTU327712 DDP327706:DDQ327712 DNL327706:DNM327712 DXH327706:DXI327712 EHD327706:EHE327712 EQZ327706:ERA327712 FAV327706:FAW327712 FKR327706:FKS327712 FUN327706:FUO327712 GEJ327706:GEK327712 GOF327706:GOG327712 GYB327706:GYC327712 HHX327706:HHY327712 HRT327706:HRU327712 IBP327706:IBQ327712 ILL327706:ILM327712 IVH327706:IVI327712 JFD327706:JFE327712 JOZ327706:JPA327712 JYV327706:JYW327712 KIR327706:KIS327712 KSN327706:KSO327712 LCJ327706:LCK327712 LMF327706:LMG327712 LWB327706:LWC327712 MFX327706:MFY327712 MPT327706:MPU327712 MZP327706:MZQ327712 NJL327706:NJM327712 NTH327706:NTI327712 ODD327706:ODE327712 OMZ327706:ONA327712 OWV327706:OWW327712 PGR327706:PGS327712 PQN327706:PQO327712 QAJ327706:QAK327712 QKF327706:QKG327712 QUB327706:QUC327712 RDX327706:RDY327712 RNT327706:RNU327712 RXP327706:RXQ327712 SHL327706:SHM327712 SRH327706:SRI327712 TBD327706:TBE327712 TKZ327706:TLA327712 TUV327706:TUW327712 UER327706:UES327712 UON327706:UOO327712 UYJ327706:UYK327712 VIF327706:VIG327712 VSB327706:VSC327712 WBX327706:WBY327712 WLT327706:WLU327712 WVP327706:WVQ327712 H393242:I393248 JD393242:JE393248 SZ393242:TA393248 ACV393242:ACW393248 AMR393242:AMS393248 AWN393242:AWO393248 BGJ393242:BGK393248 BQF393242:BQG393248 CAB393242:CAC393248 CJX393242:CJY393248 CTT393242:CTU393248 DDP393242:DDQ393248 DNL393242:DNM393248 DXH393242:DXI393248 EHD393242:EHE393248 EQZ393242:ERA393248 FAV393242:FAW393248 FKR393242:FKS393248 FUN393242:FUO393248 GEJ393242:GEK393248 GOF393242:GOG393248 GYB393242:GYC393248 HHX393242:HHY393248 HRT393242:HRU393248 IBP393242:IBQ393248 ILL393242:ILM393248 IVH393242:IVI393248 JFD393242:JFE393248 JOZ393242:JPA393248 JYV393242:JYW393248 KIR393242:KIS393248 KSN393242:KSO393248 LCJ393242:LCK393248 LMF393242:LMG393248 LWB393242:LWC393248 MFX393242:MFY393248 MPT393242:MPU393248 MZP393242:MZQ393248 NJL393242:NJM393248 NTH393242:NTI393248 ODD393242:ODE393248 OMZ393242:ONA393248 OWV393242:OWW393248 PGR393242:PGS393248 PQN393242:PQO393248 QAJ393242:QAK393248 QKF393242:QKG393248 QUB393242:QUC393248 RDX393242:RDY393248 RNT393242:RNU393248 RXP393242:RXQ393248 SHL393242:SHM393248 SRH393242:SRI393248 TBD393242:TBE393248 TKZ393242:TLA393248 TUV393242:TUW393248 UER393242:UES393248 UON393242:UOO393248 UYJ393242:UYK393248 VIF393242:VIG393248 VSB393242:VSC393248 WBX393242:WBY393248 WLT393242:WLU393248 WVP393242:WVQ393248 H458778:I458784 JD458778:JE458784 SZ458778:TA458784 ACV458778:ACW458784 AMR458778:AMS458784 AWN458778:AWO458784 BGJ458778:BGK458784 BQF458778:BQG458784 CAB458778:CAC458784 CJX458778:CJY458784 CTT458778:CTU458784 DDP458778:DDQ458784 DNL458778:DNM458784 DXH458778:DXI458784 EHD458778:EHE458784 EQZ458778:ERA458784 FAV458778:FAW458784 FKR458778:FKS458784 FUN458778:FUO458784 GEJ458778:GEK458784 GOF458778:GOG458784 GYB458778:GYC458784 HHX458778:HHY458784 HRT458778:HRU458784 IBP458778:IBQ458784 ILL458778:ILM458784 IVH458778:IVI458784 JFD458778:JFE458784 JOZ458778:JPA458784 JYV458778:JYW458784 KIR458778:KIS458784 KSN458778:KSO458784 LCJ458778:LCK458784 LMF458778:LMG458784 LWB458778:LWC458784 MFX458778:MFY458784 MPT458778:MPU458784 MZP458778:MZQ458784 NJL458778:NJM458784 NTH458778:NTI458784 ODD458778:ODE458784 OMZ458778:ONA458784 OWV458778:OWW458784 PGR458778:PGS458784 PQN458778:PQO458784 QAJ458778:QAK458784 QKF458778:QKG458784 QUB458778:QUC458784 RDX458778:RDY458784 RNT458778:RNU458784 RXP458778:RXQ458784 SHL458778:SHM458784 SRH458778:SRI458784 TBD458778:TBE458784 TKZ458778:TLA458784 TUV458778:TUW458784 UER458778:UES458784 UON458778:UOO458784 UYJ458778:UYK458784 VIF458778:VIG458784 VSB458778:VSC458784 WBX458778:WBY458784 WLT458778:WLU458784 WVP458778:WVQ458784 H524314:I524320 JD524314:JE524320 SZ524314:TA524320 ACV524314:ACW524320 AMR524314:AMS524320 AWN524314:AWO524320 BGJ524314:BGK524320 BQF524314:BQG524320 CAB524314:CAC524320 CJX524314:CJY524320 CTT524314:CTU524320 DDP524314:DDQ524320 DNL524314:DNM524320 DXH524314:DXI524320 EHD524314:EHE524320 EQZ524314:ERA524320 FAV524314:FAW524320 FKR524314:FKS524320 FUN524314:FUO524320 GEJ524314:GEK524320 GOF524314:GOG524320 GYB524314:GYC524320 HHX524314:HHY524320 HRT524314:HRU524320 IBP524314:IBQ524320 ILL524314:ILM524320 IVH524314:IVI524320 JFD524314:JFE524320 JOZ524314:JPA524320 JYV524314:JYW524320 KIR524314:KIS524320 KSN524314:KSO524320 LCJ524314:LCK524320 LMF524314:LMG524320 LWB524314:LWC524320 MFX524314:MFY524320 MPT524314:MPU524320 MZP524314:MZQ524320 NJL524314:NJM524320 NTH524314:NTI524320 ODD524314:ODE524320 OMZ524314:ONA524320 OWV524314:OWW524320 PGR524314:PGS524320 PQN524314:PQO524320 QAJ524314:QAK524320 QKF524314:QKG524320 QUB524314:QUC524320 RDX524314:RDY524320 RNT524314:RNU524320 RXP524314:RXQ524320 SHL524314:SHM524320 SRH524314:SRI524320 TBD524314:TBE524320 TKZ524314:TLA524320 TUV524314:TUW524320 UER524314:UES524320 UON524314:UOO524320 UYJ524314:UYK524320 VIF524314:VIG524320 VSB524314:VSC524320 WBX524314:WBY524320 WLT524314:WLU524320 WVP524314:WVQ524320 H589850:I589856 JD589850:JE589856 SZ589850:TA589856 ACV589850:ACW589856 AMR589850:AMS589856 AWN589850:AWO589856 BGJ589850:BGK589856 BQF589850:BQG589856 CAB589850:CAC589856 CJX589850:CJY589856 CTT589850:CTU589856 DDP589850:DDQ589856 DNL589850:DNM589856 DXH589850:DXI589856 EHD589850:EHE589856 EQZ589850:ERA589856 FAV589850:FAW589856 FKR589850:FKS589856 FUN589850:FUO589856 GEJ589850:GEK589856 GOF589850:GOG589856 GYB589850:GYC589856 HHX589850:HHY589856 HRT589850:HRU589856 IBP589850:IBQ589856 ILL589850:ILM589856 IVH589850:IVI589856 JFD589850:JFE589856 JOZ589850:JPA589856 JYV589850:JYW589856 KIR589850:KIS589856 KSN589850:KSO589856 LCJ589850:LCK589856 LMF589850:LMG589856 LWB589850:LWC589856 MFX589850:MFY589856 MPT589850:MPU589856 MZP589850:MZQ589856 NJL589850:NJM589856 NTH589850:NTI589856 ODD589850:ODE589856 OMZ589850:ONA589856 OWV589850:OWW589856 PGR589850:PGS589856 PQN589850:PQO589856 QAJ589850:QAK589856 QKF589850:QKG589856 QUB589850:QUC589856 RDX589850:RDY589856 RNT589850:RNU589856 RXP589850:RXQ589856 SHL589850:SHM589856 SRH589850:SRI589856 TBD589850:TBE589856 TKZ589850:TLA589856 TUV589850:TUW589856 UER589850:UES589856 UON589850:UOO589856 UYJ589850:UYK589856 VIF589850:VIG589856 VSB589850:VSC589856 WBX589850:WBY589856 WLT589850:WLU589856 WVP589850:WVQ589856 H655386:I655392 JD655386:JE655392 SZ655386:TA655392 ACV655386:ACW655392 AMR655386:AMS655392 AWN655386:AWO655392 BGJ655386:BGK655392 BQF655386:BQG655392 CAB655386:CAC655392 CJX655386:CJY655392 CTT655386:CTU655392 DDP655386:DDQ655392 DNL655386:DNM655392 DXH655386:DXI655392 EHD655386:EHE655392 EQZ655386:ERA655392 FAV655386:FAW655392 FKR655386:FKS655392 FUN655386:FUO655392 GEJ655386:GEK655392 GOF655386:GOG655392 GYB655386:GYC655392 HHX655386:HHY655392 HRT655386:HRU655392 IBP655386:IBQ655392 ILL655386:ILM655392 IVH655386:IVI655392 JFD655386:JFE655392 JOZ655386:JPA655392 JYV655386:JYW655392 KIR655386:KIS655392 KSN655386:KSO655392 LCJ655386:LCK655392 LMF655386:LMG655392 LWB655386:LWC655392 MFX655386:MFY655392 MPT655386:MPU655392 MZP655386:MZQ655392 NJL655386:NJM655392 NTH655386:NTI655392 ODD655386:ODE655392 OMZ655386:ONA655392 OWV655386:OWW655392 PGR655386:PGS655392 PQN655386:PQO655392 QAJ655386:QAK655392 QKF655386:QKG655392 QUB655386:QUC655392 RDX655386:RDY655392 RNT655386:RNU655392 RXP655386:RXQ655392 SHL655386:SHM655392 SRH655386:SRI655392 TBD655386:TBE655392 TKZ655386:TLA655392 TUV655386:TUW655392 UER655386:UES655392 UON655386:UOO655392 UYJ655386:UYK655392 VIF655386:VIG655392 VSB655386:VSC655392 WBX655386:WBY655392 WLT655386:WLU655392 WVP655386:WVQ655392 H720922:I720928 JD720922:JE720928 SZ720922:TA720928 ACV720922:ACW720928 AMR720922:AMS720928 AWN720922:AWO720928 BGJ720922:BGK720928 BQF720922:BQG720928 CAB720922:CAC720928 CJX720922:CJY720928 CTT720922:CTU720928 DDP720922:DDQ720928 DNL720922:DNM720928 DXH720922:DXI720928 EHD720922:EHE720928 EQZ720922:ERA720928 FAV720922:FAW720928 FKR720922:FKS720928 FUN720922:FUO720928 GEJ720922:GEK720928 GOF720922:GOG720928 GYB720922:GYC720928 HHX720922:HHY720928 HRT720922:HRU720928 IBP720922:IBQ720928 ILL720922:ILM720928 IVH720922:IVI720928 JFD720922:JFE720928 JOZ720922:JPA720928 JYV720922:JYW720928 KIR720922:KIS720928 KSN720922:KSO720928 LCJ720922:LCK720928 LMF720922:LMG720928 LWB720922:LWC720928 MFX720922:MFY720928 MPT720922:MPU720928 MZP720922:MZQ720928 NJL720922:NJM720928 NTH720922:NTI720928 ODD720922:ODE720928 OMZ720922:ONA720928 OWV720922:OWW720928 PGR720922:PGS720928 PQN720922:PQO720928 QAJ720922:QAK720928 QKF720922:QKG720928 QUB720922:QUC720928 RDX720922:RDY720928 RNT720922:RNU720928 RXP720922:RXQ720928 SHL720922:SHM720928 SRH720922:SRI720928 TBD720922:TBE720928 TKZ720922:TLA720928 TUV720922:TUW720928 UER720922:UES720928 UON720922:UOO720928 UYJ720922:UYK720928 VIF720922:VIG720928 VSB720922:VSC720928 WBX720922:WBY720928 WLT720922:WLU720928 WVP720922:WVQ720928 H786458:I786464 JD786458:JE786464 SZ786458:TA786464 ACV786458:ACW786464 AMR786458:AMS786464 AWN786458:AWO786464 BGJ786458:BGK786464 BQF786458:BQG786464 CAB786458:CAC786464 CJX786458:CJY786464 CTT786458:CTU786464 DDP786458:DDQ786464 DNL786458:DNM786464 DXH786458:DXI786464 EHD786458:EHE786464 EQZ786458:ERA786464 FAV786458:FAW786464 FKR786458:FKS786464 FUN786458:FUO786464 GEJ786458:GEK786464 GOF786458:GOG786464 GYB786458:GYC786464 HHX786458:HHY786464 HRT786458:HRU786464 IBP786458:IBQ786464 ILL786458:ILM786464 IVH786458:IVI786464 JFD786458:JFE786464 JOZ786458:JPA786464 JYV786458:JYW786464 KIR786458:KIS786464 KSN786458:KSO786464 LCJ786458:LCK786464 LMF786458:LMG786464 LWB786458:LWC786464 MFX786458:MFY786464 MPT786458:MPU786464 MZP786458:MZQ786464 NJL786458:NJM786464 NTH786458:NTI786464 ODD786458:ODE786464 OMZ786458:ONA786464 OWV786458:OWW786464 PGR786458:PGS786464 PQN786458:PQO786464 QAJ786458:QAK786464 QKF786458:QKG786464 QUB786458:QUC786464 RDX786458:RDY786464 RNT786458:RNU786464 RXP786458:RXQ786464 SHL786458:SHM786464 SRH786458:SRI786464 TBD786458:TBE786464 TKZ786458:TLA786464 TUV786458:TUW786464 UER786458:UES786464 UON786458:UOO786464 UYJ786458:UYK786464 VIF786458:VIG786464 VSB786458:VSC786464 WBX786458:WBY786464 WLT786458:WLU786464 WVP786458:WVQ786464 H851994:I852000 JD851994:JE852000 SZ851994:TA852000 ACV851994:ACW852000 AMR851994:AMS852000 AWN851994:AWO852000 BGJ851994:BGK852000 BQF851994:BQG852000 CAB851994:CAC852000 CJX851994:CJY852000 CTT851994:CTU852000 DDP851994:DDQ852000 DNL851994:DNM852000 DXH851994:DXI852000 EHD851994:EHE852000 EQZ851994:ERA852000 FAV851994:FAW852000 FKR851994:FKS852000 FUN851994:FUO852000 GEJ851994:GEK852000 GOF851994:GOG852000 GYB851994:GYC852000 HHX851994:HHY852000 HRT851994:HRU852000 IBP851994:IBQ852000 ILL851994:ILM852000 IVH851994:IVI852000 JFD851994:JFE852000 JOZ851994:JPA852000 JYV851994:JYW852000 KIR851994:KIS852000 KSN851994:KSO852000 LCJ851994:LCK852000 LMF851994:LMG852000 LWB851994:LWC852000 MFX851994:MFY852000 MPT851994:MPU852000 MZP851994:MZQ852000 NJL851994:NJM852000 NTH851994:NTI852000 ODD851994:ODE852000 OMZ851994:ONA852000 OWV851994:OWW852000 PGR851994:PGS852000 PQN851994:PQO852000 QAJ851994:QAK852000 QKF851994:QKG852000 QUB851994:QUC852000 RDX851994:RDY852000 RNT851994:RNU852000 RXP851994:RXQ852000 SHL851994:SHM852000 SRH851994:SRI852000 TBD851994:TBE852000 TKZ851994:TLA852000 TUV851994:TUW852000 UER851994:UES852000 UON851994:UOO852000 UYJ851994:UYK852000 VIF851994:VIG852000 VSB851994:VSC852000 WBX851994:WBY852000 WLT851994:WLU852000 WVP851994:WVQ852000 H917530:I917536 JD917530:JE917536 SZ917530:TA917536 ACV917530:ACW917536 AMR917530:AMS917536 AWN917530:AWO917536 BGJ917530:BGK917536 BQF917530:BQG917536 CAB917530:CAC917536 CJX917530:CJY917536 CTT917530:CTU917536 DDP917530:DDQ917536 DNL917530:DNM917536 DXH917530:DXI917536 EHD917530:EHE917536 EQZ917530:ERA917536 FAV917530:FAW917536 FKR917530:FKS917536 FUN917530:FUO917536 GEJ917530:GEK917536 GOF917530:GOG917536 GYB917530:GYC917536 HHX917530:HHY917536 HRT917530:HRU917536 IBP917530:IBQ917536 ILL917530:ILM917536 IVH917530:IVI917536 JFD917530:JFE917536 JOZ917530:JPA917536 JYV917530:JYW917536 KIR917530:KIS917536 KSN917530:KSO917536 LCJ917530:LCK917536 LMF917530:LMG917536 LWB917530:LWC917536 MFX917530:MFY917536 MPT917530:MPU917536 MZP917530:MZQ917536 NJL917530:NJM917536 NTH917530:NTI917536 ODD917530:ODE917536 OMZ917530:ONA917536 OWV917530:OWW917536 PGR917530:PGS917536 PQN917530:PQO917536 QAJ917530:QAK917536 QKF917530:QKG917536 QUB917530:QUC917536 RDX917530:RDY917536 RNT917530:RNU917536 RXP917530:RXQ917536 SHL917530:SHM917536 SRH917530:SRI917536 TBD917530:TBE917536 TKZ917530:TLA917536 TUV917530:TUW917536 UER917530:UES917536 UON917530:UOO917536 UYJ917530:UYK917536 VIF917530:VIG917536 VSB917530:VSC917536 WBX917530:WBY917536 WLT917530:WLU917536 WVP917530:WVQ917536 H983066:I983072 JD983066:JE983072 SZ983066:TA983072 ACV983066:ACW983072 AMR983066:AMS983072 AWN983066:AWO983072 BGJ983066:BGK983072 BQF983066:BQG983072 CAB983066:CAC983072 CJX983066:CJY983072 CTT983066:CTU983072 DDP983066:DDQ983072 DNL983066:DNM983072 DXH983066:DXI983072 EHD983066:EHE983072 EQZ983066:ERA983072 FAV983066:FAW983072 FKR983066:FKS983072 FUN983066:FUO983072 GEJ983066:GEK983072 GOF983066:GOG983072 GYB983066:GYC983072 HHX983066:HHY983072 HRT983066:HRU983072 IBP983066:IBQ983072 ILL983066:ILM983072 IVH983066:IVI983072 JFD983066:JFE983072 JOZ983066:JPA983072 JYV983066:JYW983072 KIR983066:KIS983072 KSN983066:KSO983072 LCJ983066:LCK983072 LMF983066:LMG983072 LWB983066:LWC983072 MFX983066:MFY983072 MPT983066:MPU983072 MZP983066:MZQ983072 NJL983066:NJM983072 NTH983066:NTI983072 ODD983066:ODE983072 OMZ983066:ONA983072 OWV983066:OWW983072 PGR983066:PGS983072 PQN983066:PQO983072 QAJ983066:QAK983072 QKF983066:QKG983072 QUB983066:QUC983072 RDX983066:RDY983072 RNT983066:RNU983072 RXP983066:RXQ983072 SHL983066:SHM983072 SRH983066:SRI983072 TBD983066:TBE983072 TKZ983066:TLA983072 TUV983066:TUW983072 UER983066:UES983072 UON983066:UOO983072 UYJ983066:UYK983072 VIF983066:VIG983072 VSB983066:VSC983072 WBX983066:WBY983072 WLT983066:WLU983072 WVP983066:WVQ983072 H34:I34 JD34:JE34 SZ34:TA34 ACV34:ACW34 AMR34:AMS34 AWN34:AWO34 BGJ34:BGK34 BQF34:BQG34 CAB34:CAC34 CJX34:CJY34 CTT34:CTU34 DDP34:DDQ34 DNL34:DNM34 DXH34:DXI34 EHD34:EHE34 EQZ34:ERA34 FAV34:FAW34 FKR34:FKS34 FUN34:FUO34 GEJ34:GEK34 GOF34:GOG34 GYB34:GYC34 HHX34:HHY34 HRT34:HRU34 IBP34:IBQ34 ILL34:ILM34 IVH34:IVI34 JFD34:JFE34 JOZ34:JPA34 JYV34:JYW34 KIR34:KIS34 KSN34:KSO34 LCJ34:LCK34 LMF34:LMG34 LWB34:LWC34 MFX34:MFY34 MPT34:MPU34 MZP34:MZQ34 NJL34:NJM34 NTH34:NTI34 ODD34:ODE34 OMZ34:ONA34 OWV34:OWW34 PGR34:PGS34 PQN34:PQO34 QAJ34:QAK34 QKF34:QKG34 QUB34:QUC34 RDX34:RDY34 RNT34:RNU34 RXP34:RXQ34 SHL34:SHM34 SRH34:SRI34 TBD34:TBE34 TKZ34:TLA34 TUV34:TUW34 UER34:UES34 UON34:UOO34 UYJ34:UYK34 VIF34:VIG34 VSB34:VSC34 WBX34:WBY34 WLT34:WLU34 WVP34:WVQ34 H65570:I65570 JD65570:JE65570 SZ65570:TA65570 ACV65570:ACW65570 AMR65570:AMS65570 AWN65570:AWO65570 BGJ65570:BGK65570 BQF65570:BQG65570 CAB65570:CAC65570 CJX65570:CJY65570 CTT65570:CTU65570 DDP65570:DDQ65570 DNL65570:DNM65570 DXH65570:DXI65570 EHD65570:EHE65570 EQZ65570:ERA65570 FAV65570:FAW65570 FKR65570:FKS65570 FUN65570:FUO65570 GEJ65570:GEK65570 GOF65570:GOG65570 GYB65570:GYC65570 HHX65570:HHY65570 HRT65570:HRU65570 IBP65570:IBQ65570 ILL65570:ILM65570 IVH65570:IVI65570 JFD65570:JFE65570 JOZ65570:JPA65570 JYV65570:JYW65570 KIR65570:KIS65570 KSN65570:KSO65570 LCJ65570:LCK65570 LMF65570:LMG65570 LWB65570:LWC65570 MFX65570:MFY65570 MPT65570:MPU65570 MZP65570:MZQ65570 NJL65570:NJM65570 NTH65570:NTI65570 ODD65570:ODE65570 OMZ65570:ONA65570 OWV65570:OWW65570 PGR65570:PGS65570 PQN65570:PQO65570 QAJ65570:QAK65570 QKF65570:QKG65570 QUB65570:QUC65570 RDX65570:RDY65570 RNT65570:RNU65570 RXP65570:RXQ65570 SHL65570:SHM65570 SRH65570:SRI65570 TBD65570:TBE65570 TKZ65570:TLA65570 TUV65570:TUW65570 UER65570:UES65570 UON65570:UOO65570 UYJ65570:UYK65570 VIF65570:VIG65570 VSB65570:VSC65570 WBX65570:WBY65570 WLT65570:WLU65570 WVP65570:WVQ65570 H131106:I131106 JD131106:JE131106 SZ131106:TA131106 ACV131106:ACW131106 AMR131106:AMS131106 AWN131106:AWO131106 BGJ131106:BGK131106 BQF131106:BQG131106 CAB131106:CAC131106 CJX131106:CJY131106 CTT131106:CTU131106 DDP131106:DDQ131106 DNL131106:DNM131106 DXH131106:DXI131106 EHD131106:EHE131106 EQZ131106:ERA131106 FAV131106:FAW131106 FKR131106:FKS131106 FUN131106:FUO131106 GEJ131106:GEK131106 GOF131106:GOG131106 GYB131106:GYC131106 HHX131106:HHY131106 HRT131106:HRU131106 IBP131106:IBQ131106 ILL131106:ILM131106 IVH131106:IVI131106 JFD131106:JFE131106 JOZ131106:JPA131106 JYV131106:JYW131106 KIR131106:KIS131106 KSN131106:KSO131106 LCJ131106:LCK131106 LMF131106:LMG131106 LWB131106:LWC131106 MFX131106:MFY131106 MPT131106:MPU131106 MZP131106:MZQ131106 NJL131106:NJM131106 NTH131106:NTI131106 ODD131106:ODE131106 OMZ131106:ONA131106 OWV131106:OWW131106 PGR131106:PGS131106 PQN131106:PQO131106 QAJ131106:QAK131106 QKF131106:QKG131106 QUB131106:QUC131106 RDX131106:RDY131106 RNT131106:RNU131106 RXP131106:RXQ131106 SHL131106:SHM131106 SRH131106:SRI131106 TBD131106:TBE131106 TKZ131106:TLA131106 TUV131106:TUW131106 UER131106:UES131106 UON131106:UOO131106 UYJ131106:UYK131106 VIF131106:VIG131106 VSB131106:VSC131106 WBX131106:WBY131106 WLT131106:WLU131106 WVP131106:WVQ131106 H196642:I196642 JD196642:JE196642 SZ196642:TA196642 ACV196642:ACW196642 AMR196642:AMS196642 AWN196642:AWO196642 BGJ196642:BGK196642 BQF196642:BQG196642 CAB196642:CAC196642 CJX196642:CJY196642 CTT196642:CTU196642 DDP196642:DDQ196642 DNL196642:DNM196642 DXH196642:DXI196642 EHD196642:EHE196642 EQZ196642:ERA196642 FAV196642:FAW196642 FKR196642:FKS196642 FUN196642:FUO196642 GEJ196642:GEK196642 GOF196642:GOG196642 GYB196642:GYC196642 HHX196642:HHY196642 HRT196642:HRU196642 IBP196642:IBQ196642 ILL196642:ILM196642 IVH196642:IVI196642 JFD196642:JFE196642 JOZ196642:JPA196642 JYV196642:JYW196642 KIR196642:KIS196642 KSN196642:KSO196642 LCJ196642:LCK196642 LMF196642:LMG196642 LWB196642:LWC196642 MFX196642:MFY196642 MPT196642:MPU196642 MZP196642:MZQ196642 NJL196642:NJM196642 NTH196642:NTI196642 ODD196642:ODE196642 OMZ196642:ONA196642 OWV196642:OWW196642 PGR196642:PGS196642 PQN196642:PQO196642 QAJ196642:QAK196642 QKF196642:QKG196642 QUB196642:QUC196642 RDX196642:RDY196642 RNT196642:RNU196642 RXP196642:RXQ196642 SHL196642:SHM196642 SRH196642:SRI196642 TBD196642:TBE196642 TKZ196642:TLA196642 TUV196642:TUW196642 UER196642:UES196642 UON196642:UOO196642 UYJ196642:UYK196642 VIF196642:VIG196642 VSB196642:VSC196642 WBX196642:WBY196642 WLT196642:WLU196642 WVP196642:WVQ196642 H262178:I262178 JD262178:JE262178 SZ262178:TA262178 ACV262178:ACW262178 AMR262178:AMS262178 AWN262178:AWO262178 BGJ262178:BGK262178 BQF262178:BQG262178 CAB262178:CAC262178 CJX262178:CJY262178 CTT262178:CTU262178 DDP262178:DDQ262178 DNL262178:DNM262178 DXH262178:DXI262178 EHD262178:EHE262178 EQZ262178:ERA262178 FAV262178:FAW262178 FKR262178:FKS262178 FUN262178:FUO262178 GEJ262178:GEK262178 GOF262178:GOG262178 GYB262178:GYC262178 HHX262178:HHY262178 HRT262178:HRU262178 IBP262178:IBQ262178 ILL262178:ILM262178 IVH262178:IVI262178 JFD262178:JFE262178 JOZ262178:JPA262178 JYV262178:JYW262178 KIR262178:KIS262178 KSN262178:KSO262178 LCJ262178:LCK262178 LMF262178:LMG262178 LWB262178:LWC262178 MFX262178:MFY262178 MPT262178:MPU262178 MZP262178:MZQ262178 NJL262178:NJM262178 NTH262178:NTI262178 ODD262178:ODE262178 OMZ262178:ONA262178 OWV262178:OWW262178 PGR262178:PGS262178 PQN262178:PQO262178 QAJ262178:QAK262178 QKF262178:QKG262178 QUB262178:QUC262178 RDX262178:RDY262178 RNT262178:RNU262178 RXP262178:RXQ262178 SHL262178:SHM262178 SRH262178:SRI262178 TBD262178:TBE262178 TKZ262178:TLA262178 TUV262178:TUW262178 UER262178:UES262178 UON262178:UOO262178 UYJ262178:UYK262178 VIF262178:VIG262178 VSB262178:VSC262178 WBX262178:WBY262178 WLT262178:WLU262178 WVP262178:WVQ262178 H327714:I327714 JD327714:JE327714 SZ327714:TA327714 ACV327714:ACW327714 AMR327714:AMS327714 AWN327714:AWO327714 BGJ327714:BGK327714 BQF327714:BQG327714 CAB327714:CAC327714 CJX327714:CJY327714 CTT327714:CTU327714 DDP327714:DDQ327714 DNL327714:DNM327714 DXH327714:DXI327714 EHD327714:EHE327714 EQZ327714:ERA327714 FAV327714:FAW327714 FKR327714:FKS327714 FUN327714:FUO327714 GEJ327714:GEK327714 GOF327714:GOG327714 GYB327714:GYC327714 HHX327714:HHY327714 HRT327714:HRU327714 IBP327714:IBQ327714 ILL327714:ILM327714 IVH327714:IVI327714 JFD327714:JFE327714 JOZ327714:JPA327714 JYV327714:JYW327714 KIR327714:KIS327714 KSN327714:KSO327714 LCJ327714:LCK327714 LMF327714:LMG327714 LWB327714:LWC327714 MFX327714:MFY327714 MPT327714:MPU327714 MZP327714:MZQ327714 NJL327714:NJM327714 NTH327714:NTI327714 ODD327714:ODE327714 OMZ327714:ONA327714 OWV327714:OWW327714 PGR327714:PGS327714 PQN327714:PQO327714 QAJ327714:QAK327714 QKF327714:QKG327714 QUB327714:QUC327714 RDX327714:RDY327714 RNT327714:RNU327714 RXP327714:RXQ327714 SHL327714:SHM327714 SRH327714:SRI327714 TBD327714:TBE327714 TKZ327714:TLA327714 TUV327714:TUW327714 UER327714:UES327714 UON327714:UOO327714 UYJ327714:UYK327714 VIF327714:VIG327714 VSB327714:VSC327714 WBX327714:WBY327714 WLT327714:WLU327714 WVP327714:WVQ327714 H393250:I393250 JD393250:JE393250 SZ393250:TA393250 ACV393250:ACW393250 AMR393250:AMS393250 AWN393250:AWO393250 BGJ393250:BGK393250 BQF393250:BQG393250 CAB393250:CAC393250 CJX393250:CJY393250 CTT393250:CTU393250 DDP393250:DDQ393250 DNL393250:DNM393250 DXH393250:DXI393250 EHD393250:EHE393250 EQZ393250:ERA393250 FAV393250:FAW393250 FKR393250:FKS393250 FUN393250:FUO393250 GEJ393250:GEK393250 GOF393250:GOG393250 GYB393250:GYC393250 HHX393250:HHY393250 HRT393250:HRU393250 IBP393250:IBQ393250 ILL393250:ILM393250 IVH393250:IVI393250 JFD393250:JFE393250 JOZ393250:JPA393250 JYV393250:JYW393250 KIR393250:KIS393250 KSN393250:KSO393250 LCJ393250:LCK393250 LMF393250:LMG393250 LWB393250:LWC393250 MFX393250:MFY393250 MPT393250:MPU393250 MZP393250:MZQ393250 NJL393250:NJM393250 NTH393250:NTI393250 ODD393250:ODE393250 OMZ393250:ONA393250 OWV393250:OWW393250 PGR393250:PGS393250 PQN393250:PQO393250 QAJ393250:QAK393250 QKF393250:QKG393250 QUB393250:QUC393250 RDX393250:RDY393250 RNT393250:RNU393250 RXP393250:RXQ393250 SHL393250:SHM393250 SRH393250:SRI393250 TBD393250:TBE393250 TKZ393250:TLA393250 TUV393250:TUW393250 UER393250:UES393250 UON393250:UOO393250 UYJ393250:UYK393250 VIF393250:VIG393250 VSB393250:VSC393250 WBX393250:WBY393250 WLT393250:WLU393250 WVP393250:WVQ393250 H458786:I458786 JD458786:JE458786 SZ458786:TA458786 ACV458786:ACW458786 AMR458786:AMS458786 AWN458786:AWO458786 BGJ458786:BGK458786 BQF458786:BQG458786 CAB458786:CAC458786 CJX458786:CJY458786 CTT458786:CTU458786 DDP458786:DDQ458786 DNL458786:DNM458786 DXH458786:DXI458786 EHD458786:EHE458786 EQZ458786:ERA458786 FAV458786:FAW458786 FKR458786:FKS458786 FUN458786:FUO458786 GEJ458786:GEK458786 GOF458786:GOG458786 GYB458786:GYC458786 HHX458786:HHY458786 HRT458786:HRU458786 IBP458786:IBQ458786 ILL458786:ILM458786 IVH458786:IVI458786 JFD458786:JFE458786 JOZ458786:JPA458786 JYV458786:JYW458786 KIR458786:KIS458786 KSN458786:KSO458786 LCJ458786:LCK458786 LMF458786:LMG458786 LWB458786:LWC458786 MFX458786:MFY458786 MPT458786:MPU458786 MZP458786:MZQ458786 NJL458786:NJM458786 NTH458786:NTI458786 ODD458786:ODE458786 OMZ458786:ONA458786 OWV458786:OWW458786 PGR458786:PGS458786 PQN458786:PQO458786 QAJ458786:QAK458786 QKF458786:QKG458786 QUB458786:QUC458786 RDX458786:RDY458786 RNT458786:RNU458786 RXP458786:RXQ458786 SHL458786:SHM458786 SRH458786:SRI458786 TBD458786:TBE458786 TKZ458786:TLA458786 TUV458786:TUW458786 UER458786:UES458786 UON458786:UOO458786 UYJ458786:UYK458786 VIF458786:VIG458786 VSB458786:VSC458786 WBX458786:WBY458786 WLT458786:WLU458786 WVP458786:WVQ458786 H524322:I524322 JD524322:JE524322 SZ524322:TA524322 ACV524322:ACW524322 AMR524322:AMS524322 AWN524322:AWO524322 BGJ524322:BGK524322 BQF524322:BQG524322 CAB524322:CAC524322 CJX524322:CJY524322 CTT524322:CTU524322 DDP524322:DDQ524322 DNL524322:DNM524322 DXH524322:DXI524322 EHD524322:EHE524322 EQZ524322:ERA524322 FAV524322:FAW524322 FKR524322:FKS524322 FUN524322:FUO524322 GEJ524322:GEK524322 GOF524322:GOG524322 GYB524322:GYC524322 HHX524322:HHY524322 HRT524322:HRU524322 IBP524322:IBQ524322 ILL524322:ILM524322 IVH524322:IVI524322 JFD524322:JFE524322 JOZ524322:JPA524322 JYV524322:JYW524322 KIR524322:KIS524322 KSN524322:KSO524322 LCJ524322:LCK524322 LMF524322:LMG524322 LWB524322:LWC524322 MFX524322:MFY524322 MPT524322:MPU524322 MZP524322:MZQ524322 NJL524322:NJM524322 NTH524322:NTI524322 ODD524322:ODE524322 OMZ524322:ONA524322 OWV524322:OWW524322 PGR524322:PGS524322 PQN524322:PQO524322 QAJ524322:QAK524322 QKF524322:QKG524322 QUB524322:QUC524322 RDX524322:RDY524322 RNT524322:RNU524322 RXP524322:RXQ524322 SHL524322:SHM524322 SRH524322:SRI524322 TBD524322:TBE524322 TKZ524322:TLA524322 TUV524322:TUW524322 UER524322:UES524322 UON524322:UOO524322 UYJ524322:UYK524322 VIF524322:VIG524322 VSB524322:VSC524322 WBX524322:WBY524322 WLT524322:WLU524322 WVP524322:WVQ524322 H589858:I589858 JD589858:JE589858 SZ589858:TA589858 ACV589858:ACW589858 AMR589858:AMS589858 AWN589858:AWO589858 BGJ589858:BGK589858 BQF589858:BQG589858 CAB589858:CAC589858 CJX589858:CJY589858 CTT589858:CTU589858 DDP589858:DDQ589858 DNL589858:DNM589858 DXH589858:DXI589858 EHD589858:EHE589858 EQZ589858:ERA589858 FAV589858:FAW589858 FKR589858:FKS589858 FUN589858:FUO589858 GEJ589858:GEK589858 GOF589858:GOG589858 GYB589858:GYC589858 HHX589858:HHY589858 HRT589858:HRU589858 IBP589858:IBQ589858 ILL589858:ILM589858 IVH589858:IVI589858 JFD589858:JFE589858 JOZ589858:JPA589858 JYV589858:JYW589858 KIR589858:KIS589858 KSN589858:KSO589858 LCJ589858:LCK589858 LMF589858:LMG589858 LWB589858:LWC589858 MFX589858:MFY589858 MPT589858:MPU589858 MZP589858:MZQ589858 NJL589858:NJM589858 NTH589858:NTI589858 ODD589858:ODE589858 OMZ589858:ONA589858 OWV589858:OWW589858 PGR589858:PGS589858 PQN589858:PQO589858 QAJ589858:QAK589858 QKF589858:QKG589858 QUB589858:QUC589858 RDX589858:RDY589858 RNT589858:RNU589858 RXP589858:RXQ589858 SHL589858:SHM589858 SRH589858:SRI589858 TBD589858:TBE589858 TKZ589858:TLA589858 TUV589858:TUW589858 UER589858:UES589858 UON589858:UOO589858 UYJ589858:UYK589858 VIF589858:VIG589858 VSB589858:VSC589858 WBX589858:WBY589858 WLT589858:WLU589858 WVP589858:WVQ589858 H655394:I655394 JD655394:JE655394 SZ655394:TA655394 ACV655394:ACW655394 AMR655394:AMS655394 AWN655394:AWO655394 BGJ655394:BGK655394 BQF655394:BQG655394 CAB655394:CAC655394 CJX655394:CJY655394 CTT655394:CTU655394 DDP655394:DDQ655394 DNL655394:DNM655394 DXH655394:DXI655394 EHD655394:EHE655394 EQZ655394:ERA655394 FAV655394:FAW655394 FKR655394:FKS655394 FUN655394:FUO655394 GEJ655394:GEK655394 GOF655394:GOG655394 GYB655394:GYC655394 HHX655394:HHY655394 HRT655394:HRU655394 IBP655394:IBQ655394 ILL655394:ILM655394 IVH655394:IVI655394 JFD655394:JFE655394 JOZ655394:JPA655394 JYV655394:JYW655394 KIR655394:KIS655394 KSN655394:KSO655394 LCJ655394:LCK655394 LMF655394:LMG655394 LWB655394:LWC655394 MFX655394:MFY655394 MPT655394:MPU655394 MZP655394:MZQ655394 NJL655394:NJM655394 NTH655394:NTI655394 ODD655394:ODE655394 OMZ655394:ONA655394 OWV655394:OWW655394 PGR655394:PGS655394 PQN655394:PQO655394 QAJ655394:QAK655394 QKF655394:QKG655394 QUB655394:QUC655394 RDX655394:RDY655394 RNT655394:RNU655394 RXP655394:RXQ655394 SHL655394:SHM655394 SRH655394:SRI655394 TBD655394:TBE655394 TKZ655394:TLA655394 TUV655394:TUW655394 UER655394:UES655394 UON655394:UOO655394 UYJ655394:UYK655394 VIF655394:VIG655394 VSB655394:VSC655394 WBX655394:WBY655394 WLT655394:WLU655394 WVP655394:WVQ655394 H720930:I720930 JD720930:JE720930 SZ720930:TA720930 ACV720930:ACW720930 AMR720930:AMS720930 AWN720930:AWO720930 BGJ720930:BGK720930 BQF720930:BQG720930 CAB720930:CAC720930 CJX720930:CJY720930 CTT720930:CTU720930 DDP720930:DDQ720930 DNL720930:DNM720930 DXH720930:DXI720930 EHD720930:EHE720930 EQZ720930:ERA720930 FAV720930:FAW720930 FKR720930:FKS720930 FUN720930:FUO720930 GEJ720930:GEK720930 GOF720930:GOG720930 GYB720930:GYC720930 HHX720930:HHY720930 HRT720930:HRU720930 IBP720930:IBQ720930 ILL720930:ILM720930 IVH720930:IVI720930 JFD720930:JFE720930 JOZ720930:JPA720930 JYV720930:JYW720930 KIR720930:KIS720930 KSN720930:KSO720930 LCJ720930:LCK720930 LMF720930:LMG720930 LWB720930:LWC720930 MFX720930:MFY720930 MPT720930:MPU720930 MZP720930:MZQ720930 NJL720930:NJM720930 NTH720930:NTI720930 ODD720930:ODE720930 OMZ720930:ONA720930 OWV720930:OWW720930 PGR720930:PGS720930 PQN720930:PQO720930 QAJ720930:QAK720930 QKF720930:QKG720930 QUB720930:QUC720930 RDX720930:RDY720930 RNT720930:RNU720930 RXP720930:RXQ720930 SHL720930:SHM720930 SRH720930:SRI720930 TBD720930:TBE720930 TKZ720930:TLA720930 TUV720930:TUW720930 UER720930:UES720930 UON720930:UOO720930 UYJ720930:UYK720930 VIF720930:VIG720930 VSB720930:VSC720930 WBX720930:WBY720930 WLT720930:WLU720930 WVP720930:WVQ720930 H786466:I786466 JD786466:JE786466 SZ786466:TA786466 ACV786466:ACW786466 AMR786466:AMS786466 AWN786466:AWO786466 BGJ786466:BGK786466 BQF786466:BQG786466 CAB786466:CAC786466 CJX786466:CJY786466 CTT786466:CTU786466 DDP786466:DDQ786466 DNL786466:DNM786466 DXH786466:DXI786466 EHD786466:EHE786466 EQZ786466:ERA786466 FAV786466:FAW786466 FKR786466:FKS786466 FUN786466:FUO786466 GEJ786466:GEK786466 GOF786466:GOG786466 GYB786466:GYC786466 HHX786466:HHY786466 HRT786466:HRU786466 IBP786466:IBQ786466 ILL786466:ILM786466 IVH786466:IVI786466 JFD786466:JFE786466 JOZ786466:JPA786466 JYV786466:JYW786466 KIR786466:KIS786466 KSN786466:KSO786466 LCJ786466:LCK786466 LMF786466:LMG786466 LWB786466:LWC786466 MFX786466:MFY786466 MPT786466:MPU786466 MZP786466:MZQ786466 NJL786466:NJM786466 NTH786466:NTI786466 ODD786466:ODE786466 OMZ786466:ONA786466 OWV786466:OWW786466 PGR786466:PGS786466 PQN786466:PQO786466 QAJ786466:QAK786466 QKF786466:QKG786466 QUB786466:QUC786466 RDX786466:RDY786466 RNT786466:RNU786466 RXP786466:RXQ786466 SHL786466:SHM786466 SRH786466:SRI786466 TBD786466:TBE786466 TKZ786466:TLA786466 TUV786466:TUW786466 UER786466:UES786466 UON786466:UOO786466 UYJ786466:UYK786466 VIF786466:VIG786466 VSB786466:VSC786466 WBX786466:WBY786466 WLT786466:WLU786466 WVP786466:WVQ786466 H852002:I852002 JD852002:JE852002 SZ852002:TA852002 ACV852002:ACW852002 AMR852002:AMS852002 AWN852002:AWO852002 BGJ852002:BGK852002 BQF852002:BQG852002 CAB852002:CAC852002 CJX852002:CJY852002 CTT852002:CTU852002 DDP852002:DDQ852002 DNL852002:DNM852002 DXH852002:DXI852002 EHD852002:EHE852002 EQZ852002:ERA852002 FAV852002:FAW852002 FKR852002:FKS852002 FUN852002:FUO852002 GEJ852002:GEK852002 GOF852002:GOG852002 GYB852002:GYC852002 HHX852002:HHY852002 HRT852002:HRU852002 IBP852002:IBQ852002 ILL852002:ILM852002 IVH852002:IVI852002 JFD852002:JFE852002 JOZ852002:JPA852002 JYV852002:JYW852002 KIR852002:KIS852002 KSN852002:KSO852002 LCJ852002:LCK852002 LMF852002:LMG852002 LWB852002:LWC852002 MFX852002:MFY852002 MPT852002:MPU852002 MZP852002:MZQ852002 NJL852002:NJM852002 NTH852002:NTI852002 ODD852002:ODE852002 OMZ852002:ONA852002 OWV852002:OWW852002 PGR852002:PGS852002 PQN852002:PQO852002 QAJ852002:QAK852002 QKF852002:QKG852002 QUB852002:QUC852002 RDX852002:RDY852002 RNT852002:RNU852002 RXP852002:RXQ852002 SHL852002:SHM852002 SRH852002:SRI852002 TBD852002:TBE852002 TKZ852002:TLA852002 TUV852002:TUW852002 UER852002:UES852002 UON852002:UOO852002 UYJ852002:UYK852002 VIF852002:VIG852002 VSB852002:VSC852002 WBX852002:WBY852002 WLT852002:WLU852002 WVP852002:WVQ852002 H917538:I917538 JD917538:JE917538 SZ917538:TA917538 ACV917538:ACW917538 AMR917538:AMS917538 AWN917538:AWO917538 BGJ917538:BGK917538 BQF917538:BQG917538 CAB917538:CAC917538 CJX917538:CJY917538 CTT917538:CTU917538 DDP917538:DDQ917538 DNL917538:DNM917538 DXH917538:DXI917538 EHD917538:EHE917538 EQZ917538:ERA917538 FAV917538:FAW917538 FKR917538:FKS917538 FUN917538:FUO917538 GEJ917538:GEK917538 GOF917538:GOG917538 GYB917538:GYC917538 HHX917538:HHY917538 HRT917538:HRU917538 IBP917538:IBQ917538 ILL917538:ILM917538 IVH917538:IVI917538 JFD917538:JFE917538 JOZ917538:JPA917538 JYV917538:JYW917538 KIR917538:KIS917538 KSN917538:KSO917538 LCJ917538:LCK917538 LMF917538:LMG917538 LWB917538:LWC917538 MFX917538:MFY917538 MPT917538:MPU917538 MZP917538:MZQ917538 NJL917538:NJM917538 NTH917538:NTI917538 ODD917538:ODE917538 OMZ917538:ONA917538 OWV917538:OWW917538 PGR917538:PGS917538 PQN917538:PQO917538 QAJ917538:QAK917538 QKF917538:QKG917538 QUB917538:QUC917538 RDX917538:RDY917538 RNT917538:RNU917538 RXP917538:RXQ917538 SHL917538:SHM917538 SRH917538:SRI917538 TBD917538:TBE917538 TKZ917538:TLA917538 TUV917538:TUW917538 UER917538:UES917538 UON917538:UOO917538 UYJ917538:UYK917538 VIF917538:VIG917538 VSB917538:VSC917538 WBX917538:WBY917538 WLT917538:WLU917538 WVP917538:WVQ917538 H983074:I983074 JD983074:JE983074 SZ983074:TA983074 ACV983074:ACW983074 AMR983074:AMS983074 AWN983074:AWO983074 BGJ983074:BGK983074 BQF983074:BQG983074 CAB983074:CAC983074 CJX983074:CJY983074 CTT983074:CTU983074 DDP983074:DDQ983074 DNL983074:DNM983074 DXH983074:DXI983074 EHD983074:EHE983074 EQZ983074:ERA983074 FAV983074:FAW983074 FKR983074:FKS983074 FUN983074:FUO983074 GEJ983074:GEK983074 GOF983074:GOG983074 GYB983074:GYC983074 HHX983074:HHY983074 HRT983074:HRU983074 IBP983074:IBQ983074 ILL983074:ILM983074 IVH983074:IVI983074 JFD983074:JFE983074 JOZ983074:JPA983074 JYV983074:JYW983074 KIR983074:KIS983074 KSN983074:KSO983074 LCJ983074:LCK983074 LMF983074:LMG983074 LWB983074:LWC983074 MFX983074:MFY983074 MPT983074:MPU983074 MZP983074:MZQ983074 NJL983074:NJM983074 NTH983074:NTI983074 ODD983074:ODE983074 OMZ983074:ONA983074 OWV983074:OWW983074 PGR983074:PGS983074 PQN983074:PQO983074 QAJ983074:QAK983074 QKF983074:QKG983074 QUB983074:QUC983074 RDX983074:RDY983074 RNT983074:RNU983074 RXP983074:RXQ983074 SHL983074:SHM983074 SRH983074:SRI983074 TBD983074:TBE983074 TKZ983074:TLA983074 TUV983074:TUW983074 UER983074:UES983074 UON983074:UOO983074 UYJ983074:UYK983074 VIF983074:VIG983074 VSB983074:VSC983074 WBX983074:WBY983074 WLT983074:WLU983074 WVP983074:WVQ983074 H36:I42 JD36:JE42 SZ36:TA42 ACV36:ACW42 AMR36:AMS42 AWN36:AWO42 BGJ36:BGK42 BQF36:BQG42 CAB36:CAC42 CJX36:CJY42 CTT36:CTU42 DDP36:DDQ42 DNL36:DNM42 DXH36:DXI42 EHD36:EHE42 EQZ36:ERA42 FAV36:FAW42 FKR36:FKS42 FUN36:FUO42 GEJ36:GEK42 GOF36:GOG42 GYB36:GYC42 HHX36:HHY42 HRT36:HRU42 IBP36:IBQ42 ILL36:ILM42 IVH36:IVI42 JFD36:JFE42 JOZ36:JPA42 JYV36:JYW42 KIR36:KIS42 KSN36:KSO42 LCJ36:LCK42 LMF36:LMG42 LWB36:LWC42 MFX36:MFY42 MPT36:MPU42 MZP36:MZQ42 NJL36:NJM42 NTH36:NTI42 ODD36:ODE42 OMZ36:ONA42 OWV36:OWW42 PGR36:PGS42 PQN36:PQO42 QAJ36:QAK42 QKF36:QKG42 QUB36:QUC42 RDX36:RDY42 RNT36:RNU42 RXP36:RXQ42 SHL36:SHM42 SRH36:SRI42 TBD36:TBE42 TKZ36:TLA42 TUV36:TUW42 UER36:UES42 UON36:UOO42 UYJ36:UYK42 VIF36:VIG42 VSB36:VSC42 WBX36:WBY42 WLT36:WLU42 WVP36:WVQ42 H65572:I65578 JD65572:JE65578 SZ65572:TA65578 ACV65572:ACW65578 AMR65572:AMS65578 AWN65572:AWO65578 BGJ65572:BGK65578 BQF65572:BQG65578 CAB65572:CAC65578 CJX65572:CJY65578 CTT65572:CTU65578 DDP65572:DDQ65578 DNL65572:DNM65578 DXH65572:DXI65578 EHD65572:EHE65578 EQZ65572:ERA65578 FAV65572:FAW65578 FKR65572:FKS65578 FUN65572:FUO65578 GEJ65572:GEK65578 GOF65572:GOG65578 GYB65572:GYC65578 HHX65572:HHY65578 HRT65572:HRU65578 IBP65572:IBQ65578 ILL65572:ILM65578 IVH65572:IVI65578 JFD65572:JFE65578 JOZ65572:JPA65578 JYV65572:JYW65578 KIR65572:KIS65578 KSN65572:KSO65578 LCJ65572:LCK65578 LMF65572:LMG65578 LWB65572:LWC65578 MFX65572:MFY65578 MPT65572:MPU65578 MZP65572:MZQ65578 NJL65572:NJM65578 NTH65572:NTI65578 ODD65572:ODE65578 OMZ65572:ONA65578 OWV65572:OWW65578 PGR65572:PGS65578 PQN65572:PQO65578 QAJ65572:QAK65578 QKF65572:QKG65578 QUB65572:QUC65578 RDX65572:RDY65578 RNT65572:RNU65578 RXP65572:RXQ65578 SHL65572:SHM65578 SRH65572:SRI65578 TBD65572:TBE65578 TKZ65572:TLA65578 TUV65572:TUW65578 UER65572:UES65578 UON65572:UOO65578 UYJ65572:UYK65578 VIF65572:VIG65578 VSB65572:VSC65578 WBX65572:WBY65578 WLT65572:WLU65578 WVP65572:WVQ65578 H131108:I131114 JD131108:JE131114 SZ131108:TA131114 ACV131108:ACW131114 AMR131108:AMS131114 AWN131108:AWO131114 BGJ131108:BGK131114 BQF131108:BQG131114 CAB131108:CAC131114 CJX131108:CJY131114 CTT131108:CTU131114 DDP131108:DDQ131114 DNL131108:DNM131114 DXH131108:DXI131114 EHD131108:EHE131114 EQZ131108:ERA131114 FAV131108:FAW131114 FKR131108:FKS131114 FUN131108:FUO131114 GEJ131108:GEK131114 GOF131108:GOG131114 GYB131108:GYC131114 HHX131108:HHY131114 HRT131108:HRU131114 IBP131108:IBQ131114 ILL131108:ILM131114 IVH131108:IVI131114 JFD131108:JFE131114 JOZ131108:JPA131114 JYV131108:JYW131114 KIR131108:KIS131114 KSN131108:KSO131114 LCJ131108:LCK131114 LMF131108:LMG131114 LWB131108:LWC131114 MFX131108:MFY131114 MPT131108:MPU131114 MZP131108:MZQ131114 NJL131108:NJM131114 NTH131108:NTI131114 ODD131108:ODE131114 OMZ131108:ONA131114 OWV131108:OWW131114 PGR131108:PGS131114 PQN131108:PQO131114 QAJ131108:QAK131114 QKF131108:QKG131114 QUB131108:QUC131114 RDX131108:RDY131114 RNT131108:RNU131114 RXP131108:RXQ131114 SHL131108:SHM131114 SRH131108:SRI131114 TBD131108:TBE131114 TKZ131108:TLA131114 TUV131108:TUW131114 UER131108:UES131114 UON131108:UOO131114 UYJ131108:UYK131114 VIF131108:VIG131114 VSB131108:VSC131114 WBX131108:WBY131114 WLT131108:WLU131114 WVP131108:WVQ131114 H196644:I196650 JD196644:JE196650 SZ196644:TA196650 ACV196644:ACW196650 AMR196644:AMS196650 AWN196644:AWO196650 BGJ196644:BGK196650 BQF196644:BQG196650 CAB196644:CAC196650 CJX196644:CJY196650 CTT196644:CTU196650 DDP196644:DDQ196650 DNL196644:DNM196650 DXH196644:DXI196650 EHD196644:EHE196650 EQZ196644:ERA196650 FAV196644:FAW196650 FKR196644:FKS196650 FUN196644:FUO196650 GEJ196644:GEK196650 GOF196644:GOG196650 GYB196644:GYC196650 HHX196644:HHY196650 HRT196644:HRU196650 IBP196644:IBQ196650 ILL196644:ILM196650 IVH196644:IVI196650 JFD196644:JFE196650 JOZ196644:JPA196650 JYV196644:JYW196650 KIR196644:KIS196650 KSN196644:KSO196650 LCJ196644:LCK196650 LMF196644:LMG196650 LWB196644:LWC196650 MFX196644:MFY196650 MPT196644:MPU196650 MZP196644:MZQ196650 NJL196644:NJM196650 NTH196644:NTI196650 ODD196644:ODE196650 OMZ196644:ONA196650 OWV196644:OWW196650 PGR196644:PGS196650 PQN196644:PQO196650 QAJ196644:QAK196650 QKF196644:QKG196650 QUB196644:QUC196650 RDX196644:RDY196650 RNT196644:RNU196650 RXP196644:RXQ196650 SHL196644:SHM196650 SRH196644:SRI196650 TBD196644:TBE196650 TKZ196644:TLA196650 TUV196644:TUW196650 UER196644:UES196650 UON196644:UOO196650 UYJ196644:UYK196650 VIF196644:VIG196650 VSB196644:VSC196650 WBX196644:WBY196650 WLT196644:WLU196650 WVP196644:WVQ196650 H262180:I262186 JD262180:JE262186 SZ262180:TA262186 ACV262180:ACW262186 AMR262180:AMS262186 AWN262180:AWO262186 BGJ262180:BGK262186 BQF262180:BQG262186 CAB262180:CAC262186 CJX262180:CJY262186 CTT262180:CTU262186 DDP262180:DDQ262186 DNL262180:DNM262186 DXH262180:DXI262186 EHD262180:EHE262186 EQZ262180:ERA262186 FAV262180:FAW262186 FKR262180:FKS262186 FUN262180:FUO262186 GEJ262180:GEK262186 GOF262180:GOG262186 GYB262180:GYC262186 HHX262180:HHY262186 HRT262180:HRU262186 IBP262180:IBQ262186 ILL262180:ILM262186 IVH262180:IVI262186 JFD262180:JFE262186 JOZ262180:JPA262186 JYV262180:JYW262186 KIR262180:KIS262186 KSN262180:KSO262186 LCJ262180:LCK262186 LMF262180:LMG262186 LWB262180:LWC262186 MFX262180:MFY262186 MPT262180:MPU262186 MZP262180:MZQ262186 NJL262180:NJM262186 NTH262180:NTI262186 ODD262180:ODE262186 OMZ262180:ONA262186 OWV262180:OWW262186 PGR262180:PGS262186 PQN262180:PQO262186 QAJ262180:QAK262186 QKF262180:QKG262186 QUB262180:QUC262186 RDX262180:RDY262186 RNT262180:RNU262186 RXP262180:RXQ262186 SHL262180:SHM262186 SRH262180:SRI262186 TBD262180:TBE262186 TKZ262180:TLA262186 TUV262180:TUW262186 UER262180:UES262186 UON262180:UOO262186 UYJ262180:UYK262186 VIF262180:VIG262186 VSB262180:VSC262186 WBX262180:WBY262186 WLT262180:WLU262186 WVP262180:WVQ262186 H327716:I327722 JD327716:JE327722 SZ327716:TA327722 ACV327716:ACW327722 AMR327716:AMS327722 AWN327716:AWO327722 BGJ327716:BGK327722 BQF327716:BQG327722 CAB327716:CAC327722 CJX327716:CJY327722 CTT327716:CTU327722 DDP327716:DDQ327722 DNL327716:DNM327722 DXH327716:DXI327722 EHD327716:EHE327722 EQZ327716:ERA327722 FAV327716:FAW327722 FKR327716:FKS327722 FUN327716:FUO327722 GEJ327716:GEK327722 GOF327716:GOG327722 GYB327716:GYC327722 HHX327716:HHY327722 HRT327716:HRU327722 IBP327716:IBQ327722 ILL327716:ILM327722 IVH327716:IVI327722 JFD327716:JFE327722 JOZ327716:JPA327722 JYV327716:JYW327722 KIR327716:KIS327722 KSN327716:KSO327722 LCJ327716:LCK327722 LMF327716:LMG327722 LWB327716:LWC327722 MFX327716:MFY327722 MPT327716:MPU327722 MZP327716:MZQ327722 NJL327716:NJM327722 NTH327716:NTI327722 ODD327716:ODE327722 OMZ327716:ONA327722 OWV327716:OWW327722 PGR327716:PGS327722 PQN327716:PQO327722 QAJ327716:QAK327722 QKF327716:QKG327722 QUB327716:QUC327722 RDX327716:RDY327722 RNT327716:RNU327722 RXP327716:RXQ327722 SHL327716:SHM327722 SRH327716:SRI327722 TBD327716:TBE327722 TKZ327716:TLA327722 TUV327716:TUW327722 UER327716:UES327722 UON327716:UOO327722 UYJ327716:UYK327722 VIF327716:VIG327722 VSB327716:VSC327722 WBX327716:WBY327722 WLT327716:WLU327722 WVP327716:WVQ327722 H393252:I393258 JD393252:JE393258 SZ393252:TA393258 ACV393252:ACW393258 AMR393252:AMS393258 AWN393252:AWO393258 BGJ393252:BGK393258 BQF393252:BQG393258 CAB393252:CAC393258 CJX393252:CJY393258 CTT393252:CTU393258 DDP393252:DDQ393258 DNL393252:DNM393258 DXH393252:DXI393258 EHD393252:EHE393258 EQZ393252:ERA393258 FAV393252:FAW393258 FKR393252:FKS393258 FUN393252:FUO393258 GEJ393252:GEK393258 GOF393252:GOG393258 GYB393252:GYC393258 HHX393252:HHY393258 HRT393252:HRU393258 IBP393252:IBQ393258 ILL393252:ILM393258 IVH393252:IVI393258 JFD393252:JFE393258 JOZ393252:JPA393258 JYV393252:JYW393258 KIR393252:KIS393258 KSN393252:KSO393258 LCJ393252:LCK393258 LMF393252:LMG393258 LWB393252:LWC393258 MFX393252:MFY393258 MPT393252:MPU393258 MZP393252:MZQ393258 NJL393252:NJM393258 NTH393252:NTI393258 ODD393252:ODE393258 OMZ393252:ONA393258 OWV393252:OWW393258 PGR393252:PGS393258 PQN393252:PQO393258 QAJ393252:QAK393258 QKF393252:QKG393258 QUB393252:QUC393258 RDX393252:RDY393258 RNT393252:RNU393258 RXP393252:RXQ393258 SHL393252:SHM393258 SRH393252:SRI393258 TBD393252:TBE393258 TKZ393252:TLA393258 TUV393252:TUW393258 UER393252:UES393258 UON393252:UOO393258 UYJ393252:UYK393258 VIF393252:VIG393258 VSB393252:VSC393258 WBX393252:WBY393258 WLT393252:WLU393258 WVP393252:WVQ393258 H458788:I458794 JD458788:JE458794 SZ458788:TA458794 ACV458788:ACW458794 AMR458788:AMS458794 AWN458788:AWO458794 BGJ458788:BGK458794 BQF458788:BQG458794 CAB458788:CAC458794 CJX458788:CJY458794 CTT458788:CTU458794 DDP458788:DDQ458794 DNL458788:DNM458794 DXH458788:DXI458794 EHD458788:EHE458794 EQZ458788:ERA458794 FAV458788:FAW458794 FKR458788:FKS458794 FUN458788:FUO458794 GEJ458788:GEK458794 GOF458788:GOG458794 GYB458788:GYC458794 HHX458788:HHY458794 HRT458788:HRU458794 IBP458788:IBQ458794 ILL458788:ILM458794 IVH458788:IVI458794 JFD458788:JFE458794 JOZ458788:JPA458794 JYV458788:JYW458794 KIR458788:KIS458794 KSN458788:KSO458794 LCJ458788:LCK458794 LMF458788:LMG458794 LWB458788:LWC458794 MFX458788:MFY458794 MPT458788:MPU458794 MZP458788:MZQ458794 NJL458788:NJM458794 NTH458788:NTI458794 ODD458788:ODE458794 OMZ458788:ONA458794 OWV458788:OWW458794 PGR458788:PGS458794 PQN458788:PQO458794 QAJ458788:QAK458794 QKF458788:QKG458794 QUB458788:QUC458794 RDX458788:RDY458794 RNT458788:RNU458794 RXP458788:RXQ458794 SHL458788:SHM458794 SRH458788:SRI458794 TBD458788:TBE458794 TKZ458788:TLA458794 TUV458788:TUW458794 UER458788:UES458794 UON458788:UOO458794 UYJ458788:UYK458794 VIF458788:VIG458794 VSB458788:VSC458794 WBX458788:WBY458794 WLT458788:WLU458794 WVP458788:WVQ458794 H524324:I524330 JD524324:JE524330 SZ524324:TA524330 ACV524324:ACW524330 AMR524324:AMS524330 AWN524324:AWO524330 BGJ524324:BGK524330 BQF524324:BQG524330 CAB524324:CAC524330 CJX524324:CJY524330 CTT524324:CTU524330 DDP524324:DDQ524330 DNL524324:DNM524330 DXH524324:DXI524330 EHD524324:EHE524330 EQZ524324:ERA524330 FAV524324:FAW524330 FKR524324:FKS524330 FUN524324:FUO524330 GEJ524324:GEK524330 GOF524324:GOG524330 GYB524324:GYC524330 HHX524324:HHY524330 HRT524324:HRU524330 IBP524324:IBQ524330 ILL524324:ILM524330 IVH524324:IVI524330 JFD524324:JFE524330 JOZ524324:JPA524330 JYV524324:JYW524330 KIR524324:KIS524330 KSN524324:KSO524330 LCJ524324:LCK524330 LMF524324:LMG524330 LWB524324:LWC524330 MFX524324:MFY524330 MPT524324:MPU524330 MZP524324:MZQ524330 NJL524324:NJM524330 NTH524324:NTI524330 ODD524324:ODE524330 OMZ524324:ONA524330 OWV524324:OWW524330 PGR524324:PGS524330 PQN524324:PQO524330 QAJ524324:QAK524330 QKF524324:QKG524330 QUB524324:QUC524330 RDX524324:RDY524330 RNT524324:RNU524330 RXP524324:RXQ524330 SHL524324:SHM524330 SRH524324:SRI524330 TBD524324:TBE524330 TKZ524324:TLA524330 TUV524324:TUW524330 UER524324:UES524330 UON524324:UOO524330 UYJ524324:UYK524330 VIF524324:VIG524330 VSB524324:VSC524330 WBX524324:WBY524330 WLT524324:WLU524330 WVP524324:WVQ524330 H589860:I589866 JD589860:JE589866 SZ589860:TA589866 ACV589860:ACW589866 AMR589860:AMS589866 AWN589860:AWO589866 BGJ589860:BGK589866 BQF589860:BQG589866 CAB589860:CAC589866 CJX589860:CJY589866 CTT589860:CTU589866 DDP589860:DDQ589866 DNL589860:DNM589866 DXH589860:DXI589866 EHD589860:EHE589866 EQZ589860:ERA589866 FAV589860:FAW589866 FKR589860:FKS589866 FUN589860:FUO589866 GEJ589860:GEK589866 GOF589860:GOG589866 GYB589860:GYC589866 HHX589860:HHY589866 HRT589860:HRU589866 IBP589860:IBQ589866 ILL589860:ILM589866 IVH589860:IVI589866 JFD589860:JFE589866 JOZ589860:JPA589866 JYV589860:JYW589866 KIR589860:KIS589866 KSN589860:KSO589866 LCJ589860:LCK589866 LMF589860:LMG589866 LWB589860:LWC589866 MFX589860:MFY589866 MPT589860:MPU589866 MZP589860:MZQ589866 NJL589860:NJM589866 NTH589860:NTI589866 ODD589860:ODE589866 OMZ589860:ONA589866 OWV589860:OWW589866 PGR589860:PGS589866 PQN589860:PQO589866 QAJ589860:QAK589866 QKF589860:QKG589866 QUB589860:QUC589866 RDX589860:RDY589866 RNT589860:RNU589866 RXP589860:RXQ589866 SHL589860:SHM589866 SRH589860:SRI589866 TBD589860:TBE589866 TKZ589860:TLA589866 TUV589860:TUW589866 UER589860:UES589866 UON589860:UOO589866 UYJ589860:UYK589866 VIF589860:VIG589866 VSB589860:VSC589866 WBX589860:WBY589866 WLT589860:WLU589866 WVP589860:WVQ589866 H655396:I655402 JD655396:JE655402 SZ655396:TA655402 ACV655396:ACW655402 AMR655396:AMS655402 AWN655396:AWO655402 BGJ655396:BGK655402 BQF655396:BQG655402 CAB655396:CAC655402 CJX655396:CJY655402 CTT655396:CTU655402 DDP655396:DDQ655402 DNL655396:DNM655402 DXH655396:DXI655402 EHD655396:EHE655402 EQZ655396:ERA655402 FAV655396:FAW655402 FKR655396:FKS655402 FUN655396:FUO655402 GEJ655396:GEK655402 GOF655396:GOG655402 GYB655396:GYC655402 HHX655396:HHY655402 HRT655396:HRU655402 IBP655396:IBQ655402 ILL655396:ILM655402 IVH655396:IVI655402 JFD655396:JFE655402 JOZ655396:JPA655402 JYV655396:JYW655402 KIR655396:KIS655402 KSN655396:KSO655402 LCJ655396:LCK655402 LMF655396:LMG655402 LWB655396:LWC655402 MFX655396:MFY655402 MPT655396:MPU655402 MZP655396:MZQ655402 NJL655396:NJM655402 NTH655396:NTI655402 ODD655396:ODE655402 OMZ655396:ONA655402 OWV655396:OWW655402 PGR655396:PGS655402 PQN655396:PQO655402 QAJ655396:QAK655402 QKF655396:QKG655402 QUB655396:QUC655402 RDX655396:RDY655402 RNT655396:RNU655402 RXP655396:RXQ655402 SHL655396:SHM655402 SRH655396:SRI655402 TBD655396:TBE655402 TKZ655396:TLA655402 TUV655396:TUW655402 UER655396:UES655402 UON655396:UOO655402 UYJ655396:UYK655402 VIF655396:VIG655402 VSB655396:VSC655402 WBX655396:WBY655402 WLT655396:WLU655402 WVP655396:WVQ655402 H720932:I720938 JD720932:JE720938 SZ720932:TA720938 ACV720932:ACW720938 AMR720932:AMS720938 AWN720932:AWO720938 BGJ720932:BGK720938 BQF720932:BQG720938 CAB720932:CAC720938 CJX720932:CJY720938 CTT720932:CTU720938 DDP720932:DDQ720938 DNL720932:DNM720938 DXH720932:DXI720938 EHD720932:EHE720938 EQZ720932:ERA720938 FAV720932:FAW720938 FKR720932:FKS720938 FUN720932:FUO720938 GEJ720932:GEK720938 GOF720932:GOG720938 GYB720932:GYC720938 HHX720932:HHY720938 HRT720932:HRU720938 IBP720932:IBQ720938 ILL720932:ILM720938 IVH720932:IVI720938 JFD720932:JFE720938 JOZ720932:JPA720938 JYV720932:JYW720938 KIR720932:KIS720938 KSN720932:KSO720938 LCJ720932:LCK720938 LMF720932:LMG720938 LWB720932:LWC720938 MFX720932:MFY720938 MPT720932:MPU720938 MZP720932:MZQ720938 NJL720932:NJM720938 NTH720932:NTI720938 ODD720932:ODE720938 OMZ720932:ONA720938 OWV720932:OWW720938 PGR720932:PGS720938 PQN720932:PQO720938 QAJ720932:QAK720938 QKF720932:QKG720938 QUB720932:QUC720938 RDX720932:RDY720938 RNT720932:RNU720938 RXP720932:RXQ720938 SHL720932:SHM720938 SRH720932:SRI720938 TBD720932:TBE720938 TKZ720932:TLA720938 TUV720932:TUW720938 UER720932:UES720938 UON720932:UOO720938 UYJ720932:UYK720938 VIF720932:VIG720938 VSB720932:VSC720938 WBX720932:WBY720938 WLT720932:WLU720938 WVP720932:WVQ720938 H786468:I786474 JD786468:JE786474 SZ786468:TA786474 ACV786468:ACW786474 AMR786468:AMS786474 AWN786468:AWO786474 BGJ786468:BGK786474 BQF786468:BQG786474 CAB786468:CAC786474 CJX786468:CJY786474 CTT786468:CTU786474 DDP786468:DDQ786474 DNL786468:DNM786474 DXH786468:DXI786474 EHD786468:EHE786474 EQZ786468:ERA786474 FAV786468:FAW786474 FKR786468:FKS786474 FUN786468:FUO786474 GEJ786468:GEK786474 GOF786468:GOG786474 GYB786468:GYC786474 HHX786468:HHY786474 HRT786468:HRU786474 IBP786468:IBQ786474 ILL786468:ILM786474 IVH786468:IVI786474 JFD786468:JFE786474 JOZ786468:JPA786474 JYV786468:JYW786474 KIR786468:KIS786474 KSN786468:KSO786474 LCJ786468:LCK786474 LMF786468:LMG786474 LWB786468:LWC786474 MFX786468:MFY786474 MPT786468:MPU786474 MZP786468:MZQ786474 NJL786468:NJM786474 NTH786468:NTI786474 ODD786468:ODE786474 OMZ786468:ONA786474 OWV786468:OWW786474 PGR786468:PGS786474 PQN786468:PQO786474 QAJ786468:QAK786474 QKF786468:QKG786474 QUB786468:QUC786474 RDX786468:RDY786474 RNT786468:RNU786474 RXP786468:RXQ786474 SHL786468:SHM786474 SRH786468:SRI786474 TBD786468:TBE786474 TKZ786468:TLA786474 TUV786468:TUW786474 UER786468:UES786474 UON786468:UOO786474 UYJ786468:UYK786474 VIF786468:VIG786474 VSB786468:VSC786474 WBX786468:WBY786474 WLT786468:WLU786474 WVP786468:WVQ786474 H852004:I852010 JD852004:JE852010 SZ852004:TA852010 ACV852004:ACW852010 AMR852004:AMS852010 AWN852004:AWO852010 BGJ852004:BGK852010 BQF852004:BQG852010 CAB852004:CAC852010 CJX852004:CJY852010 CTT852004:CTU852010 DDP852004:DDQ852010 DNL852004:DNM852010 DXH852004:DXI852010 EHD852004:EHE852010 EQZ852004:ERA852010 FAV852004:FAW852010 FKR852004:FKS852010 FUN852004:FUO852010 GEJ852004:GEK852010 GOF852004:GOG852010 GYB852004:GYC852010 HHX852004:HHY852010 HRT852004:HRU852010 IBP852004:IBQ852010 ILL852004:ILM852010 IVH852004:IVI852010 JFD852004:JFE852010 JOZ852004:JPA852010 JYV852004:JYW852010 KIR852004:KIS852010 KSN852004:KSO852010 LCJ852004:LCK852010 LMF852004:LMG852010 LWB852004:LWC852010 MFX852004:MFY852010 MPT852004:MPU852010 MZP852004:MZQ852010 NJL852004:NJM852010 NTH852004:NTI852010 ODD852004:ODE852010 OMZ852004:ONA852010 OWV852004:OWW852010 PGR852004:PGS852010 PQN852004:PQO852010 QAJ852004:QAK852010 QKF852004:QKG852010 QUB852004:QUC852010 RDX852004:RDY852010 RNT852004:RNU852010 RXP852004:RXQ852010 SHL852004:SHM852010 SRH852004:SRI852010 TBD852004:TBE852010 TKZ852004:TLA852010 TUV852004:TUW852010 UER852004:UES852010 UON852004:UOO852010 UYJ852004:UYK852010 VIF852004:VIG852010 VSB852004:VSC852010 WBX852004:WBY852010 WLT852004:WLU852010 WVP852004:WVQ852010 H917540:I917546 JD917540:JE917546 SZ917540:TA917546 ACV917540:ACW917546 AMR917540:AMS917546 AWN917540:AWO917546 BGJ917540:BGK917546 BQF917540:BQG917546 CAB917540:CAC917546 CJX917540:CJY917546 CTT917540:CTU917546 DDP917540:DDQ917546 DNL917540:DNM917546 DXH917540:DXI917546 EHD917540:EHE917546 EQZ917540:ERA917546 FAV917540:FAW917546 FKR917540:FKS917546 FUN917540:FUO917546 GEJ917540:GEK917546 GOF917540:GOG917546 GYB917540:GYC917546 HHX917540:HHY917546 HRT917540:HRU917546 IBP917540:IBQ917546 ILL917540:ILM917546 IVH917540:IVI917546 JFD917540:JFE917546 JOZ917540:JPA917546 JYV917540:JYW917546 KIR917540:KIS917546 KSN917540:KSO917546 LCJ917540:LCK917546 LMF917540:LMG917546 LWB917540:LWC917546 MFX917540:MFY917546 MPT917540:MPU917546 MZP917540:MZQ917546 NJL917540:NJM917546 NTH917540:NTI917546 ODD917540:ODE917546 OMZ917540:ONA917546 OWV917540:OWW917546 PGR917540:PGS917546 PQN917540:PQO917546 QAJ917540:QAK917546 QKF917540:QKG917546 QUB917540:QUC917546 RDX917540:RDY917546 RNT917540:RNU917546 RXP917540:RXQ917546 SHL917540:SHM917546 SRH917540:SRI917546 TBD917540:TBE917546 TKZ917540:TLA917546 TUV917540:TUW917546 UER917540:UES917546 UON917540:UOO917546 UYJ917540:UYK917546 VIF917540:VIG917546 VSB917540:VSC917546 WBX917540:WBY917546 WLT917540:WLU917546 WVP917540:WVQ917546 H983076:I983082 JD983076:JE983082 SZ983076:TA983082 ACV983076:ACW983082 AMR983076:AMS983082 AWN983076:AWO983082 BGJ983076:BGK983082 BQF983076:BQG983082 CAB983076:CAC983082 CJX983076:CJY983082 CTT983076:CTU983082 DDP983076:DDQ983082 DNL983076:DNM983082 DXH983076:DXI983082 EHD983076:EHE983082 EQZ983076:ERA983082 FAV983076:FAW983082 FKR983076:FKS983082 FUN983076:FUO983082 GEJ983076:GEK983082 GOF983076:GOG983082 GYB983076:GYC983082 HHX983076:HHY983082 HRT983076:HRU983082 IBP983076:IBQ983082 ILL983076:ILM983082 IVH983076:IVI983082 JFD983076:JFE983082 JOZ983076:JPA983082 JYV983076:JYW983082 KIR983076:KIS983082 KSN983076:KSO983082 LCJ983076:LCK983082 LMF983076:LMG983082 LWB983076:LWC983082 MFX983076:MFY983082 MPT983076:MPU983082 MZP983076:MZQ983082 NJL983076:NJM983082 NTH983076:NTI983082 ODD983076:ODE983082 OMZ983076:ONA983082 OWV983076:OWW983082 PGR983076:PGS983082 PQN983076:PQO983082 QAJ983076:QAK983082 QKF983076:QKG983082 QUB983076:QUC983082 RDX983076:RDY983082 RNT983076:RNU983082 RXP983076:RXQ983082 SHL983076:SHM983082 SRH983076:SRI983082 TBD983076:TBE983082 TKZ983076:TLA983082 TUV983076:TUW983082 UER983076:UES983082 UON983076:UOO983082 UYJ983076:UYK983082 VIF983076:VIG983082 VSB983076:VSC983082 WBX983076:WBY983082 WLT983076:WLU983082 WVP983076:WVQ983082 H44:I44 JD44:JE44 SZ44:TA44 ACV44:ACW44 AMR44:AMS44 AWN44:AWO44 BGJ44:BGK44 BQF44:BQG44 CAB44:CAC44 CJX44:CJY44 CTT44:CTU44 DDP44:DDQ44 DNL44:DNM44 DXH44:DXI44 EHD44:EHE44 EQZ44:ERA44 FAV44:FAW44 FKR44:FKS44 FUN44:FUO44 GEJ44:GEK44 GOF44:GOG44 GYB44:GYC44 HHX44:HHY44 HRT44:HRU44 IBP44:IBQ44 ILL44:ILM44 IVH44:IVI44 JFD44:JFE44 JOZ44:JPA44 JYV44:JYW44 KIR44:KIS44 KSN44:KSO44 LCJ44:LCK44 LMF44:LMG44 LWB44:LWC44 MFX44:MFY44 MPT44:MPU44 MZP44:MZQ44 NJL44:NJM44 NTH44:NTI44 ODD44:ODE44 OMZ44:ONA44 OWV44:OWW44 PGR44:PGS44 PQN44:PQO44 QAJ44:QAK44 QKF44:QKG44 QUB44:QUC44 RDX44:RDY44 RNT44:RNU44 RXP44:RXQ44 SHL44:SHM44 SRH44:SRI44 TBD44:TBE44 TKZ44:TLA44 TUV44:TUW44 UER44:UES44 UON44:UOO44 UYJ44:UYK44 VIF44:VIG44 VSB44:VSC44 WBX44:WBY44 WLT44:WLU44 WVP44:WVQ44 H65580:I65580 JD65580:JE65580 SZ65580:TA65580 ACV65580:ACW65580 AMR65580:AMS65580 AWN65580:AWO65580 BGJ65580:BGK65580 BQF65580:BQG65580 CAB65580:CAC65580 CJX65580:CJY65580 CTT65580:CTU65580 DDP65580:DDQ65580 DNL65580:DNM65580 DXH65580:DXI65580 EHD65580:EHE65580 EQZ65580:ERA65580 FAV65580:FAW65580 FKR65580:FKS65580 FUN65580:FUO65580 GEJ65580:GEK65580 GOF65580:GOG65580 GYB65580:GYC65580 HHX65580:HHY65580 HRT65580:HRU65580 IBP65580:IBQ65580 ILL65580:ILM65580 IVH65580:IVI65580 JFD65580:JFE65580 JOZ65580:JPA65580 JYV65580:JYW65580 KIR65580:KIS65580 KSN65580:KSO65580 LCJ65580:LCK65580 LMF65580:LMG65580 LWB65580:LWC65580 MFX65580:MFY65580 MPT65580:MPU65580 MZP65580:MZQ65580 NJL65580:NJM65580 NTH65580:NTI65580 ODD65580:ODE65580 OMZ65580:ONA65580 OWV65580:OWW65580 PGR65580:PGS65580 PQN65580:PQO65580 QAJ65580:QAK65580 QKF65580:QKG65580 QUB65580:QUC65580 RDX65580:RDY65580 RNT65580:RNU65580 RXP65580:RXQ65580 SHL65580:SHM65580 SRH65580:SRI65580 TBD65580:TBE65580 TKZ65580:TLA65580 TUV65580:TUW65580 UER65580:UES65580 UON65580:UOO65580 UYJ65580:UYK65580 VIF65580:VIG65580 VSB65580:VSC65580 WBX65580:WBY65580 WLT65580:WLU65580 WVP65580:WVQ65580 H131116:I131116 JD131116:JE131116 SZ131116:TA131116 ACV131116:ACW131116 AMR131116:AMS131116 AWN131116:AWO131116 BGJ131116:BGK131116 BQF131116:BQG131116 CAB131116:CAC131116 CJX131116:CJY131116 CTT131116:CTU131116 DDP131116:DDQ131116 DNL131116:DNM131116 DXH131116:DXI131116 EHD131116:EHE131116 EQZ131116:ERA131116 FAV131116:FAW131116 FKR131116:FKS131116 FUN131116:FUO131116 GEJ131116:GEK131116 GOF131116:GOG131116 GYB131116:GYC131116 HHX131116:HHY131116 HRT131116:HRU131116 IBP131116:IBQ131116 ILL131116:ILM131116 IVH131116:IVI131116 JFD131116:JFE131116 JOZ131116:JPA131116 JYV131116:JYW131116 KIR131116:KIS131116 KSN131116:KSO131116 LCJ131116:LCK131116 LMF131116:LMG131116 LWB131116:LWC131116 MFX131116:MFY131116 MPT131116:MPU131116 MZP131116:MZQ131116 NJL131116:NJM131116 NTH131116:NTI131116 ODD131116:ODE131116 OMZ131116:ONA131116 OWV131116:OWW131116 PGR131116:PGS131116 PQN131116:PQO131116 QAJ131116:QAK131116 QKF131116:QKG131116 QUB131116:QUC131116 RDX131116:RDY131116 RNT131116:RNU131116 RXP131116:RXQ131116 SHL131116:SHM131116 SRH131116:SRI131116 TBD131116:TBE131116 TKZ131116:TLA131116 TUV131116:TUW131116 UER131116:UES131116 UON131116:UOO131116 UYJ131116:UYK131116 VIF131116:VIG131116 VSB131116:VSC131116 WBX131116:WBY131116 WLT131116:WLU131116 WVP131116:WVQ131116 H196652:I196652 JD196652:JE196652 SZ196652:TA196652 ACV196652:ACW196652 AMR196652:AMS196652 AWN196652:AWO196652 BGJ196652:BGK196652 BQF196652:BQG196652 CAB196652:CAC196652 CJX196652:CJY196652 CTT196652:CTU196652 DDP196652:DDQ196652 DNL196652:DNM196652 DXH196652:DXI196652 EHD196652:EHE196652 EQZ196652:ERA196652 FAV196652:FAW196652 FKR196652:FKS196652 FUN196652:FUO196652 GEJ196652:GEK196652 GOF196652:GOG196652 GYB196652:GYC196652 HHX196652:HHY196652 HRT196652:HRU196652 IBP196652:IBQ196652 ILL196652:ILM196652 IVH196652:IVI196652 JFD196652:JFE196652 JOZ196652:JPA196652 JYV196652:JYW196652 KIR196652:KIS196652 KSN196652:KSO196652 LCJ196652:LCK196652 LMF196652:LMG196652 LWB196652:LWC196652 MFX196652:MFY196652 MPT196652:MPU196652 MZP196652:MZQ196652 NJL196652:NJM196652 NTH196652:NTI196652 ODD196652:ODE196652 OMZ196652:ONA196652 OWV196652:OWW196652 PGR196652:PGS196652 PQN196652:PQO196652 QAJ196652:QAK196652 QKF196652:QKG196652 QUB196652:QUC196652 RDX196652:RDY196652 RNT196652:RNU196652 RXP196652:RXQ196652 SHL196652:SHM196652 SRH196652:SRI196652 TBD196652:TBE196652 TKZ196652:TLA196652 TUV196652:TUW196652 UER196652:UES196652 UON196652:UOO196652 UYJ196652:UYK196652 VIF196652:VIG196652 VSB196652:VSC196652 WBX196652:WBY196652 WLT196652:WLU196652 WVP196652:WVQ196652 H262188:I262188 JD262188:JE262188 SZ262188:TA262188 ACV262188:ACW262188 AMR262188:AMS262188 AWN262188:AWO262188 BGJ262188:BGK262188 BQF262188:BQG262188 CAB262188:CAC262188 CJX262188:CJY262188 CTT262188:CTU262188 DDP262188:DDQ262188 DNL262188:DNM262188 DXH262188:DXI262188 EHD262188:EHE262188 EQZ262188:ERA262188 FAV262188:FAW262188 FKR262188:FKS262188 FUN262188:FUO262188 GEJ262188:GEK262188 GOF262188:GOG262188 GYB262188:GYC262188 HHX262188:HHY262188 HRT262188:HRU262188 IBP262188:IBQ262188 ILL262188:ILM262188 IVH262188:IVI262188 JFD262188:JFE262188 JOZ262188:JPA262188 JYV262188:JYW262188 KIR262188:KIS262188 KSN262188:KSO262188 LCJ262188:LCK262188 LMF262188:LMG262188 LWB262188:LWC262188 MFX262188:MFY262188 MPT262188:MPU262188 MZP262188:MZQ262188 NJL262188:NJM262188 NTH262188:NTI262188 ODD262188:ODE262188 OMZ262188:ONA262188 OWV262188:OWW262188 PGR262188:PGS262188 PQN262188:PQO262188 QAJ262188:QAK262188 QKF262188:QKG262188 QUB262188:QUC262188 RDX262188:RDY262188 RNT262188:RNU262188 RXP262188:RXQ262188 SHL262188:SHM262188 SRH262188:SRI262188 TBD262188:TBE262188 TKZ262188:TLA262188 TUV262188:TUW262188 UER262188:UES262188 UON262188:UOO262188 UYJ262188:UYK262188 VIF262188:VIG262188 VSB262188:VSC262188 WBX262188:WBY262188 WLT262188:WLU262188 WVP262188:WVQ262188 H327724:I327724 JD327724:JE327724 SZ327724:TA327724 ACV327724:ACW327724 AMR327724:AMS327724 AWN327724:AWO327724 BGJ327724:BGK327724 BQF327724:BQG327724 CAB327724:CAC327724 CJX327724:CJY327724 CTT327724:CTU327724 DDP327724:DDQ327724 DNL327724:DNM327724 DXH327724:DXI327724 EHD327724:EHE327724 EQZ327724:ERA327724 FAV327724:FAW327724 FKR327724:FKS327724 FUN327724:FUO327724 GEJ327724:GEK327724 GOF327724:GOG327724 GYB327724:GYC327724 HHX327724:HHY327724 HRT327724:HRU327724 IBP327724:IBQ327724 ILL327724:ILM327724 IVH327724:IVI327724 JFD327724:JFE327724 JOZ327724:JPA327724 JYV327724:JYW327724 KIR327724:KIS327724 KSN327724:KSO327724 LCJ327724:LCK327724 LMF327724:LMG327724 LWB327724:LWC327724 MFX327724:MFY327724 MPT327724:MPU327724 MZP327724:MZQ327724 NJL327724:NJM327724 NTH327724:NTI327724 ODD327724:ODE327724 OMZ327724:ONA327724 OWV327724:OWW327724 PGR327724:PGS327724 PQN327724:PQO327724 QAJ327724:QAK327724 QKF327724:QKG327724 QUB327724:QUC327724 RDX327724:RDY327724 RNT327724:RNU327724 RXP327724:RXQ327724 SHL327724:SHM327724 SRH327724:SRI327724 TBD327724:TBE327724 TKZ327724:TLA327724 TUV327724:TUW327724 UER327724:UES327724 UON327724:UOO327724 UYJ327724:UYK327724 VIF327724:VIG327724 VSB327724:VSC327724 WBX327724:WBY327724 WLT327724:WLU327724 WVP327724:WVQ327724 H393260:I393260 JD393260:JE393260 SZ393260:TA393260 ACV393260:ACW393260 AMR393260:AMS393260 AWN393260:AWO393260 BGJ393260:BGK393260 BQF393260:BQG393260 CAB393260:CAC393260 CJX393260:CJY393260 CTT393260:CTU393260 DDP393260:DDQ393260 DNL393260:DNM393260 DXH393260:DXI393260 EHD393260:EHE393260 EQZ393260:ERA393260 FAV393260:FAW393260 FKR393260:FKS393260 FUN393260:FUO393260 GEJ393260:GEK393260 GOF393260:GOG393260 GYB393260:GYC393260 HHX393260:HHY393260 HRT393260:HRU393260 IBP393260:IBQ393260 ILL393260:ILM393260 IVH393260:IVI393260 JFD393260:JFE393260 JOZ393260:JPA393260 JYV393260:JYW393260 KIR393260:KIS393260 KSN393260:KSO393260 LCJ393260:LCK393260 LMF393260:LMG393260 LWB393260:LWC393260 MFX393260:MFY393260 MPT393260:MPU393260 MZP393260:MZQ393260 NJL393260:NJM393260 NTH393260:NTI393260 ODD393260:ODE393260 OMZ393260:ONA393260 OWV393260:OWW393260 PGR393260:PGS393260 PQN393260:PQO393260 QAJ393260:QAK393260 QKF393260:QKG393260 QUB393260:QUC393260 RDX393260:RDY393260 RNT393260:RNU393260 RXP393260:RXQ393260 SHL393260:SHM393260 SRH393260:SRI393260 TBD393260:TBE393260 TKZ393260:TLA393260 TUV393260:TUW393260 UER393260:UES393260 UON393260:UOO393260 UYJ393260:UYK393260 VIF393260:VIG393260 VSB393260:VSC393260 WBX393260:WBY393260 WLT393260:WLU393260 WVP393260:WVQ393260 H458796:I458796 JD458796:JE458796 SZ458796:TA458796 ACV458796:ACW458796 AMR458796:AMS458796 AWN458796:AWO458796 BGJ458796:BGK458796 BQF458796:BQG458796 CAB458796:CAC458796 CJX458796:CJY458796 CTT458796:CTU458796 DDP458796:DDQ458796 DNL458796:DNM458796 DXH458796:DXI458796 EHD458796:EHE458796 EQZ458796:ERA458796 FAV458796:FAW458796 FKR458796:FKS458796 FUN458796:FUO458796 GEJ458796:GEK458796 GOF458796:GOG458796 GYB458796:GYC458796 HHX458796:HHY458796 HRT458796:HRU458796 IBP458796:IBQ458796 ILL458796:ILM458796 IVH458796:IVI458796 JFD458796:JFE458796 JOZ458796:JPA458796 JYV458796:JYW458796 KIR458796:KIS458796 KSN458796:KSO458796 LCJ458796:LCK458796 LMF458796:LMG458796 LWB458796:LWC458796 MFX458796:MFY458796 MPT458796:MPU458796 MZP458796:MZQ458796 NJL458796:NJM458796 NTH458796:NTI458796 ODD458796:ODE458796 OMZ458796:ONA458796 OWV458796:OWW458796 PGR458796:PGS458796 PQN458796:PQO458796 QAJ458796:QAK458796 QKF458796:QKG458796 QUB458796:QUC458796 RDX458796:RDY458796 RNT458796:RNU458796 RXP458796:RXQ458796 SHL458796:SHM458796 SRH458796:SRI458796 TBD458796:TBE458796 TKZ458796:TLA458796 TUV458796:TUW458796 UER458796:UES458796 UON458796:UOO458796 UYJ458796:UYK458796 VIF458796:VIG458796 VSB458796:VSC458796 WBX458796:WBY458796 WLT458796:WLU458796 WVP458796:WVQ458796 H524332:I524332 JD524332:JE524332 SZ524332:TA524332 ACV524332:ACW524332 AMR524332:AMS524332 AWN524332:AWO524332 BGJ524332:BGK524332 BQF524332:BQG524332 CAB524332:CAC524332 CJX524332:CJY524332 CTT524332:CTU524332 DDP524332:DDQ524332 DNL524332:DNM524332 DXH524332:DXI524332 EHD524332:EHE524332 EQZ524332:ERA524332 FAV524332:FAW524332 FKR524332:FKS524332 FUN524332:FUO524332 GEJ524332:GEK524332 GOF524332:GOG524332 GYB524332:GYC524332 HHX524332:HHY524332 HRT524332:HRU524332 IBP524332:IBQ524332 ILL524332:ILM524332 IVH524332:IVI524332 JFD524332:JFE524332 JOZ524332:JPA524332 JYV524332:JYW524332 KIR524332:KIS524332 KSN524332:KSO524332 LCJ524332:LCK524332 LMF524332:LMG524332 LWB524332:LWC524332 MFX524332:MFY524332 MPT524332:MPU524332 MZP524332:MZQ524332 NJL524332:NJM524332 NTH524332:NTI524332 ODD524332:ODE524332 OMZ524332:ONA524332 OWV524332:OWW524332 PGR524332:PGS524332 PQN524332:PQO524332 QAJ524332:QAK524332 QKF524332:QKG524332 QUB524332:QUC524332 RDX524332:RDY524332 RNT524332:RNU524332 RXP524332:RXQ524332 SHL524332:SHM524332 SRH524332:SRI524332 TBD524332:TBE524332 TKZ524332:TLA524332 TUV524332:TUW524332 UER524332:UES524332 UON524332:UOO524332 UYJ524332:UYK524332 VIF524332:VIG524332 VSB524332:VSC524332 WBX524332:WBY524332 WLT524332:WLU524332 WVP524332:WVQ524332 H589868:I589868 JD589868:JE589868 SZ589868:TA589868 ACV589868:ACW589868 AMR589868:AMS589868 AWN589868:AWO589868 BGJ589868:BGK589868 BQF589868:BQG589868 CAB589868:CAC589868 CJX589868:CJY589868 CTT589868:CTU589868 DDP589868:DDQ589868 DNL589868:DNM589868 DXH589868:DXI589868 EHD589868:EHE589868 EQZ589868:ERA589868 FAV589868:FAW589868 FKR589868:FKS589868 FUN589868:FUO589868 GEJ589868:GEK589868 GOF589868:GOG589868 GYB589868:GYC589868 HHX589868:HHY589868 HRT589868:HRU589868 IBP589868:IBQ589868 ILL589868:ILM589868 IVH589868:IVI589868 JFD589868:JFE589868 JOZ589868:JPA589868 JYV589868:JYW589868 KIR589868:KIS589868 KSN589868:KSO589868 LCJ589868:LCK589868 LMF589868:LMG589868 LWB589868:LWC589868 MFX589868:MFY589868 MPT589868:MPU589868 MZP589868:MZQ589868 NJL589868:NJM589868 NTH589868:NTI589868 ODD589868:ODE589868 OMZ589868:ONA589868 OWV589868:OWW589868 PGR589868:PGS589868 PQN589868:PQO589868 QAJ589868:QAK589868 QKF589868:QKG589868 QUB589868:QUC589868 RDX589868:RDY589868 RNT589868:RNU589868 RXP589868:RXQ589868 SHL589868:SHM589868 SRH589868:SRI589868 TBD589868:TBE589868 TKZ589868:TLA589868 TUV589868:TUW589868 UER589868:UES589868 UON589868:UOO589868 UYJ589868:UYK589868 VIF589868:VIG589868 VSB589868:VSC589868 WBX589868:WBY589868 WLT589868:WLU589868 WVP589868:WVQ589868 H655404:I655404 JD655404:JE655404 SZ655404:TA655404 ACV655404:ACW655404 AMR655404:AMS655404 AWN655404:AWO655404 BGJ655404:BGK655404 BQF655404:BQG655404 CAB655404:CAC655404 CJX655404:CJY655404 CTT655404:CTU655404 DDP655404:DDQ655404 DNL655404:DNM655404 DXH655404:DXI655404 EHD655404:EHE655404 EQZ655404:ERA655404 FAV655404:FAW655404 FKR655404:FKS655404 FUN655404:FUO655404 GEJ655404:GEK655404 GOF655404:GOG655404 GYB655404:GYC655404 HHX655404:HHY655404 HRT655404:HRU655404 IBP655404:IBQ655404 ILL655404:ILM655404 IVH655404:IVI655404 JFD655404:JFE655404 JOZ655404:JPA655404 JYV655404:JYW655404 KIR655404:KIS655404 KSN655404:KSO655404 LCJ655404:LCK655404 LMF655404:LMG655404 LWB655404:LWC655404 MFX655404:MFY655404 MPT655404:MPU655404 MZP655404:MZQ655404 NJL655404:NJM655404 NTH655404:NTI655404 ODD655404:ODE655404 OMZ655404:ONA655404 OWV655404:OWW655404 PGR655404:PGS655404 PQN655404:PQO655404 QAJ655404:QAK655404 QKF655404:QKG655404 QUB655404:QUC655404 RDX655404:RDY655404 RNT655404:RNU655404 RXP655404:RXQ655404 SHL655404:SHM655404 SRH655404:SRI655404 TBD655404:TBE655404 TKZ655404:TLA655404 TUV655404:TUW655404 UER655404:UES655404 UON655404:UOO655404 UYJ655404:UYK655404 VIF655404:VIG655404 VSB655404:VSC655404 WBX655404:WBY655404 WLT655404:WLU655404 WVP655404:WVQ655404 H720940:I720940 JD720940:JE720940 SZ720940:TA720940 ACV720940:ACW720940 AMR720940:AMS720940 AWN720940:AWO720940 BGJ720940:BGK720940 BQF720940:BQG720940 CAB720940:CAC720940 CJX720940:CJY720940 CTT720940:CTU720940 DDP720940:DDQ720940 DNL720940:DNM720940 DXH720940:DXI720940 EHD720940:EHE720940 EQZ720940:ERA720940 FAV720940:FAW720940 FKR720940:FKS720940 FUN720940:FUO720940 GEJ720940:GEK720940 GOF720940:GOG720940 GYB720940:GYC720940 HHX720940:HHY720940 HRT720940:HRU720940 IBP720940:IBQ720940 ILL720940:ILM720940 IVH720940:IVI720940 JFD720940:JFE720940 JOZ720940:JPA720940 JYV720940:JYW720940 KIR720940:KIS720940 KSN720940:KSO720940 LCJ720940:LCK720940 LMF720940:LMG720940 LWB720940:LWC720940 MFX720940:MFY720940 MPT720940:MPU720940 MZP720940:MZQ720940 NJL720940:NJM720940 NTH720940:NTI720940 ODD720940:ODE720940 OMZ720940:ONA720940 OWV720940:OWW720940 PGR720940:PGS720940 PQN720940:PQO720940 QAJ720940:QAK720940 QKF720940:QKG720940 QUB720940:QUC720940 RDX720940:RDY720940 RNT720940:RNU720940 RXP720940:RXQ720940 SHL720940:SHM720940 SRH720940:SRI720940 TBD720940:TBE720940 TKZ720940:TLA720940 TUV720940:TUW720940 UER720940:UES720940 UON720940:UOO720940 UYJ720940:UYK720940 VIF720940:VIG720940 VSB720940:VSC720940 WBX720940:WBY720940 WLT720940:WLU720940 WVP720940:WVQ720940 H786476:I786476 JD786476:JE786476 SZ786476:TA786476 ACV786476:ACW786476 AMR786476:AMS786476 AWN786476:AWO786476 BGJ786476:BGK786476 BQF786476:BQG786476 CAB786476:CAC786476 CJX786476:CJY786476 CTT786476:CTU786476 DDP786476:DDQ786476 DNL786476:DNM786476 DXH786476:DXI786476 EHD786476:EHE786476 EQZ786476:ERA786476 FAV786476:FAW786476 FKR786476:FKS786476 FUN786476:FUO786476 GEJ786476:GEK786476 GOF786476:GOG786476 GYB786476:GYC786476 HHX786476:HHY786476 HRT786476:HRU786476 IBP786476:IBQ786476 ILL786476:ILM786476 IVH786476:IVI786476 JFD786476:JFE786476 JOZ786476:JPA786476 JYV786476:JYW786476 KIR786476:KIS786476 KSN786476:KSO786476 LCJ786476:LCK786476 LMF786476:LMG786476 LWB786476:LWC786476 MFX786476:MFY786476 MPT786476:MPU786476 MZP786476:MZQ786476 NJL786476:NJM786476 NTH786476:NTI786476 ODD786476:ODE786476 OMZ786476:ONA786476 OWV786476:OWW786476 PGR786476:PGS786476 PQN786476:PQO786476 QAJ786476:QAK786476 QKF786476:QKG786476 QUB786476:QUC786476 RDX786476:RDY786476 RNT786476:RNU786476 RXP786476:RXQ786476 SHL786476:SHM786476 SRH786476:SRI786476 TBD786476:TBE786476 TKZ786476:TLA786476 TUV786476:TUW786476 UER786476:UES786476 UON786476:UOO786476 UYJ786476:UYK786476 VIF786476:VIG786476 VSB786476:VSC786476 WBX786476:WBY786476 WLT786476:WLU786476 WVP786476:WVQ786476 H852012:I852012 JD852012:JE852012 SZ852012:TA852012 ACV852012:ACW852012 AMR852012:AMS852012 AWN852012:AWO852012 BGJ852012:BGK852012 BQF852012:BQG852012 CAB852012:CAC852012 CJX852012:CJY852012 CTT852012:CTU852012 DDP852012:DDQ852012 DNL852012:DNM852012 DXH852012:DXI852012 EHD852012:EHE852012 EQZ852012:ERA852012 FAV852012:FAW852012 FKR852012:FKS852012 FUN852012:FUO852012 GEJ852012:GEK852012 GOF852012:GOG852012 GYB852012:GYC852012 HHX852012:HHY852012 HRT852012:HRU852012 IBP852012:IBQ852012 ILL852012:ILM852012 IVH852012:IVI852012 JFD852012:JFE852012 JOZ852012:JPA852012 JYV852012:JYW852012 KIR852012:KIS852012 KSN852012:KSO852012 LCJ852012:LCK852012 LMF852012:LMG852012 LWB852012:LWC852012 MFX852012:MFY852012 MPT852012:MPU852012 MZP852012:MZQ852012 NJL852012:NJM852012 NTH852012:NTI852012 ODD852012:ODE852012 OMZ852012:ONA852012 OWV852012:OWW852012 PGR852012:PGS852012 PQN852012:PQO852012 QAJ852012:QAK852012 QKF852012:QKG852012 QUB852012:QUC852012 RDX852012:RDY852012 RNT852012:RNU852012 RXP852012:RXQ852012 SHL852012:SHM852012 SRH852012:SRI852012 TBD852012:TBE852012 TKZ852012:TLA852012 TUV852012:TUW852012 UER852012:UES852012 UON852012:UOO852012 UYJ852012:UYK852012 VIF852012:VIG852012 VSB852012:VSC852012 WBX852012:WBY852012 WLT852012:WLU852012 WVP852012:WVQ852012 H917548:I917548 JD917548:JE917548 SZ917548:TA917548 ACV917548:ACW917548 AMR917548:AMS917548 AWN917548:AWO917548 BGJ917548:BGK917548 BQF917548:BQG917548 CAB917548:CAC917548 CJX917548:CJY917548 CTT917548:CTU917548 DDP917548:DDQ917548 DNL917548:DNM917548 DXH917548:DXI917548 EHD917548:EHE917548 EQZ917548:ERA917548 FAV917548:FAW917548 FKR917548:FKS917548 FUN917548:FUO917548 GEJ917548:GEK917548 GOF917548:GOG917548 GYB917548:GYC917548 HHX917548:HHY917548 HRT917548:HRU917548 IBP917548:IBQ917548 ILL917548:ILM917548 IVH917548:IVI917548 JFD917548:JFE917548 JOZ917548:JPA917548 JYV917548:JYW917548 KIR917548:KIS917548 KSN917548:KSO917548 LCJ917548:LCK917548 LMF917548:LMG917548 LWB917548:LWC917548 MFX917548:MFY917548 MPT917548:MPU917548 MZP917548:MZQ917548 NJL917548:NJM917548 NTH917548:NTI917548 ODD917548:ODE917548 OMZ917548:ONA917548 OWV917548:OWW917548 PGR917548:PGS917548 PQN917548:PQO917548 QAJ917548:QAK917548 QKF917548:QKG917548 QUB917548:QUC917548 RDX917548:RDY917548 RNT917548:RNU917548 RXP917548:RXQ917548 SHL917548:SHM917548 SRH917548:SRI917548 TBD917548:TBE917548 TKZ917548:TLA917548 TUV917548:TUW917548 UER917548:UES917548 UON917548:UOO917548 UYJ917548:UYK917548 VIF917548:VIG917548 VSB917548:VSC917548 WBX917548:WBY917548 WLT917548:WLU917548 WVP917548:WVQ917548 H983084:I983084 JD983084:JE983084 SZ983084:TA983084 ACV983084:ACW983084 AMR983084:AMS983084 AWN983084:AWO983084 BGJ983084:BGK983084 BQF983084:BQG983084 CAB983084:CAC983084 CJX983084:CJY983084 CTT983084:CTU983084 DDP983084:DDQ983084 DNL983084:DNM983084 DXH983084:DXI983084 EHD983084:EHE983084 EQZ983084:ERA983084 FAV983084:FAW983084 FKR983084:FKS983084 FUN983084:FUO983084 GEJ983084:GEK983084 GOF983084:GOG983084 GYB983084:GYC983084 HHX983084:HHY983084 HRT983084:HRU983084 IBP983084:IBQ983084 ILL983084:ILM983084 IVH983084:IVI983084 JFD983084:JFE983084 JOZ983084:JPA983084 JYV983084:JYW983084 KIR983084:KIS983084 KSN983084:KSO983084 LCJ983084:LCK983084 LMF983084:LMG983084 LWB983084:LWC983084 MFX983084:MFY983084 MPT983084:MPU983084 MZP983084:MZQ983084 NJL983084:NJM983084 NTH983084:NTI983084 ODD983084:ODE983084 OMZ983084:ONA983084 OWV983084:OWW983084 PGR983084:PGS983084 PQN983084:PQO983084 QAJ983084:QAK983084 QKF983084:QKG983084 QUB983084:QUC983084 RDX983084:RDY983084 RNT983084:RNU983084 RXP983084:RXQ983084 SHL983084:SHM983084 SRH983084:SRI983084 TBD983084:TBE983084 TKZ983084:TLA983084 TUV983084:TUW983084 UER983084:UES983084 UON983084:UOO983084 UYJ983084:UYK983084 VIF983084:VIG983084 VSB983084:VSC983084 WBX983084:WBY983084 WLT983084:WLU983084 WVP983084:WVQ983084 H46:I52 JD46:JE52 SZ46:TA52 ACV46:ACW52 AMR46:AMS52 AWN46:AWO52 BGJ46:BGK52 BQF46:BQG52 CAB46:CAC52 CJX46:CJY52 CTT46:CTU52 DDP46:DDQ52 DNL46:DNM52 DXH46:DXI52 EHD46:EHE52 EQZ46:ERA52 FAV46:FAW52 FKR46:FKS52 FUN46:FUO52 GEJ46:GEK52 GOF46:GOG52 GYB46:GYC52 HHX46:HHY52 HRT46:HRU52 IBP46:IBQ52 ILL46:ILM52 IVH46:IVI52 JFD46:JFE52 JOZ46:JPA52 JYV46:JYW52 KIR46:KIS52 KSN46:KSO52 LCJ46:LCK52 LMF46:LMG52 LWB46:LWC52 MFX46:MFY52 MPT46:MPU52 MZP46:MZQ52 NJL46:NJM52 NTH46:NTI52 ODD46:ODE52 OMZ46:ONA52 OWV46:OWW52 PGR46:PGS52 PQN46:PQO52 QAJ46:QAK52 QKF46:QKG52 QUB46:QUC52 RDX46:RDY52 RNT46:RNU52 RXP46:RXQ52 SHL46:SHM52 SRH46:SRI52 TBD46:TBE52 TKZ46:TLA52 TUV46:TUW52 UER46:UES52 UON46:UOO52 UYJ46:UYK52 VIF46:VIG52 VSB46:VSC52 WBX46:WBY52 WLT46:WLU52 WVP46:WVQ52 H65582:I65588 JD65582:JE65588 SZ65582:TA65588 ACV65582:ACW65588 AMR65582:AMS65588 AWN65582:AWO65588 BGJ65582:BGK65588 BQF65582:BQG65588 CAB65582:CAC65588 CJX65582:CJY65588 CTT65582:CTU65588 DDP65582:DDQ65588 DNL65582:DNM65588 DXH65582:DXI65588 EHD65582:EHE65588 EQZ65582:ERA65588 FAV65582:FAW65588 FKR65582:FKS65588 FUN65582:FUO65588 GEJ65582:GEK65588 GOF65582:GOG65588 GYB65582:GYC65588 HHX65582:HHY65588 HRT65582:HRU65588 IBP65582:IBQ65588 ILL65582:ILM65588 IVH65582:IVI65588 JFD65582:JFE65588 JOZ65582:JPA65588 JYV65582:JYW65588 KIR65582:KIS65588 KSN65582:KSO65588 LCJ65582:LCK65588 LMF65582:LMG65588 LWB65582:LWC65588 MFX65582:MFY65588 MPT65582:MPU65588 MZP65582:MZQ65588 NJL65582:NJM65588 NTH65582:NTI65588 ODD65582:ODE65588 OMZ65582:ONA65588 OWV65582:OWW65588 PGR65582:PGS65588 PQN65582:PQO65588 QAJ65582:QAK65588 QKF65582:QKG65588 QUB65582:QUC65588 RDX65582:RDY65588 RNT65582:RNU65588 RXP65582:RXQ65588 SHL65582:SHM65588 SRH65582:SRI65588 TBD65582:TBE65588 TKZ65582:TLA65588 TUV65582:TUW65588 UER65582:UES65588 UON65582:UOO65588 UYJ65582:UYK65588 VIF65582:VIG65588 VSB65582:VSC65588 WBX65582:WBY65588 WLT65582:WLU65588 WVP65582:WVQ65588 H131118:I131124 JD131118:JE131124 SZ131118:TA131124 ACV131118:ACW131124 AMR131118:AMS131124 AWN131118:AWO131124 BGJ131118:BGK131124 BQF131118:BQG131124 CAB131118:CAC131124 CJX131118:CJY131124 CTT131118:CTU131124 DDP131118:DDQ131124 DNL131118:DNM131124 DXH131118:DXI131124 EHD131118:EHE131124 EQZ131118:ERA131124 FAV131118:FAW131124 FKR131118:FKS131124 FUN131118:FUO131124 GEJ131118:GEK131124 GOF131118:GOG131124 GYB131118:GYC131124 HHX131118:HHY131124 HRT131118:HRU131124 IBP131118:IBQ131124 ILL131118:ILM131124 IVH131118:IVI131124 JFD131118:JFE131124 JOZ131118:JPA131124 JYV131118:JYW131124 KIR131118:KIS131124 KSN131118:KSO131124 LCJ131118:LCK131124 LMF131118:LMG131124 LWB131118:LWC131124 MFX131118:MFY131124 MPT131118:MPU131124 MZP131118:MZQ131124 NJL131118:NJM131124 NTH131118:NTI131124 ODD131118:ODE131124 OMZ131118:ONA131124 OWV131118:OWW131124 PGR131118:PGS131124 PQN131118:PQO131124 QAJ131118:QAK131124 QKF131118:QKG131124 QUB131118:QUC131124 RDX131118:RDY131124 RNT131118:RNU131124 RXP131118:RXQ131124 SHL131118:SHM131124 SRH131118:SRI131124 TBD131118:TBE131124 TKZ131118:TLA131124 TUV131118:TUW131124 UER131118:UES131124 UON131118:UOO131124 UYJ131118:UYK131124 VIF131118:VIG131124 VSB131118:VSC131124 WBX131118:WBY131124 WLT131118:WLU131124 WVP131118:WVQ131124 H196654:I196660 JD196654:JE196660 SZ196654:TA196660 ACV196654:ACW196660 AMR196654:AMS196660 AWN196654:AWO196660 BGJ196654:BGK196660 BQF196654:BQG196660 CAB196654:CAC196660 CJX196654:CJY196660 CTT196654:CTU196660 DDP196654:DDQ196660 DNL196654:DNM196660 DXH196654:DXI196660 EHD196654:EHE196660 EQZ196654:ERA196660 FAV196654:FAW196660 FKR196654:FKS196660 FUN196654:FUO196660 GEJ196654:GEK196660 GOF196654:GOG196660 GYB196654:GYC196660 HHX196654:HHY196660 HRT196654:HRU196660 IBP196654:IBQ196660 ILL196654:ILM196660 IVH196654:IVI196660 JFD196654:JFE196660 JOZ196654:JPA196660 JYV196654:JYW196660 KIR196654:KIS196660 KSN196654:KSO196660 LCJ196654:LCK196660 LMF196654:LMG196660 LWB196654:LWC196660 MFX196654:MFY196660 MPT196654:MPU196660 MZP196654:MZQ196660 NJL196654:NJM196660 NTH196654:NTI196660 ODD196654:ODE196660 OMZ196654:ONA196660 OWV196654:OWW196660 PGR196654:PGS196660 PQN196654:PQO196660 QAJ196654:QAK196660 QKF196654:QKG196660 QUB196654:QUC196660 RDX196654:RDY196660 RNT196654:RNU196660 RXP196654:RXQ196660 SHL196654:SHM196660 SRH196654:SRI196660 TBD196654:TBE196660 TKZ196654:TLA196660 TUV196654:TUW196660 UER196654:UES196660 UON196654:UOO196660 UYJ196654:UYK196660 VIF196654:VIG196660 VSB196654:VSC196660 WBX196654:WBY196660 WLT196654:WLU196660 WVP196654:WVQ196660 H262190:I262196 JD262190:JE262196 SZ262190:TA262196 ACV262190:ACW262196 AMR262190:AMS262196 AWN262190:AWO262196 BGJ262190:BGK262196 BQF262190:BQG262196 CAB262190:CAC262196 CJX262190:CJY262196 CTT262190:CTU262196 DDP262190:DDQ262196 DNL262190:DNM262196 DXH262190:DXI262196 EHD262190:EHE262196 EQZ262190:ERA262196 FAV262190:FAW262196 FKR262190:FKS262196 FUN262190:FUO262196 GEJ262190:GEK262196 GOF262190:GOG262196 GYB262190:GYC262196 HHX262190:HHY262196 HRT262190:HRU262196 IBP262190:IBQ262196 ILL262190:ILM262196 IVH262190:IVI262196 JFD262190:JFE262196 JOZ262190:JPA262196 JYV262190:JYW262196 KIR262190:KIS262196 KSN262190:KSO262196 LCJ262190:LCK262196 LMF262190:LMG262196 LWB262190:LWC262196 MFX262190:MFY262196 MPT262190:MPU262196 MZP262190:MZQ262196 NJL262190:NJM262196 NTH262190:NTI262196 ODD262190:ODE262196 OMZ262190:ONA262196 OWV262190:OWW262196 PGR262190:PGS262196 PQN262190:PQO262196 QAJ262190:QAK262196 QKF262190:QKG262196 QUB262190:QUC262196 RDX262190:RDY262196 RNT262190:RNU262196 RXP262190:RXQ262196 SHL262190:SHM262196 SRH262190:SRI262196 TBD262190:TBE262196 TKZ262190:TLA262196 TUV262190:TUW262196 UER262190:UES262196 UON262190:UOO262196 UYJ262190:UYK262196 VIF262190:VIG262196 VSB262190:VSC262196 WBX262190:WBY262196 WLT262190:WLU262196 WVP262190:WVQ262196 H327726:I327732 JD327726:JE327732 SZ327726:TA327732 ACV327726:ACW327732 AMR327726:AMS327732 AWN327726:AWO327732 BGJ327726:BGK327732 BQF327726:BQG327732 CAB327726:CAC327732 CJX327726:CJY327732 CTT327726:CTU327732 DDP327726:DDQ327732 DNL327726:DNM327732 DXH327726:DXI327732 EHD327726:EHE327732 EQZ327726:ERA327732 FAV327726:FAW327732 FKR327726:FKS327732 FUN327726:FUO327732 GEJ327726:GEK327732 GOF327726:GOG327732 GYB327726:GYC327732 HHX327726:HHY327732 HRT327726:HRU327732 IBP327726:IBQ327732 ILL327726:ILM327732 IVH327726:IVI327732 JFD327726:JFE327732 JOZ327726:JPA327732 JYV327726:JYW327732 KIR327726:KIS327732 KSN327726:KSO327732 LCJ327726:LCK327732 LMF327726:LMG327732 LWB327726:LWC327732 MFX327726:MFY327732 MPT327726:MPU327732 MZP327726:MZQ327732 NJL327726:NJM327732 NTH327726:NTI327732 ODD327726:ODE327732 OMZ327726:ONA327732 OWV327726:OWW327732 PGR327726:PGS327732 PQN327726:PQO327732 QAJ327726:QAK327732 QKF327726:QKG327732 QUB327726:QUC327732 RDX327726:RDY327732 RNT327726:RNU327732 RXP327726:RXQ327732 SHL327726:SHM327732 SRH327726:SRI327732 TBD327726:TBE327732 TKZ327726:TLA327732 TUV327726:TUW327732 UER327726:UES327732 UON327726:UOO327732 UYJ327726:UYK327732 VIF327726:VIG327732 VSB327726:VSC327732 WBX327726:WBY327732 WLT327726:WLU327732 WVP327726:WVQ327732 H393262:I393268 JD393262:JE393268 SZ393262:TA393268 ACV393262:ACW393268 AMR393262:AMS393268 AWN393262:AWO393268 BGJ393262:BGK393268 BQF393262:BQG393268 CAB393262:CAC393268 CJX393262:CJY393268 CTT393262:CTU393268 DDP393262:DDQ393268 DNL393262:DNM393268 DXH393262:DXI393268 EHD393262:EHE393268 EQZ393262:ERA393268 FAV393262:FAW393268 FKR393262:FKS393268 FUN393262:FUO393268 GEJ393262:GEK393268 GOF393262:GOG393268 GYB393262:GYC393268 HHX393262:HHY393268 HRT393262:HRU393268 IBP393262:IBQ393268 ILL393262:ILM393268 IVH393262:IVI393268 JFD393262:JFE393268 JOZ393262:JPA393268 JYV393262:JYW393268 KIR393262:KIS393268 KSN393262:KSO393268 LCJ393262:LCK393268 LMF393262:LMG393268 LWB393262:LWC393268 MFX393262:MFY393268 MPT393262:MPU393268 MZP393262:MZQ393268 NJL393262:NJM393268 NTH393262:NTI393268 ODD393262:ODE393268 OMZ393262:ONA393268 OWV393262:OWW393268 PGR393262:PGS393268 PQN393262:PQO393268 QAJ393262:QAK393268 QKF393262:QKG393268 QUB393262:QUC393268 RDX393262:RDY393268 RNT393262:RNU393268 RXP393262:RXQ393268 SHL393262:SHM393268 SRH393262:SRI393268 TBD393262:TBE393268 TKZ393262:TLA393268 TUV393262:TUW393268 UER393262:UES393268 UON393262:UOO393268 UYJ393262:UYK393268 VIF393262:VIG393268 VSB393262:VSC393268 WBX393262:WBY393268 WLT393262:WLU393268 WVP393262:WVQ393268 H458798:I458804 JD458798:JE458804 SZ458798:TA458804 ACV458798:ACW458804 AMR458798:AMS458804 AWN458798:AWO458804 BGJ458798:BGK458804 BQF458798:BQG458804 CAB458798:CAC458804 CJX458798:CJY458804 CTT458798:CTU458804 DDP458798:DDQ458804 DNL458798:DNM458804 DXH458798:DXI458804 EHD458798:EHE458804 EQZ458798:ERA458804 FAV458798:FAW458804 FKR458798:FKS458804 FUN458798:FUO458804 GEJ458798:GEK458804 GOF458798:GOG458804 GYB458798:GYC458804 HHX458798:HHY458804 HRT458798:HRU458804 IBP458798:IBQ458804 ILL458798:ILM458804 IVH458798:IVI458804 JFD458798:JFE458804 JOZ458798:JPA458804 JYV458798:JYW458804 KIR458798:KIS458804 KSN458798:KSO458804 LCJ458798:LCK458804 LMF458798:LMG458804 LWB458798:LWC458804 MFX458798:MFY458804 MPT458798:MPU458804 MZP458798:MZQ458804 NJL458798:NJM458804 NTH458798:NTI458804 ODD458798:ODE458804 OMZ458798:ONA458804 OWV458798:OWW458804 PGR458798:PGS458804 PQN458798:PQO458804 QAJ458798:QAK458804 QKF458798:QKG458804 QUB458798:QUC458804 RDX458798:RDY458804 RNT458798:RNU458804 RXP458798:RXQ458804 SHL458798:SHM458804 SRH458798:SRI458804 TBD458798:TBE458804 TKZ458798:TLA458804 TUV458798:TUW458804 UER458798:UES458804 UON458798:UOO458804 UYJ458798:UYK458804 VIF458798:VIG458804 VSB458798:VSC458804 WBX458798:WBY458804 WLT458798:WLU458804 WVP458798:WVQ458804 H524334:I524340 JD524334:JE524340 SZ524334:TA524340 ACV524334:ACW524340 AMR524334:AMS524340 AWN524334:AWO524340 BGJ524334:BGK524340 BQF524334:BQG524340 CAB524334:CAC524340 CJX524334:CJY524340 CTT524334:CTU524340 DDP524334:DDQ524340 DNL524334:DNM524340 DXH524334:DXI524340 EHD524334:EHE524340 EQZ524334:ERA524340 FAV524334:FAW524340 FKR524334:FKS524340 FUN524334:FUO524340 GEJ524334:GEK524340 GOF524334:GOG524340 GYB524334:GYC524340 HHX524334:HHY524340 HRT524334:HRU524340 IBP524334:IBQ524340 ILL524334:ILM524340 IVH524334:IVI524340 JFD524334:JFE524340 JOZ524334:JPA524340 JYV524334:JYW524340 KIR524334:KIS524340 KSN524334:KSO524340 LCJ524334:LCK524340 LMF524334:LMG524340 LWB524334:LWC524340 MFX524334:MFY524340 MPT524334:MPU524340 MZP524334:MZQ524340 NJL524334:NJM524340 NTH524334:NTI524340 ODD524334:ODE524340 OMZ524334:ONA524340 OWV524334:OWW524340 PGR524334:PGS524340 PQN524334:PQO524340 QAJ524334:QAK524340 QKF524334:QKG524340 QUB524334:QUC524340 RDX524334:RDY524340 RNT524334:RNU524340 RXP524334:RXQ524340 SHL524334:SHM524340 SRH524334:SRI524340 TBD524334:TBE524340 TKZ524334:TLA524340 TUV524334:TUW524340 UER524334:UES524340 UON524334:UOO524340 UYJ524334:UYK524340 VIF524334:VIG524340 VSB524334:VSC524340 WBX524334:WBY524340 WLT524334:WLU524340 WVP524334:WVQ524340 H589870:I589876 JD589870:JE589876 SZ589870:TA589876 ACV589870:ACW589876 AMR589870:AMS589876 AWN589870:AWO589876 BGJ589870:BGK589876 BQF589870:BQG589876 CAB589870:CAC589876 CJX589870:CJY589876 CTT589870:CTU589876 DDP589870:DDQ589876 DNL589870:DNM589876 DXH589870:DXI589876 EHD589870:EHE589876 EQZ589870:ERA589876 FAV589870:FAW589876 FKR589870:FKS589876 FUN589870:FUO589876 GEJ589870:GEK589876 GOF589870:GOG589876 GYB589870:GYC589876 HHX589870:HHY589876 HRT589870:HRU589876 IBP589870:IBQ589876 ILL589870:ILM589876 IVH589870:IVI589876 JFD589870:JFE589876 JOZ589870:JPA589876 JYV589870:JYW589876 KIR589870:KIS589876 KSN589870:KSO589876 LCJ589870:LCK589876 LMF589870:LMG589876 LWB589870:LWC589876 MFX589870:MFY589876 MPT589870:MPU589876 MZP589870:MZQ589876 NJL589870:NJM589876 NTH589870:NTI589876 ODD589870:ODE589876 OMZ589870:ONA589876 OWV589870:OWW589876 PGR589870:PGS589876 PQN589870:PQO589876 QAJ589870:QAK589876 QKF589870:QKG589876 QUB589870:QUC589876 RDX589870:RDY589876 RNT589870:RNU589876 RXP589870:RXQ589876 SHL589870:SHM589876 SRH589870:SRI589876 TBD589870:TBE589876 TKZ589870:TLA589876 TUV589870:TUW589876 UER589870:UES589876 UON589870:UOO589876 UYJ589870:UYK589876 VIF589870:VIG589876 VSB589870:VSC589876 WBX589870:WBY589876 WLT589870:WLU589876 WVP589870:WVQ589876 H655406:I655412 JD655406:JE655412 SZ655406:TA655412 ACV655406:ACW655412 AMR655406:AMS655412 AWN655406:AWO655412 BGJ655406:BGK655412 BQF655406:BQG655412 CAB655406:CAC655412 CJX655406:CJY655412 CTT655406:CTU655412 DDP655406:DDQ655412 DNL655406:DNM655412 DXH655406:DXI655412 EHD655406:EHE655412 EQZ655406:ERA655412 FAV655406:FAW655412 FKR655406:FKS655412 FUN655406:FUO655412 GEJ655406:GEK655412 GOF655406:GOG655412 GYB655406:GYC655412 HHX655406:HHY655412 HRT655406:HRU655412 IBP655406:IBQ655412 ILL655406:ILM655412 IVH655406:IVI655412 JFD655406:JFE655412 JOZ655406:JPA655412 JYV655406:JYW655412 KIR655406:KIS655412 KSN655406:KSO655412 LCJ655406:LCK655412 LMF655406:LMG655412 LWB655406:LWC655412 MFX655406:MFY655412 MPT655406:MPU655412 MZP655406:MZQ655412 NJL655406:NJM655412 NTH655406:NTI655412 ODD655406:ODE655412 OMZ655406:ONA655412 OWV655406:OWW655412 PGR655406:PGS655412 PQN655406:PQO655412 QAJ655406:QAK655412 QKF655406:QKG655412 QUB655406:QUC655412 RDX655406:RDY655412 RNT655406:RNU655412 RXP655406:RXQ655412 SHL655406:SHM655412 SRH655406:SRI655412 TBD655406:TBE655412 TKZ655406:TLA655412 TUV655406:TUW655412 UER655406:UES655412 UON655406:UOO655412 UYJ655406:UYK655412 VIF655406:VIG655412 VSB655406:VSC655412 WBX655406:WBY655412 WLT655406:WLU655412 WVP655406:WVQ655412 H720942:I720948 JD720942:JE720948 SZ720942:TA720948 ACV720942:ACW720948 AMR720942:AMS720948 AWN720942:AWO720948 BGJ720942:BGK720948 BQF720942:BQG720948 CAB720942:CAC720948 CJX720942:CJY720948 CTT720942:CTU720948 DDP720942:DDQ720948 DNL720942:DNM720948 DXH720942:DXI720948 EHD720942:EHE720948 EQZ720942:ERA720948 FAV720942:FAW720948 FKR720942:FKS720948 FUN720942:FUO720948 GEJ720942:GEK720948 GOF720942:GOG720948 GYB720942:GYC720948 HHX720942:HHY720948 HRT720942:HRU720948 IBP720942:IBQ720948 ILL720942:ILM720948 IVH720942:IVI720948 JFD720942:JFE720948 JOZ720942:JPA720948 JYV720942:JYW720948 KIR720942:KIS720948 KSN720942:KSO720948 LCJ720942:LCK720948 LMF720942:LMG720948 LWB720942:LWC720948 MFX720942:MFY720948 MPT720942:MPU720948 MZP720942:MZQ720948 NJL720942:NJM720948 NTH720942:NTI720948 ODD720942:ODE720948 OMZ720942:ONA720948 OWV720942:OWW720948 PGR720942:PGS720948 PQN720942:PQO720948 QAJ720942:QAK720948 QKF720942:QKG720948 QUB720942:QUC720948 RDX720942:RDY720948 RNT720942:RNU720948 RXP720942:RXQ720948 SHL720942:SHM720948 SRH720942:SRI720948 TBD720942:TBE720948 TKZ720942:TLA720948 TUV720942:TUW720948 UER720942:UES720948 UON720942:UOO720948 UYJ720942:UYK720948 VIF720942:VIG720948 VSB720942:VSC720948 WBX720942:WBY720948 WLT720942:WLU720948 WVP720942:WVQ720948 H786478:I786484 JD786478:JE786484 SZ786478:TA786484 ACV786478:ACW786484 AMR786478:AMS786484 AWN786478:AWO786484 BGJ786478:BGK786484 BQF786478:BQG786484 CAB786478:CAC786484 CJX786478:CJY786484 CTT786478:CTU786484 DDP786478:DDQ786484 DNL786478:DNM786484 DXH786478:DXI786484 EHD786478:EHE786484 EQZ786478:ERA786484 FAV786478:FAW786484 FKR786478:FKS786484 FUN786478:FUO786484 GEJ786478:GEK786484 GOF786478:GOG786484 GYB786478:GYC786484 HHX786478:HHY786484 HRT786478:HRU786484 IBP786478:IBQ786484 ILL786478:ILM786484 IVH786478:IVI786484 JFD786478:JFE786484 JOZ786478:JPA786484 JYV786478:JYW786484 KIR786478:KIS786484 KSN786478:KSO786484 LCJ786478:LCK786484 LMF786478:LMG786484 LWB786478:LWC786484 MFX786478:MFY786484 MPT786478:MPU786484 MZP786478:MZQ786484 NJL786478:NJM786484 NTH786478:NTI786484 ODD786478:ODE786484 OMZ786478:ONA786484 OWV786478:OWW786484 PGR786478:PGS786484 PQN786478:PQO786484 QAJ786478:QAK786484 QKF786478:QKG786484 QUB786478:QUC786484 RDX786478:RDY786484 RNT786478:RNU786484 RXP786478:RXQ786484 SHL786478:SHM786484 SRH786478:SRI786484 TBD786478:TBE786484 TKZ786478:TLA786484 TUV786478:TUW786484 UER786478:UES786484 UON786478:UOO786484 UYJ786478:UYK786484 VIF786478:VIG786484 VSB786478:VSC786484 WBX786478:WBY786484 WLT786478:WLU786484 WVP786478:WVQ786484 H852014:I852020 JD852014:JE852020 SZ852014:TA852020 ACV852014:ACW852020 AMR852014:AMS852020 AWN852014:AWO852020 BGJ852014:BGK852020 BQF852014:BQG852020 CAB852014:CAC852020 CJX852014:CJY852020 CTT852014:CTU852020 DDP852014:DDQ852020 DNL852014:DNM852020 DXH852014:DXI852020 EHD852014:EHE852020 EQZ852014:ERA852020 FAV852014:FAW852020 FKR852014:FKS852020 FUN852014:FUO852020 GEJ852014:GEK852020 GOF852014:GOG852020 GYB852014:GYC852020 HHX852014:HHY852020 HRT852014:HRU852020 IBP852014:IBQ852020 ILL852014:ILM852020 IVH852014:IVI852020 JFD852014:JFE852020 JOZ852014:JPA852020 JYV852014:JYW852020 KIR852014:KIS852020 KSN852014:KSO852020 LCJ852014:LCK852020 LMF852014:LMG852020 LWB852014:LWC852020 MFX852014:MFY852020 MPT852014:MPU852020 MZP852014:MZQ852020 NJL852014:NJM852020 NTH852014:NTI852020 ODD852014:ODE852020 OMZ852014:ONA852020 OWV852014:OWW852020 PGR852014:PGS852020 PQN852014:PQO852020 QAJ852014:QAK852020 QKF852014:QKG852020 QUB852014:QUC852020 RDX852014:RDY852020 RNT852014:RNU852020 RXP852014:RXQ852020 SHL852014:SHM852020 SRH852014:SRI852020 TBD852014:TBE852020 TKZ852014:TLA852020 TUV852014:TUW852020 UER852014:UES852020 UON852014:UOO852020 UYJ852014:UYK852020 VIF852014:VIG852020 VSB852014:VSC852020 WBX852014:WBY852020 WLT852014:WLU852020 WVP852014:WVQ852020 H917550:I917556 JD917550:JE917556 SZ917550:TA917556 ACV917550:ACW917556 AMR917550:AMS917556 AWN917550:AWO917556 BGJ917550:BGK917556 BQF917550:BQG917556 CAB917550:CAC917556 CJX917550:CJY917556 CTT917550:CTU917556 DDP917550:DDQ917556 DNL917550:DNM917556 DXH917550:DXI917556 EHD917550:EHE917556 EQZ917550:ERA917556 FAV917550:FAW917556 FKR917550:FKS917556 FUN917550:FUO917556 GEJ917550:GEK917556 GOF917550:GOG917556 GYB917550:GYC917556 HHX917550:HHY917556 HRT917550:HRU917556 IBP917550:IBQ917556 ILL917550:ILM917556 IVH917550:IVI917556 JFD917550:JFE917556 JOZ917550:JPA917556 JYV917550:JYW917556 KIR917550:KIS917556 KSN917550:KSO917556 LCJ917550:LCK917556 LMF917550:LMG917556 LWB917550:LWC917556 MFX917550:MFY917556 MPT917550:MPU917556 MZP917550:MZQ917556 NJL917550:NJM917556 NTH917550:NTI917556 ODD917550:ODE917556 OMZ917550:ONA917556 OWV917550:OWW917556 PGR917550:PGS917556 PQN917550:PQO917556 QAJ917550:QAK917556 QKF917550:QKG917556 QUB917550:QUC917556 RDX917550:RDY917556 RNT917550:RNU917556 RXP917550:RXQ917556 SHL917550:SHM917556 SRH917550:SRI917556 TBD917550:TBE917556 TKZ917550:TLA917556 TUV917550:TUW917556 UER917550:UES917556 UON917550:UOO917556 UYJ917550:UYK917556 VIF917550:VIG917556 VSB917550:VSC917556 WBX917550:WBY917556 WLT917550:WLU917556 WVP917550:WVQ917556 H983086:I983092 JD983086:JE983092 SZ983086:TA983092 ACV983086:ACW983092 AMR983086:AMS983092 AWN983086:AWO983092 BGJ983086:BGK983092 BQF983086:BQG983092 CAB983086:CAC983092 CJX983086:CJY983092 CTT983086:CTU983092 DDP983086:DDQ983092 DNL983086:DNM983092 DXH983086:DXI983092 EHD983086:EHE983092 EQZ983086:ERA983092 FAV983086:FAW983092 FKR983086:FKS983092 FUN983086:FUO983092 GEJ983086:GEK983092 GOF983086:GOG983092 GYB983086:GYC983092 HHX983086:HHY983092 HRT983086:HRU983092 IBP983086:IBQ983092 ILL983086:ILM983092 IVH983086:IVI983092 JFD983086:JFE983092 JOZ983086:JPA983092 JYV983086:JYW983092 KIR983086:KIS983092 KSN983086:KSO983092 LCJ983086:LCK983092 LMF983086:LMG983092 LWB983086:LWC983092 MFX983086:MFY983092 MPT983086:MPU983092 MZP983086:MZQ983092 NJL983086:NJM983092 NTH983086:NTI983092 ODD983086:ODE983092 OMZ983086:ONA983092 OWV983086:OWW983092 PGR983086:PGS983092 PQN983086:PQO983092 QAJ983086:QAK983092 QKF983086:QKG983092 QUB983086:QUC983092 RDX983086:RDY983092 RNT983086:RNU983092 RXP983086:RXQ983092 SHL983086:SHM983092 SRH983086:SRI983092 TBD983086:TBE983092 TKZ983086:TLA983092 TUV983086:TUW983092 UER983086:UES983092 UON983086:UOO983092 UYJ983086:UYK983092 VIF983086:VIG983092 VSB983086:VSC983092 WBX983086:WBY983092 WLT983086:WLU983092 WVP983086:WVQ983092 H54:I54 JD54:JE54 SZ54:TA54 ACV54:ACW54 AMR54:AMS54 AWN54:AWO54 BGJ54:BGK54 BQF54:BQG54 CAB54:CAC54 CJX54:CJY54 CTT54:CTU54 DDP54:DDQ54 DNL54:DNM54 DXH54:DXI54 EHD54:EHE54 EQZ54:ERA54 FAV54:FAW54 FKR54:FKS54 FUN54:FUO54 GEJ54:GEK54 GOF54:GOG54 GYB54:GYC54 HHX54:HHY54 HRT54:HRU54 IBP54:IBQ54 ILL54:ILM54 IVH54:IVI54 JFD54:JFE54 JOZ54:JPA54 JYV54:JYW54 KIR54:KIS54 KSN54:KSO54 LCJ54:LCK54 LMF54:LMG54 LWB54:LWC54 MFX54:MFY54 MPT54:MPU54 MZP54:MZQ54 NJL54:NJM54 NTH54:NTI54 ODD54:ODE54 OMZ54:ONA54 OWV54:OWW54 PGR54:PGS54 PQN54:PQO54 QAJ54:QAK54 QKF54:QKG54 QUB54:QUC54 RDX54:RDY54 RNT54:RNU54 RXP54:RXQ54 SHL54:SHM54 SRH54:SRI54 TBD54:TBE54 TKZ54:TLA54 TUV54:TUW54 UER54:UES54 UON54:UOO54 UYJ54:UYK54 VIF54:VIG54 VSB54:VSC54 WBX54:WBY54 WLT54:WLU54 WVP54:WVQ54 H65590:I65590 JD65590:JE65590 SZ65590:TA65590 ACV65590:ACW65590 AMR65590:AMS65590 AWN65590:AWO65590 BGJ65590:BGK65590 BQF65590:BQG65590 CAB65590:CAC65590 CJX65590:CJY65590 CTT65590:CTU65590 DDP65590:DDQ65590 DNL65590:DNM65590 DXH65590:DXI65590 EHD65590:EHE65590 EQZ65590:ERA65590 FAV65590:FAW65590 FKR65590:FKS65590 FUN65590:FUO65590 GEJ65590:GEK65590 GOF65590:GOG65590 GYB65590:GYC65590 HHX65590:HHY65590 HRT65590:HRU65590 IBP65590:IBQ65590 ILL65590:ILM65590 IVH65590:IVI65590 JFD65590:JFE65590 JOZ65590:JPA65590 JYV65590:JYW65590 KIR65590:KIS65590 KSN65590:KSO65590 LCJ65590:LCK65590 LMF65590:LMG65590 LWB65590:LWC65590 MFX65590:MFY65590 MPT65590:MPU65590 MZP65590:MZQ65590 NJL65590:NJM65590 NTH65590:NTI65590 ODD65590:ODE65590 OMZ65590:ONA65590 OWV65590:OWW65590 PGR65590:PGS65590 PQN65590:PQO65590 QAJ65590:QAK65590 QKF65590:QKG65590 QUB65590:QUC65590 RDX65590:RDY65590 RNT65590:RNU65590 RXP65590:RXQ65590 SHL65590:SHM65590 SRH65590:SRI65590 TBD65590:TBE65590 TKZ65590:TLA65590 TUV65590:TUW65590 UER65590:UES65590 UON65590:UOO65590 UYJ65590:UYK65590 VIF65590:VIG65590 VSB65590:VSC65590 WBX65590:WBY65590 WLT65590:WLU65590 WVP65590:WVQ65590 H131126:I131126 JD131126:JE131126 SZ131126:TA131126 ACV131126:ACW131126 AMR131126:AMS131126 AWN131126:AWO131126 BGJ131126:BGK131126 BQF131126:BQG131126 CAB131126:CAC131126 CJX131126:CJY131126 CTT131126:CTU131126 DDP131126:DDQ131126 DNL131126:DNM131126 DXH131126:DXI131126 EHD131126:EHE131126 EQZ131126:ERA131126 FAV131126:FAW131126 FKR131126:FKS131126 FUN131126:FUO131126 GEJ131126:GEK131126 GOF131126:GOG131126 GYB131126:GYC131126 HHX131126:HHY131126 HRT131126:HRU131126 IBP131126:IBQ131126 ILL131126:ILM131126 IVH131126:IVI131126 JFD131126:JFE131126 JOZ131126:JPA131126 JYV131126:JYW131126 KIR131126:KIS131126 KSN131126:KSO131126 LCJ131126:LCK131126 LMF131126:LMG131126 LWB131126:LWC131126 MFX131126:MFY131126 MPT131126:MPU131126 MZP131126:MZQ131126 NJL131126:NJM131126 NTH131126:NTI131126 ODD131126:ODE131126 OMZ131126:ONA131126 OWV131126:OWW131126 PGR131126:PGS131126 PQN131126:PQO131126 QAJ131126:QAK131126 QKF131126:QKG131126 QUB131126:QUC131126 RDX131126:RDY131126 RNT131126:RNU131126 RXP131126:RXQ131126 SHL131126:SHM131126 SRH131126:SRI131126 TBD131126:TBE131126 TKZ131126:TLA131126 TUV131126:TUW131126 UER131126:UES131126 UON131126:UOO131126 UYJ131126:UYK131126 VIF131126:VIG131126 VSB131126:VSC131126 WBX131126:WBY131126 WLT131126:WLU131126 WVP131126:WVQ131126 H196662:I196662 JD196662:JE196662 SZ196662:TA196662 ACV196662:ACW196662 AMR196662:AMS196662 AWN196662:AWO196662 BGJ196662:BGK196662 BQF196662:BQG196662 CAB196662:CAC196662 CJX196662:CJY196662 CTT196662:CTU196662 DDP196662:DDQ196662 DNL196662:DNM196662 DXH196662:DXI196662 EHD196662:EHE196662 EQZ196662:ERA196662 FAV196662:FAW196662 FKR196662:FKS196662 FUN196662:FUO196662 GEJ196662:GEK196662 GOF196662:GOG196662 GYB196662:GYC196662 HHX196662:HHY196662 HRT196662:HRU196662 IBP196662:IBQ196662 ILL196662:ILM196662 IVH196662:IVI196662 JFD196662:JFE196662 JOZ196662:JPA196662 JYV196662:JYW196662 KIR196662:KIS196662 KSN196662:KSO196662 LCJ196662:LCK196662 LMF196662:LMG196662 LWB196662:LWC196662 MFX196662:MFY196662 MPT196662:MPU196662 MZP196662:MZQ196662 NJL196662:NJM196662 NTH196662:NTI196662 ODD196662:ODE196662 OMZ196662:ONA196662 OWV196662:OWW196662 PGR196662:PGS196662 PQN196662:PQO196662 QAJ196662:QAK196662 QKF196662:QKG196662 QUB196662:QUC196662 RDX196662:RDY196662 RNT196662:RNU196662 RXP196662:RXQ196662 SHL196662:SHM196662 SRH196662:SRI196662 TBD196662:TBE196662 TKZ196662:TLA196662 TUV196662:TUW196662 UER196662:UES196662 UON196662:UOO196662 UYJ196662:UYK196662 VIF196662:VIG196662 VSB196662:VSC196662 WBX196662:WBY196662 WLT196662:WLU196662 WVP196662:WVQ196662 H262198:I262198 JD262198:JE262198 SZ262198:TA262198 ACV262198:ACW262198 AMR262198:AMS262198 AWN262198:AWO262198 BGJ262198:BGK262198 BQF262198:BQG262198 CAB262198:CAC262198 CJX262198:CJY262198 CTT262198:CTU262198 DDP262198:DDQ262198 DNL262198:DNM262198 DXH262198:DXI262198 EHD262198:EHE262198 EQZ262198:ERA262198 FAV262198:FAW262198 FKR262198:FKS262198 FUN262198:FUO262198 GEJ262198:GEK262198 GOF262198:GOG262198 GYB262198:GYC262198 HHX262198:HHY262198 HRT262198:HRU262198 IBP262198:IBQ262198 ILL262198:ILM262198 IVH262198:IVI262198 JFD262198:JFE262198 JOZ262198:JPA262198 JYV262198:JYW262198 KIR262198:KIS262198 KSN262198:KSO262198 LCJ262198:LCK262198 LMF262198:LMG262198 LWB262198:LWC262198 MFX262198:MFY262198 MPT262198:MPU262198 MZP262198:MZQ262198 NJL262198:NJM262198 NTH262198:NTI262198 ODD262198:ODE262198 OMZ262198:ONA262198 OWV262198:OWW262198 PGR262198:PGS262198 PQN262198:PQO262198 QAJ262198:QAK262198 QKF262198:QKG262198 QUB262198:QUC262198 RDX262198:RDY262198 RNT262198:RNU262198 RXP262198:RXQ262198 SHL262198:SHM262198 SRH262198:SRI262198 TBD262198:TBE262198 TKZ262198:TLA262198 TUV262198:TUW262198 UER262198:UES262198 UON262198:UOO262198 UYJ262198:UYK262198 VIF262198:VIG262198 VSB262198:VSC262198 WBX262198:WBY262198 WLT262198:WLU262198 WVP262198:WVQ262198 H327734:I327734 JD327734:JE327734 SZ327734:TA327734 ACV327734:ACW327734 AMR327734:AMS327734 AWN327734:AWO327734 BGJ327734:BGK327734 BQF327734:BQG327734 CAB327734:CAC327734 CJX327734:CJY327734 CTT327734:CTU327734 DDP327734:DDQ327734 DNL327734:DNM327734 DXH327734:DXI327734 EHD327734:EHE327734 EQZ327734:ERA327734 FAV327734:FAW327734 FKR327734:FKS327734 FUN327734:FUO327734 GEJ327734:GEK327734 GOF327734:GOG327734 GYB327734:GYC327734 HHX327734:HHY327734 HRT327734:HRU327734 IBP327734:IBQ327734 ILL327734:ILM327734 IVH327734:IVI327734 JFD327734:JFE327734 JOZ327734:JPA327734 JYV327734:JYW327734 KIR327734:KIS327734 KSN327734:KSO327734 LCJ327734:LCK327734 LMF327734:LMG327734 LWB327734:LWC327734 MFX327734:MFY327734 MPT327734:MPU327734 MZP327734:MZQ327734 NJL327734:NJM327734 NTH327734:NTI327734 ODD327734:ODE327734 OMZ327734:ONA327734 OWV327734:OWW327734 PGR327734:PGS327734 PQN327734:PQO327734 QAJ327734:QAK327734 QKF327734:QKG327734 QUB327734:QUC327734 RDX327734:RDY327734 RNT327734:RNU327734 RXP327734:RXQ327734 SHL327734:SHM327734 SRH327734:SRI327734 TBD327734:TBE327734 TKZ327734:TLA327734 TUV327734:TUW327734 UER327734:UES327734 UON327734:UOO327734 UYJ327734:UYK327734 VIF327734:VIG327734 VSB327734:VSC327734 WBX327734:WBY327734 WLT327734:WLU327734 WVP327734:WVQ327734 H393270:I393270 JD393270:JE393270 SZ393270:TA393270 ACV393270:ACW393270 AMR393270:AMS393270 AWN393270:AWO393270 BGJ393270:BGK393270 BQF393270:BQG393270 CAB393270:CAC393270 CJX393270:CJY393270 CTT393270:CTU393270 DDP393270:DDQ393270 DNL393270:DNM393270 DXH393270:DXI393270 EHD393270:EHE393270 EQZ393270:ERA393270 FAV393270:FAW393270 FKR393270:FKS393270 FUN393270:FUO393270 GEJ393270:GEK393270 GOF393270:GOG393270 GYB393270:GYC393270 HHX393270:HHY393270 HRT393270:HRU393270 IBP393270:IBQ393270 ILL393270:ILM393270 IVH393270:IVI393270 JFD393270:JFE393270 JOZ393270:JPA393270 JYV393270:JYW393270 KIR393270:KIS393270 KSN393270:KSO393270 LCJ393270:LCK393270 LMF393270:LMG393270 LWB393270:LWC393270 MFX393270:MFY393270 MPT393270:MPU393270 MZP393270:MZQ393270 NJL393270:NJM393270 NTH393270:NTI393270 ODD393270:ODE393270 OMZ393270:ONA393270 OWV393270:OWW393270 PGR393270:PGS393270 PQN393270:PQO393270 QAJ393270:QAK393270 QKF393270:QKG393270 QUB393270:QUC393270 RDX393270:RDY393270 RNT393270:RNU393270 RXP393270:RXQ393270 SHL393270:SHM393270 SRH393270:SRI393270 TBD393270:TBE393270 TKZ393270:TLA393270 TUV393270:TUW393270 UER393270:UES393270 UON393270:UOO393270 UYJ393270:UYK393270 VIF393270:VIG393270 VSB393270:VSC393270 WBX393270:WBY393270 WLT393270:WLU393270 WVP393270:WVQ393270 H458806:I458806 JD458806:JE458806 SZ458806:TA458806 ACV458806:ACW458806 AMR458806:AMS458806 AWN458806:AWO458806 BGJ458806:BGK458806 BQF458806:BQG458806 CAB458806:CAC458806 CJX458806:CJY458806 CTT458806:CTU458806 DDP458806:DDQ458806 DNL458806:DNM458806 DXH458806:DXI458806 EHD458806:EHE458806 EQZ458806:ERA458806 FAV458806:FAW458806 FKR458806:FKS458806 FUN458806:FUO458806 GEJ458806:GEK458806 GOF458806:GOG458806 GYB458806:GYC458806 HHX458806:HHY458806 HRT458806:HRU458806 IBP458806:IBQ458806 ILL458806:ILM458806 IVH458806:IVI458806 JFD458806:JFE458806 JOZ458806:JPA458806 JYV458806:JYW458806 KIR458806:KIS458806 KSN458806:KSO458806 LCJ458806:LCK458806 LMF458806:LMG458806 LWB458806:LWC458806 MFX458806:MFY458806 MPT458806:MPU458806 MZP458806:MZQ458806 NJL458806:NJM458806 NTH458806:NTI458806 ODD458806:ODE458806 OMZ458806:ONA458806 OWV458806:OWW458806 PGR458806:PGS458806 PQN458806:PQO458806 QAJ458806:QAK458806 QKF458806:QKG458806 QUB458806:QUC458806 RDX458806:RDY458806 RNT458806:RNU458806 RXP458806:RXQ458806 SHL458806:SHM458806 SRH458806:SRI458806 TBD458806:TBE458806 TKZ458806:TLA458806 TUV458806:TUW458806 UER458806:UES458806 UON458806:UOO458806 UYJ458806:UYK458806 VIF458806:VIG458806 VSB458806:VSC458806 WBX458806:WBY458806 WLT458806:WLU458806 WVP458806:WVQ458806 H524342:I524342 JD524342:JE524342 SZ524342:TA524342 ACV524342:ACW524342 AMR524342:AMS524342 AWN524342:AWO524342 BGJ524342:BGK524342 BQF524342:BQG524342 CAB524342:CAC524342 CJX524342:CJY524342 CTT524342:CTU524342 DDP524342:DDQ524342 DNL524342:DNM524342 DXH524342:DXI524342 EHD524342:EHE524342 EQZ524342:ERA524342 FAV524342:FAW524342 FKR524342:FKS524342 FUN524342:FUO524342 GEJ524342:GEK524342 GOF524342:GOG524342 GYB524342:GYC524342 HHX524342:HHY524342 HRT524342:HRU524342 IBP524342:IBQ524342 ILL524342:ILM524342 IVH524342:IVI524342 JFD524342:JFE524342 JOZ524342:JPA524342 JYV524342:JYW524342 KIR524342:KIS524342 KSN524342:KSO524342 LCJ524342:LCK524342 LMF524342:LMG524342 LWB524342:LWC524342 MFX524342:MFY524342 MPT524342:MPU524342 MZP524342:MZQ524342 NJL524342:NJM524342 NTH524342:NTI524342 ODD524342:ODE524342 OMZ524342:ONA524342 OWV524342:OWW524342 PGR524342:PGS524342 PQN524342:PQO524342 QAJ524342:QAK524342 QKF524342:QKG524342 QUB524342:QUC524342 RDX524342:RDY524342 RNT524342:RNU524342 RXP524342:RXQ524342 SHL524342:SHM524342 SRH524342:SRI524342 TBD524342:TBE524342 TKZ524342:TLA524342 TUV524342:TUW524342 UER524342:UES524342 UON524342:UOO524342 UYJ524342:UYK524342 VIF524342:VIG524342 VSB524342:VSC524342 WBX524342:WBY524342 WLT524342:WLU524342 WVP524342:WVQ524342 H589878:I589878 JD589878:JE589878 SZ589878:TA589878 ACV589878:ACW589878 AMR589878:AMS589878 AWN589878:AWO589878 BGJ589878:BGK589878 BQF589878:BQG589878 CAB589878:CAC589878 CJX589878:CJY589878 CTT589878:CTU589878 DDP589878:DDQ589878 DNL589878:DNM589878 DXH589878:DXI589878 EHD589878:EHE589878 EQZ589878:ERA589878 FAV589878:FAW589878 FKR589878:FKS589878 FUN589878:FUO589878 GEJ589878:GEK589878 GOF589878:GOG589878 GYB589878:GYC589878 HHX589878:HHY589878 HRT589878:HRU589878 IBP589878:IBQ589878 ILL589878:ILM589878 IVH589878:IVI589878 JFD589878:JFE589878 JOZ589878:JPA589878 JYV589878:JYW589878 KIR589878:KIS589878 KSN589878:KSO589878 LCJ589878:LCK589878 LMF589878:LMG589878 LWB589878:LWC589878 MFX589878:MFY589878 MPT589878:MPU589878 MZP589878:MZQ589878 NJL589878:NJM589878 NTH589878:NTI589878 ODD589878:ODE589878 OMZ589878:ONA589878 OWV589878:OWW589878 PGR589878:PGS589878 PQN589878:PQO589878 QAJ589878:QAK589878 QKF589878:QKG589878 QUB589878:QUC589878 RDX589878:RDY589878 RNT589878:RNU589878 RXP589878:RXQ589878 SHL589878:SHM589878 SRH589878:SRI589878 TBD589878:TBE589878 TKZ589878:TLA589878 TUV589878:TUW589878 UER589878:UES589878 UON589878:UOO589878 UYJ589878:UYK589878 VIF589878:VIG589878 VSB589878:VSC589878 WBX589878:WBY589878 WLT589878:WLU589878 WVP589878:WVQ589878 H655414:I655414 JD655414:JE655414 SZ655414:TA655414 ACV655414:ACW655414 AMR655414:AMS655414 AWN655414:AWO655414 BGJ655414:BGK655414 BQF655414:BQG655414 CAB655414:CAC655414 CJX655414:CJY655414 CTT655414:CTU655414 DDP655414:DDQ655414 DNL655414:DNM655414 DXH655414:DXI655414 EHD655414:EHE655414 EQZ655414:ERA655414 FAV655414:FAW655414 FKR655414:FKS655414 FUN655414:FUO655414 GEJ655414:GEK655414 GOF655414:GOG655414 GYB655414:GYC655414 HHX655414:HHY655414 HRT655414:HRU655414 IBP655414:IBQ655414 ILL655414:ILM655414 IVH655414:IVI655414 JFD655414:JFE655414 JOZ655414:JPA655414 JYV655414:JYW655414 KIR655414:KIS655414 KSN655414:KSO655414 LCJ655414:LCK655414 LMF655414:LMG655414 LWB655414:LWC655414 MFX655414:MFY655414 MPT655414:MPU655414 MZP655414:MZQ655414 NJL655414:NJM655414 NTH655414:NTI655414 ODD655414:ODE655414 OMZ655414:ONA655414 OWV655414:OWW655414 PGR655414:PGS655414 PQN655414:PQO655414 QAJ655414:QAK655414 QKF655414:QKG655414 QUB655414:QUC655414 RDX655414:RDY655414 RNT655414:RNU655414 RXP655414:RXQ655414 SHL655414:SHM655414 SRH655414:SRI655414 TBD655414:TBE655414 TKZ655414:TLA655414 TUV655414:TUW655414 UER655414:UES655414 UON655414:UOO655414 UYJ655414:UYK655414 VIF655414:VIG655414 VSB655414:VSC655414 WBX655414:WBY655414 WLT655414:WLU655414 WVP655414:WVQ655414 H720950:I720950 JD720950:JE720950 SZ720950:TA720950 ACV720950:ACW720950 AMR720950:AMS720950 AWN720950:AWO720950 BGJ720950:BGK720950 BQF720950:BQG720950 CAB720950:CAC720950 CJX720950:CJY720950 CTT720950:CTU720950 DDP720950:DDQ720950 DNL720950:DNM720950 DXH720950:DXI720950 EHD720950:EHE720950 EQZ720950:ERA720950 FAV720950:FAW720950 FKR720950:FKS720950 FUN720950:FUO720950 GEJ720950:GEK720950 GOF720950:GOG720950 GYB720950:GYC720950 HHX720950:HHY720950 HRT720950:HRU720950 IBP720950:IBQ720950 ILL720950:ILM720950 IVH720950:IVI720950 JFD720950:JFE720950 JOZ720950:JPA720950 JYV720950:JYW720950 KIR720950:KIS720950 KSN720950:KSO720950 LCJ720950:LCK720950 LMF720950:LMG720950 LWB720950:LWC720950 MFX720950:MFY720950 MPT720950:MPU720950 MZP720950:MZQ720950 NJL720950:NJM720950 NTH720950:NTI720950 ODD720950:ODE720950 OMZ720950:ONA720950 OWV720950:OWW720950 PGR720950:PGS720950 PQN720950:PQO720950 QAJ720950:QAK720950 QKF720950:QKG720950 QUB720950:QUC720950 RDX720950:RDY720950 RNT720950:RNU720950 RXP720950:RXQ720950 SHL720950:SHM720950 SRH720950:SRI720950 TBD720950:TBE720950 TKZ720950:TLA720950 TUV720950:TUW720950 UER720950:UES720950 UON720950:UOO720950 UYJ720950:UYK720950 VIF720950:VIG720950 VSB720950:VSC720950 WBX720950:WBY720950 WLT720950:WLU720950 WVP720950:WVQ720950 H786486:I786486 JD786486:JE786486 SZ786486:TA786486 ACV786486:ACW786486 AMR786486:AMS786486 AWN786486:AWO786486 BGJ786486:BGK786486 BQF786486:BQG786486 CAB786486:CAC786486 CJX786486:CJY786486 CTT786486:CTU786486 DDP786486:DDQ786486 DNL786486:DNM786486 DXH786486:DXI786486 EHD786486:EHE786486 EQZ786486:ERA786486 FAV786486:FAW786486 FKR786486:FKS786486 FUN786486:FUO786486 GEJ786486:GEK786486 GOF786486:GOG786486 GYB786486:GYC786486 HHX786486:HHY786486 HRT786486:HRU786486 IBP786486:IBQ786486 ILL786486:ILM786486 IVH786486:IVI786486 JFD786486:JFE786486 JOZ786486:JPA786486 JYV786486:JYW786486 KIR786486:KIS786486 KSN786486:KSO786486 LCJ786486:LCK786486 LMF786486:LMG786486 LWB786486:LWC786486 MFX786486:MFY786486 MPT786486:MPU786486 MZP786486:MZQ786486 NJL786486:NJM786486 NTH786486:NTI786486 ODD786486:ODE786486 OMZ786486:ONA786486 OWV786486:OWW786486 PGR786486:PGS786486 PQN786486:PQO786486 QAJ786486:QAK786486 QKF786486:QKG786486 QUB786486:QUC786486 RDX786486:RDY786486 RNT786486:RNU786486 RXP786486:RXQ786486 SHL786486:SHM786486 SRH786486:SRI786486 TBD786486:TBE786486 TKZ786486:TLA786486 TUV786486:TUW786486 UER786486:UES786486 UON786486:UOO786486 UYJ786486:UYK786486 VIF786486:VIG786486 VSB786486:VSC786486 WBX786486:WBY786486 WLT786486:WLU786486 WVP786486:WVQ786486 H852022:I852022 JD852022:JE852022 SZ852022:TA852022 ACV852022:ACW852022 AMR852022:AMS852022 AWN852022:AWO852022 BGJ852022:BGK852022 BQF852022:BQG852022 CAB852022:CAC852022 CJX852022:CJY852022 CTT852022:CTU852022 DDP852022:DDQ852022 DNL852022:DNM852022 DXH852022:DXI852022 EHD852022:EHE852022 EQZ852022:ERA852022 FAV852022:FAW852022 FKR852022:FKS852022 FUN852022:FUO852022 GEJ852022:GEK852022 GOF852022:GOG852022 GYB852022:GYC852022 HHX852022:HHY852022 HRT852022:HRU852022 IBP852022:IBQ852022 ILL852022:ILM852022 IVH852022:IVI852022 JFD852022:JFE852022 JOZ852022:JPA852022 JYV852022:JYW852022 KIR852022:KIS852022 KSN852022:KSO852022 LCJ852022:LCK852022 LMF852022:LMG852022 LWB852022:LWC852022 MFX852022:MFY852022 MPT852022:MPU852022 MZP852022:MZQ852022 NJL852022:NJM852022 NTH852022:NTI852022 ODD852022:ODE852022 OMZ852022:ONA852022 OWV852022:OWW852022 PGR852022:PGS852022 PQN852022:PQO852022 QAJ852022:QAK852022 QKF852022:QKG852022 QUB852022:QUC852022 RDX852022:RDY852022 RNT852022:RNU852022 RXP852022:RXQ852022 SHL852022:SHM852022 SRH852022:SRI852022 TBD852022:TBE852022 TKZ852022:TLA852022 TUV852022:TUW852022 UER852022:UES852022 UON852022:UOO852022 UYJ852022:UYK852022 VIF852022:VIG852022 VSB852022:VSC852022 WBX852022:WBY852022 WLT852022:WLU852022 WVP852022:WVQ852022 H917558:I917558 JD917558:JE917558 SZ917558:TA917558 ACV917558:ACW917558 AMR917558:AMS917558 AWN917558:AWO917558 BGJ917558:BGK917558 BQF917558:BQG917558 CAB917558:CAC917558 CJX917558:CJY917558 CTT917558:CTU917558 DDP917558:DDQ917558 DNL917558:DNM917558 DXH917558:DXI917558 EHD917558:EHE917558 EQZ917558:ERA917558 FAV917558:FAW917558 FKR917558:FKS917558 FUN917558:FUO917558 GEJ917558:GEK917558 GOF917558:GOG917558 GYB917558:GYC917558 HHX917558:HHY917558 HRT917558:HRU917558 IBP917558:IBQ917558 ILL917558:ILM917558 IVH917558:IVI917558 JFD917558:JFE917558 JOZ917558:JPA917558 JYV917558:JYW917558 KIR917558:KIS917558 KSN917558:KSO917558 LCJ917558:LCK917558 LMF917558:LMG917558 LWB917558:LWC917558 MFX917558:MFY917558 MPT917558:MPU917558 MZP917558:MZQ917558 NJL917558:NJM917558 NTH917558:NTI917558 ODD917558:ODE917558 OMZ917558:ONA917558 OWV917558:OWW917558 PGR917558:PGS917558 PQN917558:PQO917558 QAJ917558:QAK917558 QKF917558:QKG917558 QUB917558:QUC917558 RDX917558:RDY917558 RNT917558:RNU917558 RXP917558:RXQ917558 SHL917558:SHM917558 SRH917558:SRI917558 TBD917558:TBE917558 TKZ917558:TLA917558 TUV917558:TUW917558 UER917558:UES917558 UON917558:UOO917558 UYJ917558:UYK917558 VIF917558:VIG917558 VSB917558:VSC917558 WBX917558:WBY917558 WLT917558:WLU917558 WVP917558:WVQ917558 H983094:I983094 JD983094:JE983094 SZ983094:TA983094 ACV983094:ACW983094 AMR983094:AMS983094 AWN983094:AWO983094 BGJ983094:BGK983094 BQF983094:BQG983094 CAB983094:CAC983094 CJX983094:CJY983094 CTT983094:CTU983094 DDP983094:DDQ983094 DNL983094:DNM983094 DXH983094:DXI983094 EHD983094:EHE983094 EQZ983094:ERA983094 FAV983094:FAW983094 FKR983094:FKS983094 FUN983094:FUO983094 GEJ983094:GEK983094 GOF983094:GOG983094 GYB983094:GYC983094 HHX983094:HHY983094 HRT983094:HRU983094 IBP983094:IBQ983094 ILL983094:ILM983094 IVH983094:IVI983094 JFD983094:JFE983094 JOZ983094:JPA983094 JYV983094:JYW983094 KIR983094:KIS983094 KSN983094:KSO983094 LCJ983094:LCK983094 LMF983094:LMG983094 LWB983094:LWC983094 MFX983094:MFY983094 MPT983094:MPU983094 MZP983094:MZQ983094 NJL983094:NJM983094 NTH983094:NTI983094 ODD983094:ODE983094 OMZ983094:ONA983094 OWV983094:OWW983094 PGR983094:PGS983094 PQN983094:PQO983094 QAJ983094:QAK983094 QKF983094:QKG983094 QUB983094:QUC983094 RDX983094:RDY983094 RNT983094:RNU983094 RXP983094:RXQ983094 SHL983094:SHM983094 SRH983094:SRI983094 TBD983094:TBE983094 TKZ983094:TLA983094 TUV983094:TUW983094 UER983094:UES983094 UON983094:UOO983094 UYJ983094:UYK983094 VIF983094:VIG983094 VSB983094:VSC983094 WBX983094:WBY983094 WLT983094:WLU983094 WVP983094:WVQ983094 H56:I62 JD56:JE62 SZ56:TA62 ACV56:ACW62 AMR56:AMS62 AWN56:AWO62 BGJ56:BGK62 BQF56:BQG62 CAB56:CAC62 CJX56:CJY62 CTT56:CTU62 DDP56:DDQ62 DNL56:DNM62 DXH56:DXI62 EHD56:EHE62 EQZ56:ERA62 FAV56:FAW62 FKR56:FKS62 FUN56:FUO62 GEJ56:GEK62 GOF56:GOG62 GYB56:GYC62 HHX56:HHY62 HRT56:HRU62 IBP56:IBQ62 ILL56:ILM62 IVH56:IVI62 JFD56:JFE62 JOZ56:JPA62 JYV56:JYW62 KIR56:KIS62 KSN56:KSO62 LCJ56:LCK62 LMF56:LMG62 LWB56:LWC62 MFX56:MFY62 MPT56:MPU62 MZP56:MZQ62 NJL56:NJM62 NTH56:NTI62 ODD56:ODE62 OMZ56:ONA62 OWV56:OWW62 PGR56:PGS62 PQN56:PQO62 QAJ56:QAK62 QKF56:QKG62 QUB56:QUC62 RDX56:RDY62 RNT56:RNU62 RXP56:RXQ62 SHL56:SHM62 SRH56:SRI62 TBD56:TBE62 TKZ56:TLA62 TUV56:TUW62 UER56:UES62 UON56:UOO62 UYJ56:UYK62 VIF56:VIG62 VSB56:VSC62 WBX56:WBY62 WLT56:WLU62 WVP56:WVQ62 H65592:I65598 JD65592:JE65598 SZ65592:TA65598 ACV65592:ACW65598 AMR65592:AMS65598 AWN65592:AWO65598 BGJ65592:BGK65598 BQF65592:BQG65598 CAB65592:CAC65598 CJX65592:CJY65598 CTT65592:CTU65598 DDP65592:DDQ65598 DNL65592:DNM65598 DXH65592:DXI65598 EHD65592:EHE65598 EQZ65592:ERA65598 FAV65592:FAW65598 FKR65592:FKS65598 FUN65592:FUO65598 GEJ65592:GEK65598 GOF65592:GOG65598 GYB65592:GYC65598 HHX65592:HHY65598 HRT65592:HRU65598 IBP65592:IBQ65598 ILL65592:ILM65598 IVH65592:IVI65598 JFD65592:JFE65598 JOZ65592:JPA65598 JYV65592:JYW65598 KIR65592:KIS65598 KSN65592:KSO65598 LCJ65592:LCK65598 LMF65592:LMG65598 LWB65592:LWC65598 MFX65592:MFY65598 MPT65592:MPU65598 MZP65592:MZQ65598 NJL65592:NJM65598 NTH65592:NTI65598 ODD65592:ODE65598 OMZ65592:ONA65598 OWV65592:OWW65598 PGR65592:PGS65598 PQN65592:PQO65598 QAJ65592:QAK65598 QKF65592:QKG65598 QUB65592:QUC65598 RDX65592:RDY65598 RNT65592:RNU65598 RXP65592:RXQ65598 SHL65592:SHM65598 SRH65592:SRI65598 TBD65592:TBE65598 TKZ65592:TLA65598 TUV65592:TUW65598 UER65592:UES65598 UON65592:UOO65598 UYJ65592:UYK65598 VIF65592:VIG65598 VSB65592:VSC65598 WBX65592:WBY65598 WLT65592:WLU65598 WVP65592:WVQ65598 H131128:I131134 JD131128:JE131134 SZ131128:TA131134 ACV131128:ACW131134 AMR131128:AMS131134 AWN131128:AWO131134 BGJ131128:BGK131134 BQF131128:BQG131134 CAB131128:CAC131134 CJX131128:CJY131134 CTT131128:CTU131134 DDP131128:DDQ131134 DNL131128:DNM131134 DXH131128:DXI131134 EHD131128:EHE131134 EQZ131128:ERA131134 FAV131128:FAW131134 FKR131128:FKS131134 FUN131128:FUO131134 GEJ131128:GEK131134 GOF131128:GOG131134 GYB131128:GYC131134 HHX131128:HHY131134 HRT131128:HRU131134 IBP131128:IBQ131134 ILL131128:ILM131134 IVH131128:IVI131134 JFD131128:JFE131134 JOZ131128:JPA131134 JYV131128:JYW131134 KIR131128:KIS131134 KSN131128:KSO131134 LCJ131128:LCK131134 LMF131128:LMG131134 LWB131128:LWC131134 MFX131128:MFY131134 MPT131128:MPU131134 MZP131128:MZQ131134 NJL131128:NJM131134 NTH131128:NTI131134 ODD131128:ODE131134 OMZ131128:ONA131134 OWV131128:OWW131134 PGR131128:PGS131134 PQN131128:PQO131134 QAJ131128:QAK131134 QKF131128:QKG131134 QUB131128:QUC131134 RDX131128:RDY131134 RNT131128:RNU131134 RXP131128:RXQ131134 SHL131128:SHM131134 SRH131128:SRI131134 TBD131128:TBE131134 TKZ131128:TLA131134 TUV131128:TUW131134 UER131128:UES131134 UON131128:UOO131134 UYJ131128:UYK131134 VIF131128:VIG131134 VSB131128:VSC131134 WBX131128:WBY131134 WLT131128:WLU131134 WVP131128:WVQ131134 H196664:I196670 JD196664:JE196670 SZ196664:TA196670 ACV196664:ACW196670 AMR196664:AMS196670 AWN196664:AWO196670 BGJ196664:BGK196670 BQF196664:BQG196670 CAB196664:CAC196670 CJX196664:CJY196670 CTT196664:CTU196670 DDP196664:DDQ196670 DNL196664:DNM196670 DXH196664:DXI196670 EHD196664:EHE196670 EQZ196664:ERA196670 FAV196664:FAW196670 FKR196664:FKS196670 FUN196664:FUO196670 GEJ196664:GEK196670 GOF196664:GOG196670 GYB196664:GYC196670 HHX196664:HHY196670 HRT196664:HRU196670 IBP196664:IBQ196670 ILL196664:ILM196670 IVH196664:IVI196670 JFD196664:JFE196670 JOZ196664:JPA196670 JYV196664:JYW196670 KIR196664:KIS196670 KSN196664:KSO196670 LCJ196664:LCK196670 LMF196664:LMG196670 LWB196664:LWC196670 MFX196664:MFY196670 MPT196664:MPU196670 MZP196664:MZQ196670 NJL196664:NJM196670 NTH196664:NTI196670 ODD196664:ODE196670 OMZ196664:ONA196670 OWV196664:OWW196670 PGR196664:PGS196670 PQN196664:PQO196670 QAJ196664:QAK196670 QKF196664:QKG196670 QUB196664:QUC196670 RDX196664:RDY196670 RNT196664:RNU196670 RXP196664:RXQ196670 SHL196664:SHM196670 SRH196664:SRI196670 TBD196664:TBE196670 TKZ196664:TLA196670 TUV196664:TUW196670 UER196664:UES196670 UON196664:UOO196670 UYJ196664:UYK196670 VIF196664:VIG196670 VSB196664:VSC196670 WBX196664:WBY196670 WLT196664:WLU196670 WVP196664:WVQ196670 H262200:I262206 JD262200:JE262206 SZ262200:TA262206 ACV262200:ACW262206 AMR262200:AMS262206 AWN262200:AWO262206 BGJ262200:BGK262206 BQF262200:BQG262206 CAB262200:CAC262206 CJX262200:CJY262206 CTT262200:CTU262206 DDP262200:DDQ262206 DNL262200:DNM262206 DXH262200:DXI262206 EHD262200:EHE262206 EQZ262200:ERA262206 FAV262200:FAW262206 FKR262200:FKS262206 FUN262200:FUO262206 GEJ262200:GEK262206 GOF262200:GOG262206 GYB262200:GYC262206 HHX262200:HHY262206 HRT262200:HRU262206 IBP262200:IBQ262206 ILL262200:ILM262206 IVH262200:IVI262206 JFD262200:JFE262206 JOZ262200:JPA262206 JYV262200:JYW262206 KIR262200:KIS262206 KSN262200:KSO262206 LCJ262200:LCK262206 LMF262200:LMG262206 LWB262200:LWC262206 MFX262200:MFY262206 MPT262200:MPU262206 MZP262200:MZQ262206 NJL262200:NJM262206 NTH262200:NTI262206 ODD262200:ODE262206 OMZ262200:ONA262206 OWV262200:OWW262206 PGR262200:PGS262206 PQN262200:PQO262206 QAJ262200:QAK262206 QKF262200:QKG262206 QUB262200:QUC262206 RDX262200:RDY262206 RNT262200:RNU262206 RXP262200:RXQ262206 SHL262200:SHM262206 SRH262200:SRI262206 TBD262200:TBE262206 TKZ262200:TLA262206 TUV262200:TUW262206 UER262200:UES262206 UON262200:UOO262206 UYJ262200:UYK262206 VIF262200:VIG262206 VSB262200:VSC262206 WBX262200:WBY262206 WLT262200:WLU262206 WVP262200:WVQ262206 H327736:I327742 JD327736:JE327742 SZ327736:TA327742 ACV327736:ACW327742 AMR327736:AMS327742 AWN327736:AWO327742 BGJ327736:BGK327742 BQF327736:BQG327742 CAB327736:CAC327742 CJX327736:CJY327742 CTT327736:CTU327742 DDP327736:DDQ327742 DNL327736:DNM327742 DXH327736:DXI327742 EHD327736:EHE327742 EQZ327736:ERA327742 FAV327736:FAW327742 FKR327736:FKS327742 FUN327736:FUO327742 GEJ327736:GEK327742 GOF327736:GOG327742 GYB327736:GYC327742 HHX327736:HHY327742 HRT327736:HRU327742 IBP327736:IBQ327742 ILL327736:ILM327742 IVH327736:IVI327742 JFD327736:JFE327742 JOZ327736:JPA327742 JYV327736:JYW327742 KIR327736:KIS327742 KSN327736:KSO327742 LCJ327736:LCK327742 LMF327736:LMG327742 LWB327736:LWC327742 MFX327736:MFY327742 MPT327736:MPU327742 MZP327736:MZQ327742 NJL327736:NJM327742 NTH327736:NTI327742 ODD327736:ODE327742 OMZ327736:ONA327742 OWV327736:OWW327742 PGR327736:PGS327742 PQN327736:PQO327742 QAJ327736:QAK327742 QKF327736:QKG327742 QUB327736:QUC327742 RDX327736:RDY327742 RNT327736:RNU327742 RXP327736:RXQ327742 SHL327736:SHM327742 SRH327736:SRI327742 TBD327736:TBE327742 TKZ327736:TLA327742 TUV327736:TUW327742 UER327736:UES327742 UON327736:UOO327742 UYJ327736:UYK327742 VIF327736:VIG327742 VSB327736:VSC327742 WBX327736:WBY327742 WLT327736:WLU327742 WVP327736:WVQ327742 H393272:I393278 JD393272:JE393278 SZ393272:TA393278 ACV393272:ACW393278 AMR393272:AMS393278 AWN393272:AWO393278 BGJ393272:BGK393278 BQF393272:BQG393278 CAB393272:CAC393278 CJX393272:CJY393278 CTT393272:CTU393278 DDP393272:DDQ393278 DNL393272:DNM393278 DXH393272:DXI393278 EHD393272:EHE393278 EQZ393272:ERA393278 FAV393272:FAW393278 FKR393272:FKS393278 FUN393272:FUO393278 GEJ393272:GEK393278 GOF393272:GOG393278 GYB393272:GYC393278 HHX393272:HHY393278 HRT393272:HRU393278 IBP393272:IBQ393278 ILL393272:ILM393278 IVH393272:IVI393278 JFD393272:JFE393278 JOZ393272:JPA393278 JYV393272:JYW393278 KIR393272:KIS393278 KSN393272:KSO393278 LCJ393272:LCK393278 LMF393272:LMG393278 LWB393272:LWC393278 MFX393272:MFY393278 MPT393272:MPU393278 MZP393272:MZQ393278 NJL393272:NJM393278 NTH393272:NTI393278 ODD393272:ODE393278 OMZ393272:ONA393278 OWV393272:OWW393278 PGR393272:PGS393278 PQN393272:PQO393278 QAJ393272:QAK393278 QKF393272:QKG393278 QUB393272:QUC393278 RDX393272:RDY393278 RNT393272:RNU393278 RXP393272:RXQ393278 SHL393272:SHM393278 SRH393272:SRI393278 TBD393272:TBE393278 TKZ393272:TLA393278 TUV393272:TUW393278 UER393272:UES393278 UON393272:UOO393278 UYJ393272:UYK393278 VIF393272:VIG393278 VSB393272:VSC393278 WBX393272:WBY393278 WLT393272:WLU393278 WVP393272:WVQ393278 H458808:I458814 JD458808:JE458814 SZ458808:TA458814 ACV458808:ACW458814 AMR458808:AMS458814 AWN458808:AWO458814 BGJ458808:BGK458814 BQF458808:BQG458814 CAB458808:CAC458814 CJX458808:CJY458814 CTT458808:CTU458814 DDP458808:DDQ458814 DNL458808:DNM458814 DXH458808:DXI458814 EHD458808:EHE458814 EQZ458808:ERA458814 FAV458808:FAW458814 FKR458808:FKS458814 FUN458808:FUO458814 GEJ458808:GEK458814 GOF458808:GOG458814 GYB458808:GYC458814 HHX458808:HHY458814 HRT458808:HRU458814 IBP458808:IBQ458814 ILL458808:ILM458814 IVH458808:IVI458814 JFD458808:JFE458814 JOZ458808:JPA458814 JYV458808:JYW458814 KIR458808:KIS458814 KSN458808:KSO458814 LCJ458808:LCK458814 LMF458808:LMG458814 LWB458808:LWC458814 MFX458808:MFY458814 MPT458808:MPU458814 MZP458808:MZQ458814 NJL458808:NJM458814 NTH458808:NTI458814 ODD458808:ODE458814 OMZ458808:ONA458814 OWV458808:OWW458814 PGR458808:PGS458814 PQN458808:PQO458814 QAJ458808:QAK458814 QKF458808:QKG458814 QUB458808:QUC458814 RDX458808:RDY458814 RNT458808:RNU458814 RXP458808:RXQ458814 SHL458808:SHM458814 SRH458808:SRI458814 TBD458808:TBE458814 TKZ458808:TLA458814 TUV458808:TUW458814 UER458808:UES458814 UON458808:UOO458814 UYJ458808:UYK458814 VIF458808:VIG458814 VSB458808:VSC458814 WBX458808:WBY458814 WLT458808:WLU458814 WVP458808:WVQ458814 H524344:I524350 JD524344:JE524350 SZ524344:TA524350 ACV524344:ACW524350 AMR524344:AMS524350 AWN524344:AWO524350 BGJ524344:BGK524350 BQF524344:BQG524350 CAB524344:CAC524350 CJX524344:CJY524350 CTT524344:CTU524350 DDP524344:DDQ524350 DNL524344:DNM524350 DXH524344:DXI524350 EHD524344:EHE524350 EQZ524344:ERA524350 FAV524344:FAW524350 FKR524344:FKS524350 FUN524344:FUO524350 GEJ524344:GEK524350 GOF524344:GOG524350 GYB524344:GYC524350 HHX524344:HHY524350 HRT524344:HRU524350 IBP524344:IBQ524350 ILL524344:ILM524350 IVH524344:IVI524350 JFD524344:JFE524350 JOZ524344:JPA524350 JYV524344:JYW524350 KIR524344:KIS524350 KSN524344:KSO524350 LCJ524344:LCK524350 LMF524344:LMG524350 LWB524344:LWC524350 MFX524344:MFY524350 MPT524344:MPU524350 MZP524344:MZQ524350 NJL524344:NJM524350 NTH524344:NTI524350 ODD524344:ODE524350 OMZ524344:ONA524350 OWV524344:OWW524350 PGR524344:PGS524350 PQN524344:PQO524350 QAJ524344:QAK524350 QKF524344:QKG524350 QUB524344:QUC524350 RDX524344:RDY524350 RNT524344:RNU524350 RXP524344:RXQ524350 SHL524344:SHM524350 SRH524344:SRI524350 TBD524344:TBE524350 TKZ524344:TLA524350 TUV524344:TUW524350 UER524344:UES524350 UON524344:UOO524350 UYJ524344:UYK524350 VIF524344:VIG524350 VSB524344:VSC524350 WBX524344:WBY524350 WLT524344:WLU524350 WVP524344:WVQ524350 H589880:I589886 JD589880:JE589886 SZ589880:TA589886 ACV589880:ACW589886 AMR589880:AMS589886 AWN589880:AWO589886 BGJ589880:BGK589886 BQF589880:BQG589886 CAB589880:CAC589886 CJX589880:CJY589886 CTT589880:CTU589886 DDP589880:DDQ589886 DNL589880:DNM589886 DXH589880:DXI589886 EHD589880:EHE589886 EQZ589880:ERA589886 FAV589880:FAW589886 FKR589880:FKS589886 FUN589880:FUO589886 GEJ589880:GEK589886 GOF589880:GOG589886 GYB589880:GYC589886 HHX589880:HHY589886 HRT589880:HRU589886 IBP589880:IBQ589886 ILL589880:ILM589886 IVH589880:IVI589886 JFD589880:JFE589886 JOZ589880:JPA589886 JYV589880:JYW589886 KIR589880:KIS589886 KSN589880:KSO589886 LCJ589880:LCK589886 LMF589880:LMG589886 LWB589880:LWC589886 MFX589880:MFY589886 MPT589880:MPU589886 MZP589880:MZQ589886 NJL589880:NJM589886 NTH589880:NTI589886 ODD589880:ODE589886 OMZ589880:ONA589886 OWV589880:OWW589886 PGR589880:PGS589886 PQN589880:PQO589886 QAJ589880:QAK589886 QKF589880:QKG589886 QUB589880:QUC589886 RDX589880:RDY589886 RNT589880:RNU589886 RXP589880:RXQ589886 SHL589880:SHM589886 SRH589880:SRI589886 TBD589880:TBE589886 TKZ589880:TLA589886 TUV589880:TUW589886 UER589880:UES589886 UON589880:UOO589886 UYJ589880:UYK589886 VIF589880:VIG589886 VSB589880:VSC589886 WBX589880:WBY589886 WLT589880:WLU589886 WVP589880:WVQ589886 H655416:I655422 JD655416:JE655422 SZ655416:TA655422 ACV655416:ACW655422 AMR655416:AMS655422 AWN655416:AWO655422 BGJ655416:BGK655422 BQF655416:BQG655422 CAB655416:CAC655422 CJX655416:CJY655422 CTT655416:CTU655422 DDP655416:DDQ655422 DNL655416:DNM655422 DXH655416:DXI655422 EHD655416:EHE655422 EQZ655416:ERA655422 FAV655416:FAW655422 FKR655416:FKS655422 FUN655416:FUO655422 GEJ655416:GEK655422 GOF655416:GOG655422 GYB655416:GYC655422 HHX655416:HHY655422 HRT655416:HRU655422 IBP655416:IBQ655422 ILL655416:ILM655422 IVH655416:IVI655422 JFD655416:JFE655422 JOZ655416:JPA655422 JYV655416:JYW655422 KIR655416:KIS655422 KSN655416:KSO655422 LCJ655416:LCK655422 LMF655416:LMG655422 LWB655416:LWC655422 MFX655416:MFY655422 MPT655416:MPU655422 MZP655416:MZQ655422 NJL655416:NJM655422 NTH655416:NTI655422 ODD655416:ODE655422 OMZ655416:ONA655422 OWV655416:OWW655422 PGR655416:PGS655422 PQN655416:PQO655422 QAJ655416:QAK655422 QKF655416:QKG655422 QUB655416:QUC655422 RDX655416:RDY655422 RNT655416:RNU655422 RXP655416:RXQ655422 SHL655416:SHM655422 SRH655416:SRI655422 TBD655416:TBE655422 TKZ655416:TLA655422 TUV655416:TUW655422 UER655416:UES655422 UON655416:UOO655422 UYJ655416:UYK655422 VIF655416:VIG655422 VSB655416:VSC655422 WBX655416:WBY655422 WLT655416:WLU655422 WVP655416:WVQ655422 H720952:I720958 JD720952:JE720958 SZ720952:TA720958 ACV720952:ACW720958 AMR720952:AMS720958 AWN720952:AWO720958 BGJ720952:BGK720958 BQF720952:BQG720958 CAB720952:CAC720958 CJX720952:CJY720958 CTT720952:CTU720958 DDP720952:DDQ720958 DNL720952:DNM720958 DXH720952:DXI720958 EHD720952:EHE720958 EQZ720952:ERA720958 FAV720952:FAW720958 FKR720952:FKS720958 FUN720952:FUO720958 GEJ720952:GEK720958 GOF720952:GOG720958 GYB720952:GYC720958 HHX720952:HHY720958 HRT720952:HRU720958 IBP720952:IBQ720958 ILL720952:ILM720958 IVH720952:IVI720958 JFD720952:JFE720958 JOZ720952:JPA720958 JYV720952:JYW720958 KIR720952:KIS720958 KSN720952:KSO720958 LCJ720952:LCK720958 LMF720952:LMG720958 LWB720952:LWC720958 MFX720952:MFY720958 MPT720952:MPU720958 MZP720952:MZQ720958 NJL720952:NJM720958 NTH720952:NTI720958 ODD720952:ODE720958 OMZ720952:ONA720958 OWV720952:OWW720958 PGR720952:PGS720958 PQN720952:PQO720958 QAJ720952:QAK720958 QKF720952:QKG720958 QUB720952:QUC720958 RDX720952:RDY720958 RNT720952:RNU720958 RXP720952:RXQ720958 SHL720952:SHM720958 SRH720952:SRI720958 TBD720952:TBE720958 TKZ720952:TLA720958 TUV720952:TUW720958 UER720952:UES720958 UON720952:UOO720958 UYJ720952:UYK720958 VIF720952:VIG720958 VSB720952:VSC720958 WBX720952:WBY720958 WLT720952:WLU720958 WVP720952:WVQ720958 H786488:I786494 JD786488:JE786494 SZ786488:TA786494 ACV786488:ACW786494 AMR786488:AMS786494 AWN786488:AWO786494 BGJ786488:BGK786494 BQF786488:BQG786494 CAB786488:CAC786494 CJX786488:CJY786494 CTT786488:CTU786494 DDP786488:DDQ786494 DNL786488:DNM786494 DXH786488:DXI786494 EHD786488:EHE786494 EQZ786488:ERA786494 FAV786488:FAW786494 FKR786488:FKS786494 FUN786488:FUO786494 GEJ786488:GEK786494 GOF786488:GOG786494 GYB786488:GYC786494 HHX786488:HHY786494 HRT786488:HRU786494 IBP786488:IBQ786494 ILL786488:ILM786494 IVH786488:IVI786494 JFD786488:JFE786494 JOZ786488:JPA786494 JYV786488:JYW786494 KIR786488:KIS786494 KSN786488:KSO786494 LCJ786488:LCK786494 LMF786488:LMG786494 LWB786488:LWC786494 MFX786488:MFY786494 MPT786488:MPU786494 MZP786488:MZQ786494 NJL786488:NJM786494 NTH786488:NTI786494 ODD786488:ODE786494 OMZ786488:ONA786494 OWV786488:OWW786494 PGR786488:PGS786494 PQN786488:PQO786494 QAJ786488:QAK786494 QKF786488:QKG786494 QUB786488:QUC786494 RDX786488:RDY786494 RNT786488:RNU786494 RXP786488:RXQ786494 SHL786488:SHM786494 SRH786488:SRI786494 TBD786488:TBE786494 TKZ786488:TLA786494 TUV786488:TUW786494 UER786488:UES786494 UON786488:UOO786494 UYJ786488:UYK786494 VIF786488:VIG786494 VSB786488:VSC786494 WBX786488:WBY786494 WLT786488:WLU786494 WVP786488:WVQ786494 H852024:I852030 JD852024:JE852030 SZ852024:TA852030 ACV852024:ACW852030 AMR852024:AMS852030 AWN852024:AWO852030 BGJ852024:BGK852030 BQF852024:BQG852030 CAB852024:CAC852030 CJX852024:CJY852030 CTT852024:CTU852030 DDP852024:DDQ852030 DNL852024:DNM852030 DXH852024:DXI852030 EHD852024:EHE852030 EQZ852024:ERA852030 FAV852024:FAW852030 FKR852024:FKS852030 FUN852024:FUO852030 GEJ852024:GEK852030 GOF852024:GOG852030 GYB852024:GYC852030 HHX852024:HHY852030 HRT852024:HRU852030 IBP852024:IBQ852030 ILL852024:ILM852030 IVH852024:IVI852030 JFD852024:JFE852030 JOZ852024:JPA852030 JYV852024:JYW852030 KIR852024:KIS852030 KSN852024:KSO852030 LCJ852024:LCK852030 LMF852024:LMG852030 LWB852024:LWC852030 MFX852024:MFY852030 MPT852024:MPU852030 MZP852024:MZQ852030 NJL852024:NJM852030 NTH852024:NTI852030 ODD852024:ODE852030 OMZ852024:ONA852030 OWV852024:OWW852030 PGR852024:PGS852030 PQN852024:PQO852030 QAJ852024:QAK852030 QKF852024:QKG852030 QUB852024:QUC852030 RDX852024:RDY852030 RNT852024:RNU852030 RXP852024:RXQ852030 SHL852024:SHM852030 SRH852024:SRI852030 TBD852024:TBE852030 TKZ852024:TLA852030 TUV852024:TUW852030 UER852024:UES852030 UON852024:UOO852030 UYJ852024:UYK852030 VIF852024:VIG852030 VSB852024:VSC852030 WBX852024:WBY852030 WLT852024:WLU852030 WVP852024:WVQ852030 H917560:I917566 JD917560:JE917566 SZ917560:TA917566 ACV917560:ACW917566 AMR917560:AMS917566 AWN917560:AWO917566 BGJ917560:BGK917566 BQF917560:BQG917566 CAB917560:CAC917566 CJX917560:CJY917566 CTT917560:CTU917566 DDP917560:DDQ917566 DNL917560:DNM917566 DXH917560:DXI917566 EHD917560:EHE917566 EQZ917560:ERA917566 FAV917560:FAW917566 FKR917560:FKS917566 FUN917560:FUO917566 GEJ917560:GEK917566 GOF917560:GOG917566 GYB917560:GYC917566 HHX917560:HHY917566 HRT917560:HRU917566 IBP917560:IBQ917566 ILL917560:ILM917566 IVH917560:IVI917566 JFD917560:JFE917566 JOZ917560:JPA917566 JYV917560:JYW917566 KIR917560:KIS917566 KSN917560:KSO917566 LCJ917560:LCK917566 LMF917560:LMG917566 LWB917560:LWC917566 MFX917560:MFY917566 MPT917560:MPU917566 MZP917560:MZQ917566 NJL917560:NJM917566 NTH917560:NTI917566 ODD917560:ODE917566 OMZ917560:ONA917566 OWV917560:OWW917566 PGR917560:PGS917566 PQN917560:PQO917566 QAJ917560:QAK917566 QKF917560:QKG917566 QUB917560:QUC917566 RDX917560:RDY917566 RNT917560:RNU917566 RXP917560:RXQ917566 SHL917560:SHM917566 SRH917560:SRI917566 TBD917560:TBE917566 TKZ917560:TLA917566 TUV917560:TUW917566 UER917560:UES917566 UON917560:UOO917566 UYJ917560:UYK917566 VIF917560:VIG917566 VSB917560:VSC917566 WBX917560:WBY917566 WLT917560:WLU917566 WVP917560:WVQ917566 H983096:I983102 JD983096:JE983102 SZ983096:TA983102 ACV983096:ACW983102 AMR983096:AMS983102 AWN983096:AWO983102 BGJ983096:BGK983102 BQF983096:BQG983102 CAB983096:CAC983102 CJX983096:CJY983102 CTT983096:CTU983102 DDP983096:DDQ983102 DNL983096:DNM983102 DXH983096:DXI983102 EHD983096:EHE983102 EQZ983096:ERA983102 FAV983096:FAW983102 FKR983096:FKS983102 FUN983096:FUO983102 GEJ983096:GEK983102 GOF983096:GOG983102 GYB983096:GYC983102 HHX983096:HHY983102 HRT983096:HRU983102 IBP983096:IBQ983102 ILL983096:ILM983102 IVH983096:IVI983102 JFD983096:JFE983102 JOZ983096:JPA983102 JYV983096:JYW983102 KIR983096:KIS983102 KSN983096:KSO983102 LCJ983096:LCK983102 LMF983096:LMG983102 LWB983096:LWC983102 MFX983096:MFY983102 MPT983096:MPU983102 MZP983096:MZQ983102 NJL983096:NJM983102 NTH983096:NTI983102 ODD983096:ODE983102 OMZ983096:ONA983102 OWV983096:OWW983102 PGR983096:PGS983102 PQN983096:PQO983102 QAJ983096:QAK983102 QKF983096:QKG983102 QUB983096:QUC983102 RDX983096:RDY983102 RNT983096:RNU983102 RXP983096:RXQ983102 SHL983096:SHM983102 SRH983096:SRI983102 TBD983096:TBE983102 TKZ983096:TLA983102 TUV983096:TUW983102 UER983096:UES983102 UON983096:UOO983102 UYJ983096:UYK983102 VIF983096:VIG983102 VSB983096:VSC983102 WBX983096:WBY983102 WLT983096:WLU983102 WVP983096:WVQ983102 H64:I64 JD64:JE64 SZ64:TA64 ACV64:ACW64 AMR64:AMS64 AWN64:AWO64 BGJ64:BGK64 BQF64:BQG64 CAB64:CAC64 CJX64:CJY64 CTT64:CTU64 DDP64:DDQ64 DNL64:DNM64 DXH64:DXI64 EHD64:EHE64 EQZ64:ERA64 FAV64:FAW64 FKR64:FKS64 FUN64:FUO64 GEJ64:GEK64 GOF64:GOG64 GYB64:GYC64 HHX64:HHY64 HRT64:HRU64 IBP64:IBQ64 ILL64:ILM64 IVH64:IVI64 JFD64:JFE64 JOZ64:JPA64 JYV64:JYW64 KIR64:KIS64 KSN64:KSO64 LCJ64:LCK64 LMF64:LMG64 LWB64:LWC64 MFX64:MFY64 MPT64:MPU64 MZP64:MZQ64 NJL64:NJM64 NTH64:NTI64 ODD64:ODE64 OMZ64:ONA64 OWV64:OWW64 PGR64:PGS64 PQN64:PQO64 QAJ64:QAK64 QKF64:QKG64 QUB64:QUC64 RDX64:RDY64 RNT64:RNU64 RXP64:RXQ64 SHL64:SHM64 SRH64:SRI64 TBD64:TBE64 TKZ64:TLA64 TUV64:TUW64 UER64:UES64 UON64:UOO64 UYJ64:UYK64 VIF64:VIG64 VSB64:VSC64 WBX64:WBY64 WLT64:WLU64 WVP64:WVQ64 H65600:I65600 JD65600:JE65600 SZ65600:TA65600 ACV65600:ACW65600 AMR65600:AMS65600 AWN65600:AWO65600 BGJ65600:BGK65600 BQF65600:BQG65600 CAB65600:CAC65600 CJX65600:CJY65600 CTT65600:CTU65600 DDP65600:DDQ65600 DNL65600:DNM65600 DXH65600:DXI65600 EHD65600:EHE65600 EQZ65600:ERA65600 FAV65600:FAW65600 FKR65600:FKS65600 FUN65600:FUO65600 GEJ65600:GEK65600 GOF65600:GOG65600 GYB65600:GYC65600 HHX65600:HHY65600 HRT65600:HRU65600 IBP65600:IBQ65600 ILL65600:ILM65600 IVH65600:IVI65600 JFD65600:JFE65600 JOZ65600:JPA65600 JYV65600:JYW65600 KIR65600:KIS65600 KSN65600:KSO65600 LCJ65600:LCK65600 LMF65600:LMG65600 LWB65600:LWC65600 MFX65600:MFY65600 MPT65600:MPU65600 MZP65600:MZQ65600 NJL65600:NJM65600 NTH65600:NTI65600 ODD65600:ODE65600 OMZ65600:ONA65600 OWV65600:OWW65600 PGR65600:PGS65600 PQN65600:PQO65600 QAJ65600:QAK65600 QKF65600:QKG65600 QUB65600:QUC65600 RDX65600:RDY65600 RNT65600:RNU65600 RXP65600:RXQ65600 SHL65600:SHM65600 SRH65600:SRI65600 TBD65600:TBE65600 TKZ65600:TLA65600 TUV65600:TUW65600 UER65600:UES65600 UON65600:UOO65600 UYJ65600:UYK65600 VIF65600:VIG65600 VSB65600:VSC65600 WBX65600:WBY65600 WLT65600:WLU65600 WVP65600:WVQ65600 H131136:I131136 JD131136:JE131136 SZ131136:TA131136 ACV131136:ACW131136 AMR131136:AMS131136 AWN131136:AWO131136 BGJ131136:BGK131136 BQF131136:BQG131136 CAB131136:CAC131136 CJX131136:CJY131136 CTT131136:CTU131136 DDP131136:DDQ131136 DNL131136:DNM131136 DXH131136:DXI131136 EHD131136:EHE131136 EQZ131136:ERA131136 FAV131136:FAW131136 FKR131136:FKS131136 FUN131136:FUO131136 GEJ131136:GEK131136 GOF131136:GOG131136 GYB131136:GYC131136 HHX131136:HHY131136 HRT131136:HRU131136 IBP131136:IBQ131136 ILL131136:ILM131136 IVH131136:IVI131136 JFD131136:JFE131136 JOZ131136:JPA131136 JYV131136:JYW131136 KIR131136:KIS131136 KSN131136:KSO131136 LCJ131136:LCK131136 LMF131136:LMG131136 LWB131136:LWC131136 MFX131136:MFY131136 MPT131136:MPU131136 MZP131136:MZQ131136 NJL131136:NJM131136 NTH131136:NTI131136 ODD131136:ODE131136 OMZ131136:ONA131136 OWV131136:OWW131136 PGR131136:PGS131136 PQN131136:PQO131136 QAJ131136:QAK131136 QKF131136:QKG131136 QUB131136:QUC131136 RDX131136:RDY131136 RNT131136:RNU131136 RXP131136:RXQ131136 SHL131136:SHM131136 SRH131136:SRI131136 TBD131136:TBE131136 TKZ131136:TLA131136 TUV131136:TUW131136 UER131136:UES131136 UON131136:UOO131136 UYJ131136:UYK131136 VIF131136:VIG131136 VSB131136:VSC131136 WBX131136:WBY131136 WLT131136:WLU131136 WVP131136:WVQ131136 H196672:I196672 JD196672:JE196672 SZ196672:TA196672 ACV196672:ACW196672 AMR196672:AMS196672 AWN196672:AWO196672 BGJ196672:BGK196672 BQF196672:BQG196672 CAB196672:CAC196672 CJX196672:CJY196672 CTT196672:CTU196672 DDP196672:DDQ196672 DNL196672:DNM196672 DXH196672:DXI196672 EHD196672:EHE196672 EQZ196672:ERA196672 FAV196672:FAW196672 FKR196672:FKS196672 FUN196672:FUO196672 GEJ196672:GEK196672 GOF196672:GOG196672 GYB196672:GYC196672 HHX196672:HHY196672 HRT196672:HRU196672 IBP196672:IBQ196672 ILL196672:ILM196672 IVH196672:IVI196672 JFD196672:JFE196672 JOZ196672:JPA196672 JYV196672:JYW196672 KIR196672:KIS196672 KSN196672:KSO196672 LCJ196672:LCK196672 LMF196672:LMG196672 LWB196672:LWC196672 MFX196672:MFY196672 MPT196672:MPU196672 MZP196672:MZQ196672 NJL196672:NJM196672 NTH196672:NTI196672 ODD196672:ODE196672 OMZ196672:ONA196672 OWV196672:OWW196672 PGR196672:PGS196672 PQN196672:PQO196672 QAJ196672:QAK196672 QKF196672:QKG196672 QUB196672:QUC196672 RDX196672:RDY196672 RNT196672:RNU196672 RXP196672:RXQ196672 SHL196672:SHM196672 SRH196672:SRI196672 TBD196672:TBE196672 TKZ196672:TLA196672 TUV196672:TUW196672 UER196672:UES196672 UON196672:UOO196672 UYJ196672:UYK196672 VIF196672:VIG196672 VSB196672:VSC196672 WBX196672:WBY196672 WLT196672:WLU196672 WVP196672:WVQ196672 H262208:I262208 JD262208:JE262208 SZ262208:TA262208 ACV262208:ACW262208 AMR262208:AMS262208 AWN262208:AWO262208 BGJ262208:BGK262208 BQF262208:BQG262208 CAB262208:CAC262208 CJX262208:CJY262208 CTT262208:CTU262208 DDP262208:DDQ262208 DNL262208:DNM262208 DXH262208:DXI262208 EHD262208:EHE262208 EQZ262208:ERA262208 FAV262208:FAW262208 FKR262208:FKS262208 FUN262208:FUO262208 GEJ262208:GEK262208 GOF262208:GOG262208 GYB262208:GYC262208 HHX262208:HHY262208 HRT262208:HRU262208 IBP262208:IBQ262208 ILL262208:ILM262208 IVH262208:IVI262208 JFD262208:JFE262208 JOZ262208:JPA262208 JYV262208:JYW262208 KIR262208:KIS262208 KSN262208:KSO262208 LCJ262208:LCK262208 LMF262208:LMG262208 LWB262208:LWC262208 MFX262208:MFY262208 MPT262208:MPU262208 MZP262208:MZQ262208 NJL262208:NJM262208 NTH262208:NTI262208 ODD262208:ODE262208 OMZ262208:ONA262208 OWV262208:OWW262208 PGR262208:PGS262208 PQN262208:PQO262208 QAJ262208:QAK262208 QKF262208:QKG262208 QUB262208:QUC262208 RDX262208:RDY262208 RNT262208:RNU262208 RXP262208:RXQ262208 SHL262208:SHM262208 SRH262208:SRI262208 TBD262208:TBE262208 TKZ262208:TLA262208 TUV262208:TUW262208 UER262208:UES262208 UON262208:UOO262208 UYJ262208:UYK262208 VIF262208:VIG262208 VSB262208:VSC262208 WBX262208:WBY262208 WLT262208:WLU262208 WVP262208:WVQ262208 H327744:I327744 JD327744:JE327744 SZ327744:TA327744 ACV327744:ACW327744 AMR327744:AMS327744 AWN327744:AWO327744 BGJ327744:BGK327744 BQF327744:BQG327744 CAB327744:CAC327744 CJX327744:CJY327744 CTT327744:CTU327744 DDP327744:DDQ327744 DNL327744:DNM327744 DXH327744:DXI327744 EHD327744:EHE327744 EQZ327744:ERA327744 FAV327744:FAW327744 FKR327744:FKS327744 FUN327744:FUO327744 GEJ327744:GEK327744 GOF327744:GOG327744 GYB327744:GYC327744 HHX327744:HHY327744 HRT327744:HRU327744 IBP327744:IBQ327744 ILL327744:ILM327744 IVH327744:IVI327744 JFD327744:JFE327744 JOZ327744:JPA327744 JYV327744:JYW327744 KIR327744:KIS327744 KSN327744:KSO327744 LCJ327744:LCK327744 LMF327744:LMG327744 LWB327744:LWC327744 MFX327744:MFY327744 MPT327744:MPU327744 MZP327744:MZQ327744 NJL327744:NJM327744 NTH327744:NTI327744 ODD327744:ODE327744 OMZ327744:ONA327744 OWV327744:OWW327744 PGR327744:PGS327744 PQN327744:PQO327744 QAJ327744:QAK327744 QKF327744:QKG327744 QUB327744:QUC327744 RDX327744:RDY327744 RNT327744:RNU327744 RXP327744:RXQ327744 SHL327744:SHM327744 SRH327744:SRI327744 TBD327744:TBE327744 TKZ327744:TLA327744 TUV327744:TUW327744 UER327744:UES327744 UON327744:UOO327744 UYJ327744:UYK327744 VIF327744:VIG327744 VSB327744:VSC327744 WBX327744:WBY327744 WLT327744:WLU327744 WVP327744:WVQ327744 H393280:I393280 JD393280:JE393280 SZ393280:TA393280 ACV393280:ACW393280 AMR393280:AMS393280 AWN393280:AWO393280 BGJ393280:BGK393280 BQF393280:BQG393280 CAB393280:CAC393280 CJX393280:CJY393280 CTT393280:CTU393280 DDP393280:DDQ393280 DNL393280:DNM393280 DXH393280:DXI393280 EHD393280:EHE393280 EQZ393280:ERA393280 FAV393280:FAW393280 FKR393280:FKS393280 FUN393280:FUO393280 GEJ393280:GEK393280 GOF393280:GOG393280 GYB393280:GYC393280 HHX393280:HHY393280 HRT393280:HRU393280 IBP393280:IBQ393280 ILL393280:ILM393280 IVH393280:IVI393280 JFD393280:JFE393280 JOZ393280:JPA393280 JYV393280:JYW393280 KIR393280:KIS393280 KSN393280:KSO393280 LCJ393280:LCK393280 LMF393280:LMG393280 LWB393280:LWC393280 MFX393280:MFY393280 MPT393280:MPU393280 MZP393280:MZQ393280 NJL393280:NJM393280 NTH393280:NTI393280 ODD393280:ODE393280 OMZ393280:ONA393280 OWV393280:OWW393280 PGR393280:PGS393280 PQN393280:PQO393280 QAJ393280:QAK393280 QKF393280:QKG393280 QUB393280:QUC393280 RDX393280:RDY393280 RNT393280:RNU393280 RXP393280:RXQ393280 SHL393280:SHM393280 SRH393280:SRI393280 TBD393280:TBE393280 TKZ393280:TLA393280 TUV393280:TUW393280 UER393280:UES393280 UON393280:UOO393280 UYJ393280:UYK393280 VIF393280:VIG393280 VSB393280:VSC393280 WBX393280:WBY393280 WLT393280:WLU393280 WVP393280:WVQ393280 H458816:I458816 JD458816:JE458816 SZ458816:TA458816 ACV458816:ACW458816 AMR458816:AMS458816 AWN458816:AWO458816 BGJ458816:BGK458816 BQF458816:BQG458816 CAB458816:CAC458816 CJX458816:CJY458816 CTT458816:CTU458816 DDP458816:DDQ458816 DNL458816:DNM458816 DXH458816:DXI458816 EHD458816:EHE458816 EQZ458816:ERA458816 FAV458816:FAW458816 FKR458816:FKS458816 FUN458816:FUO458816 GEJ458816:GEK458816 GOF458816:GOG458816 GYB458816:GYC458816 HHX458816:HHY458816 HRT458816:HRU458816 IBP458816:IBQ458816 ILL458816:ILM458816 IVH458816:IVI458816 JFD458816:JFE458816 JOZ458816:JPA458816 JYV458816:JYW458816 KIR458816:KIS458816 KSN458816:KSO458816 LCJ458816:LCK458816 LMF458816:LMG458816 LWB458816:LWC458816 MFX458816:MFY458816 MPT458816:MPU458816 MZP458816:MZQ458816 NJL458816:NJM458816 NTH458816:NTI458816 ODD458816:ODE458816 OMZ458816:ONA458816 OWV458816:OWW458816 PGR458816:PGS458816 PQN458816:PQO458816 QAJ458816:QAK458816 QKF458816:QKG458816 QUB458816:QUC458816 RDX458816:RDY458816 RNT458816:RNU458816 RXP458816:RXQ458816 SHL458816:SHM458816 SRH458816:SRI458816 TBD458816:TBE458816 TKZ458816:TLA458816 TUV458816:TUW458816 UER458816:UES458816 UON458816:UOO458816 UYJ458816:UYK458816 VIF458816:VIG458816 VSB458816:VSC458816 WBX458816:WBY458816 WLT458816:WLU458816 WVP458816:WVQ458816 H524352:I524352 JD524352:JE524352 SZ524352:TA524352 ACV524352:ACW524352 AMR524352:AMS524352 AWN524352:AWO524352 BGJ524352:BGK524352 BQF524352:BQG524352 CAB524352:CAC524352 CJX524352:CJY524352 CTT524352:CTU524352 DDP524352:DDQ524352 DNL524352:DNM524352 DXH524352:DXI524352 EHD524352:EHE524352 EQZ524352:ERA524352 FAV524352:FAW524352 FKR524352:FKS524352 FUN524352:FUO524352 GEJ524352:GEK524352 GOF524352:GOG524352 GYB524352:GYC524352 HHX524352:HHY524352 HRT524352:HRU524352 IBP524352:IBQ524352 ILL524352:ILM524352 IVH524352:IVI524352 JFD524352:JFE524352 JOZ524352:JPA524352 JYV524352:JYW524352 KIR524352:KIS524352 KSN524352:KSO524352 LCJ524352:LCK524352 LMF524352:LMG524352 LWB524352:LWC524352 MFX524352:MFY524352 MPT524352:MPU524352 MZP524352:MZQ524352 NJL524352:NJM524352 NTH524352:NTI524352 ODD524352:ODE524352 OMZ524352:ONA524352 OWV524352:OWW524352 PGR524352:PGS524352 PQN524352:PQO524352 QAJ524352:QAK524352 QKF524352:QKG524352 QUB524352:QUC524352 RDX524352:RDY524352 RNT524352:RNU524352 RXP524352:RXQ524352 SHL524352:SHM524352 SRH524352:SRI524352 TBD524352:TBE524352 TKZ524352:TLA524352 TUV524352:TUW524352 UER524352:UES524352 UON524352:UOO524352 UYJ524352:UYK524352 VIF524352:VIG524352 VSB524352:VSC524352 WBX524352:WBY524352 WLT524352:WLU524352 WVP524352:WVQ524352 H589888:I589888 JD589888:JE589888 SZ589888:TA589888 ACV589888:ACW589888 AMR589888:AMS589888 AWN589888:AWO589888 BGJ589888:BGK589888 BQF589888:BQG589888 CAB589888:CAC589888 CJX589888:CJY589888 CTT589888:CTU589888 DDP589888:DDQ589888 DNL589888:DNM589888 DXH589888:DXI589888 EHD589888:EHE589888 EQZ589888:ERA589888 FAV589888:FAW589888 FKR589888:FKS589888 FUN589888:FUO589888 GEJ589888:GEK589888 GOF589888:GOG589888 GYB589888:GYC589888 HHX589888:HHY589888 HRT589888:HRU589888 IBP589888:IBQ589888 ILL589888:ILM589888 IVH589888:IVI589888 JFD589888:JFE589888 JOZ589888:JPA589888 JYV589888:JYW589888 KIR589888:KIS589888 KSN589888:KSO589888 LCJ589888:LCK589888 LMF589888:LMG589888 LWB589888:LWC589888 MFX589888:MFY589888 MPT589888:MPU589888 MZP589888:MZQ589888 NJL589888:NJM589888 NTH589888:NTI589888 ODD589888:ODE589888 OMZ589888:ONA589888 OWV589888:OWW589888 PGR589888:PGS589888 PQN589888:PQO589888 QAJ589888:QAK589888 QKF589888:QKG589888 QUB589888:QUC589888 RDX589888:RDY589888 RNT589888:RNU589888 RXP589888:RXQ589888 SHL589888:SHM589888 SRH589888:SRI589888 TBD589888:TBE589888 TKZ589888:TLA589888 TUV589888:TUW589888 UER589888:UES589888 UON589888:UOO589888 UYJ589888:UYK589888 VIF589888:VIG589888 VSB589888:VSC589888 WBX589888:WBY589888 WLT589888:WLU589888 WVP589888:WVQ589888 H655424:I655424 JD655424:JE655424 SZ655424:TA655424 ACV655424:ACW655424 AMR655424:AMS655424 AWN655424:AWO655424 BGJ655424:BGK655424 BQF655424:BQG655424 CAB655424:CAC655424 CJX655424:CJY655424 CTT655424:CTU655424 DDP655424:DDQ655424 DNL655424:DNM655424 DXH655424:DXI655424 EHD655424:EHE655424 EQZ655424:ERA655424 FAV655424:FAW655424 FKR655424:FKS655424 FUN655424:FUO655424 GEJ655424:GEK655424 GOF655424:GOG655424 GYB655424:GYC655424 HHX655424:HHY655424 HRT655424:HRU655424 IBP655424:IBQ655424 ILL655424:ILM655424 IVH655424:IVI655424 JFD655424:JFE655424 JOZ655424:JPA655424 JYV655424:JYW655424 KIR655424:KIS655424 KSN655424:KSO655424 LCJ655424:LCK655424 LMF655424:LMG655424 LWB655424:LWC655424 MFX655424:MFY655424 MPT655424:MPU655424 MZP655424:MZQ655424 NJL655424:NJM655424 NTH655424:NTI655424 ODD655424:ODE655424 OMZ655424:ONA655424 OWV655424:OWW655424 PGR655424:PGS655424 PQN655424:PQO655424 QAJ655424:QAK655424 QKF655424:QKG655424 QUB655424:QUC655424 RDX655424:RDY655424 RNT655424:RNU655424 RXP655424:RXQ655424 SHL655424:SHM655424 SRH655424:SRI655424 TBD655424:TBE655424 TKZ655424:TLA655424 TUV655424:TUW655424 UER655424:UES655424 UON655424:UOO655424 UYJ655424:UYK655424 VIF655424:VIG655424 VSB655424:VSC655424 WBX655424:WBY655424 WLT655424:WLU655424 WVP655424:WVQ655424 H720960:I720960 JD720960:JE720960 SZ720960:TA720960 ACV720960:ACW720960 AMR720960:AMS720960 AWN720960:AWO720960 BGJ720960:BGK720960 BQF720960:BQG720960 CAB720960:CAC720960 CJX720960:CJY720960 CTT720960:CTU720960 DDP720960:DDQ720960 DNL720960:DNM720960 DXH720960:DXI720960 EHD720960:EHE720960 EQZ720960:ERA720960 FAV720960:FAW720960 FKR720960:FKS720960 FUN720960:FUO720960 GEJ720960:GEK720960 GOF720960:GOG720960 GYB720960:GYC720960 HHX720960:HHY720960 HRT720960:HRU720960 IBP720960:IBQ720960 ILL720960:ILM720960 IVH720960:IVI720960 JFD720960:JFE720960 JOZ720960:JPA720960 JYV720960:JYW720960 KIR720960:KIS720960 KSN720960:KSO720960 LCJ720960:LCK720960 LMF720960:LMG720960 LWB720960:LWC720960 MFX720960:MFY720960 MPT720960:MPU720960 MZP720960:MZQ720960 NJL720960:NJM720960 NTH720960:NTI720960 ODD720960:ODE720960 OMZ720960:ONA720960 OWV720960:OWW720960 PGR720960:PGS720960 PQN720960:PQO720960 QAJ720960:QAK720960 QKF720960:QKG720960 QUB720960:QUC720960 RDX720960:RDY720960 RNT720960:RNU720960 RXP720960:RXQ720960 SHL720960:SHM720960 SRH720960:SRI720960 TBD720960:TBE720960 TKZ720960:TLA720960 TUV720960:TUW720960 UER720960:UES720960 UON720960:UOO720960 UYJ720960:UYK720960 VIF720960:VIG720960 VSB720960:VSC720960 WBX720960:WBY720960 WLT720960:WLU720960 WVP720960:WVQ720960 H786496:I786496 JD786496:JE786496 SZ786496:TA786496 ACV786496:ACW786496 AMR786496:AMS786496 AWN786496:AWO786496 BGJ786496:BGK786496 BQF786496:BQG786496 CAB786496:CAC786496 CJX786496:CJY786496 CTT786496:CTU786496 DDP786496:DDQ786496 DNL786496:DNM786496 DXH786496:DXI786496 EHD786496:EHE786496 EQZ786496:ERA786496 FAV786496:FAW786496 FKR786496:FKS786496 FUN786496:FUO786496 GEJ786496:GEK786496 GOF786496:GOG786496 GYB786496:GYC786496 HHX786496:HHY786496 HRT786496:HRU786496 IBP786496:IBQ786496 ILL786496:ILM786496 IVH786496:IVI786496 JFD786496:JFE786496 JOZ786496:JPA786496 JYV786496:JYW786496 KIR786496:KIS786496 KSN786496:KSO786496 LCJ786496:LCK786496 LMF786496:LMG786496 LWB786496:LWC786496 MFX786496:MFY786496 MPT786496:MPU786496 MZP786496:MZQ786496 NJL786496:NJM786496 NTH786496:NTI786496 ODD786496:ODE786496 OMZ786496:ONA786496 OWV786496:OWW786496 PGR786496:PGS786496 PQN786496:PQO786496 QAJ786496:QAK786496 QKF786496:QKG786496 QUB786496:QUC786496 RDX786496:RDY786496 RNT786496:RNU786496 RXP786496:RXQ786496 SHL786496:SHM786496 SRH786496:SRI786496 TBD786496:TBE786496 TKZ786496:TLA786496 TUV786496:TUW786496 UER786496:UES786496 UON786496:UOO786496 UYJ786496:UYK786496 VIF786496:VIG786496 VSB786496:VSC786496 WBX786496:WBY786496 WLT786496:WLU786496 WVP786496:WVQ786496 H852032:I852032 JD852032:JE852032 SZ852032:TA852032 ACV852032:ACW852032 AMR852032:AMS852032 AWN852032:AWO852032 BGJ852032:BGK852032 BQF852032:BQG852032 CAB852032:CAC852032 CJX852032:CJY852032 CTT852032:CTU852032 DDP852032:DDQ852032 DNL852032:DNM852032 DXH852032:DXI852032 EHD852032:EHE852032 EQZ852032:ERA852032 FAV852032:FAW852032 FKR852032:FKS852032 FUN852032:FUO852032 GEJ852032:GEK852032 GOF852032:GOG852032 GYB852032:GYC852032 HHX852032:HHY852032 HRT852032:HRU852032 IBP852032:IBQ852032 ILL852032:ILM852032 IVH852032:IVI852032 JFD852032:JFE852032 JOZ852032:JPA852032 JYV852032:JYW852032 KIR852032:KIS852032 KSN852032:KSO852032 LCJ852032:LCK852032 LMF852032:LMG852032 LWB852032:LWC852032 MFX852032:MFY852032 MPT852032:MPU852032 MZP852032:MZQ852032 NJL852032:NJM852032 NTH852032:NTI852032 ODD852032:ODE852032 OMZ852032:ONA852032 OWV852032:OWW852032 PGR852032:PGS852032 PQN852032:PQO852032 QAJ852032:QAK852032 QKF852032:QKG852032 QUB852032:QUC852032 RDX852032:RDY852032 RNT852032:RNU852032 RXP852032:RXQ852032 SHL852032:SHM852032 SRH852032:SRI852032 TBD852032:TBE852032 TKZ852032:TLA852032 TUV852032:TUW852032 UER852032:UES852032 UON852032:UOO852032 UYJ852032:UYK852032 VIF852032:VIG852032 VSB852032:VSC852032 WBX852032:WBY852032 WLT852032:WLU852032 WVP852032:WVQ852032 H917568:I917568 JD917568:JE917568 SZ917568:TA917568 ACV917568:ACW917568 AMR917568:AMS917568 AWN917568:AWO917568 BGJ917568:BGK917568 BQF917568:BQG917568 CAB917568:CAC917568 CJX917568:CJY917568 CTT917568:CTU917568 DDP917568:DDQ917568 DNL917568:DNM917568 DXH917568:DXI917568 EHD917568:EHE917568 EQZ917568:ERA917568 FAV917568:FAW917568 FKR917568:FKS917568 FUN917568:FUO917568 GEJ917568:GEK917568 GOF917568:GOG917568 GYB917568:GYC917568 HHX917568:HHY917568 HRT917568:HRU917568 IBP917568:IBQ917568 ILL917568:ILM917568 IVH917568:IVI917568 JFD917568:JFE917568 JOZ917568:JPA917568 JYV917568:JYW917568 KIR917568:KIS917568 KSN917568:KSO917568 LCJ917568:LCK917568 LMF917568:LMG917568 LWB917568:LWC917568 MFX917568:MFY917568 MPT917568:MPU917568 MZP917568:MZQ917568 NJL917568:NJM917568 NTH917568:NTI917568 ODD917568:ODE917568 OMZ917568:ONA917568 OWV917568:OWW917568 PGR917568:PGS917568 PQN917568:PQO917568 QAJ917568:QAK917568 QKF917568:QKG917568 QUB917568:QUC917568 RDX917568:RDY917568 RNT917568:RNU917568 RXP917568:RXQ917568 SHL917568:SHM917568 SRH917568:SRI917568 TBD917568:TBE917568 TKZ917568:TLA917568 TUV917568:TUW917568 UER917568:UES917568 UON917568:UOO917568 UYJ917568:UYK917568 VIF917568:VIG917568 VSB917568:VSC917568 WBX917568:WBY917568 WLT917568:WLU917568 WVP917568:WVQ917568 H983104:I983104 JD983104:JE983104 SZ983104:TA983104 ACV983104:ACW983104 AMR983104:AMS983104 AWN983104:AWO983104 BGJ983104:BGK983104 BQF983104:BQG983104 CAB983104:CAC983104 CJX983104:CJY983104 CTT983104:CTU983104 DDP983104:DDQ983104 DNL983104:DNM983104 DXH983104:DXI983104 EHD983104:EHE983104 EQZ983104:ERA983104 FAV983104:FAW983104 FKR983104:FKS983104 FUN983104:FUO983104 GEJ983104:GEK983104 GOF983104:GOG983104 GYB983104:GYC983104 HHX983104:HHY983104 HRT983104:HRU983104 IBP983104:IBQ983104 ILL983104:ILM983104 IVH983104:IVI983104 JFD983104:JFE983104 JOZ983104:JPA983104 JYV983104:JYW983104 KIR983104:KIS983104 KSN983104:KSO983104 LCJ983104:LCK983104 LMF983104:LMG983104 LWB983104:LWC983104 MFX983104:MFY983104 MPT983104:MPU983104 MZP983104:MZQ983104 NJL983104:NJM983104 NTH983104:NTI983104 ODD983104:ODE983104 OMZ983104:ONA983104 OWV983104:OWW983104 PGR983104:PGS983104 PQN983104:PQO983104 QAJ983104:QAK983104 QKF983104:QKG983104 QUB983104:QUC983104 RDX983104:RDY983104 RNT983104:RNU983104 RXP983104:RXQ983104 SHL983104:SHM983104 SRH983104:SRI983104 TBD983104:TBE983104 TKZ983104:TLA983104 TUV983104:TUW983104 UER983104:UES983104 UON983104:UOO983104 UYJ983104:UYK983104 VIF983104:VIG983104 VSB983104:VSC983104 WBX983104:WBY983104 WLT983104:WLU983104 WVP983104:WVQ983104 H67:I71 JD67:JE71 SZ67:TA71 ACV67:ACW71 AMR67:AMS71 AWN67:AWO71 BGJ67:BGK71 BQF67:BQG71 CAB67:CAC71 CJX67:CJY71 CTT67:CTU71 DDP67:DDQ71 DNL67:DNM71 DXH67:DXI71 EHD67:EHE71 EQZ67:ERA71 FAV67:FAW71 FKR67:FKS71 FUN67:FUO71 GEJ67:GEK71 GOF67:GOG71 GYB67:GYC71 HHX67:HHY71 HRT67:HRU71 IBP67:IBQ71 ILL67:ILM71 IVH67:IVI71 JFD67:JFE71 JOZ67:JPA71 JYV67:JYW71 KIR67:KIS71 KSN67:KSO71 LCJ67:LCK71 LMF67:LMG71 LWB67:LWC71 MFX67:MFY71 MPT67:MPU71 MZP67:MZQ71 NJL67:NJM71 NTH67:NTI71 ODD67:ODE71 OMZ67:ONA71 OWV67:OWW71 PGR67:PGS71 PQN67:PQO71 QAJ67:QAK71 QKF67:QKG71 QUB67:QUC71 RDX67:RDY71 RNT67:RNU71 RXP67:RXQ71 SHL67:SHM71 SRH67:SRI71 TBD67:TBE71 TKZ67:TLA71 TUV67:TUW71 UER67:UES71 UON67:UOO71 UYJ67:UYK71 VIF67:VIG71 VSB67:VSC71 WBX67:WBY71 WLT67:WLU71 WVP67:WVQ71 H65603:I65607 JD65603:JE65607 SZ65603:TA65607 ACV65603:ACW65607 AMR65603:AMS65607 AWN65603:AWO65607 BGJ65603:BGK65607 BQF65603:BQG65607 CAB65603:CAC65607 CJX65603:CJY65607 CTT65603:CTU65607 DDP65603:DDQ65607 DNL65603:DNM65607 DXH65603:DXI65607 EHD65603:EHE65607 EQZ65603:ERA65607 FAV65603:FAW65607 FKR65603:FKS65607 FUN65603:FUO65607 GEJ65603:GEK65607 GOF65603:GOG65607 GYB65603:GYC65607 HHX65603:HHY65607 HRT65603:HRU65607 IBP65603:IBQ65607 ILL65603:ILM65607 IVH65603:IVI65607 JFD65603:JFE65607 JOZ65603:JPA65607 JYV65603:JYW65607 KIR65603:KIS65607 KSN65603:KSO65607 LCJ65603:LCK65607 LMF65603:LMG65607 LWB65603:LWC65607 MFX65603:MFY65607 MPT65603:MPU65607 MZP65603:MZQ65607 NJL65603:NJM65607 NTH65603:NTI65607 ODD65603:ODE65607 OMZ65603:ONA65607 OWV65603:OWW65607 PGR65603:PGS65607 PQN65603:PQO65607 QAJ65603:QAK65607 QKF65603:QKG65607 QUB65603:QUC65607 RDX65603:RDY65607 RNT65603:RNU65607 RXP65603:RXQ65607 SHL65603:SHM65607 SRH65603:SRI65607 TBD65603:TBE65607 TKZ65603:TLA65607 TUV65603:TUW65607 UER65603:UES65607 UON65603:UOO65607 UYJ65603:UYK65607 VIF65603:VIG65607 VSB65603:VSC65607 WBX65603:WBY65607 WLT65603:WLU65607 WVP65603:WVQ65607 H131139:I131143 JD131139:JE131143 SZ131139:TA131143 ACV131139:ACW131143 AMR131139:AMS131143 AWN131139:AWO131143 BGJ131139:BGK131143 BQF131139:BQG131143 CAB131139:CAC131143 CJX131139:CJY131143 CTT131139:CTU131143 DDP131139:DDQ131143 DNL131139:DNM131143 DXH131139:DXI131143 EHD131139:EHE131143 EQZ131139:ERA131143 FAV131139:FAW131143 FKR131139:FKS131143 FUN131139:FUO131143 GEJ131139:GEK131143 GOF131139:GOG131143 GYB131139:GYC131143 HHX131139:HHY131143 HRT131139:HRU131143 IBP131139:IBQ131143 ILL131139:ILM131143 IVH131139:IVI131143 JFD131139:JFE131143 JOZ131139:JPA131143 JYV131139:JYW131143 KIR131139:KIS131143 KSN131139:KSO131143 LCJ131139:LCK131143 LMF131139:LMG131143 LWB131139:LWC131143 MFX131139:MFY131143 MPT131139:MPU131143 MZP131139:MZQ131143 NJL131139:NJM131143 NTH131139:NTI131143 ODD131139:ODE131143 OMZ131139:ONA131143 OWV131139:OWW131143 PGR131139:PGS131143 PQN131139:PQO131143 QAJ131139:QAK131143 QKF131139:QKG131143 QUB131139:QUC131143 RDX131139:RDY131143 RNT131139:RNU131143 RXP131139:RXQ131143 SHL131139:SHM131143 SRH131139:SRI131143 TBD131139:TBE131143 TKZ131139:TLA131143 TUV131139:TUW131143 UER131139:UES131143 UON131139:UOO131143 UYJ131139:UYK131143 VIF131139:VIG131143 VSB131139:VSC131143 WBX131139:WBY131143 WLT131139:WLU131143 WVP131139:WVQ131143 H196675:I196679 JD196675:JE196679 SZ196675:TA196679 ACV196675:ACW196679 AMR196675:AMS196679 AWN196675:AWO196679 BGJ196675:BGK196679 BQF196675:BQG196679 CAB196675:CAC196679 CJX196675:CJY196679 CTT196675:CTU196679 DDP196675:DDQ196679 DNL196675:DNM196679 DXH196675:DXI196679 EHD196675:EHE196679 EQZ196675:ERA196679 FAV196675:FAW196679 FKR196675:FKS196679 FUN196675:FUO196679 GEJ196675:GEK196679 GOF196675:GOG196679 GYB196675:GYC196679 HHX196675:HHY196679 HRT196675:HRU196679 IBP196675:IBQ196679 ILL196675:ILM196679 IVH196675:IVI196679 JFD196675:JFE196679 JOZ196675:JPA196679 JYV196675:JYW196679 KIR196675:KIS196679 KSN196675:KSO196679 LCJ196675:LCK196679 LMF196675:LMG196679 LWB196675:LWC196679 MFX196675:MFY196679 MPT196675:MPU196679 MZP196675:MZQ196679 NJL196675:NJM196679 NTH196675:NTI196679 ODD196675:ODE196679 OMZ196675:ONA196679 OWV196675:OWW196679 PGR196675:PGS196679 PQN196675:PQO196679 QAJ196675:QAK196679 QKF196675:QKG196679 QUB196675:QUC196679 RDX196675:RDY196679 RNT196675:RNU196679 RXP196675:RXQ196679 SHL196675:SHM196679 SRH196675:SRI196679 TBD196675:TBE196679 TKZ196675:TLA196679 TUV196675:TUW196679 UER196675:UES196679 UON196675:UOO196679 UYJ196675:UYK196679 VIF196675:VIG196679 VSB196675:VSC196679 WBX196675:WBY196679 WLT196675:WLU196679 WVP196675:WVQ196679 H262211:I262215 JD262211:JE262215 SZ262211:TA262215 ACV262211:ACW262215 AMR262211:AMS262215 AWN262211:AWO262215 BGJ262211:BGK262215 BQF262211:BQG262215 CAB262211:CAC262215 CJX262211:CJY262215 CTT262211:CTU262215 DDP262211:DDQ262215 DNL262211:DNM262215 DXH262211:DXI262215 EHD262211:EHE262215 EQZ262211:ERA262215 FAV262211:FAW262215 FKR262211:FKS262215 FUN262211:FUO262215 GEJ262211:GEK262215 GOF262211:GOG262215 GYB262211:GYC262215 HHX262211:HHY262215 HRT262211:HRU262215 IBP262211:IBQ262215 ILL262211:ILM262215 IVH262211:IVI262215 JFD262211:JFE262215 JOZ262211:JPA262215 JYV262211:JYW262215 KIR262211:KIS262215 KSN262211:KSO262215 LCJ262211:LCK262215 LMF262211:LMG262215 LWB262211:LWC262215 MFX262211:MFY262215 MPT262211:MPU262215 MZP262211:MZQ262215 NJL262211:NJM262215 NTH262211:NTI262215 ODD262211:ODE262215 OMZ262211:ONA262215 OWV262211:OWW262215 PGR262211:PGS262215 PQN262211:PQO262215 QAJ262211:QAK262215 QKF262211:QKG262215 QUB262211:QUC262215 RDX262211:RDY262215 RNT262211:RNU262215 RXP262211:RXQ262215 SHL262211:SHM262215 SRH262211:SRI262215 TBD262211:TBE262215 TKZ262211:TLA262215 TUV262211:TUW262215 UER262211:UES262215 UON262211:UOO262215 UYJ262211:UYK262215 VIF262211:VIG262215 VSB262211:VSC262215 WBX262211:WBY262215 WLT262211:WLU262215 WVP262211:WVQ262215 H327747:I327751 JD327747:JE327751 SZ327747:TA327751 ACV327747:ACW327751 AMR327747:AMS327751 AWN327747:AWO327751 BGJ327747:BGK327751 BQF327747:BQG327751 CAB327747:CAC327751 CJX327747:CJY327751 CTT327747:CTU327751 DDP327747:DDQ327751 DNL327747:DNM327751 DXH327747:DXI327751 EHD327747:EHE327751 EQZ327747:ERA327751 FAV327747:FAW327751 FKR327747:FKS327751 FUN327747:FUO327751 GEJ327747:GEK327751 GOF327747:GOG327751 GYB327747:GYC327751 HHX327747:HHY327751 HRT327747:HRU327751 IBP327747:IBQ327751 ILL327747:ILM327751 IVH327747:IVI327751 JFD327747:JFE327751 JOZ327747:JPA327751 JYV327747:JYW327751 KIR327747:KIS327751 KSN327747:KSO327751 LCJ327747:LCK327751 LMF327747:LMG327751 LWB327747:LWC327751 MFX327747:MFY327751 MPT327747:MPU327751 MZP327747:MZQ327751 NJL327747:NJM327751 NTH327747:NTI327751 ODD327747:ODE327751 OMZ327747:ONA327751 OWV327747:OWW327751 PGR327747:PGS327751 PQN327747:PQO327751 QAJ327747:QAK327751 QKF327747:QKG327751 QUB327747:QUC327751 RDX327747:RDY327751 RNT327747:RNU327751 RXP327747:RXQ327751 SHL327747:SHM327751 SRH327747:SRI327751 TBD327747:TBE327751 TKZ327747:TLA327751 TUV327747:TUW327751 UER327747:UES327751 UON327747:UOO327751 UYJ327747:UYK327751 VIF327747:VIG327751 VSB327747:VSC327751 WBX327747:WBY327751 WLT327747:WLU327751 WVP327747:WVQ327751 H393283:I393287 JD393283:JE393287 SZ393283:TA393287 ACV393283:ACW393287 AMR393283:AMS393287 AWN393283:AWO393287 BGJ393283:BGK393287 BQF393283:BQG393287 CAB393283:CAC393287 CJX393283:CJY393287 CTT393283:CTU393287 DDP393283:DDQ393287 DNL393283:DNM393287 DXH393283:DXI393287 EHD393283:EHE393287 EQZ393283:ERA393287 FAV393283:FAW393287 FKR393283:FKS393287 FUN393283:FUO393287 GEJ393283:GEK393287 GOF393283:GOG393287 GYB393283:GYC393287 HHX393283:HHY393287 HRT393283:HRU393287 IBP393283:IBQ393287 ILL393283:ILM393287 IVH393283:IVI393287 JFD393283:JFE393287 JOZ393283:JPA393287 JYV393283:JYW393287 KIR393283:KIS393287 KSN393283:KSO393287 LCJ393283:LCK393287 LMF393283:LMG393287 LWB393283:LWC393287 MFX393283:MFY393287 MPT393283:MPU393287 MZP393283:MZQ393287 NJL393283:NJM393287 NTH393283:NTI393287 ODD393283:ODE393287 OMZ393283:ONA393287 OWV393283:OWW393287 PGR393283:PGS393287 PQN393283:PQO393287 QAJ393283:QAK393287 QKF393283:QKG393287 QUB393283:QUC393287 RDX393283:RDY393287 RNT393283:RNU393287 RXP393283:RXQ393287 SHL393283:SHM393287 SRH393283:SRI393287 TBD393283:TBE393287 TKZ393283:TLA393287 TUV393283:TUW393287 UER393283:UES393287 UON393283:UOO393287 UYJ393283:UYK393287 VIF393283:VIG393287 VSB393283:VSC393287 WBX393283:WBY393287 WLT393283:WLU393287 WVP393283:WVQ393287 H458819:I458823 JD458819:JE458823 SZ458819:TA458823 ACV458819:ACW458823 AMR458819:AMS458823 AWN458819:AWO458823 BGJ458819:BGK458823 BQF458819:BQG458823 CAB458819:CAC458823 CJX458819:CJY458823 CTT458819:CTU458823 DDP458819:DDQ458823 DNL458819:DNM458823 DXH458819:DXI458823 EHD458819:EHE458823 EQZ458819:ERA458823 FAV458819:FAW458823 FKR458819:FKS458823 FUN458819:FUO458823 GEJ458819:GEK458823 GOF458819:GOG458823 GYB458819:GYC458823 HHX458819:HHY458823 HRT458819:HRU458823 IBP458819:IBQ458823 ILL458819:ILM458823 IVH458819:IVI458823 JFD458819:JFE458823 JOZ458819:JPA458823 JYV458819:JYW458823 KIR458819:KIS458823 KSN458819:KSO458823 LCJ458819:LCK458823 LMF458819:LMG458823 LWB458819:LWC458823 MFX458819:MFY458823 MPT458819:MPU458823 MZP458819:MZQ458823 NJL458819:NJM458823 NTH458819:NTI458823 ODD458819:ODE458823 OMZ458819:ONA458823 OWV458819:OWW458823 PGR458819:PGS458823 PQN458819:PQO458823 QAJ458819:QAK458823 QKF458819:QKG458823 QUB458819:QUC458823 RDX458819:RDY458823 RNT458819:RNU458823 RXP458819:RXQ458823 SHL458819:SHM458823 SRH458819:SRI458823 TBD458819:TBE458823 TKZ458819:TLA458823 TUV458819:TUW458823 UER458819:UES458823 UON458819:UOO458823 UYJ458819:UYK458823 VIF458819:VIG458823 VSB458819:VSC458823 WBX458819:WBY458823 WLT458819:WLU458823 WVP458819:WVQ458823 H524355:I524359 JD524355:JE524359 SZ524355:TA524359 ACV524355:ACW524359 AMR524355:AMS524359 AWN524355:AWO524359 BGJ524355:BGK524359 BQF524355:BQG524359 CAB524355:CAC524359 CJX524355:CJY524359 CTT524355:CTU524359 DDP524355:DDQ524359 DNL524355:DNM524359 DXH524355:DXI524359 EHD524355:EHE524359 EQZ524355:ERA524359 FAV524355:FAW524359 FKR524355:FKS524359 FUN524355:FUO524359 GEJ524355:GEK524359 GOF524355:GOG524359 GYB524355:GYC524359 HHX524355:HHY524359 HRT524355:HRU524359 IBP524355:IBQ524359 ILL524355:ILM524359 IVH524355:IVI524359 JFD524355:JFE524359 JOZ524355:JPA524359 JYV524355:JYW524359 KIR524355:KIS524359 KSN524355:KSO524359 LCJ524355:LCK524359 LMF524355:LMG524359 LWB524355:LWC524359 MFX524355:MFY524359 MPT524355:MPU524359 MZP524355:MZQ524359 NJL524355:NJM524359 NTH524355:NTI524359 ODD524355:ODE524359 OMZ524355:ONA524359 OWV524355:OWW524359 PGR524355:PGS524359 PQN524355:PQO524359 QAJ524355:QAK524359 QKF524355:QKG524359 QUB524355:QUC524359 RDX524355:RDY524359 RNT524355:RNU524359 RXP524355:RXQ524359 SHL524355:SHM524359 SRH524355:SRI524359 TBD524355:TBE524359 TKZ524355:TLA524359 TUV524355:TUW524359 UER524355:UES524359 UON524355:UOO524359 UYJ524355:UYK524359 VIF524355:VIG524359 VSB524355:VSC524359 WBX524355:WBY524359 WLT524355:WLU524359 WVP524355:WVQ524359 H589891:I589895 JD589891:JE589895 SZ589891:TA589895 ACV589891:ACW589895 AMR589891:AMS589895 AWN589891:AWO589895 BGJ589891:BGK589895 BQF589891:BQG589895 CAB589891:CAC589895 CJX589891:CJY589895 CTT589891:CTU589895 DDP589891:DDQ589895 DNL589891:DNM589895 DXH589891:DXI589895 EHD589891:EHE589895 EQZ589891:ERA589895 FAV589891:FAW589895 FKR589891:FKS589895 FUN589891:FUO589895 GEJ589891:GEK589895 GOF589891:GOG589895 GYB589891:GYC589895 HHX589891:HHY589895 HRT589891:HRU589895 IBP589891:IBQ589895 ILL589891:ILM589895 IVH589891:IVI589895 JFD589891:JFE589895 JOZ589891:JPA589895 JYV589891:JYW589895 KIR589891:KIS589895 KSN589891:KSO589895 LCJ589891:LCK589895 LMF589891:LMG589895 LWB589891:LWC589895 MFX589891:MFY589895 MPT589891:MPU589895 MZP589891:MZQ589895 NJL589891:NJM589895 NTH589891:NTI589895 ODD589891:ODE589895 OMZ589891:ONA589895 OWV589891:OWW589895 PGR589891:PGS589895 PQN589891:PQO589895 QAJ589891:QAK589895 QKF589891:QKG589895 QUB589891:QUC589895 RDX589891:RDY589895 RNT589891:RNU589895 RXP589891:RXQ589895 SHL589891:SHM589895 SRH589891:SRI589895 TBD589891:TBE589895 TKZ589891:TLA589895 TUV589891:TUW589895 UER589891:UES589895 UON589891:UOO589895 UYJ589891:UYK589895 VIF589891:VIG589895 VSB589891:VSC589895 WBX589891:WBY589895 WLT589891:WLU589895 WVP589891:WVQ589895 H655427:I655431 JD655427:JE655431 SZ655427:TA655431 ACV655427:ACW655431 AMR655427:AMS655431 AWN655427:AWO655431 BGJ655427:BGK655431 BQF655427:BQG655431 CAB655427:CAC655431 CJX655427:CJY655431 CTT655427:CTU655431 DDP655427:DDQ655431 DNL655427:DNM655431 DXH655427:DXI655431 EHD655427:EHE655431 EQZ655427:ERA655431 FAV655427:FAW655431 FKR655427:FKS655431 FUN655427:FUO655431 GEJ655427:GEK655431 GOF655427:GOG655431 GYB655427:GYC655431 HHX655427:HHY655431 HRT655427:HRU655431 IBP655427:IBQ655431 ILL655427:ILM655431 IVH655427:IVI655431 JFD655427:JFE655431 JOZ655427:JPA655431 JYV655427:JYW655431 KIR655427:KIS655431 KSN655427:KSO655431 LCJ655427:LCK655431 LMF655427:LMG655431 LWB655427:LWC655431 MFX655427:MFY655431 MPT655427:MPU655431 MZP655427:MZQ655431 NJL655427:NJM655431 NTH655427:NTI655431 ODD655427:ODE655431 OMZ655427:ONA655431 OWV655427:OWW655431 PGR655427:PGS655431 PQN655427:PQO655431 QAJ655427:QAK655431 QKF655427:QKG655431 QUB655427:QUC655431 RDX655427:RDY655431 RNT655427:RNU655431 RXP655427:RXQ655431 SHL655427:SHM655431 SRH655427:SRI655431 TBD655427:TBE655431 TKZ655427:TLA655431 TUV655427:TUW655431 UER655427:UES655431 UON655427:UOO655431 UYJ655427:UYK655431 VIF655427:VIG655431 VSB655427:VSC655431 WBX655427:WBY655431 WLT655427:WLU655431 WVP655427:WVQ655431 H720963:I720967 JD720963:JE720967 SZ720963:TA720967 ACV720963:ACW720967 AMR720963:AMS720967 AWN720963:AWO720967 BGJ720963:BGK720967 BQF720963:BQG720967 CAB720963:CAC720967 CJX720963:CJY720967 CTT720963:CTU720967 DDP720963:DDQ720967 DNL720963:DNM720967 DXH720963:DXI720967 EHD720963:EHE720967 EQZ720963:ERA720967 FAV720963:FAW720967 FKR720963:FKS720967 FUN720963:FUO720967 GEJ720963:GEK720967 GOF720963:GOG720967 GYB720963:GYC720967 HHX720963:HHY720967 HRT720963:HRU720967 IBP720963:IBQ720967 ILL720963:ILM720967 IVH720963:IVI720967 JFD720963:JFE720967 JOZ720963:JPA720967 JYV720963:JYW720967 KIR720963:KIS720967 KSN720963:KSO720967 LCJ720963:LCK720967 LMF720963:LMG720967 LWB720963:LWC720967 MFX720963:MFY720967 MPT720963:MPU720967 MZP720963:MZQ720967 NJL720963:NJM720967 NTH720963:NTI720967 ODD720963:ODE720967 OMZ720963:ONA720967 OWV720963:OWW720967 PGR720963:PGS720967 PQN720963:PQO720967 QAJ720963:QAK720967 QKF720963:QKG720967 QUB720963:QUC720967 RDX720963:RDY720967 RNT720963:RNU720967 RXP720963:RXQ720967 SHL720963:SHM720967 SRH720963:SRI720967 TBD720963:TBE720967 TKZ720963:TLA720967 TUV720963:TUW720967 UER720963:UES720967 UON720963:UOO720967 UYJ720963:UYK720967 VIF720963:VIG720967 VSB720963:VSC720967 WBX720963:WBY720967 WLT720963:WLU720967 WVP720963:WVQ720967 H786499:I786503 JD786499:JE786503 SZ786499:TA786503 ACV786499:ACW786503 AMR786499:AMS786503 AWN786499:AWO786503 BGJ786499:BGK786503 BQF786499:BQG786503 CAB786499:CAC786503 CJX786499:CJY786503 CTT786499:CTU786503 DDP786499:DDQ786503 DNL786499:DNM786503 DXH786499:DXI786503 EHD786499:EHE786503 EQZ786499:ERA786503 FAV786499:FAW786503 FKR786499:FKS786503 FUN786499:FUO786503 GEJ786499:GEK786503 GOF786499:GOG786503 GYB786499:GYC786503 HHX786499:HHY786503 HRT786499:HRU786503 IBP786499:IBQ786503 ILL786499:ILM786503 IVH786499:IVI786503 JFD786499:JFE786503 JOZ786499:JPA786503 JYV786499:JYW786503 KIR786499:KIS786503 KSN786499:KSO786503 LCJ786499:LCK786503 LMF786499:LMG786503 LWB786499:LWC786503 MFX786499:MFY786503 MPT786499:MPU786503 MZP786499:MZQ786503 NJL786499:NJM786503 NTH786499:NTI786503 ODD786499:ODE786503 OMZ786499:ONA786503 OWV786499:OWW786503 PGR786499:PGS786503 PQN786499:PQO786503 QAJ786499:QAK786503 QKF786499:QKG786503 QUB786499:QUC786503 RDX786499:RDY786503 RNT786499:RNU786503 RXP786499:RXQ786503 SHL786499:SHM786503 SRH786499:SRI786503 TBD786499:TBE786503 TKZ786499:TLA786503 TUV786499:TUW786503 UER786499:UES786503 UON786499:UOO786503 UYJ786499:UYK786503 VIF786499:VIG786503 VSB786499:VSC786503 WBX786499:WBY786503 WLT786499:WLU786503 WVP786499:WVQ786503 H852035:I852039 JD852035:JE852039 SZ852035:TA852039 ACV852035:ACW852039 AMR852035:AMS852039 AWN852035:AWO852039 BGJ852035:BGK852039 BQF852035:BQG852039 CAB852035:CAC852039 CJX852035:CJY852039 CTT852035:CTU852039 DDP852035:DDQ852039 DNL852035:DNM852039 DXH852035:DXI852039 EHD852035:EHE852039 EQZ852035:ERA852039 FAV852035:FAW852039 FKR852035:FKS852039 FUN852035:FUO852039 GEJ852035:GEK852039 GOF852035:GOG852039 GYB852035:GYC852039 HHX852035:HHY852039 HRT852035:HRU852039 IBP852035:IBQ852039 ILL852035:ILM852039 IVH852035:IVI852039 JFD852035:JFE852039 JOZ852035:JPA852039 JYV852035:JYW852039 KIR852035:KIS852039 KSN852035:KSO852039 LCJ852035:LCK852039 LMF852035:LMG852039 LWB852035:LWC852039 MFX852035:MFY852039 MPT852035:MPU852039 MZP852035:MZQ852039 NJL852035:NJM852039 NTH852035:NTI852039 ODD852035:ODE852039 OMZ852035:ONA852039 OWV852035:OWW852039 PGR852035:PGS852039 PQN852035:PQO852039 QAJ852035:QAK852039 QKF852035:QKG852039 QUB852035:QUC852039 RDX852035:RDY852039 RNT852035:RNU852039 RXP852035:RXQ852039 SHL852035:SHM852039 SRH852035:SRI852039 TBD852035:TBE852039 TKZ852035:TLA852039 TUV852035:TUW852039 UER852035:UES852039 UON852035:UOO852039 UYJ852035:UYK852039 VIF852035:VIG852039 VSB852035:VSC852039 WBX852035:WBY852039 WLT852035:WLU852039 WVP852035:WVQ852039 H917571:I917575 JD917571:JE917575 SZ917571:TA917575 ACV917571:ACW917575 AMR917571:AMS917575 AWN917571:AWO917575 BGJ917571:BGK917575 BQF917571:BQG917575 CAB917571:CAC917575 CJX917571:CJY917575 CTT917571:CTU917575 DDP917571:DDQ917575 DNL917571:DNM917575 DXH917571:DXI917575 EHD917571:EHE917575 EQZ917571:ERA917575 FAV917571:FAW917575 FKR917571:FKS917575 FUN917571:FUO917575 GEJ917571:GEK917575 GOF917571:GOG917575 GYB917571:GYC917575 HHX917571:HHY917575 HRT917571:HRU917575 IBP917571:IBQ917575 ILL917571:ILM917575 IVH917571:IVI917575 JFD917571:JFE917575 JOZ917571:JPA917575 JYV917571:JYW917575 KIR917571:KIS917575 KSN917571:KSO917575 LCJ917571:LCK917575 LMF917571:LMG917575 LWB917571:LWC917575 MFX917571:MFY917575 MPT917571:MPU917575 MZP917571:MZQ917575 NJL917571:NJM917575 NTH917571:NTI917575 ODD917571:ODE917575 OMZ917571:ONA917575 OWV917571:OWW917575 PGR917571:PGS917575 PQN917571:PQO917575 QAJ917571:QAK917575 QKF917571:QKG917575 QUB917571:QUC917575 RDX917571:RDY917575 RNT917571:RNU917575 RXP917571:RXQ917575 SHL917571:SHM917575 SRH917571:SRI917575 TBD917571:TBE917575 TKZ917571:TLA917575 TUV917571:TUW917575 UER917571:UES917575 UON917571:UOO917575 UYJ917571:UYK917575 VIF917571:VIG917575 VSB917571:VSC917575 WBX917571:WBY917575 WLT917571:WLU917575 WVP917571:WVQ917575 H983107:I983111 JD983107:JE983111 SZ983107:TA983111 ACV983107:ACW983111 AMR983107:AMS983111 AWN983107:AWO983111 BGJ983107:BGK983111 BQF983107:BQG983111 CAB983107:CAC983111 CJX983107:CJY983111 CTT983107:CTU983111 DDP983107:DDQ983111 DNL983107:DNM983111 DXH983107:DXI983111 EHD983107:EHE983111 EQZ983107:ERA983111 FAV983107:FAW983111 FKR983107:FKS983111 FUN983107:FUO983111 GEJ983107:GEK983111 GOF983107:GOG983111 GYB983107:GYC983111 HHX983107:HHY983111 HRT983107:HRU983111 IBP983107:IBQ983111 ILL983107:ILM983111 IVH983107:IVI983111 JFD983107:JFE983111 JOZ983107:JPA983111 JYV983107:JYW983111 KIR983107:KIS983111 KSN983107:KSO983111 LCJ983107:LCK983111 LMF983107:LMG983111 LWB983107:LWC983111 MFX983107:MFY983111 MPT983107:MPU983111 MZP983107:MZQ983111 NJL983107:NJM983111 NTH983107:NTI983111 ODD983107:ODE983111 OMZ983107:ONA983111 OWV983107:OWW983111 PGR983107:PGS983111 PQN983107:PQO983111 QAJ983107:QAK983111 QKF983107:QKG983111 QUB983107:QUC983111 RDX983107:RDY983111 RNT983107:RNU983111 RXP983107:RXQ983111 SHL983107:SHM983111 SRH983107:SRI983111 TBD983107:TBE983111 TKZ983107:TLA983111 TUV983107:TUW983111 UER983107:UES983111 UON983107:UOO983111 UYJ983107:UYK983111 VIF983107:VIG983111 VSB983107:VSC983111 WBX983107:WBY983111 WLT983107:WLU983111 WVP983107:WVQ983111 I72:I73 JE72:JE73 TA72:TA73 ACW72:ACW73 AMS72:AMS73 AWO72:AWO73 BGK72:BGK73 BQG72:BQG73 CAC72:CAC73 CJY72:CJY73 CTU72:CTU73 DDQ72:DDQ73 DNM72:DNM73 DXI72:DXI73 EHE72:EHE73 ERA72:ERA73 FAW72:FAW73 FKS72:FKS73 FUO72:FUO73 GEK72:GEK73 GOG72:GOG73 GYC72:GYC73 HHY72:HHY73 HRU72:HRU73 IBQ72:IBQ73 ILM72:ILM73 IVI72:IVI73 JFE72:JFE73 JPA72:JPA73 JYW72:JYW73 KIS72:KIS73 KSO72:KSO73 LCK72:LCK73 LMG72:LMG73 LWC72:LWC73 MFY72:MFY73 MPU72:MPU73 MZQ72:MZQ73 NJM72:NJM73 NTI72:NTI73 ODE72:ODE73 ONA72:ONA73 OWW72:OWW73 PGS72:PGS73 PQO72:PQO73 QAK72:QAK73 QKG72:QKG73 QUC72:QUC73 RDY72:RDY73 RNU72:RNU73 RXQ72:RXQ73 SHM72:SHM73 SRI72:SRI73 TBE72:TBE73 TLA72:TLA73 TUW72:TUW73 UES72:UES73 UOO72:UOO73 UYK72:UYK73 VIG72:VIG73 VSC72:VSC73 WBY72:WBY73 WLU72:WLU73 WVQ72:WVQ73 I65608:I65609 JE65608:JE65609 TA65608:TA65609 ACW65608:ACW65609 AMS65608:AMS65609 AWO65608:AWO65609 BGK65608:BGK65609 BQG65608:BQG65609 CAC65608:CAC65609 CJY65608:CJY65609 CTU65608:CTU65609 DDQ65608:DDQ65609 DNM65608:DNM65609 DXI65608:DXI65609 EHE65608:EHE65609 ERA65608:ERA65609 FAW65608:FAW65609 FKS65608:FKS65609 FUO65608:FUO65609 GEK65608:GEK65609 GOG65608:GOG65609 GYC65608:GYC65609 HHY65608:HHY65609 HRU65608:HRU65609 IBQ65608:IBQ65609 ILM65608:ILM65609 IVI65608:IVI65609 JFE65608:JFE65609 JPA65608:JPA65609 JYW65608:JYW65609 KIS65608:KIS65609 KSO65608:KSO65609 LCK65608:LCK65609 LMG65608:LMG65609 LWC65608:LWC65609 MFY65608:MFY65609 MPU65608:MPU65609 MZQ65608:MZQ65609 NJM65608:NJM65609 NTI65608:NTI65609 ODE65608:ODE65609 ONA65608:ONA65609 OWW65608:OWW65609 PGS65608:PGS65609 PQO65608:PQO65609 QAK65608:QAK65609 QKG65608:QKG65609 QUC65608:QUC65609 RDY65608:RDY65609 RNU65608:RNU65609 RXQ65608:RXQ65609 SHM65608:SHM65609 SRI65608:SRI65609 TBE65608:TBE65609 TLA65608:TLA65609 TUW65608:TUW65609 UES65608:UES65609 UOO65608:UOO65609 UYK65608:UYK65609 VIG65608:VIG65609 VSC65608:VSC65609 WBY65608:WBY65609 WLU65608:WLU65609 WVQ65608:WVQ65609 I131144:I131145 JE131144:JE131145 TA131144:TA131145 ACW131144:ACW131145 AMS131144:AMS131145 AWO131144:AWO131145 BGK131144:BGK131145 BQG131144:BQG131145 CAC131144:CAC131145 CJY131144:CJY131145 CTU131144:CTU131145 DDQ131144:DDQ131145 DNM131144:DNM131145 DXI131144:DXI131145 EHE131144:EHE131145 ERA131144:ERA131145 FAW131144:FAW131145 FKS131144:FKS131145 FUO131144:FUO131145 GEK131144:GEK131145 GOG131144:GOG131145 GYC131144:GYC131145 HHY131144:HHY131145 HRU131144:HRU131145 IBQ131144:IBQ131145 ILM131144:ILM131145 IVI131144:IVI131145 JFE131144:JFE131145 JPA131144:JPA131145 JYW131144:JYW131145 KIS131144:KIS131145 KSO131144:KSO131145 LCK131144:LCK131145 LMG131144:LMG131145 LWC131144:LWC131145 MFY131144:MFY131145 MPU131144:MPU131145 MZQ131144:MZQ131145 NJM131144:NJM131145 NTI131144:NTI131145 ODE131144:ODE131145 ONA131144:ONA131145 OWW131144:OWW131145 PGS131144:PGS131145 PQO131144:PQO131145 QAK131144:QAK131145 QKG131144:QKG131145 QUC131144:QUC131145 RDY131144:RDY131145 RNU131144:RNU131145 RXQ131144:RXQ131145 SHM131144:SHM131145 SRI131144:SRI131145 TBE131144:TBE131145 TLA131144:TLA131145 TUW131144:TUW131145 UES131144:UES131145 UOO131144:UOO131145 UYK131144:UYK131145 VIG131144:VIG131145 VSC131144:VSC131145 WBY131144:WBY131145 WLU131144:WLU131145 WVQ131144:WVQ131145 I196680:I196681 JE196680:JE196681 TA196680:TA196681 ACW196680:ACW196681 AMS196680:AMS196681 AWO196680:AWO196681 BGK196680:BGK196681 BQG196680:BQG196681 CAC196680:CAC196681 CJY196680:CJY196681 CTU196680:CTU196681 DDQ196680:DDQ196681 DNM196680:DNM196681 DXI196680:DXI196681 EHE196680:EHE196681 ERA196680:ERA196681 FAW196680:FAW196681 FKS196680:FKS196681 FUO196680:FUO196681 GEK196680:GEK196681 GOG196680:GOG196681 GYC196680:GYC196681 HHY196680:HHY196681 HRU196680:HRU196681 IBQ196680:IBQ196681 ILM196680:ILM196681 IVI196680:IVI196681 JFE196680:JFE196681 JPA196680:JPA196681 JYW196680:JYW196681 KIS196680:KIS196681 KSO196680:KSO196681 LCK196680:LCK196681 LMG196680:LMG196681 LWC196680:LWC196681 MFY196680:MFY196681 MPU196680:MPU196681 MZQ196680:MZQ196681 NJM196680:NJM196681 NTI196680:NTI196681 ODE196680:ODE196681 ONA196680:ONA196681 OWW196680:OWW196681 PGS196680:PGS196681 PQO196680:PQO196681 QAK196680:QAK196681 QKG196680:QKG196681 QUC196680:QUC196681 RDY196680:RDY196681 RNU196680:RNU196681 RXQ196680:RXQ196681 SHM196680:SHM196681 SRI196680:SRI196681 TBE196680:TBE196681 TLA196680:TLA196681 TUW196680:TUW196681 UES196680:UES196681 UOO196680:UOO196681 UYK196680:UYK196681 VIG196680:VIG196681 VSC196680:VSC196681 WBY196680:WBY196681 WLU196680:WLU196681 WVQ196680:WVQ196681 I262216:I262217 JE262216:JE262217 TA262216:TA262217 ACW262216:ACW262217 AMS262216:AMS262217 AWO262216:AWO262217 BGK262216:BGK262217 BQG262216:BQG262217 CAC262216:CAC262217 CJY262216:CJY262217 CTU262216:CTU262217 DDQ262216:DDQ262217 DNM262216:DNM262217 DXI262216:DXI262217 EHE262216:EHE262217 ERA262216:ERA262217 FAW262216:FAW262217 FKS262216:FKS262217 FUO262216:FUO262217 GEK262216:GEK262217 GOG262216:GOG262217 GYC262216:GYC262217 HHY262216:HHY262217 HRU262216:HRU262217 IBQ262216:IBQ262217 ILM262216:ILM262217 IVI262216:IVI262217 JFE262216:JFE262217 JPA262216:JPA262217 JYW262216:JYW262217 KIS262216:KIS262217 KSO262216:KSO262217 LCK262216:LCK262217 LMG262216:LMG262217 LWC262216:LWC262217 MFY262216:MFY262217 MPU262216:MPU262217 MZQ262216:MZQ262217 NJM262216:NJM262217 NTI262216:NTI262217 ODE262216:ODE262217 ONA262216:ONA262217 OWW262216:OWW262217 PGS262216:PGS262217 PQO262216:PQO262217 QAK262216:QAK262217 QKG262216:QKG262217 QUC262216:QUC262217 RDY262216:RDY262217 RNU262216:RNU262217 RXQ262216:RXQ262217 SHM262216:SHM262217 SRI262216:SRI262217 TBE262216:TBE262217 TLA262216:TLA262217 TUW262216:TUW262217 UES262216:UES262217 UOO262216:UOO262217 UYK262216:UYK262217 VIG262216:VIG262217 VSC262216:VSC262217 WBY262216:WBY262217 WLU262216:WLU262217 WVQ262216:WVQ262217 I327752:I327753 JE327752:JE327753 TA327752:TA327753 ACW327752:ACW327753 AMS327752:AMS327753 AWO327752:AWO327753 BGK327752:BGK327753 BQG327752:BQG327753 CAC327752:CAC327753 CJY327752:CJY327753 CTU327752:CTU327753 DDQ327752:DDQ327753 DNM327752:DNM327753 DXI327752:DXI327753 EHE327752:EHE327753 ERA327752:ERA327753 FAW327752:FAW327753 FKS327752:FKS327753 FUO327752:FUO327753 GEK327752:GEK327753 GOG327752:GOG327753 GYC327752:GYC327753 HHY327752:HHY327753 HRU327752:HRU327753 IBQ327752:IBQ327753 ILM327752:ILM327753 IVI327752:IVI327753 JFE327752:JFE327753 JPA327752:JPA327753 JYW327752:JYW327753 KIS327752:KIS327753 KSO327752:KSO327753 LCK327752:LCK327753 LMG327752:LMG327753 LWC327752:LWC327753 MFY327752:MFY327753 MPU327752:MPU327753 MZQ327752:MZQ327753 NJM327752:NJM327753 NTI327752:NTI327753 ODE327752:ODE327753 ONA327752:ONA327753 OWW327752:OWW327753 PGS327752:PGS327753 PQO327752:PQO327753 QAK327752:QAK327753 QKG327752:QKG327753 QUC327752:QUC327753 RDY327752:RDY327753 RNU327752:RNU327753 RXQ327752:RXQ327753 SHM327752:SHM327753 SRI327752:SRI327753 TBE327752:TBE327753 TLA327752:TLA327753 TUW327752:TUW327753 UES327752:UES327753 UOO327752:UOO327753 UYK327752:UYK327753 VIG327752:VIG327753 VSC327752:VSC327753 WBY327752:WBY327753 WLU327752:WLU327753 WVQ327752:WVQ327753 I393288:I393289 JE393288:JE393289 TA393288:TA393289 ACW393288:ACW393289 AMS393288:AMS393289 AWO393288:AWO393289 BGK393288:BGK393289 BQG393288:BQG393289 CAC393288:CAC393289 CJY393288:CJY393289 CTU393288:CTU393289 DDQ393288:DDQ393289 DNM393288:DNM393289 DXI393288:DXI393289 EHE393288:EHE393289 ERA393288:ERA393289 FAW393288:FAW393289 FKS393288:FKS393289 FUO393288:FUO393289 GEK393288:GEK393289 GOG393288:GOG393289 GYC393288:GYC393289 HHY393288:HHY393289 HRU393288:HRU393289 IBQ393288:IBQ393289 ILM393288:ILM393289 IVI393288:IVI393289 JFE393288:JFE393289 JPA393288:JPA393289 JYW393288:JYW393289 KIS393288:KIS393289 KSO393288:KSO393289 LCK393288:LCK393289 LMG393288:LMG393289 LWC393288:LWC393289 MFY393288:MFY393289 MPU393288:MPU393289 MZQ393288:MZQ393289 NJM393288:NJM393289 NTI393288:NTI393289 ODE393288:ODE393289 ONA393288:ONA393289 OWW393288:OWW393289 PGS393288:PGS393289 PQO393288:PQO393289 QAK393288:QAK393289 QKG393288:QKG393289 QUC393288:QUC393289 RDY393288:RDY393289 RNU393288:RNU393289 RXQ393288:RXQ393289 SHM393288:SHM393289 SRI393288:SRI393289 TBE393288:TBE393289 TLA393288:TLA393289 TUW393288:TUW393289 UES393288:UES393289 UOO393288:UOO393289 UYK393288:UYK393289 VIG393288:VIG393289 VSC393288:VSC393289 WBY393288:WBY393289 WLU393288:WLU393289 WVQ393288:WVQ393289 I458824:I458825 JE458824:JE458825 TA458824:TA458825 ACW458824:ACW458825 AMS458824:AMS458825 AWO458824:AWO458825 BGK458824:BGK458825 BQG458824:BQG458825 CAC458824:CAC458825 CJY458824:CJY458825 CTU458824:CTU458825 DDQ458824:DDQ458825 DNM458824:DNM458825 DXI458824:DXI458825 EHE458824:EHE458825 ERA458824:ERA458825 FAW458824:FAW458825 FKS458824:FKS458825 FUO458824:FUO458825 GEK458824:GEK458825 GOG458824:GOG458825 GYC458824:GYC458825 HHY458824:HHY458825 HRU458824:HRU458825 IBQ458824:IBQ458825 ILM458824:ILM458825 IVI458824:IVI458825 JFE458824:JFE458825 JPA458824:JPA458825 JYW458824:JYW458825 KIS458824:KIS458825 KSO458824:KSO458825 LCK458824:LCK458825 LMG458824:LMG458825 LWC458824:LWC458825 MFY458824:MFY458825 MPU458824:MPU458825 MZQ458824:MZQ458825 NJM458824:NJM458825 NTI458824:NTI458825 ODE458824:ODE458825 ONA458824:ONA458825 OWW458824:OWW458825 PGS458824:PGS458825 PQO458824:PQO458825 QAK458824:QAK458825 QKG458824:QKG458825 QUC458824:QUC458825 RDY458824:RDY458825 RNU458824:RNU458825 RXQ458824:RXQ458825 SHM458824:SHM458825 SRI458824:SRI458825 TBE458824:TBE458825 TLA458824:TLA458825 TUW458824:TUW458825 UES458824:UES458825 UOO458824:UOO458825 UYK458824:UYK458825 VIG458824:VIG458825 VSC458824:VSC458825 WBY458824:WBY458825 WLU458824:WLU458825 WVQ458824:WVQ458825 I524360:I524361 JE524360:JE524361 TA524360:TA524361 ACW524360:ACW524361 AMS524360:AMS524361 AWO524360:AWO524361 BGK524360:BGK524361 BQG524360:BQG524361 CAC524360:CAC524361 CJY524360:CJY524361 CTU524360:CTU524361 DDQ524360:DDQ524361 DNM524360:DNM524361 DXI524360:DXI524361 EHE524360:EHE524361 ERA524360:ERA524361 FAW524360:FAW524361 FKS524360:FKS524361 FUO524360:FUO524361 GEK524360:GEK524361 GOG524360:GOG524361 GYC524360:GYC524361 HHY524360:HHY524361 HRU524360:HRU524361 IBQ524360:IBQ524361 ILM524360:ILM524361 IVI524360:IVI524361 JFE524360:JFE524361 JPA524360:JPA524361 JYW524360:JYW524361 KIS524360:KIS524361 KSO524360:KSO524361 LCK524360:LCK524361 LMG524360:LMG524361 LWC524360:LWC524361 MFY524360:MFY524361 MPU524360:MPU524361 MZQ524360:MZQ524361 NJM524360:NJM524361 NTI524360:NTI524361 ODE524360:ODE524361 ONA524360:ONA524361 OWW524360:OWW524361 PGS524360:PGS524361 PQO524360:PQO524361 QAK524360:QAK524361 QKG524360:QKG524361 QUC524360:QUC524361 RDY524360:RDY524361 RNU524360:RNU524361 RXQ524360:RXQ524361 SHM524360:SHM524361 SRI524360:SRI524361 TBE524360:TBE524361 TLA524360:TLA524361 TUW524360:TUW524361 UES524360:UES524361 UOO524360:UOO524361 UYK524360:UYK524361 VIG524360:VIG524361 VSC524360:VSC524361 WBY524360:WBY524361 WLU524360:WLU524361 WVQ524360:WVQ524361 I589896:I589897 JE589896:JE589897 TA589896:TA589897 ACW589896:ACW589897 AMS589896:AMS589897 AWO589896:AWO589897 BGK589896:BGK589897 BQG589896:BQG589897 CAC589896:CAC589897 CJY589896:CJY589897 CTU589896:CTU589897 DDQ589896:DDQ589897 DNM589896:DNM589897 DXI589896:DXI589897 EHE589896:EHE589897 ERA589896:ERA589897 FAW589896:FAW589897 FKS589896:FKS589897 FUO589896:FUO589897 GEK589896:GEK589897 GOG589896:GOG589897 GYC589896:GYC589897 HHY589896:HHY589897 HRU589896:HRU589897 IBQ589896:IBQ589897 ILM589896:ILM589897 IVI589896:IVI589897 JFE589896:JFE589897 JPA589896:JPA589897 JYW589896:JYW589897 KIS589896:KIS589897 KSO589896:KSO589897 LCK589896:LCK589897 LMG589896:LMG589897 LWC589896:LWC589897 MFY589896:MFY589897 MPU589896:MPU589897 MZQ589896:MZQ589897 NJM589896:NJM589897 NTI589896:NTI589897 ODE589896:ODE589897 ONA589896:ONA589897 OWW589896:OWW589897 PGS589896:PGS589897 PQO589896:PQO589897 QAK589896:QAK589897 QKG589896:QKG589897 QUC589896:QUC589897 RDY589896:RDY589897 RNU589896:RNU589897 RXQ589896:RXQ589897 SHM589896:SHM589897 SRI589896:SRI589897 TBE589896:TBE589897 TLA589896:TLA589897 TUW589896:TUW589897 UES589896:UES589897 UOO589896:UOO589897 UYK589896:UYK589897 VIG589896:VIG589897 VSC589896:VSC589897 WBY589896:WBY589897 WLU589896:WLU589897 WVQ589896:WVQ589897 I655432:I655433 JE655432:JE655433 TA655432:TA655433 ACW655432:ACW655433 AMS655432:AMS655433 AWO655432:AWO655433 BGK655432:BGK655433 BQG655432:BQG655433 CAC655432:CAC655433 CJY655432:CJY655433 CTU655432:CTU655433 DDQ655432:DDQ655433 DNM655432:DNM655433 DXI655432:DXI655433 EHE655432:EHE655433 ERA655432:ERA655433 FAW655432:FAW655433 FKS655432:FKS655433 FUO655432:FUO655433 GEK655432:GEK655433 GOG655432:GOG655433 GYC655432:GYC655433 HHY655432:HHY655433 HRU655432:HRU655433 IBQ655432:IBQ655433 ILM655432:ILM655433 IVI655432:IVI655433 JFE655432:JFE655433 JPA655432:JPA655433 JYW655432:JYW655433 KIS655432:KIS655433 KSO655432:KSO655433 LCK655432:LCK655433 LMG655432:LMG655433 LWC655432:LWC655433 MFY655432:MFY655433 MPU655432:MPU655433 MZQ655432:MZQ655433 NJM655432:NJM655433 NTI655432:NTI655433 ODE655432:ODE655433 ONA655432:ONA655433 OWW655432:OWW655433 PGS655432:PGS655433 PQO655432:PQO655433 QAK655432:QAK655433 QKG655432:QKG655433 QUC655432:QUC655433 RDY655432:RDY655433 RNU655432:RNU655433 RXQ655432:RXQ655433 SHM655432:SHM655433 SRI655432:SRI655433 TBE655432:TBE655433 TLA655432:TLA655433 TUW655432:TUW655433 UES655432:UES655433 UOO655432:UOO655433 UYK655432:UYK655433 VIG655432:VIG655433 VSC655432:VSC655433 WBY655432:WBY655433 WLU655432:WLU655433 WVQ655432:WVQ655433 I720968:I720969 JE720968:JE720969 TA720968:TA720969 ACW720968:ACW720969 AMS720968:AMS720969 AWO720968:AWO720969 BGK720968:BGK720969 BQG720968:BQG720969 CAC720968:CAC720969 CJY720968:CJY720969 CTU720968:CTU720969 DDQ720968:DDQ720969 DNM720968:DNM720969 DXI720968:DXI720969 EHE720968:EHE720969 ERA720968:ERA720969 FAW720968:FAW720969 FKS720968:FKS720969 FUO720968:FUO720969 GEK720968:GEK720969 GOG720968:GOG720969 GYC720968:GYC720969 HHY720968:HHY720969 HRU720968:HRU720969 IBQ720968:IBQ720969 ILM720968:ILM720969 IVI720968:IVI720969 JFE720968:JFE720969 JPA720968:JPA720969 JYW720968:JYW720969 KIS720968:KIS720969 KSO720968:KSO720969 LCK720968:LCK720969 LMG720968:LMG720969 LWC720968:LWC720969 MFY720968:MFY720969 MPU720968:MPU720969 MZQ720968:MZQ720969 NJM720968:NJM720969 NTI720968:NTI720969 ODE720968:ODE720969 ONA720968:ONA720969 OWW720968:OWW720969 PGS720968:PGS720969 PQO720968:PQO720969 QAK720968:QAK720969 QKG720968:QKG720969 QUC720968:QUC720969 RDY720968:RDY720969 RNU720968:RNU720969 RXQ720968:RXQ720969 SHM720968:SHM720969 SRI720968:SRI720969 TBE720968:TBE720969 TLA720968:TLA720969 TUW720968:TUW720969 UES720968:UES720969 UOO720968:UOO720969 UYK720968:UYK720969 VIG720968:VIG720969 VSC720968:VSC720969 WBY720968:WBY720969 WLU720968:WLU720969 WVQ720968:WVQ720969 I786504:I786505 JE786504:JE786505 TA786504:TA786505 ACW786504:ACW786505 AMS786504:AMS786505 AWO786504:AWO786505 BGK786504:BGK786505 BQG786504:BQG786505 CAC786504:CAC786505 CJY786504:CJY786505 CTU786504:CTU786505 DDQ786504:DDQ786505 DNM786504:DNM786505 DXI786504:DXI786505 EHE786504:EHE786505 ERA786504:ERA786505 FAW786504:FAW786505 FKS786504:FKS786505 FUO786504:FUO786505 GEK786504:GEK786505 GOG786504:GOG786505 GYC786504:GYC786505 HHY786504:HHY786505 HRU786504:HRU786505 IBQ786504:IBQ786505 ILM786504:ILM786505 IVI786504:IVI786505 JFE786504:JFE786505 JPA786504:JPA786505 JYW786504:JYW786505 KIS786504:KIS786505 KSO786504:KSO786505 LCK786504:LCK786505 LMG786504:LMG786505 LWC786504:LWC786505 MFY786504:MFY786505 MPU786504:MPU786505 MZQ786504:MZQ786505 NJM786504:NJM786505 NTI786504:NTI786505 ODE786504:ODE786505 ONA786504:ONA786505 OWW786504:OWW786505 PGS786504:PGS786505 PQO786504:PQO786505 QAK786504:QAK786505 QKG786504:QKG786505 QUC786504:QUC786505 RDY786504:RDY786505 RNU786504:RNU786505 RXQ786504:RXQ786505 SHM786504:SHM786505 SRI786504:SRI786505 TBE786504:TBE786505 TLA786504:TLA786505 TUW786504:TUW786505 UES786504:UES786505 UOO786504:UOO786505 UYK786504:UYK786505 VIG786504:VIG786505 VSC786504:VSC786505 WBY786504:WBY786505 WLU786504:WLU786505 WVQ786504:WVQ786505 I852040:I852041 JE852040:JE852041 TA852040:TA852041 ACW852040:ACW852041 AMS852040:AMS852041 AWO852040:AWO852041 BGK852040:BGK852041 BQG852040:BQG852041 CAC852040:CAC852041 CJY852040:CJY852041 CTU852040:CTU852041 DDQ852040:DDQ852041 DNM852040:DNM852041 DXI852040:DXI852041 EHE852040:EHE852041 ERA852040:ERA852041 FAW852040:FAW852041 FKS852040:FKS852041 FUO852040:FUO852041 GEK852040:GEK852041 GOG852040:GOG852041 GYC852040:GYC852041 HHY852040:HHY852041 HRU852040:HRU852041 IBQ852040:IBQ852041 ILM852040:ILM852041 IVI852040:IVI852041 JFE852040:JFE852041 JPA852040:JPA852041 JYW852040:JYW852041 KIS852040:KIS852041 KSO852040:KSO852041 LCK852040:LCK852041 LMG852040:LMG852041 LWC852040:LWC852041 MFY852040:MFY852041 MPU852040:MPU852041 MZQ852040:MZQ852041 NJM852040:NJM852041 NTI852040:NTI852041 ODE852040:ODE852041 ONA852040:ONA852041 OWW852040:OWW852041 PGS852040:PGS852041 PQO852040:PQO852041 QAK852040:QAK852041 QKG852040:QKG852041 QUC852040:QUC852041 RDY852040:RDY852041 RNU852040:RNU852041 RXQ852040:RXQ852041 SHM852040:SHM852041 SRI852040:SRI852041 TBE852040:TBE852041 TLA852040:TLA852041 TUW852040:TUW852041 UES852040:UES852041 UOO852040:UOO852041 UYK852040:UYK852041 VIG852040:VIG852041 VSC852040:VSC852041 WBY852040:WBY852041 WLU852040:WLU852041 WVQ852040:WVQ852041 I917576:I917577 JE917576:JE917577 TA917576:TA917577 ACW917576:ACW917577 AMS917576:AMS917577 AWO917576:AWO917577 BGK917576:BGK917577 BQG917576:BQG917577 CAC917576:CAC917577 CJY917576:CJY917577 CTU917576:CTU917577 DDQ917576:DDQ917577 DNM917576:DNM917577 DXI917576:DXI917577 EHE917576:EHE917577 ERA917576:ERA917577 FAW917576:FAW917577 FKS917576:FKS917577 FUO917576:FUO917577 GEK917576:GEK917577 GOG917576:GOG917577 GYC917576:GYC917577 HHY917576:HHY917577 HRU917576:HRU917577 IBQ917576:IBQ917577 ILM917576:ILM917577 IVI917576:IVI917577 JFE917576:JFE917577 JPA917576:JPA917577 JYW917576:JYW917577 KIS917576:KIS917577 KSO917576:KSO917577 LCK917576:LCK917577 LMG917576:LMG917577 LWC917576:LWC917577 MFY917576:MFY917577 MPU917576:MPU917577 MZQ917576:MZQ917577 NJM917576:NJM917577 NTI917576:NTI917577 ODE917576:ODE917577 ONA917576:ONA917577 OWW917576:OWW917577 PGS917576:PGS917577 PQO917576:PQO917577 QAK917576:QAK917577 QKG917576:QKG917577 QUC917576:QUC917577 RDY917576:RDY917577 RNU917576:RNU917577 RXQ917576:RXQ917577 SHM917576:SHM917577 SRI917576:SRI917577 TBE917576:TBE917577 TLA917576:TLA917577 TUW917576:TUW917577 UES917576:UES917577 UOO917576:UOO917577 UYK917576:UYK917577 VIG917576:VIG917577 VSC917576:VSC917577 WBY917576:WBY917577 WLU917576:WLU917577 WVQ917576:WVQ917577 I983112:I983113 JE983112:JE983113 TA983112:TA983113 ACW983112:ACW983113 AMS983112:AMS983113 AWO983112:AWO983113 BGK983112:BGK983113 BQG983112:BQG983113 CAC983112:CAC983113 CJY983112:CJY983113 CTU983112:CTU983113 DDQ983112:DDQ983113 DNM983112:DNM983113 DXI983112:DXI983113 EHE983112:EHE983113 ERA983112:ERA983113 FAW983112:FAW983113 FKS983112:FKS983113 FUO983112:FUO983113 GEK983112:GEK983113 GOG983112:GOG983113 GYC983112:GYC983113 HHY983112:HHY983113 HRU983112:HRU983113 IBQ983112:IBQ983113 ILM983112:ILM983113 IVI983112:IVI983113 JFE983112:JFE983113 JPA983112:JPA983113 JYW983112:JYW983113 KIS983112:KIS983113 KSO983112:KSO983113 LCK983112:LCK983113 LMG983112:LMG983113 LWC983112:LWC983113 MFY983112:MFY983113 MPU983112:MPU983113 MZQ983112:MZQ983113 NJM983112:NJM983113 NTI983112:NTI983113 ODE983112:ODE983113 ONA983112:ONA983113 OWW983112:OWW983113 PGS983112:PGS983113 PQO983112:PQO983113 QAK983112:QAK983113 QKG983112:QKG983113 QUC983112:QUC983113 RDY983112:RDY983113 RNU983112:RNU983113 RXQ983112:RXQ983113 SHM983112:SHM983113 SRI983112:SRI983113 TBE983112:TBE983113 TLA983112:TLA983113 TUW983112:TUW983113 UES983112:UES983113 UOO983112:UOO983113 UYK983112:UYK983113 VIG983112:VIG983113 VSC983112:VSC983113 WBY983112:WBY983113 WLU983112:WLU983113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9FF99"/>
  </sheetPr>
  <dimension ref="A1:BQ180"/>
  <sheetViews>
    <sheetView showGridLines="0" view="pageBreakPreview" zoomScaleNormal="75" zoomScaleSheetLayoutView="100" workbookViewId="0">
      <selection activeCell="B1" sqref="B1"/>
    </sheetView>
  </sheetViews>
  <sheetFormatPr defaultRowHeight="12.75"/>
  <cols>
    <col min="1" max="1" width="9.140625" style="953"/>
    <col min="2" max="2" width="20" style="953" customWidth="1"/>
    <col min="3" max="3" width="19.85546875" style="953" customWidth="1"/>
    <col min="4" max="4" width="22.140625" style="953" customWidth="1"/>
    <col min="5" max="5" width="13.140625" style="953" customWidth="1"/>
    <col min="6" max="6" width="11.140625" style="953" customWidth="1"/>
    <col min="7" max="7" width="7.7109375" style="953" customWidth="1"/>
    <col min="8" max="8" width="8.7109375" style="953" customWidth="1"/>
    <col min="9" max="9" width="12.140625" style="953" customWidth="1"/>
    <col min="10" max="10" width="14.5703125" style="953" customWidth="1"/>
    <col min="11" max="11" width="9" style="953" customWidth="1"/>
    <col min="12" max="12" width="8.85546875" style="953" customWidth="1"/>
    <col min="13" max="13" width="11.42578125" style="953" customWidth="1"/>
    <col min="14" max="14" width="7.5703125" style="953" customWidth="1"/>
    <col min="15" max="15" width="6.85546875" style="953" customWidth="1"/>
    <col min="16" max="16" width="35.7109375" style="953" customWidth="1"/>
    <col min="17" max="19" width="9.140625" style="953"/>
    <col min="20" max="20" width="9.140625" style="953" hidden="1" customWidth="1"/>
    <col min="21" max="257" width="9.140625" style="953"/>
    <col min="258" max="258" width="20" style="953" customWidth="1"/>
    <col min="259" max="259" width="19.85546875" style="953" customWidth="1"/>
    <col min="260" max="260" width="22.140625" style="953" customWidth="1"/>
    <col min="261" max="261" width="13.140625" style="953" customWidth="1"/>
    <col min="262" max="262" width="11.140625" style="953" customWidth="1"/>
    <col min="263" max="263" width="7.7109375" style="953" customWidth="1"/>
    <col min="264" max="264" width="8.7109375" style="953" customWidth="1"/>
    <col min="265" max="265" width="12.140625" style="953" customWidth="1"/>
    <col min="266" max="266" width="14.5703125" style="953" customWidth="1"/>
    <col min="267" max="267" width="9" style="953" customWidth="1"/>
    <col min="268" max="268" width="8.85546875" style="953" customWidth="1"/>
    <col min="269" max="269" width="11.42578125" style="953" customWidth="1"/>
    <col min="270" max="424" width="9.140625" style="953"/>
    <col min="425" max="425" width="20" style="953" customWidth="1"/>
    <col min="426" max="426" width="19.85546875" style="953" customWidth="1"/>
    <col min="427" max="427" width="22.140625" style="953" customWidth="1"/>
    <col min="428" max="428" width="13.140625" style="953" customWidth="1"/>
    <col min="429" max="429" width="11.140625" style="953" customWidth="1"/>
    <col min="430" max="430" width="7.7109375" style="953" customWidth="1"/>
    <col min="431" max="431" width="8.7109375" style="953" customWidth="1"/>
    <col min="432" max="432" width="12.140625" style="953" customWidth="1"/>
    <col min="433" max="433" width="14.5703125" style="953" customWidth="1"/>
    <col min="434" max="434" width="9" style="953" customWidth="1"/>
    <col min="435" max="435" width="8.85546875" style="953" customWidth="1"/>
    <col min="436" max="436" width="11.42578125" style="953" customWidth="1"/>
    <col min="437" max="437" width="7.5703125" style="953" customWidth="1"/>
    <col min="438" max="438" width="6.85546875" style="953" customWidth="1"/>
    <col min="439" max="439" width="35.7109375" style="953" customWidth="1"/>
    <col min="440" max="442" width="9.140625" style="953"/>
    <col min="443" max="443" width="0" style="953" hidden="1" customWidth="1"/>
    <col min="444" max="680" width="9.140625" style="953"/>
    <col min="681" max="681" width="20" style="953" customWidth="1"/>
    <col min="682" max="682" width="19.85546875" style="953" customWidth="1"/>
    <col min="683" max="683" width="22.140625" style="953" customWidth="1"/>
    <col min="684" max="684" width="13.140625" style="953" customWidth="1"/>
    <col min="685" max="685" width="11.140625" style="953" customWidth="1"/>
    <col min="686" max="686" width="7.7109375" style="953" customWidth="1"/>
    <col min="687" max="687" width="8.7109375" style="953" customWidth="1"/>
    <col min="688" max="688" width="12.140625" style="953" customWidth="1"/>
    <col min="689" max="689" width="14.5703125" style="953" customWidth="1"/>
    <col min="690" max="690" width="9" style="953" customWidth="1"/>
    <col min="691" max="691" width="8.85546875" style="953" customWidth="1"/>
    <col min="692" max="692" width="11.42578125" style="953" customWidth="1"/>
    <col min="693" max="693" width="7.5703125" style="953" customWidth="1"/>
    <col min="694" max="694" width="6.85546875" style="953" customWidth="1"/>
    <col min="695" max="695" width="35.7109375" style="953" customWidth="1"/>
    <col min="696" max="698" width="9.140625" style="953"/>
    <col min="699" max="699" width="0" style="953" hidden="1" customWidth="1"/>
    <col min="700" max="936" width="9.140625" style="953"/>
    <col min="937" max="937" width="20" style="953" customWidth="1"/>
    <col min="938" max="938" width="19.85546875" style="953" customWidth="1"/>
    <col min="939" max="939" width="22.140625" style="953" customWidth="1"/>
    <col min="940" max="940" width="13.140625" style="953" customWidth="1"/>
    <col min="941" max="941" width="11.140625" style="953" customWidth="1"/>
    <col min="942" max="942" width="7.7109375" style="953" customWidth="1"/>
    <col min="943" max="943" width="8.7109375" style="953" customWidth="1"/>
    <col min="944" max="944" width="12.140625" style="953" customWidth="1"/>
    <col min="945" max="945" width="14.5703125" style="953" customWidth="1"/>
    <col min="946" max="946" width="9" style="953" customWidth="1"/>
    <col min="947" max="947" width="8.85546875" style="953" customWidth="1"/>
    <col min="948" max="948" width="11.42578125" style="953" customWidth="1"/>
    <col min="949" max="949" width="7.5703125" style="953" customWidth="1"/>
    <col min="950" max="950" width="6.85546875" style="953" customWidth="1"/>
    <col min="951" max="951" width="35.7109375" style="953" customWidth="1"/>
    <col min="952" max="954" width="9.140625" style="953"/>
    <col min="955" max="955" width="0" style="953" hidden="1" customWidth="1"/>
    <col min="956" max="1192" width="9.140625" style="953"/>
    <col min="1193" max="1193" width="20" style="953" customWidth="1"/>
    <col min="1194" max="1194" width="19.85546875" style="953" customWidth="1"/>
    <col min="1195" max="1195" width="22.140625" style="953" customWidth="1"/>
    <col min="1196" max="1196" width="13.140625" style="953" customWidth="1"/>
    <col min="1197" max="1197" width="11.140625" style="953" customWidth="1"/>
    <col min="1198" max="1198" width="7.7109375" style="953" customWidth="1"/>
    <col min="1199" max="1199" width="8.7109375" style="953" customWidth="1"/>
    <col min="1200" max="1200" width="12.140625" style="953" customWidth="1"/>
    <col min="1201" max="1201" width="14.5703125" style="953" customWidth="1"/>
    <col min="1202" max="1202" width="9" style="953" customWidth="1"/>
    <col min="1203" max="1203" width="8.85546875" style="953" customWidth="1"/>
    <col min="1204" max="1204" width="11.42578125" style="953" customWidth="1"/>
    <col min="1205" max="1205" width="7.5703125" style="953" customWidth="1"/>
    <col min="1206" max="1206" width="6.85546875" style="953" customWidth="1"/>
    <col min="1207" max="1207" width="35.7109375" style="953" customWidth="1"/>
    <col min="1208" max="1210" width="9.140625" style="953"/>
    <col min="1211" max="1211" width="0" style="953" hidden="1" customWidth="1"/>
    <col min="1212" max="1448" width="9.140625" style="953"/>
    <col min="1449" max="1449" width="20" style="953" customWidth="1"/>
    <col min="1450" max="1450" width="19.85546875" style="953" customWidth="1"/>
    <col min="1451" max="1451" width="22.140625" style="953" customWidth="1"/>
    <col min="1452" max="1452" width="13.140625" style="953" customWidth="1"/>
    <col min="1453" max="1453" width="11.140625" style="953" customWidth="1"/>
    <col min="1454" max="1454" width="7.7109375" style="953" customWidth="1"/>
    <col min="1455" max="1455" width="8.7109375" style="953" customWidth="1"/>
    <col min="1456" max="1456" width="12.140625" style="953" customWidth="1"/>
    <col min="1457" max="1457" width="14.5703125" style="953" customWidth="1"/>
    <col min="1458" max="1458" width="9" style="953" customWidth="1"/>
    <col min="1459" max="1459" width="8.85546875" style="953" customWidth="1"/>
    <col min="1460" max="1460" width="11.42578125" style="953" customWidth="1"/>
    <col min="1461" max="1461" width="7.5703125" style="953" customWidth="1"/>
    <col min="1462" max="1462" width="6.85546875" style="953" customWidth="1"/>
    <col min="1463" max="1463" width="35.7109375" style="953" customWidth="1"/>
    <col min="1464" max="1466" width="9.140625" style="953"/>
    <col min="1467" max="1467" width="0" style="953" hidden="1" customWidth="1"/>
    <col min="1468" max="1704" width="9.140625" style="953"/>
    <col min="1705" max="1705" width="20" style="953" customWidth="1"/>
    <col min="1706" max="1706" width="19.85546875" style="953" customWidth="1"/>
    <col min="1707" max="1707" width="22.140625" style="953" customWidth="1"/>
    <col min="1708" max="1708" width="13.140625" style="953" customWidth="1"/>
    <col min="1709" max="1709" width="11.140625" style="953" customWidth="1"/>
    <col min="1710" max="1710" width="7.7109375" style="953" customWidth="1"/>
    <col min="1711" max="1711" width="8.7109375" style="953" customWidth="1"/>
    <col min="1712" max="1712" width="12.140625" style="953" customWidth="1"/>
    <col min="1713" max="1713" width="14.5703125" style="953" customWidth="1"/>
    <col min="1714" max="1714" width="9" style="953" customWidth="1"/>
    <col min="1715" max="1715" width="8.85546875" style="953" customWidth="1"/>
    <col min="1716" max="1716" width="11.42578125" style="953" customWidth="1"/>
    <col min="1717" max="1717" width="7.5703125" style="953" customWidth="1"/>
    <col min="1718" max="1718" width="6.85546875" style="953" customWidth="1"/>
    <col min="1719" max="1719" width="35.7109375" style="953" customWidth="1"/>
    <col min="1720" max="1722" width="9.140625" style="953"/>
    <col min="1723" max="1723" width="0" style="953" hidden="1" customWidth="1"/>
    <col min="1724" max="1960" width="9.140625" style="953"/>
    <col min="1961" max="1961" width="20" style="953" customWidth="1"/>
    <col min="1962" max="1962" width="19.85546875" style="953" customWidth="1"/>
    <col min="1963" max="1963" width="22.140625" style="953" customWidth="1"/>
    <col min="1964" max="1964" width="13.140625" style="953" customWidth="1"/>
    <col min="1965" max="1965" width="11.140625" style="953" customWidth="1"/>
    <col min="1966" max="1966" width="7.7109375" style="953" customWidth="1"/>
    <col min="1967" max="1967" width="8.7109375" style="953" customWidth="1"/>
    <col min="1968" max="1968" width="12.140625" style="953" customWidth="1"/>
    <col min="1969" max="1969" width="14.5703125" style="953" customWidth="1"/>
    <col min="1970" max="1970" width="9" style="953" customWidth="1"/>
    <col min="1971" max="1971" width="8.85546875" style="953" customWidth="1"/>
    <col min="1972" max="1972" width="11.42578125" style="953" customWidth="1"/>
    <col min="1973" max="1973" width="7.5703125" style="953" customWidth="1"/>
    <col min="1974" max="1974" width="6.85546875" style="953" customWidth="1"/>
    <col min="1975" max="1975" width="35.7109375" style="953" customWidth="1"/>
    <col min="1976" max="1978" width="9.140625" style="953"/>
    <col min="1979" max="1979" width="0" style="953" hidden="1" customWidth="1"/>
    <col min="1980" max="2216" width="9.140625" style="953"/>
    <col min="2217" max="2217" width="20" style="953" customWidth="1"/>
    <col min="2218" max="2218" width="19.85546875" style="953" customWidth="1"/>
    <col min="2219" max="2219" width="22.140625" style="953" customWidth="1"/>
    <col min="2220" max="2220" width="13.140625" style="953" customWidth="1"/>
    <col min="2221" max="2221" width="11.140625" style="953" customWidth="1"/>
    <col min="2222" max="2222" width="7.7109375" style="953" customWidth="1"/>
    <col min="2223" max="2223" width="8.7109375" style="953" customWidth="1"/>
    <col min="2224" max="2224" width="12.140625" style="953" customWidth="1"/>
    <col min="2225" max="2225" width="14.5703125" style="953" customWidth="1"/>
    <col min="2226" max="2226" width="9" style="953" customWidth="1"/>
    <col min="2227" max="2227" width="8.85546875" style="953" customWidth="1"/>
    <col min="2228" max="2228" width="11.42578125" style="953" customWidth="1"/>
    <col min="2229" max="2229" width="7.5703125" style="953" customWidth="1"/>
    <col min="2230" max="2230" width="6.85546875" style="953" customWidth="1"/>
    <col min="2231" max="2231" width="35.7109375" style="953" customWidth="1"/>
    <col min="2232" max="2234" width="9.140625" style="953"/>
    <col min="2235" max="2235" width="0" style="953" hidden="1" customWidth="1"/>
    <col min="2236" max="2472" width="9.140625" style="953"/>
    <col min="2473" max="2473" width="20" style="953" customWidth="1"/>
    <col min="2474" max="2474" width="19.85546875" style="953" customWidth="1"/>
    <col min="2475" max="2475" width="22.140625" style="953" customWidth="1"/>
    <col min="2476" max="2476" width="13.140625" style="953" customWidth="1"/>
    <col min="2477" max="2477" width="11.140625" style="953" customWidth="1"/>
    <col min="2478" max="2478" width="7.7109375" style="953" customWidth="1"/>
    <col min="2479" max="2479" width="8.7109375" style="953" customWidth="1"/>
    <col min="2480" max="2480" width="12.140625" style="953" customWidth="1"/>
    <col min="2481" max="2481" width="14.5703125" style="953" customWidth="1"/>
    <col min="2482" max="2482" width="9" style="953" customWidth="1"/>
    <col min="2483" max="2483" width="8.85546875" style="953" customWidth="1"/>
    <col min="2484" max="2484" width="11.42578125" style="953" customWidth="1"/>
    <col min="2485" max="2485" width="7.5703125" style="953" customWidth="1"/>
    <col min="2486" max="2486" width="6.85546875" style="953" customWidth="1"/>
    <col min="2487" max="2487" width="35.7109375" style="953" customWidth="1"/>
    <col min="2488" max="2490" width="9.140625" style="953"/>
    <col min="2491" max="2491" width="0" style="953" hidden="1" customWidth="1"/>
    <col min="2492" max="2728" width="9.140625" style="953"/>
    <col min="2729" max="2729" width="20" style="953" customWidth="1"/>
    <col min="2730" max="2730" width="19.85546875" style="953" customWidth="1"/>
    <col min="2731" max="2731" width="22.140625" style="953" customWidth="1"/>
    <col min="2732" max="2732" width="13.140625" style="953" customWidth="1"/>
    <col min="2733" max="2733" width="11.140625" style="953" customWidth="1"/>
    <col min="2734" max="2734" width="7.7109375" style="953" customWidth="1"/>
    <col min="2735" max="2735" width="8.7109375" style="953" customWidth="1"/>
    <col min="2736" max="2736" width="12.140625" style="953" customWidth="1"/>
    <col min="2737" max="2737" width="14.5703125" style="953" customWidth="1"/>
    <col min="2738" max="2738" width="9" style="953" customWidth="1"/>
    <col min="2739" max="2739" width="8.85546875" style="953" customWidth="1"/>
    <col min="2740" max="2740" width="11.42578125" style="953" customWidth="1"/>
    <col min="2741" max="2741" width="7.5703125" style="953" customWidth="1"/>
    <col min="2742" max="2742" width="6.85546875" style="953" customWidth="1"/>
    <col min="2743" max="2743" width="35.7109375" style="953" customWidth="1"/>
    <col min="2744" max="2746" width="9.140625" style="953"/>
    <col min="2747" max="2747" width="0" style="953" hidden="1" customWidth="1"/>
    <col min="2748" max="2984" width="9.140625" style="953"/>
    <col min="2985" max="2985" width="20" style="953" customWidth="1"/>
    <col min="2986" max="2986" width="19.85546875" style="953" customWidth="1"/>
    <col min="2987" max="2987" width="22.140625" style="953" customWidth="1"/>
    <col min="2988" max="2988" width="13.140625" style="953" customWidth="1"/>
    <col min="2989" max="2989" width="11.140625" style="953" customWidth="1"/>
    <col min="2990" max="2990" width="7.7109375" style="953" customWidth="1"/>
    <col min="2991" max="2991" width="8.7109375" style="953" customWidth="1"/>
    <col min="2992" max="2992" width="12.140625" style="953" customWidth="1"/>
    <col min="2993" max="2993" width="14.5703125" style="953" customWidth="1"/>
    <col min="2994" max="2994" width="9" style="953" customWidth="1"/>
    <col min="2995" max="2995" width="8.85546875" style="953" customWidth="1"/>
    <col min="2996" max="2996" width="11.42578125" style="953" customWidth="1"/>
    <col min="2997" max="2997" width="7.5703125" style="953" customWidth="1"/>
    <col min="2998" max="2998" width="6.85546875" style="953" customWidth="1"/>
    <col min="2999" max="2999" width="35.7109375" style="953" customWidth="1"/>
    <col min="3000" max="3002" width="9.140625" style="953"/>
    <col min="3003" max="3003" width="0" style="953" hidden="1" customWidth="1"/>
    <col min="3004" max="3240" width="9.140625" style="953"/>
    <col min="3241" max="3241" width="20" style="953" customWidth="1"/>
    <col min="3242" max="3242" width="19.85546875" style="953" customWidth="1"/>
    <col min="3243" max="3243" width="22.140625" style="953" customWidth="1"/>
    <col min="3244" max="3244" width="13.140625" style="953" customWidth="1"/>
    <col min="3245" max="3245" width="11.140625" style="953" customWidth="1"/>
    <col min="3246" max="3246" width="7.7109375" style="953" customWidth="1"/>
    <col min="3247" max="3247" width="8.7109375" style="953" customWidth="1"/>
    <col min="3248" max="3248" width="12.140625" style="953" customWidth="1"/>
    <col min="3249" max="3249" width="14.5703125" style="953" customWidth="1"/>
    <col min="3250" max="3250" width="9" style="953" customWidth="1"/>
    <col min="3251" max="3251" width="8.85546875" style="953" customWidth="1"/>
    <col min="3252" max="3252" width="11.42578125" style="953" customWidth="1"/>
    <col min="3253" max="3253" width="7.5703125" style="953" customWidth="1"/>
    <col min="3254" max="3254" width="6.85546875" style="953" customWidth="1"/>
    <col min="3255" max="3255" width="35.7109375" style="953" customWidth="1"/>
    <col min="3256" max="3258" width="9.140625" style="953"/>
    <col min="3259" max="3259" width="0" style="953" hidden="1" customWidth="1"/>
    <col min="3260" max="3496" width="9.140625" style="953"/>
    <col min="3497" max="3497" width="20" style="953" customWidth="1"/>
    <col min="3498" max="3498" width="19.85546875" style="953" customWidth="1"/>
    <col min="3499" max="3499" width="22.140625" style="953" customWidth="1"/>
    <col min="3500" max="3500" width="13.140625" style="953" customWidth="1"/>
    <col min="3501" max="3501" width="11.140625" style="953" customWidth="1"/>
    <col min="3502" max="3502" width="7.7109375" style="953" customWidth="1"/>
    <col min="3503" max="3503" width="8.7109375" style="953" customWidth="1"/>
    <col min="3504" max="3504" width="12.140625" style="953" customWidth="1"/>
    <col min="3505" max="3505" width="14.5703125" style="953" customWidth="1"/>
    <col min="3506" max="3506" width="9" style="953" customWidth="1"/>
    <col min="3507" max="3507" width="8.85546875" style="953" customWidth="1"/>
    <col min="3508" max="3508" width="11.42578125" style="953" customWidth="1"/>
    <col min="3509" max="3509" width="7.5703125" style="953" customWidth="1"/>
    <col min="3510" max="3510" width="6.85546875" style="953" customWidth="1"/>
    <col min="3511" max="3511" width="35.7109375" style="953" customWidth="1"/>
    <col min="3512" max="3514" width="9.140625" style="953"/>
    <col min="3515" max="3515" width="0" style="953" hidden="1" customWidth="1"/>
    <col min="3516" max="3752" width="9.140625" style="953"/>
    <col min="3753" max="3753" width="20" style="953" customWidth="1"/>
    <col min="3754" max="3754" width="19.85546875" style="953" customWidth="1"/>
    <col min="3755" max="3755" width="22.140625" style="953" customWidth="1"/>
    <col min="3756" max="3756" width="13.140625" style="953" customWidth="1"/>
    <col min="3757" max="3757" width="11.140625" style="953" customWidth="1"/>
    <col min="3758" max="3758" width="7.7109375" style="953" customWidth="1"/>
    <col min="3759" max="3759" width="8.7109375" style="953" customWidth="1"/>
    <col min="3760" max="3760" width="12.140625" style="953" customWidth="1"/>
    <col min="3761" max="3761" width="14.5703125" style="953" customWidth="1"/>
    <col min="3762" max="3762" width="9" style="953" customWidth="1"/>
    <col min="3763" max="3763" width="8.85546875" style="953" customWidth="1"/>
    <col min="3764" max="3764" width="11.42578125" style="953" customWidth="1"/>
    <col min="3765" max="3765" width="7.5703125" style="953" customWidth="1"/>
    <col min="3766" max="3766" width="6.85546875" style="953" customWidth="1"/>
    <col min="3767" max="3767" width="35.7109375" style="953" customWidth="1"/>
    <col min="3768" max="3770" width="9.140625" style="953"/>
    <col min="3771" max="3771" width="0" style="953" hidden="1" customWidth="1"/>
    <col min="3772" max="4008" width="9.140625" style="953"/>
    <col min="4009" max="4009" width="20" style="953" customWidth="1"/>
    <col min="4010" max="4010" width="19.85546875" style="953" customWidth="1"/>
    <col min="4011" max="4011" width="22.140625" style="953" customWidth="1"/>
    <col min="4012" max="4012" width="13.140625" style="953" customWidth="1"/>
    <col min="4013" max="4013" width="11.140625" style="953" customWidth="1"/>
    <col min="4014" max="4014" width="7.7109375" style="953" customWidth="1"/>
    <col min="4015" max="4015" width="8.7109375" style="953" customWidth="1"/>
    <col min="4016" max="4016" width="12.140625" style="953" customWidth="1"/>
    <col min="4017" max="4017" width="14.5703125" style="953" customWidth="1"/>
    <col min="4018" max="4018" width="9" style="953" customWidth="1"/>
    <col min="4019" max="4019" width="8.85546875" style="953" customWidth="1"/>
    <col min="4020" max="4020" width="11.42578125" style="953" customWidth="1"/>
    <col min="4021" max="4021" width="7.5703125" style="953" customWidth="1"/>
    <col min="4022" max="4022" width="6.85546875" style="953" customWidth="1"/>
    <col min="4023" max="4023" width="35.7109375" style="953" customWidth="1"/>
    <col min="4024" max="4026" width="9.140625" style="953"/>
    <col min="4027" max="4027" width="0" style="953" hidden="1" customWidth="1"/>
    <col min="4028" max="4264" width="9.140625" style="953"/>
    <col min="4265" max="4265" width="20" style="953" customWidth="1"/>
    <col min="4266" max="4266" width="19.85546875" style="953" customWidth="1"/>
    <col min="4267" max="4267" width="22.140625" style="953" customWidth="1"/>
    <col min="4268" max="4268" width="13.140625" style="953" customWidth="1"/>
    <col min="4269" max="4269" width="11.140625" style="953" customWidth="1"/>
    <col min="4270" max="4270" width="7.7109375" style="953" customWidth="1"/>
    <col min="4271" max="4271" width="8.7109375" style="953" customWidth="1"/>
    <col min="4272" max="4272" width="12.140625" style="953" customWidth="1"/>
    <col min="4273" max="4273" width="14.5703125" style="953" customWidth="1"/>
    <col min="4274" max="4274" width="9" style="953" customWidth="1"/>
    <col min="4275" max="4275" width="8.85546875" style="953" customWidth="1"/>
    <col min="4276" max="4276" width="11.42578125" style="953" customWidth="1"/>
    <col min="4277" max="4277" width="7.5703125" style="953" customWidth="1"/>
    <col min="4278" max="4278" width="6.85546875" style="953" customWidth="1"/>
    <col min="4279" max="4279" width="35.7109375" style="953" customWidth="1"/>
    <col min="4280" max="4282" width="9.140625" style="953"/>
    <col min="4283" max="4283" width="0" style="953" hidden="1" customWidth="1"/>
    <col min="4284" max="4520" width="9.140625" style="953"/>
    <col min="4521" max="4521" width="20" style="953" customWidth="1"/>
    <col min="4522" max="4522" width="19.85546875" style="953" customWidth="1"/>
    <col min="4523" max="4523" width="22.140625" style="953" customWidth="1"/>
    <col min="4524" max="4524" width="13.140625" style="953" customWidth="1"/>
    <col min="4525" max="4525" width="11.140625" style="953" customWidth="1"/>
    <col min="4526" max="4526" width="7.7109375" style="953" customWidth="1"/>
    <col min="4527" max="4527" width="8.7109375" style="953" customWidth="1"/>
    <col min="4528" max="4528" width="12.140625" style="953" customWidth="1"/>
    <col min="4529" max="4529" width="14.5703125" style="953" customWidth="1"/>
    <col min="4530" max="4530" width="9" style="953" customWidth="1"/>
    <col min="4531" max="4531" width="8.85546875" style="953" customWidth="1"/>
    <col min="4532" max="4532" width="11.42578125" style="953" customWidth="1"/>
    <col min="4533" max="4533" width="7.5703125" style="953" customWidth="1"/>
    <col min="4534" max="4534" width="6.85546875" style="953" customWidth="1"/>
    <col min="4535" max="4535" width="35.7109375" style="953" customWidth="1"/>
    <col min="4536" max="4538" width="9.140625" style="953"/>
    <col min="4539" max="4539" width="0" style="953" hidden="1" customWidth="1"/>
    <col min="4540" max="4776" width="9.140625" style="953"/>
    <col min="4777" max="4777" width="20" style="953" customWidth="1"/>
    <col min="4778" max="4778" width="19.85546875" style="953" customWidth="1"/>
    <col min="4779" max="4779" width="22.140625" style="953" customWidth="1"/>
    <col min="4780" max="4780" width="13.140625" style="953" customWidth="1"/>
    <col min="4781" max="4781" width="11.140625" style="953" customWidth="1"/>
    <col min="4782" max="4782" width="7.7109375" style="953" customWidth="1"/>
    <col min="4783" max="4783" width="8.7109375" style="953" customWidth="1"/>
    <col min="4784" max="4784" width="12.140625" style="953" customWidth="1"/>
    <col min="4785" max="4785" width="14.5703125" style="953" customWidth="1"/>
    <col min="4786" max="4786" width="9" style="953" customWidth="1"/>
    <col min="4787" max="4787" width="8.85546875" style="953" customWidth="1"/>
    <col min="4788" max="4788" width="11.42578125" style="953" customWidth="1"/>
    <col min="4789" max="4789" width="7.5703125" style="953" customWidth="1"/>
    <col min="4790" max="4790" width="6.85546875" style="953" customWidth="1"/>
    <col min="4791" max="4791" width="35.7109375" style="953" customWidth="1"/>
    <col min="4792" max="4794" width="9.140625" style="953"/>
    <col min="4795" max="4795" width="0" style="953" hidden="1" customWidth="1"/>
    <col min="4796" max="5032" width="9.140625" style="953"/>
    <col min="5033" max="5033" width="20" style="953" customWidth="1"/>
    <col min="5034" max="5034" width="19.85546875" style="953" customWidth="1"/>
    <col min="5035" max="5035" width="22.140625" style="953" customWidth="1"/>
    <col min="5036" max="5036" width="13.140625" style="953" customWidth="1"/>
    <col min="5037" max="5037" width="11.140625" style="953" customWidth="1"/>
    <col min="5038" max="5038" width="7.7109375" style="953" customWidth="1"/>
    <col min="5039" max="5039" width="8.7109375" style="953" customWidth="1"/>
    <col min="5040" max="5040" width="12.140625" style="953" customWidth="1"/>
    <col min="5041" max="5041" width="14.5703125" style="953" customWidth="1"/>
    <col min="5042" max="5042" width="9" style="953" customWidth="1"/>
    <col min="5043" max="5043" width="8.85546875" style="953" customWidth="1"/>
    <col min="5044" max="5044" width="11.42578125" style="953" customWidth="1"/>
    <col min="5045" max="5045" width="7.5703125" style="953" customWidth="1"/>
    <col min="5046" max="5046" width="6.85546875" style="953" customWidth="1"/>
    <col min="5047" max="5047" width="35.7109375" style="953" customWidth="1"/>
    <col min="5048" max="5050" width="9.140625" style="953"/>
    <col min="5051" max="5051" width="0" style="953" hidden="1" customWidth="1"/>
    <col min="5052" max="5288" width="9.140625" style="953"/>
    <col min="5289" max="5289" width="20" style="953" customWidth="1"/>
    <col min="5290" max="5290" width="19.85546875" style="953" customWidth="1"/>
    <col min="5291" max="5291" width="22.140625" style="953" customWidth="1"/>
    <col min="5292" max="5292" width="13.140625" style="953" customWidth="1"/>
    <col min="5293" max="5293" width="11.140625" style="953" customWidth="1"/>
    <col min="5294" max="5294" width="7.7109375" style="953" customWidth="1"/>
    <col min="5295" max="5295" width="8.7109375" style="953" customWidth="1"/>
    <col min="5296" max="5296" width="12.140625" style="953" customWidth="1"/>
    <col min="5297" max="5297" width="14.5703125" style="953" customWidth="1"/>
    <col min="5298" max="5298" width="9" style="953" customWidth="1"/>
    <col min="5299" max="5299" width="8.85546875" style="953" customWidth="1"/>
    <col min="5300" max="5300" width="11.42578125" style="953" customWidth="1"/>
    <col min="5301" max="5301" width="7.5703125" style="953" customWidth="1"/>
    <col min="5302" max="5302" width="6.85546875" style="953" customWidth="1"/>
    <col min="5303" max="5303" width="35.7109375" style="953" customWidth="1"/>
    <col min="5304" max="5306" width="9.140625" style="953"/>
    <col min="5307" max="5307" width="0" style="953" hidden="1" customWidth="1"/>
    <col min="5308" max="5544" width="9.140625" style="953"/>
    <col min="5545" max="5545" width="20" style="953" customWidth="1"/>
    <col min="5546" max="5546" width="19.85546875" style="953" customWidth="1"/>
    <col min="5547" max="5547" width="22.140625" style="953" customWidth="1"/>
    <col min="5548" max="5548" width="13.140625" style="953" customWidth="1"/>
    <col min="5549" max="5549" width="11.140625" style="953" customWidth="1"/>
    <col min="5550" max="5550" width="7.7109375" style="953" customWidth="1"/>
    <col min="5551" max="5551" width="8.7109375" style="953" customWidth="1"/>
    <col min="5552" max="5552" width="12.140625" style="953" customWidth="1"/>
    <col min="5553" max="5553" width="14.5703125" style="953" customWidth="1"/>
    <col min="5554" max="5554" width="9" style="953" customWidth="1"/>
    <col min="5555" max="5555" width="8.85546875" style="953" customWidth="1"/>
    <col min="5556" max="5556" width="11.42578125" style="953" customWidth="1"/>
    <col min="5557" max="5557" width="7.5703125" style="953" customWidth="1"/>
    <col min="5558" max="5558" width="6.85546875" style="953" customWidth="1"/>
    <col min="5559" max="5559" width="35.7109375" style="953" customWidth="1"/>
    <col min="5560" max="5562" width="9.140625" style="953"/>
    <col min="5563" max="5563" width="0" style="953" hidden="1" customWidth="1"/>
    <col min="5564" max="5800" width="9.140625" style="953"/>
    <col min="5801" max="5801" width="20" style="953" customWidth="1"/>
    <col min="5802" max="5802" width="19.85546875" style="953" customWidth="1"/>
    <col min="5803" max="5803" width="22.140625" style="953" customWidth="1"/>
    <col min="5804" max="5804" width="13.140625" style="953" customWidth="1"/>
    <col min="5805" max="5805" width="11.140625" style="953" customWidth="1"/>
    <col min="5806" max="5806" width="7.7109375" style="953" customWidth="1"/>
    <col min="5807" max="5807" width="8.7109375" style="953" customWidth="1"/>
    <col min="5808" max="5808" width="12.140625" style="953" customWidth="1"/>
    <col min="5809" max="5809" width="14.5703125" style="953" customWidth="1"/>
    <col min="5810" max="5810" width="9" style="953" customWidth="1"/>
    <col min="5811" max="5811" width="8.85546875" style="953" customWidth="1"/>
    <col min="5812" max="5812" width="11.42578125" style="953" customWidth="1"/>
    <col min="5813" max="5813" width="7.5703125" style="953" customWidth="1"/>
    <col min="5814" max="5814" width="6.85546875" style="953" customWidth="1"/>
    <col min="5815" max="5815" width="35.7109375" style="953" customWidth="1"/>
    <col min="5816" max="5818" width="9.140625" style="953"/>
    <col min="5819" max="5819" width="0" style="953" hidden="1" customWidth="1"/>
    <col min="5820" max="6056" width="9.140625" style="953"/>
    <col min="6057" max="6057" width="20" style="953" customWidth="1"/>
    <col min="6058" max="6058" width="19.85546875" style="953" customWidth="1"/>
    <col min="6059" max="6059" width="22.140625" style="953" customWidth="1"/>
    <col min="6060" max="6060" width="13.140625" style="953" customWidth="1"/>
    <col min="6061" max="6061" width="11.140625" style="953" customWidth="1"/>
    <col min="6062" max="6062" width="7.7109375" style="953" customWidth="1"/>
    <col min="6063" max="6063" width="8.7109375" style="953" customWidth="1"/>
    <col min="6064" max="6064" width="12.140625" style="953" customWidth="1"/>
    <col min="6065" max="6065" width="14.5703125" style="953" customWidth="1"/>
    <col min="6066" max="6066" width="9" style="953" customWidth="1"/>
    <col min="6067" max="6067" width="8.85546875" style="953" customWidth="1"/>
    <col min="6068" max="6068" width="11.42578125" style="953" customWidth="1"/>
    <col min="6069" max="6069" width="7.5703125" style="953" customWidth="1"/>
    <col min="6070" max="6070" width="6.85546875" style="953" customWidth="1"/>
    <col min="6071" max="6071" width="35.7109375" style="953" customWidth="1"/>
    <col min="6072" max="6074" width="9.140625" style="953"/>
    <col min="6075" max="6075" width="0" style="953" hidden="1" customWidth="1"/>
    <col min="6076" max="6312" width="9.140625" style="953"/>
    <col min="6313" max="6313" width="20" style="953" customWidth="1"/>
    <col min="6314" max="6314" width="19.85546875" style="953" customWidth="1"/>
    <col min="6315" max="6315" width="22.140625" style="953" customWidth="1"/>
    <col min="6316" max="6316" width="13.140625" style="953" customWidth="1"/>
    <col min="6317" max="6317" width="11.140625" style="953" customWidth="1"/>
    <col min="6318" max="6318" width="7.7109375" style="953" customWidth="1"/>
    <col min="6319" max="6319" width="8.7109375" style="953" customWidth="1"/>
    <col min="6320" max="6320" width="12.140625" style="953" customWidth="1"/>
    <col min="6321" max="6321" width="14.5703125" style="953" customWidth="1"/>
    <col min="6322" max="6322" width="9" style="953" customWidth="1"/>
    <col min="6323" max="6323" width="8.85546875" style="953" customWidth="1"/>
    <col min="6324" max="6324" width="11.42578125" style="953" customWidth="1"/>
    <col min="6325" max="6325" width="7.5703125" style="953" customWidth="1"/>
    <col min="6326" max="6326" width="6.85546875" style="953" customWidth="1"/>
    <col min="6327" max="6327" width="35.7109375" style="953" customWidth="1"/>
    <col min="6328" max="6330" width="9.140625" style="953"/>
    <col min="6331" max="6331" width="0" style="953" hidden="1" customWidth="1"/>
    <col min="6332" max="6568" width="9.140625" style="953"/>
    <col min="6569" max="6569" width="20" style="953" customWidth="1"/>
    <col min="6570" max="6570" width="19.85546875" style="953" customWidth="1"/>
    <col min="6571" max="6571" width="22.140625" style="953" customWidth="1"/>
    <col min="6572" max="6572" width="13.140625" style="953" customWidth="1"/>
    <col min="6573" max="6573" width="11.140625" style="953" customWidth="1"/>
    <col min="6574" max="6574" width="7.7109375" style="953" customWidth="1"/>
    <col min="6575" max="6575" width="8.7109375" style="953" customWidth="1"/>
    <col min="6576" max="6576" width="12.140625" style="953" customWidth="1"/>
    <col min="6577" max="6577" width="14.5703125" style="953" customWidth="1"/>
    <col min="6578" max="6578" width="9" style="953" customWidth="1"/>
    <col min="6579" max="6579" width="8.85546875" style="953" customWidth="1"/>
    <col min="6580" max="6580" width="11.42578125" style="953" customWidth="1"/>
    <col min="6581" max="6581" width="7.5703125" style="953" customWidth="1"/>
    <col min="6582" max="6582" width="6.85546875" style="953" customWidth="1"/>
    <col min="6583" max="6583" width="35.7109375" style="953" customWidth="1"/>
    <col min="6584" max="6586" width="9.140625" style="953"/>
    <col min="6587" max="6587" width="0" style="953" hidden="1" customWidth="1"/>
    <col min="6588" max="6824" width="9.140625" style="953"/>
    <col min="6825" max="6825" width="20" style="953" customWidth="1"/>
    <col min="6826" max="6826" width="19.85546875" style="953" customWidth="1"/>
    <col min="6827" max="6827" width="22.140625" style="953" customWidth="1"/>
    <col min="6828" max="6828" width="13.140625" style="953" customWidth="1"/>
    <col min="6829" max="6829" width="11.140625" style="953" customWidth="1"/>
    <col min="6830" max="6830" width="7.7109375" style="953" customWidth="1"/>
    <col min="6831" max="6831" width="8.7109375" style="953" customWidth="1"/>
    <col min="6832" max="6832" width="12.140625" style="953" customWidth="1"/>
    <col min="6833" max="6833" width="14.5703125" style="953" customWidth="1"/>
    <col min="6834" max="6834" width="9" style="953" customWidth="1"/>
    <col min="6835" max="6835" width="8.85546875" style="953" customWidth="1"/>
    <col min="6836" max="6836" width="11.42578125" style="953" customWidth="1"/>
    <col min="6837" max="6837" width="7.5703125" style="953" customWidth="1"/>
    <col min="6838" max="6838" width="6.85546875" style="953" customWidth="1"/>
    <col min="6839" max="6839" width="35.7109375" style="953" customWidth="1"/>
    <col min="6840" max="6842" width="9.140625" style="953"/>
    <col min="6843" max="6843" width="0" style="953" hidden="1" customWidth="1"/>
    <col min="6844" max="7080" width="9.140625" style="953"/>
    <col min="7081" max="7081" width="20" style="953" customWidth="1"/>
    <col min="7082" max="7082" width="19.85546875" style="953" customWidth="1"/>
    <col min="7083" max="7083" width="22.140625" style="953" customWidth="1"/>
    <col min="7084" max="7084" width="13.140625" style="953" customWidth="1"/>
    <col min="7085" max="7085" width="11.140625" style="953" customWidth="1"/>
    <col min="7086" max="7086" width="7.7109375" style="953" customWidth="1"/>
    <col min="7087" max="7087" width="8.7109375" style="953" customWidth="1"/>
    <col min="7088" max="7088" width="12.140625" style="953" customWidth="1"/>
    <col min="7089" max="7089" width="14.5703125" style="953" customWidth="1"/>
    <col min="7090" max="7090" width="9" style="953" customWidth="1"/>
    <col min="7091" max="7091" width="8.85546875" style="953" customWidth="1"/>
    <col min="7092" max="7092" width="11.42578125" style="953" customWidth="1"/>
    <col min="7093" max="7093" width="7.5703125" style="953" customWidth="1"/>
    <col min="7094" max="7094" width="6.85546875" style="953" customWidth="1"/>
    <col min="7095" max="7095" width="35.7109375" style="953" customWidth="1"/>
    <col min="7096" max="7098" width="9.140625" style="953"/>
    <col min="7099" max="7099" width="0" style="953" hidden="1" customWidth="1"/>
    <col min="7100" max="7336" width="9.140625" style="953"/>
    <col min="7337" max="7337" width="20" style="953" customWidth="1"/>
    <col min="7338" max="7338" width="19.85546875" style="953" customWidth="1"/>
    <col min="7339" max="7339" width="22.140625" style="953" customWidth="1"/>
    <col min="7340" max="7340" width="13.140625" style="953" customWidth="1"/>
    <col min="7341" max="7341" width="11.140625" style="953" customWidth="1"/>
    <col min="7342" max="7342" width="7.7109375" style="953" customWidth="1"/>
    <col min="7343" max="7343" width="8.7109375" style="953" customWidth="1"/>
    <col min="7344" max="7344" width="12.140625" style="953" customWidth="1"/>
    <col min="7345" max="7345" width="14.5703125" style="953" customWidth="1"/>
    <col min="7346" max="7346" width="9" style="953" customWidth="1"/>
    <col min="7347" max="7347" width="8.85546875" style="953" customWidth="1"/>
    <col min="7348" max="7348" width="11.42578125" style="953" customWidth="1"/>
    <col min="7349" max="7349" width="7.5703125" style="953" customWidth="1"/>
    <col min="7350" max="7350" width="6.85546875" style="953" customWidth="1"/>
    <col min="7351" max="7351" width="35.7109375" style="953" customWidth="1"/>
    <col min="7352" max="7354" width="9.140625" style="953"/>
    <col min="7355" max="7355" width="0" style="953" hidden="1" customWidth="1"/>
    <col min="7356" max="7592" width="9.140625" style="953"/>
    <col min="7593" max="7593" width="20" style="953" customWidth="1"/>
    <col min="7594" max="7594" width="19.85546875" style="953" customWidth="1"/>
    <col min="7595" max="7595" width="22.140625" style="953" customWidth="1"/>
    <col min="7596" max="7596" width="13.140625" style="953" customWidth="1"/>
    <col min="7597" max="7597" width="11.140625" style="953" customWidth="1"/>
    <col min="7598" max="7598" width="7.7109375" style="953" customWidth="1"/>
    <col min="7599" max="7599" width="8.7109375" style="953" customWidth="1"/>
    <col min="7600" max="7600" width="12.140625" style="953" customWidth="1"/>
    <col min="7601" max="7601" width="14.5703125" style="953" customWidth="1"/>
    <col min="7602" max="7602" width="9" style="953" customWidth="1"/>
    <col min="7603" max="7603" width="8.85546875" style="953" customWidth="1"/>
    <col min="7604" max="7604" width="11.42578125" style="953" customWidth="1"/>
    <col min="7605" max="7605" width="7.5703125" style="953" customWidth="1"/>
    <col min="7606" max="7606" width="6.85546875" style="953" customWidth="1"/>
    <col min="7607" max="7607" width="35.7109375" style="953" customWidth="1"/>
    <col min="7608" max="7610" width="9.140625" style="953"/>
    <col min="7611" max="7611" width="0" style="953" hidden="1" customWidth="1"/>
    <col min="7612" max="7848" width="9.140625" style="953"/>
    <col min="7849" max="7849" width="20" style="953" customWidth="1"/>
    <col min="7850" max="7850" width="19.85546875" style="953" customWidth="1"/>
    <col min="7851" max="7851" width="22.140625" style="953" customWidth="1"/>
    <col min="7852" max="7852" width="13.140625" style="953" customWidth="1"/>
    <col min="7853" max="7853" width="11.140625" style="953" customWidth="1"/>
    <col min="7854" max="7854" width="7.7109375" style="953" customWidth="1"/>
    <col min="7855" max="7855" width="8.7109375" style="953" customWidth="1"/>
    <col min="7856" max="7856" width="12.140625" style="953" customWidth="1"/>
    <col min="7857" max="7857" width="14.5703125" style="953" customWidth="1"/>
    <col min="7858" max="7858" width="9" style="953" customWidth="1"/>
    <col min="7859" max="7859" width="8.85546875" style="953" customWidth="1"/>
    <col min="7860" max="7860" width="11.42578125" style="953" customWidth="1"/>
    <col min="7861" max="7861" width="7.5703125" style="953" customWidth="1"/>
    <col min="7862" max="7862" width="6.85546875" style="953" customWidth="1"/>
    <col min="7863" max="7863" width="35.7109375" style="953" customWidth="1"/>
    <col min="7864" max="7866" width="9.140625" style="953"/>
    <col min="7867" max="7867" width="0" style="953" hidden="1" customWidth="1"/>
    <col min="7868" max="8104" width="9.140625" style="953"/>
    <col min="8105" max="8105" width="20" style="953" customWidth="1"/>
    <col min="8106" max="8106" width="19.85546875" style="953" customWidth="1"/>
    <col min="8107" max="8107" width="22.140625" style="953" customWidth="1"/>
    <col min="8108" max="8108" width="13.140625" style="953" customWidth="1"/>
    <col min="8109" max="8109" width="11.140625" style="953" customWidth="1"/>
    <col min="8110" max="8110" width="7.7109375" style="953" customWidth="1"/>
    <col min="8111" max="8111" width="8.7109375" style="953" customWidth="1"/>
    <col min="8112" max="8112" width="12.140625" style="953" customWidth="1"/>
    <col min="8113" max="8113" width="14.5703125" style="953" customWidth="1"/>
    <col min="8114" max="8114" width="9" style="953" customWidth="1"/>
    <col min="8115" max="8115" width="8.85546875" style="953" customWidth="1"/>
    <col min="8116" max="8116" width="11.42578125" style="953" customWidth="1"/>
    <col min="8117" max="8117" width="7.5703125" style="953" customWidth="1"/>
    <col min="8118" max="8118" width="6.85546875" style="953" customWidth="1"/>
    <col min="8119" max="8119" width="35.7109375" style="953" customWidth="1"/>
    <col min="8120" max="8122" width="9.140625" style="953"/>
    <col min="8123" max="8123" width="0" style="953" hidden="1" customWidth="1"/>
    <col min="8124" max="8360" width="9.140625" style="953"/>
    <col min="8361" max="8361" width="20" style="953" customWidth="1"/>
    <col min="8362" max="8362" width="19.85546875" style="953" customWidth="1"/>
    <col min="8363" max="8363" width="22.140625" style="953" customWidth="1"/>
    <col min="8364" max="8364" width="13.140625" style="953" customWidth="1"/>
    <col min="8365" max="8365" width="11.140625" style="953" customWidth="1"/>
    <col min="8366" max="8366" width="7.7109375" style="953" customWidth="1"/>
    <col min="8367" max="8367" width="8.7109375" style="953" customWidth="1"/>
    <col min="8368" max="8368" width="12.140625" style="953" customWidth="1"/>
    <col min="8369" max="8369" width="14.5703125" style="953" customWidth="1"/>
    <col min="8370" max="8370" width="9" style="953" customWidth="1"/>
    <col min="8371" max="8371" width="8.85546875" style="953" customWidth="1"/>
    <col min="8372" max="8372" width="11.42578125" style="953" customWidth="1"/>
    <col min="8373" max="8373" width="7.5703125" style="953" customWidth="1"/>
    <col min="8374" max="8374" width="6.85546875" style="953" customWidth="1"/>
    <col min="8375" max="8375" width="35.7109375" style="953" customWidth="1"/>
    <col min="8376" max="8378" width="9.140625" style="953"/>
    <col min="8379" max="8379" width="0" style="953" hidden="1" customWidth="1"/>
    <col min="8380" max="8616" width="9.140625" style="953"/>
    <col min="8617" max="8617" width="20" style="953" customWidth="1"/>
    <col min="8618" max="8618" width="19.85546875" style="953" customWidth="1"/>
    <col min="8619" max="8619" width="22.140625" style="953" customWidth="1"/>
    <col min="8620" max="8620" width="13.140625" style="953" customWidth="1"/>
    <col min="8621" max="8621" width="11.140625" style="953" customWidth="1"/>
    <col min="8622" max="8622" width="7.7109375" style="953" customWidth="1"/>
    <col min="8623" max="8623" width="8.7109375" style="953" customWidth="1"/>
    <col min="8624" max="8624" width="12.140625" style="953" customWidth="1"/>
    <col min="8625" max="8625" width="14.5703125" style="953" customWidth="1"/>
    <col min="8626" max="8626" width="9" style="953" customWidth="1"/>
    <col min="8627" max="8627" width="8.85546875" style="953" customWidth="1"/>
    <col min="8628" max="8628" width="11.42578125" style="953" customWidth="1"/>
    <col min="8629" max="8629" width="7.5703125" style="953" customWidth="1"/>
    <col min="8630" max="8630" width="6.85546875" style="953" customWidth="1"/>
    <col min="8631" max="8631" width="35.7109375" style="953" customWidth="1"/>
    <col min="8632" max="8634" width="9.140625" style="953"/>
    <col min="8635" max="8635" width="0" style="953" hidden="1" customWidth="1"/>
    <col min="8636" max="8872" width="9.140625" style="953"/>
    <col min="8873" max="8873" width="20" style="953" customWidth="1"/>
    <col min="8874" max="8874" width="19.85546875" style="953" customWidth="1"/>
    <col min="8875" max="8875" width="22.140625" style="953" customWidth="1"/>
    <col min="8876" max="8876" width="13.140625" style="953" customWidth="1"/>
    <col min="8877" max="8877" width="11.140625" style="953" customWidth="1"/>
    <col min="8878" max="8878" width="7.7109375" style="953" customWidth="1"/>
    <col min="8879" max="8879" width="8.7109375" style="953" customWidth="1"/>
    <col min="8880" max="8880" width="12.140625" style="953" customWidth="1"/>
    <col min="8881" max="8881" width="14.5703125" style="953" customWidth="1"/>
    <col min="8882" max="8882" width="9" style="953" customWidth="1"/>
    <col min="8883" max="8883" width="8.85546875" style="953" customWidth="1"/>
    <col min="8884" max="8884" width="11.42578125" style="953" customWidth="1"/>
    <col min="8885" max="8885" width="7.5703125" style="953" customWidth="1"/>
    <col min="8886" max="8886" width="6.85546875" style="953" customWidth="1"/>
    <col min="8887" max="8887" width="35.7109375" style="953" customWidth="1"/>
    <col min="8888" max="8890" width="9.140625" style="953"/>
    <col min="8891" max="8891" width="0" style="953" hidden="1" customWidth="1"/>
    <col min="8892" max="9128" width="9.140625" style="953"/>
    <col min="9129" max="9129" width="20" style="953" customWidth="1"/>
    <col min="9130" max="9130" width="19.85546875" style="953" customWidth="1"/>
    <col min="9131" max="9131" width="22.140625" style="953" customWidth="1"/>
    <col min="9132" max="9132" width="13.140625" style="953" customWidth="1"/>
    <col min="9133" max="9133" width="11.140625" style="953" customWidth="1"/>
    <col min="9134" max="9134" width="7.7109375" style="953" customWidth="1"/>
    <col min="9135" max="9135" width="8.7109375" style="953" customWidth="1"/>
    <col min="9136" max="9136" width="12.140625" style="953" customWidth="1"/>
    <col min="9137" max="9137" width="14.5703125" style="953" customWidth="1"/>
    <col min="9138" max="9138" width="9" style="953" customWidth="1"/>
    <col min="9139" max="9139" width="8.85546875" style="953" customWidth="1"/>
    <col min="9140" max="9140" width="11.42578125" style="953" customWidth="1"/>
    <col min="9141" max="9141" width="7.5703125" style="953" customWidth="1"/>
    <col min="9142" max="9142" width="6.85546875" style="953" customWidth="1"/>
    <col min="9143" max="9143" width="35.7109375" style="953" customWidth="1"/>
    <col min="9144" max="9146" width="9.140625" style="953"/>
    <col min="9147" max="9147" width="0" style="953" hidden="1" customWidth="1"/>
    <col min="9148" max="9384" width="9.140625" style="953"/>
    <col min="9385" max="9385" width="20" style="953" customWidth="1"/>
    <col min="9386" max="9386" width="19.85546875" style="953" customWidth="1"/>
    <col min="9387" max="9387" width="22.140625" style="953" customWidth="1"/>
    <col min="9388" max="9388" width="13.140625" style="953" customWidth="1"/>
    <col min="9389" max="9389" width="11.140625" style="953" customWidth="1"/>
    <col min="9390" max="9390" width="7.7109375" style="953" customWidth="1"/>
    <col min="9391" max="9391" width="8.7109375" style="953" customWidth="1"/>
    <col min="9392" max="9392" width="12.140625" style="953" customWidth="1"/>
    <col min="9393" max="9393" width="14.5703125" style="953" customWidth="1"/>
    <col min="9394" max="9394" width="9" style="953" customWidth="1"/>
    <col min="9395" max="9395" width="8.85546875" style="953" customWidth="1"/>
    <col min="9396" max="9396" width="11.42578125" style="953" customWidth="1"/>
    <col min="9397" max="9397" width="7.5703125" style="953" customWidth="1"/>
    <col min="9398" max="9398" width="6.85546875" style="953" customWidth="1"/>
    <col min="9399" max="9399" width="35.7109375" style="953" customWidth="1"/>
    <col min="9400" max="9402" width="9.140625" style="953"/>
    <col min="9403" max="9403" width="0" style="953" hidden="1" customWidth="1"/>
    <col min="9404" max="9640" width="9.140625" style="953"/>
    <col min="9641" max="9641" width="20" style="953" customWidth="1"/>
    <col min="9642" max="9642" width="19.85546875" style="953" customWidth="1"/>
    <col min="9643" max="9643" width="22.140625" style="953" customWidth="1"/>
    <col min="9644" max="9644" width="13.140625" style="953" customWidth="1"/>
    <col min="9645" max="9645" width="11.140625" style="953" customWidth="1"/>
    <col min="9646" max="9646" width="7.7109375" style="953" customWidth="1"/>
    <col min="9647" max="9647" width="8.7109375" style="953" customWidth="1"/>
    <col min="9648" max="9648" width="12.140625" style="953" customWidth="1"/>
    <col min="9649" max="9649" width="14.5703125" style="953" customWidth="1"/>
    <col min="9650" max="9650" width="9" style="953" customWidth="1"/>
    <col min="9651" max="9651" width="8.85546875" style="953" customWidth="1"/>
    <col min="9652" max="9652" width="11.42578125" style="953" customWidth="1"/>
    <col min="9653" max="9653" width="7.5703125" style="953" customWidth="1"/>
    <col min="9654" max="9654" width="6.85546875" style="953" customWidth="1"/>
    <col min="9655" max="9655" width="35.7109375" style="953" customWidth="1"/>
    <col min="9656" max="9658" width="9.140625" style="953"/>
    <col min="9659" max="9659" width="0" style="953" hidden="1" customWidth="1"/>
    <col min="9660" max="9896" width="9.140625" style="953"/>
    <col min="9897" max="9897" width="20" style="953" customWidth="1"/>
    <col min="9898" max="9898" width="19.85546875" style="953" customWidth="1"/>
    <col min="9899" max="9899" width="22.140625" style="953" customWidth="1"/>
    <col min="9900" max="9900" width="13.140625" style="953" customWidth="1"/>
    <col min="9901" max="9901" width="11.140625" style="953" customWidth="1"/>
    <col min="9902" max="9902" width="7.7109375" style="953" customWidth="1"/>
    <col min="9903" max="9903" width="8.7109375" style="953" customWidth="1"/>
    <col min="9904" max="9904" width="12.140625" style="953" customWidth="1"/>
    <col min="9905" max="9905" width="14.5703125" style="953" customWidth="1"/>
    <col min="9906" max="9906" width="9" style="953" customWidth="1"/>
    <col min="9907" max="9907" width="8.85546875" style="953" customWidth="1"/>
    <col min="9908" max="9908" width="11.42578125" style="953" customWidth="1"/>
    <col min="9909" max="9909" width="7.5703125" style="953" customWidth="1"/>
    <col min="9910" max="9910" width="6.85546875" style="953" customWidth="1"/>
    <col min="9911" max="9911" width="35.7109375" style="953" customWidth="1"/>
    <col min="9912" max="9914" width="9.140625" style="953"/>
    <col min="9915" max="9915" width="0" style="953" hidden="1" customWidth="1"/>
    <col min="9916" max="10152" width="9.140625" style="953"/>
    <col min="10153" max="10153" width="20" style="953" customWidth="1"/>
    <col min="10154" max="10154" width="19.85546875" style="953" customWidth="1"/>
    <col min="10155" max="10155" width="22.140625" style="953" customWidth="1"/>
    <col min="10156" max="10156" width="13.140625" style="953" customWidth="1"/>
    <col min="10157" max="10157" width="11.140625" style="953" customWidth="1"/>
    <col min="10158" max="10158" width="7.7109375" style="953" customWidth="1"/>
    <col min="10159" max="10159" width="8.7109375" style="953" customWidth="1"/>
    <col min="10160" max="10160" width="12.140625" style="953" customWidth="1"/>
    <col min="10161" max="10161" width="14.5703125" style="953" customWidth="1"/>
    <col min="10162" max="10162" width="9" style="953" customWidth="1"/>
    <col min="10163" max="10163" width="8.85546875" style="953" customWidth="1"/>
    <col min="10164" max="10164" width="11.42578125" style="953" customWidth="1"/>
    <col min="10165" max="10165" width="7.5703125" style="953" customWidth="1"/>
    <col min="10166" max="10166" width="6.85546875" style="953" customWidth="1"/>
    <col min="10167" max="10167" width="35.7109375" style="953" customWidth="1"/>
    <col min="10168" max="10170" width="9.140625" style="953"/>
    <col min="10171" max="10171" width="0" style="953" hidden="1" customWidth="1"/>
    <col min="10172" max="10408" width="9.140625" style="953"/>
    <col min="10409" max="10409" width="20" style="953" customWidth="1"/>
    <col min="10410" max="10410" width="19.85546875" style="953" customWidth="1"/>
    <col min="10411" max="10411" width="22.140625" style="953" customWidth="1"/>
    <col min="10412" max="10412" width="13.140625" style="953" customWidth="1"/>
    <col min="10413" max="10413" width="11.140625" style="953" customWidth="1"/>
    <col min="10414" max="10414" width="7.7109375" style="953" customWidth="1"/>
    <col min="10415" max="10415" width="8.7109375" style="953" customWidth="1"/>
    <col min="10416" max="10416" width="12.140625" style="953" customWidth="1"/>
    <col min="10417" max="10417" width="14.5703125" style="953" customWidth="1"/>
    <col min="10418" max="10418" width="9" style="953" customWidth="1"/>
    <col min="10419" max="10419" width="8.85546875" style="953" customWidth="1"/>
    <col min="10420" max="10420" width="11.42578125" style="953" customWidth="1"/>
    <col min="10421" max="10421" width="7.5703125" style="953" customWidth="1"/>
    <col min="10422" max="10422" width="6.85546875" style="953" customWidth="1"/>
    <col min="10423" max="10423" width="35.7109375" style="953" customWidth="1"/>
    <col min="10424" max="10426" width="9.140625" style="953"/>
    <col min="10427" max="10427" width="0" style="953" hidden="1" customWidth="1"/>
    <col min="10428" max="10664" width="9.140625" style="953"/>
    <col min="10665" max="10665" width="20" style="953" customWidth="1"/>
    <col min="10666" max="10666" width="19.85546875" style="953" customWidth="1"/>
    <col min="10667" max="10667" width="22.140625" style="953" customWidth="1"/>
    <col min="10668" max="10668" width="13.140625" style="953" customWidth="1"/>
    <col min="10669" max="10669" width="11.140625" style="953" customWidth="1"/>
    <col min="10670" max="10670" width="7.7109375" style="953" customWidth="1"/>
    <col min="10671" max="10671" width="8.7109375" style="953" customWidth="1"/>
    <col min="10672" max="10672" width="12.140625" style="953" customWidth="1"/>
    <col min="10673" max="10673" width="14.5703125" style="953" customWidth="1"/>
    <col min="10674" max="10674" width="9" style="953" customWidth="1"/>
    <col min="10675" max="10675" width="8.85546875" style="953" customWidth="1"/>
    <col min="10676" max="10676" width="11.42578125" style="953" customWidth="1"/>
    <col min="10677" max="10677" width="7.5703125" style="953" customWidth="1"/>
    <col min="10678" max="10678" width="6.85546875" style="953" customWidth="1"/>
    <col min="10679" max="10679" width="35.7109375" style="953" customWidth="1"/>
    <col min="10680" max="10682" width="9.140625" style="953"/>
    <col min="10683" max="10683" width="0" style="953" hidden="1" customWidth="1"/>
    <col min="10684" max="10920" width="9.140625" style="953"/>
    <col min="10921" max="10921" width="20" style="953" customWidth="1"/>
    <col min="10922" max="10922" width="19.85546875" style="953" customWidth="1"/>
    <col min="10923" max="10923" width="22.140625" style="953" customWidth="1"/>
    <col min="10924" max="10924" width="13.140625" style="953" customWidth="1"/>
    <col min="10925" max="10925" width="11.140625" style="953" customWidth="1"/>
    <col min="10926" max="10926" width="7.7109375" style="953" customWidth="1"/>
    <col min="10927" max="10927" width="8.7109375" style="953" customWidth="1"/>
    <col min="10928" max="10928" width="12.140625" style="953" customWidth="1"/>
    <col min="10929" max="10929" width="14.5703125" style="953" customWidth="1"/>
    <col min="10930" max="10930" width="9" style="953" customWidth="1"/>
    <col min="10931" max="10931" width="8.85546875" style="953" customWidth="1"/>
    <col min="10932" max="10932" width="11.42578125" style="953" customWidth="1"/>
    <col min="10933" max="10933" width="7.5703125" style="953" customWidth="1"/>
    <col min="10934" max="10934" width="6.85546875" style="953" customWidth="1"/>
    <col min="10935" max="10935" width="35.7109375" style="953" customWidth="1"/>
    <col min="10936" max="10938" width="9.140625" style="953"/>
    <col min="10939" max="10939" width="0" style="953" hidden="1" customWidth="1"/>
    <col min="10940" max="11176" width="9.140625" style="953"/>
    <col min="11177" max="11177" width="20" style="953" customWidth="1"/>
    <col min="11178" max="11178" width="19.85546875" style="953" customWidth="1"/>
    <col min="11179" max="11179" width="22.140625" style="953" customWidth="1"/>
    <col min="11180" max="11180" width="13.140625" style="953" customWidth="1"/>
    <col min="11181" max="11181" width="11.140625" style="953" customWidth="1"/>
    <col min="11182" max="11182" width="7.7109375" style="953" customWidth="1"/>
    <col min="11183" max="11183" width="8.7109375" style="953" customWidth="1"/>
    <col min="11184" max="11184" width="12.140625" style="953" customWidth="1"/>
    <col min="11185" max="11185" width="14.5703125" style="953" customWidth="1"/>
    <col min="11186" max="11186" width="9" style="953" customWidth="1"/>
    <col min="11187" max="11187" width="8.85546875" style="953" customWidth="1"/>
    <col min="11188" max="11188" width="11.42578125" style="953" customWidth="1"/>
    <col min="11189" max="11189" width="7.5703125" style="953" customWidth="1"/>
    <col min="11190" max="11190" width="6.85546875" style="953" customWidth="1"/>
    <col min="11191" max="11191" width="35.7109375" style="953" customWidth="1"/>
    <col min="11192" max="11194" width="9.140625" style="953"/>
    <col min="11195" max="11195" width="0" style="953" hidden="1" customWidth="1"/>
    <col min="11196" max="11432" width="9.140625" style="953"/>
    <col min="11433" max="11433" width="20" style="953" customWidth="1"/>
    <col min="11434" max="11434" width="19.85546875" style="953" customWidth="1"/>
    <col min="11435" max="11435" width="22.140625" style="953" customWidth="1"/>
    <col min="11436" max="11436" width="13.140625" style="953" customWidth="1"/>
    <col min="11437" max="11437" width="11.140625" style="953" customWidth="1"/>
    <col min="11438" max="11438" width="7.7109375" style="953" customWidth="1"/>
    <col min="11439" max="11439" width="8.7109375" style="953" customWidth="1"/>
    <col min="11440" max="11440" width="12.140625" style="953" customWidth="1"/>
    <col min="11441" max="11441" width="14.5703125" style="953" customWidth="1"/>
    <col min="11442" max="11442" width="9" style="953" customWidth="1"/>
    <col min="11443" max="11443" width="8.85546875" style="953" customWidth="1"/>
    <col min="11444" max="11444" width="11.42578125" style="953" customWidth="1"/>
    <col min="11445" max="11445" width="7.5703125" style="953" customWidth="1"/>
    <col min="11446" max="11446" width="6.85546875" style="953" customWidth="1"/>
    <col min="11447" max="11447" width="35.7109375" style="953" customWidth="1"/>
    <col min="11448" max="11450" width="9.140625" style="953"/>
    <col min="11451" max="11451" width="0" style="953" hidden="1" customWidth="1"/>
    <col min="11452" max="11688" width="9.140625" style="953"/>
    <col min="11689" max="11689" width="20" style="953" customWidth="1"/>
    <col min="11690" max="11690" width="19.85546875" style="953" customWidth="1"/>
    <col min="11691" max="11691" width="22.140625" style="953" customWidth="1"/>
    <col min="11692" max="11692" width="13.140625" style="953" customWidth="1"/>
    <col min="11693" max="11693" width="11.140625" style="953" customWidth="1"/>
    <col min="11694" max="11694" width="7.7109375" style="953" customWidth="1"/>
    <col min="11695" max="11695" width="8.7109375" style="953" customWidth="1"/>
    <col min="11696" max="11696" width="12.140625" style="953" customWidth="1"/>
    <col min="11697" max="11697" width="14.5703125" style="953" customWidth="1"/>
    <col min="11698" max="11698" width="9" style="953" customWidth="1"/>
    <col min="11699" max="11699" width="8.85546875" style="953" customWidth="1"/>
    <col min="11700" max="11700" width="11.42578125" style="953" customWidth="1"/>
    <col min="11701" max="11701" width="7.5703125" style="953" customWidth="1"/>
    <col min="11702" max="11702" width="6.85546875" style="953" customWidth="1"/>
    <col min="11703" max="11703" width="35.7109375" style="953" customWidth="1"/>
    <col min="11704" max="11706" width="9.140625" style="953"/>
    <col min="11707" max="11707" width="0" style="953" hidden="1" customWidth="1"/>
    <col min="11708" max="11944" width="9.140625" style="953"/>
    <col min="11945" max="11945" width="20" style="953" customWidth="1"/>
    <col min="11946" max="11946" width="19.85546875" style="953" customWidth="1"/>
    <col min="11947" max="11947" width="22.140625" style="953" customWidth="1"/>
    <col min="11948" max="11948" width="13.140625" style="953" customWidth="1"/>
    <col min="11949" max="11949" width="11.140625" style="953" customWidth="1"/>
    <col min="11950" max="11950" width="7.7109375" style="953" customWidth="1"/>
    <col min="11951" max="11951" width="8.7109375" style="953" customWidth="1"/>
    <col min="11952" max="11952" width="12.140625" style="953" customWidth="1"/>
    <col min="11953" max="11953" width="14.5703125" style="953" customWidth="1"/>
    <col min="11954" max="11954" width="9" style="953" customWidth="1"/>
    <col min="11955" max="11955" width="8.85546875" style="953" customWidth="1"/>
    <col min="11956" max="11956" width="11.42578125" style="953" customWidth="1"/>
    <col min="11957" max="11957" width="7.5703125" style="953" customWidth="1"/>
    <col min="11958" max="11958" width="6.85546875" style="953" customWidth="1"/>
    <col min="11959" max="11959" width="35.7109375" style="953" customWidth="1"/>
    <col min="11960" max="11962" width="9.140625" style="953"/>
    <col min="11963" max="11963" width="0" style="953" hidden="1" customWidth="1"/>
    <col min="11964" max="12200" width="9.140625" style="953"/>
    <col min="12201" max="12201" width="20" style="953" customWidth="1"/>
    <col min="12202" max="12202" width="19.85546875" style="953" customWidth="1"/>
    <col min="12203" max="12203" width="22.140625" style="953" customWidth="1"/>
    <col min="12204" max="12204" width="13.140625" style="953" customWidth="1"/>
    <col min="12205" max="12205" width="11.140625" style="953" customWidth="1"/>
    <col min="12206" max="12206" width="7.7109375" style="953" customWidth="1"/>
    <col min="12207" max="12207" width="8.7109375" style="953" customWidth="1"/>
    <col min="12208" max="12208" width="12.140625" style="953" customWidth="1"/>
    <col min="12209" max="12209" width="14.5703125" style="953" customWidth="1"/>
    <col min="12210" max="12210" width="9" style="953" customWidth="1"/>
    <col min="12211" max="12211" width="8.85546875" style="953" customWidth="1"/>
    <col min="12212" max="12212" width="11.42578125" style="953" customWidth="1"/>
    <col min="12213" max="12213" width="7.5703125" style="953" customWidth="1"/>
    <col min="12214" max="12214" width="6.85546875" style="953" customWidth="1"/>
    <col min="12215" max="12215" width="35.7109375" style="953" customWidth="1"/>
    <col min="12216" max="12218" width="9.140625" style="953"/>
    <col min="12219" max="12219" width="0" style="953" hidden="1" customWidth="1"/>
    <col min="12220" max="12456" width="9.140625" style="953"/>
    <col min="12457" max="12457" width="20" style="953" customWidth="1"/>
    <col min="12458" max="12458" width="19.85546875" style="953" customWidth="1"/>
    <col min="12459" max="12459" width="22.140625" style="953" customWidth="1"/>
    <col min="12460" max="12460" width="13.140625" style="953" customWidth="1"/>
    <col min="12461" max="12461" width="11.140625" style="953" customWidth="1"/>
    <col min="12462" max="12462" width="7.7109375" style="953" customWidth="1"/>
    <col min="12463" max="12463" width="8.7109375" style="953" customWidth="1"/>
    <col min="12464" max="12464" width="12.140625" style="953" customWidth="1"/>
    <col min="12465" max="12465" width="14.5703125" style="953" customWidth="1"/>
    <col min="12466" max="12466" width="9" style="953" customWidth="1"/>
    <col min="12467" max="12467" width="8.85546875" style="953" customWidth="1"/>
    <col min="12468" max="12468" width="11.42578125" style="953" customWidth="1"/>
    <col min="12469" max="12469" width="7.5703125" style="953" customWidth="1"/>
    <col min="12470" max="12470" width="6.85546875" style="953" customWidth="1"/>
    <col min="12471" max="12471" width="35.7109375" style="953" customWidth="1"/>
    <col min="12472" max="12474" width="9.140625" style="953"/>
    <col min="12475" max="12475" width="0" style="953" hidden="1" customWidth="1"/>
    <col min="12476" max="12712" width="9.140625" style="953"/>
    <col min="12713" max="12713" width="20" style="953" customWidth="1"/>
    <col min="12714" max="12714" width="19.85546875" style="953" customWidth="1"/>
    <col min="12715" max="12715" width="22.140625" style="953" customWidth="1"/>
    <col min="12716" max="12716" width="13.140625" style="953" customWidth="1"/>
    <col min="12717" max="12717" width="11.140625" style="953" customWidth="1"/>
    <col min="12718" max="12718" width="7.7109375" style="953" customWidth="1"/>
    <col min="12719" max="12719" width="8.7109375" style="953" customWidth="1"/>
    <col min="12720" max="12720" width="12.140625" style="953" customWidth="1"/>
    <col min="12721" max="12721" width="14.5703125" style="953" customWidth="1"/>
    <col min="12722" max="12722" width="9" style="953" customWidth="1"/>
    <col min="12723" max="12723" width="8.85546875" style="953" customWidth="1"/>
    <col min="12724" max="12724" width="11.42578125" style="953" customWidth="1"/>
    <col min="12725" max="12725" width="7.5703125" style="953" customWidth="1"/>
    <col min="12726" max="12726" width="6.85546875" style="953" customWidth="1"/>
    <col min="12727" max="12727" width="35.7109375" style="953" customWidth="1"/>
    <col min="12728" max="12730" width="9.140625" style="953"/>
    <col min="12731" max="12731" width="0" style="953" hidden="1" customWidth="1"/>
    <col min="12732" max="12968" width="9.140625" style="953"/>
    <col min="12969" max="12969" width="20" style="953" customWidth="1"/>
    <col min="12970" max="12970" width="19.85546875" style="953" customWidth="1"/>
    <col min="12971" max="12971" width="22.140625" style="953" customWidth="1"/>
    <col min="12972" max="12972" width="13.140625" style="953" customWidth="1"/>
    <col min="12973" max="12973" width="11.140625" style="953" customWidth="1"/>
    <col min="12974" max="12974" width="7.7109375" style="953" customWidth="1"/>
    <col min="12975" max="12975" width="8.7109375" style="953" customWidth="1"/>
    <col min="12976" max="12976" width="12.140625" style="953" customWidth="1"/>
    <col min="12977" max="12977" width="14.5703125" style="953" customWidth="1"/>
    <col min="12978" max="12978" width="9" style="953" customWidth="1"/>
    <col min="12979" max="12979" width="8.85546875" style="953" customWidth="1"/>
    <col min="12980" max="12980" width="11.42578125" style="953" customWidth="1"/>
    <col min="12981" max="12981" width="7.5703125" style="953" customWidth="1"/>
    <col min="12982" max="12982" width="6.85546875" style="953" customWidth="1"/>
    <col min="12983" max="12983" width="35.7109375" style="953" customWidth="1"/>
    <col min="12984" max="12986" width="9.140625" style="953"/>
    <col min="12987" max="12987" width="0" style="953" hidden="1" customWidth="1"/>
    <col min="12988" max="13224" width="9.140625" style="953"/>
    <col min="13225" max="13225" width="20" style="953" customWidth="1"/>
    <col min="13226" max="13226" width="19.85546875" style="953" customWidth="1"/>
    <col min="13227" max="13227" width="22.140625" style="953" customWidth="1"/>
    <col min="13228" max="13228" width="13.140625" style="953" customWidth="1"/>
    <col min="13229" max="13229" width="11.140625" style="953" customWidth="1"/>
    <col min="13230" max="13230" width="7.7109375" style="953" customWidth="1"/>
    <col min="13231" max="13231" width="8.7109375" style="953" customWidth="1"/>
    <col min="13232" max="13232" width="12.140625" style="953" customWidth="1"/>
    <col min="13233" max="13233" width="14.5703125" style="953" customWidth="1"/>
    <col min="13234" max="13234" width="9" style="953" customWidth="1"/>
    <col min="13235" max="13235" width="8.85546875" style="953" customWidth="1"/>
    <col min="13236" max="13236" width="11.42578125" style="953" customWidth="1"/>
    <col min="13237" max="13237" width="7.5703125" style="953" customWidth="1"/>
    <col min="13238" max="13238" width="6.85546875" style="953" customWidth="1"/>
    <col min="13239" max="13239" width="35.7109375" style="953" customWidth="1"/>
    <col min="13240" max="13242" width="9.140625" style="953"/>
    <col min="13243" max="13243" width="0" style="953" hidden="1" customWidth="1"/>
    <col min="13244" max="13480" width="9.140625" style="953"/>
    <col min="13481" max="13481" width="20" style="953" customWidth="1"/>
    <col min="13482" max="13482" width="19.85546875" style="953" customWidth="1"/>
    <col min="13483" max="13483" width="22.140625" style="953" customWidth="1"/>
    <col min="13484" max="13484" width="13.140625" style="953" customWidth="1"/>
    <col min="13485" max="13485" width="11.140625" style="953" customWidth="1"/>
    <col min="13486" max="13486" width="7.7109375" style="953" customWidth="1"/>
    <col min="13487" max="13487" width="8.7109375" style="953" customWidth="1"/>
    <col min="13488" max="13488" width="12.140625" style="953" customWidth="1"/>
    <col min="13489" max="13489" width="14.5703125" style="953" customWidth="1"/>
    <col min="13490" max="13490" width="9" style="953" customWidth="1"/>
    <col min="13491" max="13491" width="8.85546875" style="953" customWidth="1"/>
    <col min="13492" max="13492" width="11.42578125" style="953" customWidth="1"/>
    <col min="13493" max="13493" width="7.5703125" style="953" customWidth="1"/>
    <col min="13494" max="13494" width="6.85546875" style="953" customWidth="1"/>
    <col min="13495" max="13495" width="35.7109375" style="953" customWidth="1"/>
    <col min="13496" max="13498" width="9.140625" style="953"/>
    <col min="13499" max="13499" width="0" style="953" hidden="1" customWidth="1"/>
    <col min="13500" max="13736" width="9.140625" style="953"/>
    <col min="13737" max="13737" width="20" style="953" customWidth="1"/>
    <col min="13738" max="13738" width="19.85546875" style="953" customWidth="1"/>
    <col min="13739" max="13739" width="22.140625" style="953" customWidth="1"/>
    <col min="13740" max="13740" width="13.140625" style="953" customWidth="1"/>
    <col min="13741" max="13741" width="11.140625" style="953" customWidth="1"/>
    <col min="13742" max="13742" width="7.7109375" style="953" customWidth="1"/>
    <col min="13743" max="13743" width="8.7109375" style="953" customWidth="1"/>
    <col min="13744" max="13744" width="12.140625" style="953" customWidth="1"/>
    <col min="13745" max="13745" width="14.5703125" style="953" customWidth="1"/>
    <col min="13746" max="13746" width="9" style="953" customWidth="1"/>
    <col min="13747" max="13747" width="8.85546875" style="953" customWidth="1"/>
    <col min="13748" max="13748" width="11.42578125" style="953" customWidth="1"/>
    <col min="13749" max="13749" width="7.5703125" style="953" customWidth="1"/>
    <col min="13750" max="13750" width="6.85546875" style="953" customWidth="1"/>
    <col min="13751" max="13751" width="35.7109375" style="953" customWidth="1"/>
    <col min="13752" max="13754" width="9.140625" style="953"/>
    <col min="13755" max="13755" width="0" style="953" hidden="1" customWidth="1"/>
    <col min="13756" max="13992" width="9.140625" style="953"/>
    <col min="13993" max="13993" width="20" style="953" customWidth="1"/>
    <col min="13994" max="13994" width="19.85546875" style="953" customWidth="1"/>
    <col min="13995" max="13995" width="22.140625" style="953" customWidth="1"/>
    <col min="13996" max="13996" width="13.140625" style="953" customWidth="1"/>
    <col min="13997" max="13997" width="11.140625" style="953" customWidth="1"/>
    <col min="13998" max="13998" width="7.7109375" style="953" customWidth="1"/>
    <col min="13999" max="13999" width="8.7109375" style="953" customWidth="1"/>
    <col min="14000" max="14000" width="12.140625" style="953" customWidth="1"/>
    <col min="14001" max="14001" width="14.5703125" style="953" customWidth="1"/>
    <col min="14002" max="14002" width="9" style="953" customWidth="1"/>
    <col min="14003" max="14003" width="8.85546875" style="953" customWidth="1"/>
    <col min="14004" max="14004" width="11.42578125" style="953" customWidth="1"/>
    <col min="14005" max="14005" width="7.5703125" style="953" customWidth="1"/>
    <col min="14006" max="14006" width="6.85546875" style="953" customWidth="1"/>
    <col min="14007" max="14007" width="35.7109375" style="953" customWidth="1"/>
    <col min="14008" max="14010" width="9.140625" style="953"/>
    <col min="14011" max="14011" width="0" style="953" hidden="1" customWidth="1"/>
    <col min="14012" max="14248" width="9.140625" style="953"/>
    <col min="14249" max="14249" width="20" style="953" customWidth="1"/>
    <col min="14250" max="14250" width="19.85546875" style="953" customWidth="1"/>
    <col min="14251" max="14251" width="22.140625" style="953" customWidth="1"/>
    <col min="14252" max="14252" width="13.140625" style="953" customWidth="1"/>
    <col min="14253" max="14253" width="11.140625" style="953" customWidth="1"/>
    <col min="14254" max="14254" width="7.7109375" style="953" customWidth="1"/>
    <col min="14255" max="14255" width="8.7109375" style="953" customWidth="1"/>
    <col min="14256" max="14256" width="12.140625" style="953" customWidth="1"/>
    <col min="14257" max="14257" width="14.5703125" style="953" customWidth="1"/>
    <col min="14258" max="14258" width="9" style="953" customWidth="1"/>
    <col min="14259" max="14259" width="8.85546875" style="953" customWidth="1"/>
    <col min="14260" max="14260" width="11.42578125" style="953" customWidth="1"/>
    <col min="14261" max="14261" width="7.5703125" style="953" customWidth="1"/>
    <col min="14262" max="14262" width="6.85546875" style="953" customWidth="1"/>
    <col min="14263" max="14263" width="35.7109375" style="953" customWidth="1"/>
    <col min="14264" max="14266" width="9.140625" style="953"/>
    <col min="14267" max="14267" width="0" style="953" hidden="1" customWidth="1"/>
    <col min="14268" max="14504" width="9.140625" style="953"/>
    <col min="14505" max="14505" width="20" style="953" customWidth="1"/>
    <col min="14506" max="14506" width="19.85546875" style="953" customWidth="1"/>
    <col min="14507" max="14507" width="22.140625" style="953" customWidth="1"/>
    <col min="14508" max="14508" width="13.140625" style="953" customWidth="1"/>
    <col min="14509" max="14509" width="11.140625" style="953" customWidth="1"/>
    <col min="14510" max="14510" width="7.7109375" style="953" customWidth="1"/>
    <col min="14511" max="14511" width="8.7109375" style="953" customWidth="1"/>
    <col min="14512" max="14512" width="12.140625" style="953" customWidth="1"/>
    <col min="14513" max="14513" width="14.5703125" style="953" customWidth="1"/>
    <col min="14514" max="14514" width="9" style="953" customWidth="1"/>
    <col min="14515" max="14515" width="8.85546875" style="953" customWidth="1"/>
    <col min="14516" max="14516" width="11.42578125" style="953" customWidth="1"/>
    <col min="14517" max="14517" width="7.5703125" style="953" customWidth="1"/>
    <col min="14518" max="14518" width="6.85546875" style="953" customWidth="1"/>
    <col min="14519" max="14519" width="35.7109375" style="953" customWidth="1"/>
    <col min="14520" max="14522" width="9.140625" style="953"/>
    <col min="14523" max="14523" width="0" style="953" hidden="1" customWidth="1"/>
    <col min="14524" max="14760" width="9.140625" style="953"/>
    <col min="14761" max="14761" width="20" style="953" customWidth="1"/>
    <col min="14762" max="14762" width="19.85546875" style="953" customWidth="1"/>
    <col min="14763" max="14763" width="22.140625" style="953" customWidth="1"/>
    <col min="14764" max="14764" width="13.140625" style="953" customWidth="1"/>
    <col min="14765" max="14765" width="11.140625" style="953" customWidth="1"/>
    <col min="14766" max="14766" width="7.7109375" style="953" customWidth="1"/>
    <col min="14767" max="14767" width="8.7109375" style="953" customWidth="1"/>
    <col min="14768" max="14768" width="12.140625" style="953" customWidth="1"/>
    <col min="14769" max="14769" width="14.5703125" style="953" customWidth="1"/>
    <col min="14770" max="14770" width="9" style="953" customWidth="1"/>
    <col min="14771" max="14771" width="8.85546875" style="953" customWidth="1"/>
    <col min="14772" max="14772" width="11.42578125" style="953" customWidth="1"/>
    <col min="14773" max="14773" width="7.5703125" style="953" customWidth="1"/>
    <col min="14774" max="14774" width="6.85546875" style="953" customWidth="1"/>
    <col min="14775" max="14775" width="35.7109375" style="953" customWidth="1"/>
    <col min="14776" max="14778" width="9.140625" style="953"/>
    <col min="14779" max="14779" width="0" style="953" hidden="1" customWidth="1"/>
    <col min="14780" max="15016" width="9.140625" style="953"/>
    <col min="15017" max="15017" width="20" style="953" customWidth="1"/>
    <col min="15018" max="15018" width="19.85546875" style="953" customWidth="1"/>
    <col min="15019" max="15019" width="22.140625" style="953" customWidth="1"/>
    <col min="15020" max="15020" width="13.140625" style="953" customWidth="1"/>
    <col min="15021" max="15021" width="11.140625" style="953" customWidth="1"/>
    <col min="15022" max="15022" width="7.7109375" style="953" customWidth="1"/>
    <col min="15023" max="15023" width="8.7109375" style="953" customWidth="1"/>
    <col min="15024" max="15024" width="12.140625" style="953" customWidth="1"/>
    <col min="15025" max="15025" width="14.5703125" style="953" customWidth="1"/>
    <col min="15026" max="15026" width="9" style="953" customWidth="1"/>
    <col min="15027" max="15027" width="8.85546875" style="953" customWidth="1"/>
    <col min="15028" max="15028" width="11.42578125" style="953" customWidth="1"/>
    <col min="15029" max="15029" width="7.5703125" style="953" customWidth="1"/>
    <col min="15030" max="15030" width="6.85546875" style="953" customWidth="1"/>
    <col min="15031" max="15031" width="35.7109375" style="953" customWidth="1"/>
    <col min="15032" max="15034" width="9.140625" style="953"/>
    <col min="15035" max="15035" width="0" style="953" hidden="1" customWidth="1"/>
    <col min="15036" max="15272" width="9.140625" style="953"/>
    <col min="15273" max="15273" width="20" style="953" customWidth="1"/>
    <col min="15274" max="15274" width="19.85546875" style="953" customWidth="1"/>
    <col min="15275" max="15275" width="22.140625" style="953" customWidth="1"/>
    <col min="15276" max="15276" width="13.140625" style="953" customWidth="1"/>
    <col min="15277" max="15277" width="11.140625" style="953" customWidth="1"/>
    <col min="15278" max="15278" width="7.7109375" style="953" customWidth="1"/>
    <col min="15279" max="15279" width="8.7109375" style="953" customWidth="1"/>
    <col min="15280" max="15280" width="12.140625" style="953" customWidth="1"/>
    <col min="15281" max="15281" width="14.5703125" style="953" customWidth="1"/>
    <col min="15282" max="15282" width="9" style="953" customWidth="1"/>
    <col min="15283" max="15283" width="8.85546875" style="953" customWidth="1"/>
    <col min="15284" max="15284" width="11.42578125" style="953" customWidth="1"/>
    <col min="15285" max="15285" width="7.5703125" style="953" customWidth="1"/>
    <col min="15286" max="15286" width="6.85546875" style="953" customWidth="1"/>
    <col min="15287" max="15287" width="35.7109375" style="953" customWidth="1"/>
    <col min="15288" max="15290" width="9.140625" style="953"/>
    <col min="15291" max="15291" width="0" style="953" hidden="1" customWidth="1"/>
    <col min="15292" max="15528" width="9.140625" style="953"/>
    <col min="15529" max="15529" width="20" style="953" customWidth="1"/>
    <col min="15530" max="15530" width="19.85546875" style="953" customWidth="1"/>
    <col min="15531" max="15531" width="22.140625" style="953" customWidth="1"/>
    <col min="15532" max="15532" width="13.140625" style="953" customWidth="1"/>
    <col min="15533" max="15533" width="11.140625" style="953" customWidth="1"/>
    <col min="15534" max="15534" width="7.7109375" style="953" customWidth="1"/>
    <col min="15535" max="15535" width="8.7109375" style="953" customWidth="1"/>
    <col min="15536" max="15536" width="12.140625" style="953" customWidth="1"/>
    <col min="15537" max="15537" width="14.5703125" style="953" customWidth="1"/>
    <col min="15538" max="15538" width="9" style="953" customWidth="1"/>
    <col min="15539" max="15539" width="8.85546875" style="953" customWidth="1"/>
    <col min="15540" max="15540" width="11.42578125" style="953" customWidth="1"/>
    <col min="15541" max="15541" width="7.5703125" style="953" customWidth="1"/>
    <col min="15542" max="15542" width="6.85546875" style="953" customWidth="1"/>
    <col min="15543" max="15543" width="35.7109375" style="953" customWidth="1"/>
    <col min="15544" max="15546" width="9.140625" style="953"/>
    <col min="15547" max="15547" width="0" style="953" hidden="1" customWidth="1"/>
    <col min="15548" max="15784" width="9.140625" style="953"/>
    <col min="15785" max="15785" width="20" style="953" customWidth="1"/>
    <col min="15786" max="15786" width="19.85546875" style="953" customWidth="1"/>
    <col min="15787" max="15787" width="22.140625" style="953" customWidth="1"/>
    <col min="15788" max="15788" width="13.140625" style="953" customWidth="1"/>
    <col min="15789" max="15789" width="11.140625" style="953" customWidth="1"/>
    <col min="15790" max="15790" width="7.7109375" style="953" customWidth="1"/>
    <col min="15791" max="15791" width="8.7109375" style="953" customWidth="1"/>
    <col min="15792" max="15792" width="12.140625" style="953" customWidth="1"/>
    <col min="15793" max="15793" width="14.5703125" style="953" customWidth="1"/>
    <col min="15794" max="15794" width="9" style="953" customWidth="1"/>
    <col min="15795" max="15795" width="8.85546875" style="953" customWidth="1"/>
    <col min="15796" max="15796" width="11.42578125" style="953" customWidth="1"/>
    <col min="15797" max="15797" width="7.5703125" style="953" customWidth="1"/>
    <col min="15798" max="15798" width="6.85546875" style="953" customWidth="1"/>
    <col min="15799" max="15799" width="35.7109375" style="953" customWidth="1"/>
    <col min="15800" max="15802" width="9.140625" style="953"/>
    <col min="15803" max="15803" width="0" style="953" hidden="1" customWidth="1"/>
    <col min="15804" max="16040" width="9.140625" style="953"/>
    <col min="16041" max="16041" width="20" style="953" customWidth="1"/>
    <col min="16042" max="16042" width="19.85546875" style="953" customWidth="1"/>
    <col min="16043" max="16043" width="22.140625" style="953" customWidth="1"/>
    <col min="16044" max="16044" width="13.140625" style="953" customWidth="1"/>
    <col min="16045" max="16045" width="11.140625" style="953" customWidth="1"/>
    <col min="16046" max="16046" width="7.7109375" style="953" customWidth="1"/>
    <col min="16047" max="16047" width="8.7109375" style="953" customWidth="1"/>
    <col min="16048" max="16048" width="12.140625" style="953" customWidth="1"/>
    <col min="16049" max="16049" width="14.5703125" style="953" customWidth="1"/>
    <col min="16050" max="16050" width="9" style="953" customWidth="1"/>
    <col min="16051" max="16051" width="8.85546875" style="953" customWidth="1"/>
    <col min="16052" max="16052" width="11.42578125" style="953" customWidth="1"/>
    <col min="16053" max="16053" width="7.5703125" style="953" customWidth="1"/>
    <col min="16054" max="16054" width="6.85546875" style="953" customWidth="1"/>
    <col min="16055" max="16055" width="35.7109375" style="953" customWidth="1"/>
    <col min="16056" max="16058" width="9.140625" style="953"/>
    <col min="16059" max="16059" width="0" style="953" hidden="1" customWidth="1"/>
    <col min="16060" max="16384" width="9.140625" style="953"/>
  </cols>
  <sheetData>
    <row r="1" spans="1:69" ht="26.25" customHeight="1">
      <c r="A1" s="1437" t="s">
        <v>1597</v>
      </c>
      <c r="B1" s="1438" t="s">
        <v>1598</v>
      </c>
      <c r="C1" s="1439"/>
      <c r="D1" s="1439"/>
      <c r="E1" s="1439"/>
      <c r="F1" s="1441"/>
      <c r="G1" s="1439"/>
      <c r="H1" s="1439"/>
      <c r="I1" s="1439"/>
      <c r="J1" s="1439"/>
    </row>
    <row r="2" spans="1:69" ht="26.25" customHeight="1">
      <c r="B2" s="1438" t="s">
        <v>1599</v>
      </c>
      <c r="C2" s="1439"/>
      <c r="D2" s="1439"/>
      <c r="E2" s="1439"/>
      <c r="F2" s="1441"/>
      <c r="G2" s="1439"/>
      <c r="H2" s="1439"/>
      <c r="I2" s="1439"/>
      <c r="J2" s="1439"/>
    </row>
    <row r="3" spans="1:69" ht="26.25" customHeight="1">
      <c r="B3" s="1440" t="s">
        <v>409</v>
      </c>
      <c r="C3" s="1440">
        <f>'Project Info'!$C$3</f>
        <v>0</v>
      </c>
      <c r="D3" s="1440"/>
      <c r="E3" s="1439"/>
      <c r="F3" s="1441"/>
      <c r="G3" s="1439"/>
      <c r="H3" s="1439"/>
      <c r="I3" s="1439"/>
      <c r="J3" s="1439"/>
    </row>
    <row r="4" spans="1:69" ht="26.25" customHeight="1">
      <c r="C4" s="1439"/>
      <c r="D4" s="1439"/>
      <c r="E4" s="1439"/>
      <c r="F4" s="1439"/>
      <c r="G4" s="1439"/>
      <c r="H4" s="1439"/>
      <c r="I4" s="1439"/>
      <c r="J4" s="1439"/>
      <c r="K4" s="1439"/>
      <c r="L4" s="1470"/>
      <c r="M4" s="1449"/>
      <c r="N4" s="1449"/>
      <c r="O4" s="1449"/>
      <c r="P4" s="1439"/>
    </row>
    <row r="5" spans="1:69" s="1476" customFormat="1" ht="15.75">
      <c r="A5" s="1475"/>
      <c r="B5" s="1471" t="s">
        <v>1801</v>
      </c>
      <c r="C5" s="1472"/>
      <c r="D5" s="1473"/>
      <c r="E5" s="1472"/>
      <c r="F5" s="2695"/>
      <c r="G5" s="2695"/>
      <c r="H5" s="2695"/>
      <c r="I5" s="2695"/>
      <c r="J5" s="2695"/>
      <c r="K5" s="2695"/>
      <c r="L5" s="2695"/>
      <c r="M5" s="2695"/>
      <c r="N5" s="2626" t="s">
        <v>1601</v>
      </c>
      <c r="O5" s="2627"/>
      <c r="P5" s="1447" t="s">
        <v>1602</v>
      </c>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c r="BO5" s="1475"/>
      <c r="BP5" s="1475"/>
      <c r="BQ5" s="1475"/>
    </row>
    <row r="6" spans="1:69">
      <c r="B6" s="2629"/>
      <c r="C6" s="2630"/>
      <c r="D6" s="2631"/>
      <c r="E6" s="2631"/>
      <c r="F6" s="1449"/>
      <c r="G6" s="1449"/>
      <c r="H6" s="1449"/>
      <c r="I6" s="1449"/>
      <c r="J6" s="1449"/>
      <c r="K6" s="2618"/>
      <c r="L6" s="2618"/>
      <c r="M6" s="1578"/>
      <c r="N6" s="2696" t="s">
        <v>1603</v>
      </c>
      <c r="O6" s="2637"/>
      <c r="P6" s="1145"/>
      <c r="Q6" s="1457"/>
    </row>
    <row r="7" spans="1:69">
      <c r="B7" s="2629" t="s">
        <v>1604</v>
      </c>
      <c r="C7" s="2630"/>
      <c r="D7" s="2631"/>
      <c r="E7" s="2631"/>
      <c r="F7" s="1449"/>
      <c r="G7" s="1449"/>
      <c r="H7" s="1449"/>
      <c r="I7" s="1449"/>
      <c r="J7" s="1449"/>
      <c r="K7" s="2618"/>
      <c r="L7" s="2618"/>
      <c r="M7" s="1579"/>
      <c r="N7" s="2636"/>
      <c r="O7" s="2637"/>
      <c r="P7" s="1146"/>
      <c r="Q7" s="1457"/>
    </row>
    <row r="8" spans="1:69" ht="42" customHeight="1">
      <c r="B8" s="2693" t="s">
        <v>1802</v>
      </c>
      <c r="C8" s="2619"/>
      <c r="D8" s="2619"/>
      <c r="E8" s="2619"/>
      <c r="F8" s="2619"/>
      <c r="G8" s="2619"/>
      <c r="H8" s="2619"/>
      <c r="I8" s="2619"/>
      <c r="J8" s="2619"/>
      <c r="K8" s="2618"/>
      <c r="L8" s="2618"/>
      <c r="M8" s="1579"/>
      <c r="N8" s="2624"/>
      <c r="O8" s="2624"/>
      <c r="P8" s="1111"/>
      <c r="Q8" s="1457"/>
    </row>
    <row r="9" spans="1:69" ht="28.5" customHeight="1">
      <c r="A9" s="1457"/>
      <c r="B9" s="2693" t="s">
        <v>1803</v>
      </c>
      <c r="C9" s="2619"/>
      <c r="D9" s="2619"/>
      <c r="E9" s="2619"/>
      <c r="F9" s="2619"/>
      <c r="G9" s="2619"/>
      <c r="H9" s="2619"/>
      <c r="I9" s="2619"/>
      <c r="J9" s="2619"/>
      <c r="K9" s="2618"/>
      <c r="L9" s="2618"/>
      <c r="M9" s="1452"/>
      <c r="N9" s="2623"/>
      <c r="O9" s="2623"/>
      <c r="P9" s="1449"/>
      <c r="Q9" s="1457"/>
    </row>
    <row r="10" spans="1:69" ht="12.75" customHeight="1">
      <c r="A10" s="1457"/>
      <c r="B10" s="1580"/>
      <c r="C10" s="1580"/>
      <c r="D10" s="1580"/>
      <c r="E10" s="1580"/>
      <c r="F10" s="1580"/>
      <c r="G10" s="1580"/>
      <c r="H10" s="1580"/>
      <c r="I10" s="1580"/>
      <c r="J10" s="1580"/>
      <c r="K10" s="1581"/>
      <c r="L10" s="1581"/>
      <c r="M10" s="1452"/>
      <c r="N10" s="1340"/>
      <c r="O10" s="1340"/>
      <c r="P10" s="1449"/>
      <c r="Q10" s="1457"/>
    </row>
    <row r="11" spans="1:69">
      <c r="A11" s="1457"/>
      <c r="B11" s="1451" t="s">
        <v>1607</v>
      </c>
      <c r="C11" s="1449"/>
      <c r="D11" s="1449"/>
      <c r="E11" s="1449"/>
      <c r="F11" s="1449"/>
      <c r="G11" s="1449"/>
      <c r="H11" s="1449"/>
      <c r="I11" s="1449"/>
      <c r="J11" s="1449"/>
      <c r="K11" s="2618"/>
      <c r="L11" s="2618"/>
      <c r="M11" s="1452"/>
      <c r="N11" s="1449"/>
      <c r="O11" s="1449"/>
      <c r="P11" s="1449"/>
      <c r="Q11" s="1457"/>
    </row>
    <row r="12" spans="1:69">
      <c r="A12" s="1457"/>
      <c r="B12" s="1449" t="s">
        <v>1608</v>
      </c>
      <c r="C12" s="1449"/>
      <c r="D12" s="1449"/>
      <c r="E12" s="1449"/>
      <c r="F12" s="1449"/>
      <c r="G12" s="1449"/>
      <c r="H12" s="1449"/>
      <c r="I12" s="1449"/>
      <c r="J12" s="1449"/>
      <c r="K12" s="1449"/>
      <c r="L12" s="1449"/>
      <c r="M12" s="1449"/>
      <c r="N12" s="1449"/>
      <c r="O12" s="1449"/>
      <c r="P12" s="1449"/>
      <c r="Q12" s="1457"/>
    </row>
    <row r="13" spans="1:69">
      <c r="A13" s="1457"/>
      <c r="B13" s="1455" t="s">
        <v>1674</v>
      </c>
      <c r="C13" s="1449"/>
      <c r="D13" s="1449"/>
      <c r="E13" s="1449"/>
      <c r="F13" s="1449"/>
      <c r="G13" s="1449"/>
      <c r="H13" s="1449"/>
      <c r="I13" s="1449"/>
      <c r="J13" s="1449"/>
      <c r="K13" s="1449"/>
      <c r="L13" s="1449"/>
      <c r="M13" s="1449"/>
      <c r="N13" s="1449"/>
      <c r="O13" s="1449"/>
      <c r="P13" s="1449"/>
      <c r="Q13" s="1457"/>
    </row>
    <row r="14" spans="1:69">
      <c r="A14" s="1457"/>
      <c r="B14" s="1455" t="s">
        <v>1804</v>
      </c>
      <c r="C14" s="1449"/>
      <c r="D14" s="1449"/>
      <c r="E14" s="1449"/>
      <c r="F14" s="1449"/>
      <c r="G14" s="1449"/>
      <c r="H14" s="1449"/>
      <c r="I14" s="1449"/>
      <c r="J14" s="1449"/>
      <c r="K14" s="1449"/>
      <c r="L14" s="1449"/>
      <c r="M14" s="1449"/>
      <c r="N14" s="1449"/>
      <c r="O14" s="1449"/>
      <c r="P14" s="1449"/>
      <c r="Q14" s="1457"/>
    </row>
    <row r="15" spans="1:69">
      <c r="A15" s="1457"/>
      <c r="B15" s="1449"/>
      <c r="C15" s="1449"/>
      <c r="D15" s="1449"/>
      <c r="E15" s="1449"/>
      <c r="F15" s="1449"/>
      <c r="G15" s="1449"/>
      <c r="H15" s="1449"/>
      <c r="I15" s="1449"/>
      <c r="J15" s="1449"/>
      <c r="K15" s="1449"/>
      <c r="L15" s="1449"/>
      <c r="M15" s="1449"/>
      <c r="N15" s="1449"/>
      <c r="O15" s="1449"/>
      <c r="P15" s="1449"/>
      <c r="Q15" s="1457"/>
    </row>
    <row r="16" spans="1:69">
      <c r="A16" s="1457"/>
      <c r="B16" s="1454" t="s">
        <v>1611</v>
      </c>
      <c r="C16" s="1449"/>
      <c r="D16" s="1449"/>
      <c r="E16" s="1449"/>
      <c r="F16" s="1449"/>
      <c r="G16" s="1449"/>
      <c r="H16" s="1449"/>
      <c r="I16" s="1449"/>
      <c r="J16" s="1449"/>
      <c r="K16" s="1449"/>
      <c r="L16" s="1449"/>
      <c r="M16" s="1449"/>
      <c r="N16" s="1449"/>
      <c r="O16" s="1449"/>
      <c r="P16" s="1449"/>
      <c r="Q16" s="1457"/>
    </row>
    <row r="17" spans="1:17" ht="41.25" customHeight="1">
      <c r="A17" s="1457"/>
      <c r="B17" s="2584" t="s">
        <v>1805</v>
      </c>
      <c r="C17" s="2584"/>
      <c r="D17" s="2584"/>
      <c r="E17" s="2584"/>
      <c r="F17" s="2584"/>
      <c r="G17" s="2584"/>
      <c r="H17" s="2584"/>
      <c r="I17" s="2584"/>
      <c r="J17" s="2584"/>
      <c r="K17" s="1449"/>
      <c r="L17" s="1449"/>
      <c r="M17" s="1449"/>
      <c r="N17" s="1449"/>
      <c r="O17" s="1449"/>
      <c r="P17" s="1449"/>
      <c r="Q17" s="1457"/>
    </row>
    <row r="18" spans="1:17">
      <c r="A18" s="1457"/>
      <c r="B18" s="2584" t="s">
        <v>1806</v>
      </c>
      <c r="C18" s="2584"/>
      <c r="D18" s="2584"/>
      <c r="E18" s="2584"/>
      <c r="F18" s="2584"/>
      <c r="G18" s="2584"/>
      <c r="H18" s="2584"/>
      <c r="I18" s="2584"/>
      <c r="J18" s="2584"/>
      <c r="K18" s="1449"/>
      <c r="L18" s="1449"/>
      <c r="M18" s="1449"/>
      <c r="N18" s="1449"/>
      <c r="O18" s="1449"/>
      <c r="P18" s="1449"/>
      <c r="Q18" s="1457"/>
    </row>
    <row r="19" spans="1:17" ht="26.25" customHeight="1">
      <c r="A19" s="1457"/>
      <c r="B19" s="2584" t="s">
        <v>1807</v>
      </c>
      <c r="C19" s="2584"/>
      <c r="D19" s="2584"/>
      <c r="E19" s="2584"/>
      <c r="F19" s="2584"/>
      <c r="G19" s="2584"/>
      <c r="H19" s="2584"/>
      <c r="I19" s="2584"/>
      <c r="J19" s="2584"/>
      <c r="K19" s="1449"/>
      <c r="L19" s="1449"/>
      <c r="M19" s="1449"/>
      <c r="N19" s="1449"/>
      <c r="O19" s="1449"/>
      <c r="P19" s="1449"/>
      <c r="Q19" s="1457"/>
    </row>
    <row r="20" spans="1:17">
      <c r="A20" s="1457"/>
      <c r="B20" s="1582" t="s">
        <v>1694</v>
      </c>
      <c r="C20" s="1449"/>
      <c r="D20" s="1449"/>
      <c r="E20" s="1449"/>
      <c r="F20" s="1449"/>
      <c r="G20" s="1449"/>
      <c r="H20" s="1449"/>
      <c r="I20" s="1449"/>
      <c r="J20" s="1449"/>
      <c r="K20" s="1449"/>
      <c r="L20" s="1449"/>
      <c r="M20" s="1449"/>
      <c r="N20" s="1449"/>
      <c r="O20" s="1449"/>
      <c r="P20" s="1449"/>
      <c r="Q20" s="1457"/>
    </row>
    <row r="21" spans="1:17" ht="48.75" customHeight="1">
      <c r="A21" s="1457"/>
      <c r="B21" s="2694" t="s">
        <v>1808</v>
      </c>
      <c r="C21" s="2694"/>
      <c r="D21" s="2694"/>
      <c r="E21" s="2694"/>
      <c r="F21" s="2694"/>
      <c r="G21" s="2694"/>
      <c r="H21" s="2694"/>
      <c r="I21" s="2694"/>
      <c r="J21" s="2694"/>
      <c r="K21" s="1449"/>
      <c r="L21" s="1449"/>
      <c r="M21" s="1449"/>
      <c r="N21" s="1449"/>
      <c r="O21" s="1449"/>
      <c r="P21" s="1449"/>
      <c r="Q21" s="1457"/>
    </row>
    <row r="22" spans="1:17">
      <c r="A22" s="1457"/>
      <c r="B22" s="1581"/>
      <c r="C22" s="1340"/>
      <c r="D22" s="1340"/>
      <c r="E22" s="1340"/>
      <c r="F22" s="1340"/>
      <c r="G22" s="1340"/>
      <c r="H22" s="1340"/>
      <c r="I22" s="1340"/>
      <c r="J22" s="1340"/>
      <c r="K22" s="1340"/>
      <c r="L22" s="1340"/>
      <c r="M22" s="1340"/>
      <c r="N22" s="1449"/>
      <c r="O22" s="1449"/>
      <c r="P22" s="1449"/>
      <c r="Q22" s="1457"/>
    </row>
    <row r="23" spans="1:17" ht="9" customHeight="1">
      <c r="A23" s="1457"/>
      <c r="B23" s="1583"/>
      <c r="C23" s="1449"/>
      <c r="D23" s="1449"/>
      <c r="E23" s="1449"/>
      <c r="F23" s="1449"/>
      <c r="G23" s="1449"/>
      <c r="H23" s="1449"/>
      <c r="I23" s="1449"/>
      <c r="J23" s="1449"/>
      <c r="K23" s="1449"/>
      <c r="L23" s="1449"/>
      <c r="M23" s="1449"/>
      <c r="N23" s="1449"/>
      <c r="O23" s="1449"/>
      <c r="P23" s="1449"/>
      <c r="Q23" s="1457"/>
    </row>
    <row r="24" spans="1:17" ht="9" customHeight="1"/>
    <row r="25" spans="1:17" ht="9" customHeight="1">
      <c r="A25" s="1457"/>
      <c r="B25" s="1449"/>
      <c r="C25" s="1449"/>
      <c r="D25" s="1449"/>
      <c r="E25" s="1449"/>
      <c r="F25" s="1449"/>
      <c r="G25" s="1449"/>
      <c r="H25" s="1449"/>
      <c r="I25" s="1449"/>
      <c r="J25" s="1449"/>
      <c r="K25" s="1449"/>
      <c r="L25" s="1449"/>
      <c r="M25" s="1449"/>
      <c r="N25" s="1449"/>
      <c r="O25" s="1449"/>
      <c r="P25" s="1449"/>
      <c r="Q25" s="1457"/>
    </row>
    <row r="26" spans="1:17" s="1466" customFormat="1" ht="76.5" customHeight="1">
      <c r="B26" s="1456" t="s">
        <v>1617</v>
      </c>
      <c r="C26" s="1487"/>
      <c r="D26" s="1459"/>
      <c r="E26" s="1459"/>
      <c r="F26" s="1459"/>
      <c r="G26" s="2691" t="s">
        <v>1626</v>
      </c>
      <c r="H26" s="2691"/>
      <c r="I26" s="2692"/>
      <c r="J26" s="2692"/>
      <c r="K26" s="2692"/>
      <c r="L26" s="2692"/>
      <c r="M26" s="1459" t="s">
        <v>1627</v>
      </c>
      <c r="N26" s="1465" t="s">
        <v>1628</v>
      </c>
    </row>
    <row r="27" spans="1:17" ht="133.5" customHeight="1">
      <c r="B27" s="2575" t="s">
        <v>1809</v>
      </c>
      <c r="C27" s="2589"/>
      <c r="D27" s="2589"/>
      <c r="E27" s="2589"/>
      <c r="F27" s="2647"/>
      <c r="G27" s="2685"/>
      <c r="H27" s="2686"/>
      <c r="I27" s="2686"/>
      <c r="J27" s="2686"/>
      <c r="K27" s="2686"/>
      <c r="L27" s="2687"/>
      <c r="M27" s="1263"/>
      <c r="N27" s="1284"/>
    </row>
    <row r="28" spans="1:17" ht="81" customHeight="1">
      <c r="A28" s="1321"/>
      <c r="B28" s="1477" t="s">
        <v>1651</v>
      </c>
      <c r="C28" s="1584" t="s">
        <v>1810</v>
      </c>
      <c r="D28" s="1459" t="s">
        <v>1623</v>
      </c>
      <c r="E28" s="1478" t="s">
        <v>1811</v>
      </c>
      <c r="F28" s="1477" t="s">
        <v>1812</v>
      </c>
      <c r="G28" s="1477" t="s">
        <v>1813</v>
      </c>
      <c r="H28" s="1477" t="s">
        <v>1814</v>
      </c>
      <c r="I28" s="1477" t="s">
        <v>1815</v>
      </c>
      <c r="J28" s="1477" t="s">
        <v>1816</v>
      </c>
      <c r="K28" s="1477" t="s">
        <v>1817</v>
      </c>
      <c r="L28" s="1478" t="s">
        <v>1625</v>
      </c>
      <c r="M28" s="1459" t="s">
        <v>1627</v>
      </c>
      <c r="N28" s="1465" t="s">
        <v>1628</v>
      </c>
      <c r="O28" s="1465" t="s">
        <v>1629</v>
      </c>
      <c r="P28" s="1585" t="s">
        <v>1818</v>
      </c>
      <c r="Q28" s="1479"/>
    </row>
    <row r="29" spans="1:17">
      <c r="B29" s="1147"/>
      <c r="C29" s="1148"/>
      <c r="D29" s="1148"/>
      <c r="E29" s="1148"/>
      <c r="F29" s="1148"/>
      <c r="G29" s="1149"/>
      <c r="H29" s="1147"/>
      <c r="I29" s="1147"/>
      <c r="J29" s="1147"/>
      <c r="K29" s="1147"/>
      <c r="L29" s="1147"/>
      <c r="M29" s="1148"/>
      <c r="N29" s="1137"/>
      <c r="O29" s="1150"/>
      <c r="P29" s="1150"/>
    </row>
    <row r="30" spans="1:17">
      <c r="B30" s="1147"/>
      <c r="C30" s="1148"/>
      <c r="D30" s="1148"/>
      <c r="E30" s="1148"/>
      <c r="F30" s="1148"/>
      <c r="G30" s="1149"/>
      <c r="H30" s="1147"/>
      <c r="I30" s="1147"/>
      <c r="J30" s="1147"/>
      <c r="K30" s="1147"/>
      <c r="L30" s="1147"/>
      <c r="M30" s="1148"/>
      <c r="N30" s="1137"/>
      <c r="O30" s="1150"/>
      <c r="P30" s="1150"/>
    </row>
    <row r="31" spans="1:17">
      <c r="B31" s="1147"/>
      <c r="C31" s="1148"/>
      <c r="D31" s="1148"/>
      <c r="E31" s="1148"/>
      <c r="F31" s="1148"/>
      <c r="G31" s="1149"/>
      <c r="H31" s="1147"/>
      <c r="I31" s="1147"/>
      <c r="J31" s="1147"/>
      <c r="K31" s="1147"/>
      <c r="L31" s="1147"/>
      <c r="M31" s="1148"/>
      <c r="N31" s="1137"/>
      <c r="O31" s="1150"/>
      <c r="P31" s="1150"/>
    </row>
    <row r="32" spans="1:17">
      <c r="B32" s="1147"/>
      <c r="C32" s="1148"/>
      <c r="D32" s="1148"/>
      <c r="E32" s="1148"/>
      <c r="F32" s="1148"/>
      <c r="G32" s="1149"/>
      <c r="H32" s="1147"/>
      <c r="I32" s="1147"/>
      <c r="J32" s="1147"/>
      <c r="K32" s="1147"/>
      <c r="L32" s="1147"/>
      <c r="M32" s="1148"/>
      <c r="N32" s="1137"/>
      <c r="O32" s="1150"/>
      <c r="P32" s="1150"/>
    </row>
    <row r="33" spans="1:17">
      <c r="B33" s="1147"/>
      <c r="C33" s="1148"/>
      <c r="D33" s="1148"/>
      <c r="E33" s="1148"/>
      <c r="F33" s="1148"/>
      <c r="G33" s="1149"/>
      <c r="H33" s="1147"/>
      <c r="I33" s="1147"/>
      <c r="J33" s="1147"/>
      <c r="K33" s="1147"/>
      <c r="L33" s="1147"/>
      <c r="M33" s="1148"/>
      <c r="N33" s="1137"/>
      <c r="O33" s="1150"/>
      <c r="P33" s="1150"/>
    </row>
    <row r="34" spans="1:17">
      <c r="B34" s="1147"/>
      <c r="C34" s="1148"/>
      <c r="D34" s="1148"/>
      <c r="E34" s="1148"/>
      <c r="F34" s="1148"/>
      <c r="G34" s="1149"/>
      <c r="H34" s="1147"/>
      <c r="I34" s="1147"/>
      <c r="J34" s="1147"/>
      <c r="K34" s="1147"/>
      <c r="L34" s="1147"/>
      <c r="M34" s="1148"/>
      <c r="N34" s="1137"/>
      <c r="O34" s="1150"/>
      <c r="P34" s="1150"/>
    </row>
    <row r="35" spans="1:17">
      <c r="B35" s="1147"/>
      <c r="C35" s="1149"/>
      <c r="D35" s="1149"/>
      <c r="E35" s="1148"/>
      <c r="F35" s="1148"/>
      <c r="G35" s="1149"/>
      <c r="H35" s="1147"/>
      <c r="I35" s="1147"/>
      <c r="J35" s="1147"/>
      <c r="K35" s="1147"/>
      <c r="L35" s="1147"/>
      <c r="M35" s="1148"/>
      <c r="N35" s="1137"/>
      <c r="O35" s="1150"/>
      <c r="P35" s="1150"/>
    </row>
    <row r="36" spans="1:17" ht="7.5" customHeight="1">
      <c r="A36" s="1457"/>
      <c r="B36" s="1449"/>
      <c r="C36" s="1449"/>
      <c r="D36" s="1449"/>
      <c r="E36" s="1449"/>
      <c r="F36" s="1449"/>
      <c r="G36" s="1449"/>
      <c r="H36" s="1449"/>
      <c r="I36" s="1449"/>
      <c r="J36" s="1449"/>
      <c r="K36" s="1449"/>
      <c r="L36" s="1449"/>
      <c r="M36" s="1449"/>
      <c r="N36" s="1449"/>
      <c r="O36" s="1449"/>
      <c r="P36" s="1449"/>
      <c r="Q36" s="1457"/>
    </row>
    <row r="37" spans="1:17" ht="7.5" customHeight="1">
      <c r="B37" s="1481"/>
      <c r="C37" s="1482"/>
      <c r="D37" s="1482"/>
      <c r="E37" s="1482"/>
      <c r="F37" s="1483"/>
      <c r="G37" s="1439"/>
      <c r="H37" s="1484"/>
      <c r="I37" s="1484"/>
      <c r="J37" s="1484"/>
      <c r="K37" s="1484"/>
      <c r="L37" s="1485"/>
      <c r="M37" s="1485"/>
      <c r="N37" s="1485"/>
      <c r="O37" s="1485"/>
      <c r="P37" s="1486"/>
    </row>
    <row r="38" spans="1:17" s="1466" customFormat="1" ht="73.5" customHeight="1">
      <c r="B38" s="1541"/>
      <c r="C38" s="1487"/>
      <c r="D38" s="1459" t="s">
        <v>1619</v>
      </c>
      <c r="E38" s="2639" t="s">
        <v>1620</v>
      </c>
      <c r="F38" s="2639"/>
      <c r="G38" s="2572" t="s">
        <v>1626</v>
      </c>
      <c r="H38" s="2572"/>
      <c r="I38" s="2688"/>
      <c r="J38" s="2688"/>
      <c r="K38" s="2688"/>
      <c r="L38" s="2688"/>
      <c r="M38" s="1459" t="s">
        <v>1627</v>
      </c>
      <c r="N38" s="1465" t="s">
        <v>1628</v>
      </c>
      <c r="O38" s="1465" t="s">
        <v>1629</v>
      </c>
      <c r="P38" s="1479" t="s">
        <v>1818</v>
      </c>
    </row>
    <row r="39" spans="1:17" ht="230.25" customHeight="1">
      <c r="A39" s="1466"/>
      <c r="B39" s="2579" t="s">
        <v>1819</v>
      </c>
      <c r="C39" s="2689"/>
      <c r="D39" s="1112" t="str">
        <f>IF('Project Info'!C4='Project Info'!P32,'Mod Prescriptive Path Checklist'!C48,IF('Project Info'!C4='Project Info'!P33,#REF!,"&lt;Select compliance path on the 'Project Info' tab&gt;"))</f>
        <v>Specified windows must be double or triple-pane, with low-emissivity glass or coatings. 
Based on the climate zone, the specified windows meet the Prescriptive requirements.
Window frames must be separated from conductive framing (metal &amp; masonry studs, lintels &amp; sills) with insulation designed to serve as a thermal break.</v>
      </c>
      <c r="E39" s="2613">
        <f>ERMs!C29</f>
        <v>0</v>
      </c>
      <c r="F39" s="2690"/>
      <c r="G39" s="2682"/>
      <c r="H39" s="2683"/>
      <c r="I39" s="2684"/>
      <c r="J39" s="2684"/>
      <c r="K39" s="2684"/>
      <c r="L39" s="2684"/>
      <c r="M39" s="1263"/>
      <c r="N39" s="1284"/>
      <c r="O39" s="1278"/>
      <c r="P39" s="1278"/>
    </row>
    <row r="40" spans="1:17" ht="86.25" customHeight="1">
      <c r="A40" s="1321"/>
      <c r="B40" s="2611" t="s">
        <v>1820</v>
      </c>
      <c r="C40" s="2640"/>
      <c r="D40" s="2640"/>
      <c r="E40" s="2640"/>
      <c r="F40" s="2640"/>
      <c r="G40" s="2682"/>
      <c r="H40" s="2683"/>
      <c r="I40" s="2684"/>
      <c r="J40" s="2684"/>
      <c r="K40" s="2684"/>
      <c r="L40" s="2684"/>
      <c r="M40" s="1263"/>
      <c r="N40" s="1284"/>
      <c r="O40" s="1278"/>
      <c r="P40" s="1278"/>
    </row>
    <row r="41" spans="1:17" ht="54.75" customHeight="1">
      <c r="B41" s="2680" t="s">
        <v>1821</v>
      </c>
      <c r="C41" s="2681"/>
      <c r="D41" s="2681"/>
      <c r="E41" s="2681"/>
      <c r="F41" s="2681"/>
      <c r="G41" s="2681"/>
      <c r="H41" s="2681"/>
      <c r="I41" s="2681"/>
      <c r="J41" s="2681"/>
      <c r="K41" s="2681"/>
      <c r="L41" s="2681"/>
      <c r="M41" s="2681"/>
      <c r="N41" s="2681"/>
      <c r="O41" s="1278"/>
      <c r="P41" s="1278"/>
    </row>
    <row r="42" spans="1:17" ht="53.25" customHeight="1">
      <c r="B42" s="2680" t="s">
        <v>1822</v>
      </c>
      <c r="C42" s="2681"/>
      <c r="D42" s="2681"/>
      <c r="E42" s="2681"/>
      <c r="F42" s="2681"/>
      <c r="G42" s="2681"/>
      <c r="H42" s="2681"/>
      <c r="I42" s="2681"/>
      <c r="J42" s="2681"/>
      <c r="K42" s="2681"/>
      <c r="L42" s="2681"/>
      <c r="M42" s="2681"/>
      <c r="N42" s="2681"/>
      <c r="O42" s="1278"/>
      <c r="P42" s="1278"/>
    </row>
    <row r="43" spans="1:17" ht="42.75" customHeight="1">
      <c r="B43" s="2680" t="s">
        <v>1823</v>
      </c>
      <c r="C43" s="2681"/>
      <c r="D43" s="2681"/>
      <c r="E43" s="2681"/>
      <c r="F43" s="2681"/>
      <c r="G43" s="2681"/>
      <c r="H43" s="2681"/>
      <c r="I43" s="2681"/>
      <c r="J43" s="2681"/>
      <c r="K43" s="2681"/>
      <c r="L43" s="2681"/>
      <c r="M43" s="2681"/>
      <c r="N43" s="2681"/>
      <c r="O43" s="1278"/>
      <c r="P43" s="1278"/>
    </row>
    <row r="44" spans="1:17" ht="38.25" customHeight="1">
      <c r="A44" s="1321"/>
      <c r="B44" s="2680" t="s">
        <v>1824</v>
      </c>
      <c r="C44" s="2681"/>
      <c r="D44" s="2681"/>
      <c r="E44" s="2681"/>
      <c r="F44" s="2681"/>
      <c r="G44" s="2681"/>
      <c r="H44" s="2681"/>
      <c r="I44" s="2681"/>
      <c r="J44" s="2681"/>
      <c r="K44" s="2681"/>
      <c r="L44" s="2681"/>
      <c r="M44" s="2681"/>
      <c r="N44" s="2681"/>
      <c r="O44" s="1278"/>
      <c r="P44" s="1278"/>
    </row>
    <row r="45" spans="1:17" ht="30" customHeight="1">
      <c r="B45" s="2680" t="s">
        <v>1825</v>
      </c>
      <c r="C45" s="2681"/>
      <c r="D45" s="2681"/>
      <c r="E45" s="2681"/>
      <c r="F45" s="2681"/>
      <c r="G45" s="2681"/>
      <c r="H45" s="2681"/>
      <c r="I45" s="2681"/>
      <c r="J45" s="2681"/>
      <c r="K45" s="2681"/>
      <c r="L45" s="2681"/>
      <c r="M45" s="2681"/>
      <c r="N45" s="2681"/>
      <c r="O45" s="1278"/>
      <c r="P45" s="1278"/>
    </row>
    <row r="46" spans="1:17" ht="54" customHeight="1">
      <c r="B46" s="2680" t="s">
        <v>1826</v>
      </c>
      <c r="C46" s="2681"/>
      <c r="D46" s="2681"/>
      <c r="E46" s="2681"/>
      <c r="F46" s="2681"/>
      <c r="G46" s="2681"/>
      <c r="H46" s="2681"/>
      <c r="I46" s="2681"/>
      <c r="J46" s="2681"/>
      <c r="K46" s="2681"/>
      <c r="L46" s="2681"/>
      <c r="M46" s="2681"/>
      <c r="N46" s="2681"/>
      <c r="O46" s="1278"/>
      <c r="P46" s="1278"/>
    </row>
    <row r="47" spans="1:17">
      <c r="D47" s="1489"/>
    </row>
    <row r="51" spans="4:20" ht="25.5">
      <c r="D51" s="1468"/>
      <c r="T51" s="1321" t="s">
        <v>403</v>
      </c>
    </row>
    <row r="52" spans="4:20" ht="25.5">
      <c r="D52" s="1468"/>
      <c r="T52" s="1321" t="s">
        <v>405</v>
      </c>
    </row>
    <row r="53" spans="4:20" ht="25.5">
      <c r="D53" s="1468"/>
      <c r="T53" s="1321" t="s">
        <v>404</v>
      </c>
    </row>
    <row r="180" spans="2:2" ht="18">
      <c r="B180" s="1323"/>
    </row>
  </sheetData>
  <sheetProtection sheet="1" objects="1" scenarios="1" formatCells="0" formatColumns="0" formatRows="0" insertColumns="0" insertRows="0"/>
  <mergeCells count="35">
    <mergeCell ref="B7:E7"/>
    <mergeCell ref="K7:L7"/>
    <mergeCell ref="N7:O7"/>
    <mergeCell ref="F5:M5"/>
    <mergeCell ref="N5:O5"/>
    <mergeCell ref="B6:E6"/>
    <mergeCell ref="K6:L6"/>
    <mergeCell ref="N6:O6"/>
    <mergeCell ref="G26:L26"/>
    <mergeCell ref="B8:J8"/>
    <mergeCell ref="K8:L8"/>
    <mergeCell ref="N8:O8"/>
    <mergeCell ref="B9:J9"/>
    <mergeCell ref="K9:L9"/>
    <mergeCell ref="N9:O9"/>
    <mergeCell ref="K11:L11"/>
    <mergeCell ref="B17:J17"/>
    <mergeCell ref="B18:J18"/>
    <mergeCell ref="B19:J19"/>
    <mergeCell ref="B21:J21"/>
    <mergeCell ref="B27:F27"/>
    <mergeCell ref="G27:L27"/>
    <mergeCell ref="E38:F38"/>
    <mergeCell ref="G38:L38"/>
    <mergeCell ref="B39:C39"/>
    <mergeCell ref="E39:F39"/>
    <mergeCell ref="G39:L39"/>
    <mergeCell ref="B45:N45"/>
    <mergeCell ref="B46:N46"/>
    <mergeCell ref="B40:F40"/>
    <mergeCell ref="G40:L40"/>
    <mergeCell ref="B41:N41"/>
    <mergeCell ref="B42:N42"/>
    <mergeCell ref="B43:N43"/>
    <mergeCell ref="B44:N44"/>
  </mergeCells>
  <dataValidations count="3">
    <dataValidation type="list" allowBlank="1" showInputMessage="1" showErrorMessage="1" sqref="N27 PU27 ZQ27 AJM27 ATI27 BDE27 BNA27 BWW27 CGS27 CQO27 DAK27 DKG27 DUC27 EDY27 ENU27 EXQ27 FHM27 FRI27 GBE27 GLA27 GUW27 HES27 HOO27 HYK27 IIG27 ISC27 JBY27 JLU27 JVQ27 KFM27 KPI27 KZE27 LJA27 LSW27 MCS27 MMO27 MWK27 NGG27 NQC27 NZY27 OJU27 OTQ27 PDM27 PNI27 PXE27 QHA27 QQW27 RAS27 RKO27 RUK27 SEG27 SOC27 SXY27 THU27 TRQ27 UBM27 ULI27 UVE27 VFA27 VOW27 VYS27 WIO27 WSK27 N65563 PU65563 ZQ65563 AJM65563 ATI65563 BDE65563 BNA65563 BWW65563 CGS65563 CQO65563 DAK65563 DKG65563 DUC65563 EDY65563 ENU65563 EXQ65563 FHM65563 FRI65563 GBE65563 GLA65563 GUW65563 HES65563 HOO65563 HYK65563 IIG65563 ISC65563 JBY65563 JLU65563 JVQ65563 KFM65563 KPI65563 KZE65563 LJA65563 LSW65563 MCS65563 MMO65563 MWK65563 NGG65563 NQC65563 NZY65563 OJU65563 OTQ65563 PDM65563 PNI65563 PXE65563 QHA65563 QQW65563 RAS65563 RKO65563 RUK65563 SEG65563 SOC65563 SXY65563 THU65563 TRQ65563 UBM65563 ULI65563 UVE65563 VFA65563 VOW65563 VYS65563 WIO65563 WSK65563 N131099 PU131099 ZQ131099 AJM131099 ATI131099 BDE131099 BNA131099 BWW131099 CGS131099 CQO131099 DAK131099 DKG131099 DUC131099 EDY131099 ENU131099 EXQ131099 FHM131099 FRI131099 GBE131099 GLA131099 GUW131099 HES131099 HOO131099 HYK131099 IIG131099 ISC131099 JBY131099 JLU131099 JVQ131099 KFM131099 KPI131099 KZE131099 LJA131099 LSW131099 MCS131099 MMO131099 MWK131099 NGG131099 NQC131099 NZY131099 OJU131099 OTQ131099 PDM131099 PNI131099 PXE131099 QHA131099 QQW131099 RAS131099 RKO131099 RUK131099 SEG131099 SOC131099 SXY131099 THU131099 TRQ131099 UBM131099 ULI131099 UVE131099 VFA131099 VOW131099 VYS131099 WIO131099 WSK131099 N196635 PU196635 ZQ196635 AJM196635 ATI196635 BDE196635 BNA196635 BWW196635 CGS196635 CQO196635 DAK196635 DKG196635 DUC196635 EDY196635 ENU196635 EXQ196635 FHM196635 FRI196635 GBE196635 GLA196635 GUW196635 HES196635 HOO196635 HYK196635 IIG196635 ISC196635 JBY196635 JLU196635 JVQ196635 KFM196635 KPI196635 KZE196635 LJA196635 LSW196635 MCS196635 MMO196635 MWK196635 NGG196635 NQC196635 NZY196635 OJU196635 OTQ196635 PDM196635 PNI196635 PXE196635 QHA196635 QQW196635 RAS196635 RKO196635 RUK196635 SEG196635 SOC196635 SXY196635 THU196635 TRQ196635 UBM196635 ULI196635 UVE196635 VFA196635 VOW196635 VYS196635 WIO196635 WSK196635 N262171 PU262171 ZQ262171 AJM262171 ATI262171 BDE262171 BNA262171 BWW262171 CGS262171 CQO262171 DAK262171 DKG262171 DUC262171 EDY262171 ENU262171 EXQ262171 FHM262171 FRI262171 GBE262171 GLA262171 GUW262171 HES262171 HOO262171 HYK262171 IIG262171 ISC262171 JBY262171 JLU262171 JVQ262171 KFM262171 KPI262171 KZE262171 LJA262171 LSW262171 MCS262171 MMO262171 MWK262171 NGG262171 NQC262171 NZY262171 OJU262171 OTQ262171 PDM262171 PNI262171 PXE262171 QHA262171 QQW262171 RAS262171 RKO262171 RUK262171 SEG262171 SOC262171 SXY262171 THU262171 TRQ262171 UBM262171 ULI262171 UVE262171 VFA262171 VOW262171 VYS262171 WIO262171 WSK262171 N327707 PU327707 ZQ327707 AJM327707 ATI327707 BDE327707 BNA327707 BWW327707 CGS327707 CQO327707 DAK327707 DKG327707 DUC327707 EDY327707 ENU327707 EXQ327707 FHM327707 FRI327707 GBE327707 GLA327707 GUW327707 HES327707 HOO327707 HYK327707 IIG327707 ISC327707 JBY327707 JLU327707 JVQ327707 KFM327707 KPI327707 KZE327707 LJA327707 LSW327707 MCS327707 MMO327707 MWK327707 NGG327707 NQC327707 NZY327707 OJU327707 OTQ327707 PDM327707 PNI327707 PXE327707 QHA327707 QQW327707 RAS327707 RKO327707 RUK327707 SEG327707 SOC327707 SXY327707 THU327707 TRQ327707 UBM327707 ULI327707 UVE327707 VFA327707 VOW327707 VYS327707 WIO327707 WSK327707 N393243 PU393243 ZQ393243 AJM393243 ATI393243 BDE393243 BNA393243 BWW393243 CGS393243 CQO393243 DAK393243 DKG393243 DUC393243 EDY393243 ENU393243 EXQ393243 FHM393243 FRI393243 GBE393243 GLA393243 GUW393243 HES393243 HOO393243 HYK393243 IIG393243 ISC393243 JBY393243 JLU393243 JVQ393243 KFM393243 KPI393243 KZE393243 LJA393243 LSW393243 MCS393243 MMO393243 MWK393243 NGG393243 NQC393243 NZY393243 OJU393243 OTQ393243 PDM393243 PNI393243 PXE393243 QHA393243 QQW393243 RAS393243 RKO393243 RUK393243 SEG393243 SOC393243 SXY393243 THU393243 TRQ393243 UBM393243 ULI393243 UVE393243 VFA393243 VOW393243 VYS393243 WIO393243 WSK393243 N458779 PU458779 ZQ458779 AJM458779 ATI458779 BDE458779 BNA458779 BWW458779 CGS458779 CQO458779 DAK458779 DKG458779 DUC458779 EDY458779 ENU458779 EXQ458779 FHM458779 FRI458779 GBE458779 GLA458779 GUW458779 HES458779 HOO458779 HYK458779 IIG458779 ISC458779 JBY458779 JLU458779 JVQ458779 KFM458779 KPI458779 KZE458779 LJA458779 LSW458779 MCS458779 MMO458779 MWK458779 NGG458779 NQC458779 NZY458779 OJU458779 OTQ458779 PDM458779 PNI458779 PXE458779 QHA458779 QQW458779 RAS458779 RKO458779 RUK458779 SEG458779 SOC458779 SXY458779 THU458779 TRQ458779 UBM458779 ULI458779 UVE458779 VFA458779 VOW458779 VYS458779 WIO458779 WSK458779 N524315 PU524315 ZQ524315 AJM524315 ATI524315 BDE524315 BNA524315 BWW524315 CGS524315 CQO524315 DAK524315 DKG524315 DUC524315 EDY524315 ENU524315 EXQ524315 FHM524315 FRI524315 GBE524315 GLA524315 GUW524315 HES524315 HOO524315 HYK524315 IIG524315 ISC524315 JBY524315 JLU524315 JVQ524315 KFM524315 KPI524315 KZE524315 LJA524315 LSW524315 MCS524315 MMO524315 MWK524315 NGG524315 NQC524315 NZY524315 OJU524315 OTQ524315 PDM524315 PNI524315 PXE524315 QHA524315 QQW524315 RAS524315 RKO524315 RUK524315 SEG524315 SOC524315 SXY524315 THU524315 TRQ524315 UBM524315 ULI524315 UVE524315 VFA524315 VOW524315 VYS524315 WIO524315 WSK524315 N589851 PU589851 ZQ589851 AJM589851 ATI589851 BDE589851 BNA589851 BWW589851 CGS589851 CQO589851 DAK589851 DKG589851 DUC589851 EDY589851 ENU589851 EXQ589851 FHM589851 FRI589851 GBE589851 GLA589851 GUW589851 HES589851 HOO589851 HYK589851 IIG589851 ISC589851 JBY589851 JLU589851 JVQ589851 KFM589851 KPI589851 KZE589851 LJA589851 LSW589851 MCS589851 MMO589851 MWK589851 NGG589851 NQC589851 NZY589851 OJU589851 OTQ589851 PDM589851 PNI589851 PXE589851 QHA589851 QQW589851 RAS589851 RKO589851 RUK589851 SEG589851 SOC589851 SXY589851 THU589851 TRQ589851 UBM589851 ULI589851 UVE589851 VFA589851 VOW589851 VYS589851 WIO589851 WSK589851 N655387 PU655387 ZQ655387 AJM655387 ATI655387 BDE655387 BNA655387 BWW655387 CGS655387 CQO655387 DAK655387 DKG655387 DUC655387 EDY655387 ENU655387 EXQ655387 FHM655387 FRI655387 GBE655387 GLA655387 GUW655387 HES655387 HOO655387 HYK655387 IIG655387 ISC655387 JBY655387 JLU655387 JVQ655387 KFM655387 KPI655387 KZE655387 LJA655387 LSW655387 MCS655387 MMO655387 MWK655387 NGG655387 NQC655387 NZY655387 OJU655387 OTQ655387 PDM655387 PNI655387 PXE655387 QHA655387 QQW655387 RAS655387 RKO655387 RUK655387 SEG655387 SOC655387 SXY655387 THU655387 TRQ655387 UBM655387 ULI655387 UVE655387 VFA655387 VOW655387 VYS655387 WIO655387 WSK655387 N720923 PU720923 ZQ720923 AJM720923 ATI720923 BDE720923 BNA720923 BWW720923 CGS720923 CQO720923 DAK720923 DKG720923 DUC720923 EDY720923 ENU720923 EXQ720923 FHM720923 FRI720923 GBE720923 GLA720923 GUW720923 HES720923 HOO720923 HYK720923 IIG720923 ISC720923 JBY720923 JLU720923 JVQ720923 KFM720923 KPI720923 KZE720923 LJA720923 LSW720923 MCS720923 MMO720923 MWK720923 NGG720923 NQC720923 NZY720923 OJU720923 OTQ720923 PDM720923 PNI720923 PXE720923 QHA720923 QQW720923 RAS720923 RKO720923 RUK720923 SEG720923 SOC720923 SXY720923 THU720923 TRQ720923 UBM720923 ULI720923 UVE720923 VFA720923 VOW720923 VYS720923 WIO720923 WSK720923 N786459 PU786459 ZQ786459 AJM786459 ATI786459 BDE786459 BNA786459 BWW786459 CGS786459 CQO786459 DAK786459 DKG786459 DUC786459 EDY786459 ENU786459 EXQ786459 FHM786459 FRI786459 GBE786459 GLA786459 GUW786459 HES786459 HOO786459 HYK786459 IIG786459 ISC786459 JBY786459 JLU786459 JVQ786459 KFM786459 KPI786459 KZE786459 LJA786459 LSW786459 MCS786459 MMO786459 MWK786459 NGG786459 NQC786459 NZY786459 OJU786459 OTQ786459 PDM786459 PNI786459 PXE786459 QHA786459 QQW786459 RAS786459 RKO786459 RUK786459 SEG786459 SOC786459 SXY786459 THU786459 TRQ786459 UBM786459 ULI786459 UVE786459 VFA786459 VOW786459 VYS786459 WIO786459 WSK786459 N851995 PU851995 ZQ851995 AJM851995 ATI851995 BDE851995 BNA851995 BWW851995 CGS851995 CQO851995 DAK851995 DKG851995 DUC851995 EDY851995 ENU851995 EXQ851995 FHM851995 FRI851995 GBE851995 GLA851995 GUW851995 HES851995 HOO851995 HYK851995 IIG851995 ISC851995 JBY851995 JLU851995 JVQ851995 KFM851995 KPI851995 KZE851995 LJA851995 LSW851995 MCS851995 MMO851995 MWK851995 NGG851995 NQC851995 NZY851995 OJU851995 OTQ851995 PDM851995 PNI851995 PXE851995 QHA851995 QQW851995 RAS851995 RKO851995 RUK851995 SEG851995 SOC851995 SXY851995 THU851995 TRQ851995 UBM851995 ULI851995 UVE851995 VFA851995 VOW851995 VYS851995 WIO851995 WSK851995 N917531 PU917531 ZQ917531 AJM917531 ATI917531 BDE917531 BNA917531 BWW917531 CGS917531 CQO917531 DAK917531 DKG917531 DUC917531 EDY917531 ENU917531 EXQ917531 FHM917531 FRI917531 GBE917531 GLA917531 GUW917531 HES917531 HOO917531 HYK917531 IIG917531 ISC917531 JBY917531 JLU917531 JVQ917531 KFM917531 KPI917531 KZE917531 LJA917531 LSW917531 MCS917531 MMO917531 MWK917531 NGG917531 NQC917531 NZY917531 OJU917531 OTQ917531 PDM917531 PNI917531 PXE917531 QHA917531 QQW917531 RAS917531 RKO917531 RUK917531 SEG917531 SOC917531 SXY917531 THU917531 TRQ917531 UBM917531 ULI917531 UVE917531 VFA917531 VOW917531 VYS917531 WIO917531 WSK917531 N983067 PU983067 ZQ983067 AJM983067 ATI983067 BDE983067 BNA983067 BWW983067 CGS983067 CQO983067 DAK983067 DKG983067 DUC983067 EDY983067 ENU983067 EXQ983067 FHM983067 FRI983067 GBE983067 GLA983067 GUW983067 HES983067 HOO983067 HYK983067 IIG983067 ISC983067 JBY983067 JLU983067 JVQ983067 KFM983067 KPI983067 KZE983067 LJA983067 LSW983067 MCS983067 MMO983067 MWK983067 NGG983067 NQC983067 NZY983067 OJU983067 OTQ983067 PDM983067 PNI983067 PXE983067 QHA983067 QQW983067 RAS983067 RKO983067 RUK983067 SEG983067 SOC983067 SXY983067 THU983067 TRQ983067 UBM983067 ULI983067 UVE983067 VFA983067 VOW983067 VYS983067 WIO983067 WSK983067 N29:O35 PU29:PV35 ZQ29:ZR35 AJM29:AJN35 ATI29:ATJ35 BDE29:BDF35 BNA29:BNB35 BWW29:BWX35 CGS29:CGT35 CQO29:CQP35 DAK29:DAL35 DKG29:DKH35 DUC29:DUD35 EDY29:EDZ35 ENU29:ENV35 EXQ29:EXR35 FHM29:FHN35 FRI29:FRJ35 GBE29:GBF35 GLA29:GLB35 GUW29:GUX35 HES29:HET35 HOO29:HOP35 HYK29:HYL35 IIG29:IIH35 ISC29:ISD35 JBY29:JBZ35 JLU29:JLV35 JVQ29:JVR35 KFM29:KFN35 KPI29:KPJ35 KZE29:KZF35 LJA29:LJB35 LSW29:LSX35 MCS29:MCT35 MMO29:MMP35 MWK29:MWL35 NGG29:NGH35 NQC29:NQD35 NZY29:NZZ35 OJU29:OJV35 OTQ29:OTR35 PDM29:PDN35 PNI29:PNJ35 PXE29:PXF35 QHA29:QHB35 QQW29:QQX35 RAS29:RAT35 RKO29:RKP35 RUK29:RUL35 SEG29:SEH35 SOC29:SOD35 SXY29:SXZ35 THU29:THV35 TRQ29:TRR35 UBM29:UBN35 ULI29:ULJ35 UVE29:UVF35 VFA29:VFB35 VOW29:VOX35 VYS29:VYT35 WIO29:WIP35 WSK29:WSL35 N65565:O65571 PU65565:PV65571 ZQ65565:ZR65571 AJM65565:AJN65571 ATI65565:ATJ65571 BDE65565:BDF65571 BNA65565:BNB65571 BWW65565:BWX65571 CGS65565:CGT65571 CQO65565:CQP65571 DAK65565:DAL65571 DKG65565:DKH65571 DUC65565:DUD65571 EDY65565:EDZ65571 ENU65565:ENV65571 EXQ65565:EXR65571 FHM65565:FHN65571 FRI65565:FRJ65571 GBE65565:GBF65571 GLA65565:GLB65571 GUW65565:GUX65571 HES65565:HET65571 HOO65565:HOP65571 HYK65565:HYL65571 IIG65565:IIH65571 ISC65565:ISD65571 JBY65565:JBZ65571 JLU65565:JLV65571 JVQ65565:JVR65571 KFM65565:KFN65571 KPI65565:KPJ65571 KZE65565:KZF65571 LJA65565:LJB65571 LSW65565:LSX65571 MCS65565:MCT65571 MMO65565:MMP65571 MWK65565:MWL65571 NGG65565:NGH65571 NQC65565:NQD65571 NZY65565:NZZ65571 OJU65565:OJV65571 OTQ65565:OTR65571 PDM65565:PDN65571 PNI65565:PNJ65571 PXE65565:PXF65571 QHA65565:QHB65571 QQW65565:QQX65571 RAS65565:RAT65571 RKO65565:RKP65571 RUK65565:RUL65571 SEG65565:SEH65571 SOC65565:SOD65571 SXY65565:SXZ65571 THU65565:THV65571 TRQ65565:TRR65571 UBM65565:UBN65571 ULI65565:ULJ65571 UVE65565:UVF65571 VFA65565:VFB65571 VOW65565:VOX65571 VYS65565:VYT65571 WIO65565:WIP65571 WSK65565:WSL65571 N131101:O131107 PU131101:PV131107 ZQ131101:ZR131107 AJM131101:AJN131107 ATI131101:ATJ131107 BDE131101:BDF131107 BNA131101:BNB131107 BWW131101:BWX131107 CGS131101:CGT131107 CQO131101:CQP131107 DAK131101:DAL131107 DKG131101:DKH131107 DUC131101:DUD131107 EDY131101:EDZ131107 ENU131101:ENV131107 EXQ131101:EXR131107 FHM131101:FHN131107 FRI131101:FRJ131107 GBE131101:GBF131107 GLA131101:GLB131107 GUW131101:GUX131107 HES131101:HET131107 HOO131101:HOP131107 HYK131101:HYL131107 IIG131101:IIH131107 ISC131101:ISD131107 JBY131101:JBZ131107 JLU131101:JLV131107 JVQ131101:JVR131107 KFM131101:KFN131107 KPI131101:KPJ131107 KZE131101:KZF131107 LJA131101:LJB131107 LSW131101:LSX131107 MCS131101:MCT131107 MMO131101:MMP131107 MWK131101:MWL131107 NGG131101:NGH131107 NQC131101:NQD131107 NZY131101:NZZ131107 OJU131101:OJV131107 OTQ131101:OTR131107 PDM131101:PDN131107 PNI131101:PNJ131107 PXE131101:PXF131107 QHA131101:QHB131107 QQW131101:QQX131107 RAS131101:RAT131107 RKO131101:RKP131107 RUK131101:RUL131107 SEG131101:SEH131107 SOC131101:SOD131107 SXY131101:SXZ131107 THU131101:THV131107 TRQ131101:TRR131107 UBM131101:UBN131107 ULI131101:ULJ131107 UVE131101:UVF131107 VFA131101:VFB131107 VOW131101:VOX131107 VYS131101:VYT131107 WIO131101:WIP131107 WSK131101:WSL131107 N196637:O196643 PU196637:PV196643 ZQ196637:ZR196643 AJM196637:AJN196643 ATI196637:ATJ196643 BDE196637:BDF196643 BNA196637:BNB196643 BWW196637:BWX196643 CGS196637:CGT196643 CQO196637:CQP196643 DAK196637:DAL196643 DKG196637:DKH196643 DUC196637:DUD196643 EDY196637:EDZ196643 ENU196637:ENV196643 EXQ196637:EXR196643 FHM196637:FHN196643 FRI196637:FRJ196643 GBE196637:GBF196643 GLA196637:GLB196643 GUW196637:GUX196643 HES196637:HET196643 HOO196637:HOP196643 HYK196637:HYL196643 IIG196637:IIH196643 ISC196637:ISD196643 JBY196637:JBZ196643 JLU196637:JLV196643 JVQ196637:JVR196643 KFM196637:KFN196643 KPI196637:KPJ196643 KZE196637:KZF196643 LJA196637:LJB196643 LSW196637:LSX196643 MCS196637:MCT196643 MMO196637:MMP196643 MWK196637:MWL196643 NGG196637:NGH196643 NQC196637:NQD196643 NZY196637:NZZ196643 OJU196637:OJV196643 OTQ196637:OTR196643 PDM196637:PDN196643 PNI196637:PNJ196643 PXE196637:PXF196643 QHA196637:QHB196643 QQW196637:QQX196643 RAS196637:RAT196643 RKO196637:RKP196643 RUK196637:RUL196643 SEG196637:SEH196643 SOC196637:SOD196643 SXY196637:SXZ196643 THU196637:THV196643 TRQ196637:TRR196643 UBM196637:UBN196643 ULI196637:ULJ196643 UVE196637:UVF196643 VFA196637:VFB196643 VOW196637:VOX196643 VYS196637:VYT196643 WIO196637:WIP196643 WSK196637:WSL196643 N262173:O262179 PU262173:PV262179 ZQ262173:ZR262179 AJM262173:AJN262179 ATI262173:ATJ262179 BDE262173:BDF262179 BNA262173:BNB262179 BWW262173:BWX262179 CGS262173:CGT262179 CQO262173:CQP262179 DAK262173:DAL262179 DKG262173:DKH262179 DUC262173:DUD262179 EDY262173:EDZ262179 ENU262173:ENV262179 EXQ262173:EXR262179 FHM262173:FHN262179 FRI262173:FRJ262179 GBE262173:GBF262179 GLA262173:GLB262179 GUW262173:GUX262179 HES262173:HET262179 HOO262173:HOP262179 HYK262173:HYL262179 IIG262173:IIH262179 ISC262173:ISD262179 JBY262173:JBZ262179 JLU262173:JLV262179 JVQ262173:JVR262179 KFM262173:KFN262179 KPI262173:KPJ262179 KZE262173:KZF262179 LJA262173:LJB262179 LSW262173:LSX262179 MCS262173:MCT262179 MMO262173:MMP262179 MWK262173:MWL262179 NGG262173:NGH262179 NQC262173:NQD262179 NZY262173:NZZ262179 OJU262173:OJV262179 OTQ262173:OTR262179 PDM262173:PDN262179 PNI262173:PNJ262179 PXE262173:PXF262179 QHA262173:QHB262179 QQW262173:QQX262179 RAS262173:RAT262179 RKO262173:RKP262179 RUK262173:RUL262179 SEG262173:SEH262179 SOC262173:SOD262179 SXY262173:SXZ262179 THU262173:THV262179 TRQ262173:TRR262179 UBM262173:UBN262179 ULI262173:ULJ262179 UVE262173:UVF262179 VFA262173:VFB262179 VOW262173:VOX262179 VYS262173:VYT262179 WIO262173:WIP262179 WSK262173:WSL262179 N327709:O327715 PU327709:PV327715 ZQ327709:ZR327715 AJM327709:AJN327715 ATI327709:ATJ327715 BDE327709:BDF327715 BNA327709:BNB327715 BWW327709:BWX327715 CGS327709:CGT327715 CQO327709:CQP327715 DAK327709:DAL327715 DKG327709:DKH327715 DUC327709:DUD327715 EDY327709:EDZ327715 ENU327709:ENV327715 EXQ327709:EXR327715 FHM327709:FHN327715 FRI327709:FRJ327715 GBE327709:GBF327715 GLA327709:GLB327715 GUW327709:GUX327715 HES327709:HET327715 HOO327709:HOP327715 HYK327709:HYL327715 IIG327709:IIH327715 ISC327709:ISD327715 JBY327709:JBZ327715 JLU327709:JLV327715 JVQ327709:JVR327715 KFM327709:KFN327715 KPI327709:KPJ327715 KZE327709:KZF327715 LJA327709:LJB327715 LSW327709:LSX327715 MCS327709:MCT327715 MMO327709:MMP327715 MWK327709:MWL327715 NGG327709:NGH327715 NQC327709:NQD327715 NZY327709:NZZ327715 OJU327709:OJV327715 OTQ327709:OTR327715 PDM327709:PDN327715 PNI327709:PNJ327715 PXE327709:PXF327715 QHA327709:QHB327715 QQW327709:QQX327715 RAS327709:RAT327715 RKO327709:RKP327715 RUK327709:RUL327715 SEG327709:SEH327715 SOC327709:SOD327715 SXY327709:SXZ327715 THU327709:THV327715 TRQ327709:TRR327715 UBM327709:UBN327715 ULI327709:ULJ327715 UVE327709:UVF327715 VFA327709:VFB327715 VOW327709:VOX327715 VYS327709:VYT327715 WIO327709:WIP327715 WSK327709:WSL327715 N393245:O393251 PU393245:PV393251 ZQ393245:ZR393251 AJM393245:AJN393251 ATI393245:ATJ393251 BDE393245:BDF393251 BNA393245:BNB393251 BWW393245:BWX393251 CGS393245:CGT393251 CQO393245:CQP393251 DAK393245:DAL393251 DKG393245:DKH393251 DUC393245:DUD393251 EDY393245:EDZ393251 ENU393245:ENV393251 EXQ393245:EXR393251 FHM393245:FHN393251 FRI393245:FRJ393251 GBE393245:GBF393251 GLA393245:GLB393251 GUW393245:GUX393251 HES393245:HET393251 HOO393245:HOP393251 HYK393245:HYL393251 IIG393245:IIH393251 ISC393245:ISD393251 JBY393245:JBZ393251 JLU393245:JLV393251 JVQ393245:JVR393251 KFM393245:KFN393251 KPI393245:KPJ393251 KZE393245:KZF393251 LJA393245:LJB393251 LSW393245:LSX393251 MCS393245:MCT393251 MMO393245:MMP393251 MWK393245:MWL393251 NGG393245:NGH393251 NQC393245:NQD393251 NZY393245:NZZ393251 OJU393245:OJV393251 OTQ393245:OTR393251 PDM393245:PDN393251 PNI393245:PNJ393251 PXE393245:PXF393251 QHA393245:QHB393251 QQW393245:QQX393251 RAS393245:RAT393251 RKO393245:RKP393251 RUK393245:RUL393251 SEG393245:SEH393251 SOC393245:SOD393251 SXY393245:SXZ393251 THU393245:THV393251 TRQ393245:TRR393251 UBM393245:UBN393251 ULI393245:ULJ393251 UVE393245:UVF393251 VFA393245:VFB393251 VOW393245:VOX393251 VYS393245:VYT393251 WIO393245:WIP393251 WSK393245:WSL393251 N458781:O458787 PU458781:PV458787 ZQ458781:ZR458787 AJM458781:AJN458787 ATI458781:ATJ458787 BDE458781:BDF458787 BNA458781:BNB458787 BWW458781:BWX458787 CGS458781:CGT458787 CQO458781:CQP458787 DAK458781:DAL458787 DKG458781:DKH458787 DUC458781:DUD458787 EDY458781:EDZ458787 ENU458781:ENV458787 EXQ458781:EXR458787 FHM458781:FHN458787 FRI458781:FRJ458787 GBE458781:GBF458787 GLA458781:GLB458787 GUW458781:GUX458787 HES458781:HET458787 HOO458781:HOP458787 HYK458781:HYL458787 IIG458781:IIH458787 ISC458781:ISD458787 JBY458781:JBZ458787 JLU458781:JLV458787 JVQ458781:JVR458787 KFM458781:KFN458787 KPI458781:KPJ458787 KZE458781:KZF458787 LJA458781:LJB458787 LSW458781:LSX458787 MCS458781:MCT458787 MMO458781:MMP458787 MWK458781:MWL458787 NGG458781:NGH458787 NQC458781:NQD458787 NZY458781:NZZ458787 OJU458781:OJV458787 OTQ458781:OTR458787 PDM458781:PDN458787 PNI458781:PNJ458787 PXE458781:PXF458787 QHA458781:QHB458787 QQW458781:QQX458787 RAS458781:RAT458787 RKO458781:RKP458787 RUK458781:RUL458787 SEG458781:SEH458787 SOC458781:SOD458787 SXY458781:SXZ458787 THU458781:THV458787 TRQ458781:TRR458787 UBM458781:UBN458787 ULI458781:ULJ458787 UVE458781:UVF458787 VFA458781:VFB458787 VOW458781:VOX458787 VYS458781:VYT458787 WIO458781:WIP458787 WSK458781:WSL458787 N524317:O524323 PU524317:PV524323 ZQ524317:ZR524323 AJM524317:AJN524323 ATI524317:ATJ524323 BDE524317:BDF524323 BNA524317:BNB524323 BWW524317:BWX524323 CGS524317:CGT524323 CQO524317:CQP524323 DAK524317:DAL524323 DKG524317:DKH524323 DUC524317:DUD524323 EDY524317:EDZ524323 ENU524317:ENV524323 EXQ524317:EXR524323 FHM524317:FHN524323 FRI524317:FRJ524323 GBE524317:GBF524323 GLA524317:GLB524323 GUW524317:GUX524323 HES524317:HET524323 HOO524317:HOP524323 HYK524317:HYL524323 IIG524317:IIH524323 ISC524317:ISD524323 JBY524317:JBZ524323 JLU524317:JLV524323 JVQ524317:JVR524323 KFM524317:KFN524323 KPI524317:KPJ524323 KZE524317:KZF524323 LJA524317:LJB524323 LSW524317:LSX524323 MCS524317:MCT524323 MMO524317:MMP524323 MWK524317:MWL524323 NGG524317:NGH524323 NQC524317:NQD524323 NZY524317:NZZ524323 OJU524317:OJV524323 OTQ524317:OTR524323 PDM524317:PDN524323 PNI524317:PNJ524323 PXE524317:PXF524323 QHA524317:QHB524323 QQW524317:QQX524323 RAS524317:RAT524323 RKO524317:RKP524323 RUK524317:RUL524323 SEG524317:SEH524323 SOC524317:SOD524323 SXY524317:SXZ524323 THU524317:THV524323 TRQ524317:TRR524323 UBM524317:UBN524323 ULI524317:ULJ524323 UVE524317:UVF524323 VFA524317:VFB524323 VOW524317:VOX524323 VYS524317:VYT524323 WIO524317:WIP524323 WSK524317:WSL524323 N589853:O589859 PU589853:PV589859 ZQ589853:ZR589859 AJM589853:AJN589859 ATI589853:ATJ589859 BDE589853:BDF589859 BNA589853:BNB589859 BWW589853:BWX589859 CGS589853:CGT589859 CQO589853:CQP589859 DAK589853:DAL589859 DKG589853:DKH589859 DUC589853:DUD589859 EDY589853:EDZ589859 ENU589853:ENV589859 EXQ589853:EXR589859 FHM589853:FHN589859 FRI589853:FRJ589859 GBE589853:GBF589859 GLA589853:GLB589859 GUW589853:GUX589859 HES589853:HET589859 HOO589853:HOP589859 HYK589853:HYL589859 IIG589853:IIH589859 ISC589853:ISD589859 JBY589853:JBZ589859 JLU589853:JLV589859 JVQ589853:JVR589859 KFM589853:KFN589859 KPI589853:KPJ589859 KZE589853:KZF589859 LJA589853:LJB589859 LSW589853:LSX589859 MCS589853:MCT589859 MMO589853:MMP589859 MWK589853:MWL589859 NGG589853:NGH589859 NQC589853:NQD589859 NZY589853:NZZ589859 OJU589853:OJV589859 OTQ589853:OTR589859 PDM589853:PDN589859 PNI589853:PNJ589859 PXE589853:PXF589859 QHA589853:QHB589859 QQW589853:QQX589859 RAS589853:RAT589859 RKO589853:RKP589859 RUK589853:RUL589859 SEG589853:SEH589859 SOC589853:SOD589859 SXY589853:SXZ589859 THU589853:THV589859 TRQ589853:TRR589859 UBM589853:UBN589859 ULI589853:ULJ589859 UVE589853:UVF589859 VFA589853:VFB589859 VOW589853:VOX589859 VYS589853:VYT589859 WIO589853:WIP589859 WSK589853:WSL589859 N655389:O655395 PU655389:PV655395 ZQ655389:ZR655395 AJM655389:AJN655395 ATI655389:ATJ655395 BDE655389:BDF655395 BNA655389:BNB655395 BWW655389:BWX655395 CGS655389:CGT655395 CQO655389:CQP655395 DAK655389:DAL655395 DKG655389:DKH655395 DUC655389:DUD655395 EDY655389:EDZ655395 ENU655389:ENV655395 EXQ655389:EXR655395 FHM655389:FHN655395 FRI655389:FRJ655395 GBE655389:GBF655395 GLA655389:GLB655395 GUW655389:GUX655395 HES655389:HET655395 HOO655389:HOP655395 HYK655389:HYL655395 IIG655389:IIH655395 ISC655389:ISD655395 JBY655389:JBZ655395 JLU655389:JLV655395 JVQ655389:JVR655395 KFM655389:KFN655395 KPI655389:KPJ655395 KZE655389:KZF655395 LJA655389:LJB655395 LSW655389:LSX655395 MCS655389:MCT655395 MMO655389:MMP655395 MWK655389:MWL655395 NGG655389:NGH655395 NQC655389:NQD655395 NZY655389:NZZ655395 OJU655389:OJV655395 OTQ655389:OTR655395 PDM655389:PDN655395 PNI655389:PNJ655395 PXE655389:PXF655395 QHA655389:QHB655395 QQW655389:QQX655395 RAS655389:RAT655395 RKO655389:RKP655395 RUK655389:RUL655395 SEG655389:SEH655395 SOC655389:SOD655395 SXY655389:SXZ655395 THU655389:THV655395 TRQ655389:TRR655395 UBM655389:UBN655395 ULI655389:ULJ655395 UVE655389:UVF655395 VFA655389:VFB655395 VOW655389:VOX655395 VYS655389:VYT655395 WIO655389:WIP655395 WSK655389:WSL655395 N720925:O720931 PU720925:PV720931 ZQ720925:ZR720931 AJM720925:AJN720931 ATI720925:ATJ720931 BDE720925:BDF720931 BNA720925:BNB720931 BWW720925:BWX720931 CGS720925:CGT720931 CQO720925:CQP720931 DAK720925:DAL720931 DKG720925:DKH720931 DUC720925:DUD720931 EDY720925:EDZ720931 ENU720925:ENV720931 EXQ720925:EXR720931 FHM720925:FHN720931 FRI720925:FRJ720931 GBE720925:GBF720931 GLA720925:GLB720931 GUW720925:GUX720931 HES720925:HET720931 HOO720925:HOP720931 HYK720925:HYL720931 IIG720925:IIH720931 ISC720925:ISD720931 JBY720925:JBZ720931 JLU720925:JLV720931 JVQ720925:JVR720931 KFM720925:KFN720931 KPI720925:KPJ720931 KZE720925:KZF720931 LJA720925:LJB720931 LSW720925:LSX720931 MCS720925:MCT720931 MMO720925:MMP720931 MWK720925:MWL720931 NGG720925:NGH720931 NQC720925:NQD720931 NZY720925:NZZ720931 OJU720925:OJV720931 OTQ720925:OTR720931 PDM720925:PDN720931 PNI720925:PNJ720931 PXE720925:PXF720931 QHA720925:QHB720931 QQW720925:QQX720931 RAS720925:RAT720931 RKO720925:RKP720931 RUK720925:RUL720931 SEG720925:SEH720931 SOC720925:SOD720931 SXY720925:SXZ720931 THU720925:THV720931 TRQ720925:TRR720931 UBM720925:UBN720931 ULI720925:ULJ720931 UVE720925:UVF720931 VFA720925:VFB720931 VOW720925:VOX720931 VYS720925:VYT720931 WIO720925:WIP720931 WSK720925:WSL720931 N786461:O786467 PU786461:PV786467 ZQ786461:ZR786467 AJM786461:AJN786467 ATI786461:ATJ786467 BDE786461:BDF786467 BNA786461:BNB786467 BWW786461:BWX786467 CGS786461:CGT786467 CQO786461:CQP786467 DAK786461:DAL786467 DKG786461:DKH786467 DUC786461:DUD786467 EDY786461:EDZ786467 ENU786461:ENV786467 EXQ786461:EXR786467 FHM786461:FHN786467 FRI786461:FRJ786467 GBE786461:GBF786467 GLA786461:GLB786467 GUW786461:GUX786467 HES786461:HET786467 HOO786461:HOP786467 HYK786461:HYL786467 IIG786461:IIH786467 ISC786461:ISD786467 JBY786461:JBZ786467 JLU786461:JLV786467 JVQ786461:JVR786467 KFM786461:KFN786467 KPI786461:KPJ786467 KZE786461:KZF786467 LJA786461:LJB786467 LSW786461:LSX786467 MCS786461:MCT786467 MMO786461:MMP786467 MWK786461:MWL786467 NGG786461:NGH786467 NQC786461:NQD786467 NZY786461:NZZ786467 OJU786461:OJV786467 OTQ786461:OTR786467 PDM786461:PDN786467 PNI786461:PNJ786467 PXE786461:PXF786467 QHA786461:QHB786467 QQW786461:QQX786467 RAS786461:RAT786467 RKO786461:RKP786467 RUK786461:RUL786467 SEG786461:SEH786467 SOC786461:SOD786467 SXY786461:SXZ786467 THU786461:THV786467 TRQ786461:TRR786467 UBM786461:UBN786467 ULI786461:ULJ786467 UVE786461:UVF786467 VFA786461:VFB786467 VOW786461:VOX786467 VYS786461:VYT786467 WIO786461:WIP786467 WSK786461:WSL786467 N851997:O852003 PU851997:PV852003 ZQ851997:ZR852003 AJM851997:AJN852003 ATI851997:ATJ852003 BDE851997:BDF852003 BNA851997:BNB852003 BWW851997:BWX852003 CGS851997:CGT852003 CQO851997:CQP852003 DAK851997:DAL852003 DKG851997:DKH852003 DUC851997:DUD852003 EDY851997:EDZ852003 ENU851997:ENV852003 EXQ851997:EXR852003 FHM851997:FHN852003 FRI851997:FRJ852003 GBE851997:GBF852003 GLA851997:GLB852003 GUW851997:GUX852003 HES851997:HET852003 HOO851997:HOP852003 HYK851997:HYL852003 IIG851997:IIH852003 ISC851997:ISD852003 JBY851997:JBZ852003 JLU851997:JLV852003 JVQ851997:JVR852003 KFM851997:KFN852003 KPI851997:KPJ852003 KZE851997:KZF852003 LJA851997:LJB852003 LSW851997:LSX852003 MCS851997:MCT852003 MMO851997:MMP852003 MWK851997:MWL852003 NGG851997:NGH852003 NQC851997:NQD852003 NZY851997:NZZ852003 OJU851997:OJV852003 OTQ851997:OTR852003 PDM851997:PDN852003 PNI851997:PNJ852003 PXE851997:PXF852003 QHA851997:QHB852003 QQW851997:QQX852003 RAS851997:RAT852003 RKO851997:RKP852003 RUK851997:RUL852003 SEG851997:SEH852003 SOC851997:SOD852003 SXY851997:SXZ852003 THU851997:THV852003 TRQ851997:TRR852003 UBM851997:UBN852003 ULI851997:ULJ852003 UVE851997:UVF852003 VFA851997:VFB852003 VOW851997:VOX852003 VYS851997:VYT852003 WIO851997:WIP852003 WSK851997:WSL852003 N917533:O917539 PU917533:PV917539 ZQ917533:ZR917539 AJM917533:AJN917539 ATI917533:ATJ917539 BDE917533:BDF917539 BNA917533:BNB917539 BWW917533:BWX917539 CGS917533:CGT917539 CQO917533:CQP917539 DAK917533:DAL917539 DKG917533:DKH917539 DUC917533:DUD917539 EDY917533:EDZ917539 ENU917533:ENV917539 EXQ917533:EXR917539 FHM917533:FHN917539 FRI917533:FRJ917539 GBE917533:GBF917539 GLA917533:GLB917539 GUW917533:GUX917539 HES917533:HET917539 HOO917533:HOP917539 HYK917533:HYL917539 IIG917533:IIH917539 ISC917533:ISD917539 JBY917533:JBZ917539 JLU917533:JLV917539 JVQ917533:JVR917539 KFM917533:KFN917539 KPI917533:KPJ917539 KZE917533:KZF917539 LJA917533:LJB917539 LSW917533:LSX917539 MCS917533:MCT917539 MMO917533:MMP917539 MWK917533:MWL917539 NGG917533:NGH917539 NQC917533:NQD917539 NZY917533:NZZ917539 OJU917533:OJV917539 OTQ917533:OTR917539 PDM917533:PDN917539 PNI917533:PNJ917539 PXE917533:PXF917539 QHA917533:QHB917539 QQW917533:QQX917539 RAS917533:RAT917539 RKO917533:RKP917539 RUK917533:RUL917539 SEG917533:SEH917539 SOC917533:SOD917539 SXY917533:SXZ917539 THU917533:THV917539 TRQ917533:TRR917539 UBM917533:UBN917539 ULI917533:ULJ917539 UVE917533:UVF917539 VFA917533:VFB917539 VOW917533:VOX917539 VYS917533:VYT917539 WIO917533:WIP917539 WSK917533:WSL917539 N983069:O983075 PU983069:PV983075 ZQ983069:ZR983075 AJM983069:AJN983075 ATI983069:ATJ983075 BDE983069:BDF983075 BNA983069:BNB983075 BWW983069:BWX983075 CGS983069:CGT983075 CQO983069:CQP983075 DAK983069:DAL983075 DKG983069:DKH983075 DUC983069:DUD983075 EDY983069:EDZ983075 ENU983069:ENV983075 EXQ983069:EXR983075 FHM983069:FHN983075 FRI983069:FRJ983075 GBE983069:GBF983075 GLA983069:GLB983075 GUW983069:GUX983075 HES983069:HET983075 HOO983069:HOP983075 HYK983069:HYL983075 IIG983069:IIH983075 ISC983069:ISD983075 JBY983069:JBZ983075 JLU983069:JLV983075 JVQ983069:JVR983075 KFM983069:KFN983075 KPI983069:KPJ983075 KZE983069:KZF983075 LJA983069:LJB983075 LSW983069:LSX983075 MCS983069:MCT983075 MMO983069:MMP983075 MWK983069:MWL983075 NGG983069:NGH983075 NQC983069:NQD983075 NZY983069:NZZ983075 OJU983069:OJV983075 OTQ983069:OTR983075 PDM983069:PDN983075 PNI983069:PNJ983075 PXE983069:PXF983075 QHA983069:QHB983075 QQW983069:QQX983075 RAS983069:RAT983075 RKO983069:RKP983075 RUK983069:RUL983075 SEG983069:SEH983075 SOC983069:SOD983075 SXY983069:SXZ983075 THU983069:THV983075 TRQ983069:TRR983075 UBM983069:UBN983075 ULI983069:ULJ983075 UVE983069:UVF983075 VFA983069:VFB983075 VOW983069:VOX983075 VYS983069:VYT983075 WIO983069:WIP983075 WSK983069:WSL983075 N39:O40 PU39:PV40 ZQ39:ZR40 AJM39:AJN40 ATI39:ATJ40 BDE39:BDF40 BNA39:BNB40 BWW39:BWX40 CGS39:CGT40 CQO39:CQP40 DAK39:DAL40 DKG39:DKH40 DUC39:DUD40 EDY39:EDZ40 ENU39:ENV40 EXQ39:EXR40 FHM39:FHN40 FRI39:FRJ40 GBE39:GBF40 GLA39:GLB40 GUW39:GUX40 HES39:HET40 HOO39:HOP40 HYK39:HYL40 IIG39:IIH40 ISC39:ISD40 JBY39:JBZ40 JLU39:JLV40 JVQ39:JVR40 KFM39:KFN40 KPI39:KPJ40 KZE39:KZF40 LJA39:LJB40 LSW39:LSX40 MCS39:MCT40 MMO39:MMP40 MWK39:MWL40 NGG39:NGH40 NQC39:NQD40 NZY39:NZZ40 OJU39:OJV40 OTQ39:OTR40 PDM39:PDN40 PNI39:PNJ40 PXE39:PXF40 QHA39:QHB40 QQW39:QQX40 RAS39:RAT40 RKO39:RKP40 RUK39:RUL40 SEG39:SEH40 SOC39:SOD40 SXY39:SXZ40 THU39:THV40 TRQ39:TRR40 UBM39:UBN40 ULI39:ULJ40 UVE39:UVF40 VFA39:VFB40 VOW39:VOX40 VYS39:VYT40 WIO39:WIP40 WSK39:WSL40 N65575:O65576 PU65575:PV65576 ZQ65575:ZR65576 AJM65575:AJN65576 ATI65575:ATJ65576 BDE65575:BDF65576 BNA65575:BNB65576 BWW65575:BWX65576 CGS65575:CGT65576 CQO65575:CQP65576 DAK65575:DAL65576 DKG65575:DKH65576 DUC65575:DUD65576 EDY65575:EDZ65576 ENU65575:ENV65576 EXQ65575:EXR65576 FHM65575:FHN65576 FRI65575:FRJ65576 GBE65575:GBF65576 GLA65575:GLB65576 GUW65575:GUX65576 HES65575:HET65576 HOO65575:HOP65576 HYK65575:HYL65576 IIG65575:IIH65576 ISC65575:ISD65576 JBY65575:JBZ65576 JLU65575:JLV65576 JVQ65575:JVR65576 KFM65575:KFN65576 KPI65575:KPJ65576 KZE65575:KZF65576 LJA65575:LJB65576 LSW65575:LSX65576 MCS65575:MCT65576 MMO65575:MMP65576 MWK65575:MWL65576 NGG65575:NGH65576 NQC65575:NQD65576 NZY65575:NZZ65576 OJU65575:OJV65576 OTQ65575:OTR65576 PDM65575:PDN65576 PNI65575:PNJ65576 PXE65575:PXF65576 QHA65575:QHB65576 QQW65575:QQX65576 RAS65575:RAT65576 RKO65575:RKP65576 RUK65575:RUL65576 SEG65575:SEH65576 SOC65575:SOD65576 SXY65575:SXZ65576 THU65575:THV65576 TRQ65575:TRR65576 UBM65575:UBN65576 ULI65575:ULJ65576 UVE65575:UVF65576 VFA65575:VFB65576 VOW65575:VOX65576 VYS65575:VYT65576 WIO65575:WIP65576 WSK65575:WSL65576 N131111:O131112 PU131111:PV131112 ZQ131111:ZR131112 AJM131111:AJN131112 ATI131111:ATJ131112 BDE131111:BDF131112 BNA131111:BNB131112 BWW131111:BWX131112 CGS131111:CGT131112 CQO131111:CQP131112 DAK131111:DAL131112 DKG131111:DKH131112 DUC131111:DUD131112 EDY131111:EDZ131112 ENU131111:ENV131112 EXQ131111:EXR131112 FHM131111:FHN131112 FRI131111:FRJ131112 GBE131111:GBF131112 GLA131111:GLB131112 GUW131111:GUX131112 HES131111:HET131112 HOO131111:HOP131112 HYK131111:HYL131112 IIG131111:IIH131112 ISC131111:ISD131112 JBY131111:JBZ131112 JLU131111:JLV131112 JVQ131111:JVR131112 KFM131111:KFN131112 KPI131111:KPJ131112 KZE131111:KZF131112 LJA131111:LJB131112 LSW131111:LSX131112 MCS131111:MCT131112 MMO131111:MMP131112 MWK131111:MWL131112 NGG131111:NGH131112 NQC131111:NQD131112 NZY131111:NZZ131112 OJU131111:OJV131112 OTQ131111:OTR131112 PDM131111:PDN131112 PNI131111:PNJ131112 PXE131111:PXF131112 QHA131111:QHB131112 QQW131111:QQX131112 RAS131111:RAT131112 RKO131111:RKP131112 RUK131111:RUL131112 SEG131111:SEH131112 SOC131111:SOD131112 SXY131111:SXZ131112 THU131111:THV131112 TRQ131111:TRR131112 UBM131111:UBN131112 ULI131111:ULJ131112 UVE131111:UVF131112 VFA131111:VFB131112 VOW131111:VOX131112 VYS131111:VYT131112 WIO131111:WIP131112 WSK131111:WSL131112 N196647:O196648 PU196647:PV196648 ZQ196647:ZR196648 AJM196647:AJN196648 ATI196647:ATJ196648 BDE196647:BDF196648 BNA196647:BNB196648 BWW196647:BWX196648 CGS196647:CGT196648 CQO196647:CQP196648 DAK196647:DAL196648 DKG196647:DKH196648 DUC196647:DUD196648 EDY196647:EDZ196648 ENU196647:ENV196648 EXQ196647:EXR196648 FHM196647:FHN196648 FRI196647:FRJ196648 GBE196647:GBF196648 GLA196647:GLB196648 GUW196647:GUX196648 HES196647:HET196648 HOO196647:HOP196648 HYK196647:HYL196648 IIG196647:IIH196648 ISC196647:ISD196648 JBY196647:JBZ196648 JLU196647:JLV196648 JVQ196647:JVR196648 KFM196647:KFN196648 KPI196647:KPJ196648 KZE196647:KZF196648 LJA196647:LJB196648 LSW196647:LSX196648 MCS196647:MCT196648 MMO196647:MMP196648 MWK196647:MWL196648 NGG196647:NGH196648 NQC196647:NQD196648 NZY196647:NZZ196648 OJU196647:OJV196648 OTQ196647:OTR196648 PDM196647:PDN196648 PNI196647:PNJ196648 PXE196647:PXF196648 QHA196647:QHB196648 QQW196647:QQX196648 RAS196647:RAT196648 RKO196647:RKP196648 RUK196647:RUL196648 SEG196647:SEH196648 SOC196647:SOD196648 SXY196647:SXZ196648 THU196647:THV196648 TRQ196647:TRR196648 UBM196647:UBN196648 ULI196647:ULJ196648 UVE196647:UVF196648 VFA196647:VFB196648 VOW196647:VOX196648 VYS196647:VYT196648 WIO196647:WIP196648 WSK196647:WSL196648 N262183:O262184 PU262183:PV262184 ZQ262183:ZR262184 AJM262183:AJN262184 ATI262183:ATJ262184 BDE262183:BDF262184 BNA262183:BNB262184 BWW262183:BWX262184 CGS262183:CGT262184 CQO262183:CQP262184 DAK262183:DAL262184 DKG262183:DKH262184 DUC262183:DUD262184 EDY262183:EDZ262184 ENU262183:ENV262184 EXQ262183:EXR262184 FHM262183:FHN262184 FRI262183:FRJ262184 GBE262183:GBF262184 GLA262183:GLB262184 GUW262183:GUX262184 HES262183:HET262184 HOO262183:HOP262184 HYK262183:HYL262184 IIG262183:IIH262184 ISC262183:ISD262184 JBY262183:JBZ262184 JLU262183:JLV262184 JVQ262183:JVR262184 KFM262183:KFN262184 KPI262183:KPJ262184 KZE262183:KZF262184 LJA262183:LJB262184 LSW262183:LSX262184 MCS262183:MCT262184 MMO262183:MMP262184 MWK262183:MWL262184 NGG262183:NGH262184 NQC262183:NQD262184 NZY262183:NZZ262184 OJU262183:OJV262184 OTQ262183:OTR262184 PDM262183:PDN262184 PNI262183:PNJ262184 PXE262183:PXF262184 QHA262183:QHB262184 QQW262183:QQX262184 RAS262183:RAT262184 RKO262183:RKP262184 RUK262183:RUL262184 SEG262183:SEH262184 SOC262183:SOD262184 SXY262183:SXZ262184 THU262183:THV262184 TRQ262183:TRR262184 UBM262183:UBN262184 ULI262183:ULJ262184 UVE262183:UVF262184 VFA262183:VFB262184 VOW262183:VOX262184 VYS262183:VYT262184 WIO262183:WIP262184 WSK262183:WSL262184 N327719:O327720 PU327719:PV327720 ZQ327719:ZR327720 AJM327719:AJN327720 ATI327719:ATJ327720 BDE327719:BDF327720 BNA327719:BNB327720 BWW327719:BWX327720 CGS327719:CGT327720 CQO327719:CQP327720 DAK327719:DAL327720 DKG327719:DKH327720 DUC327719:DUD327720 EDY327719:EDZ327720 ENU327719:ENV327720 EXQ327719:EXR327720 FHM327719:FHN327720 FRI327719:FRJ327720 GBE327719:GBF327720 GLA327719:GLB327720 GUW327719:GUX327720 HES327719:HET327720 HOO327719:HOP327720 HYK327719:HYL327720 IIG327719:IIH327720 ISC327719:ISD327720 JBY327719:JBZ327720 JLU327719:JLV327720 JVQ327719:JVR327720 KFM327719:KFN327720 KPI327719:KPJ327720 KZE327719:KZF327720 LJA327719:LJB327720 LSW327719:LSX327720 MCS327719:MCT327720 MMO327719:MMP327720 MWK327719:MWL327720 NGG327719:NGH327720 NQC327719:NQD327720 NZY327719:NZZ327720 OJU327719:OJV327720 OTQ327719:OTR327720 PDM327719:PDN327720 PNI327719:PNJ327720 PXE327719:PXF327720 QHA327719:QHB327720 QQW327719:QQX327720 RAS327719:RAT327720 RKO327719:RKP327720 RUK327719:RUL327720 SEG327719:SEH327720 SOC327719:SOD327720 SXY327719:SXZ327720 THU327719:THV327720 TRQ327719:TRR327720 UBM327719:UBN327720 ULI327719:ULJ327720 UVE327719:UVF327720 VFA327719:VFB327720 VOW327719:VOX327720 VYS327719:VYT327720 WIO327719:WIP327720 WSK327719:WSL327720 N393255:O393256 PU393255:PV393256 ZQ393255:ZR393256 AJM393255:AJN393256 ATI393255:ATJ393256 BDE393255:BDF393256 BNA393255:BNB393256 BWW393255:BWX393256 CGS393255:CGT393256 CQO393255:CQP393256 DAK393255:DAL393256 DKG393255:DKH393256 DUC393255:DUD393256 EDY393255:EDZ393256 ENU393255:ENV393256 EXQ393255:EXR393256 FHM393255:FHN393256 FRI393255:FRJ393256 GBE393255:GBF393256 GLA393255:GLB393256 GUW393255:GUX393256 HES393255:HET393256 HOO393255:HOP393256 HYK393255:HYL393256 IIG393255:IIH393256 ISC393255:ISD393256 JBY393255:JBZ393256 JLU393255:JLV393256 JVQ393255:JVR393256 KFM393255:KFN393256 KPI393255:KPJ393256 KZE393255:KZF393256 LJA393255:LJB393256 LSW393255:LSX393256 MCS393255:MCT393256 MMO393255:MMP393256 MWK393255:MWL393256 NGG393255:NGH393256 NQC393255:NQD393256 NZY393255:NZZ393256 OJU393255:OJV393256 OTQ393255:OTR393256 PDM393255:PDN393256 PNI393255:PNJ393256 PXE393255:PXF393256 QHA393255:QHB393256 QQW393255:QQX393256 RAS393255:RAT393256 RKO393255:RKP393256 RUK393255:RUL393256 SEG393255:SEH393256 SOC393255:SOD393256 SXY393255:SXZ393256 THU393255:THV393256 TRQ393255:TRR393256 UBM393255:UBN393256 ULI393255:ULJ393256 UVE393255:UVF393256 VFA393255:VFB393256 VOW393255:VOX393256 VYS393255:VYT393256 WIO393255:WIP393256 WSK393255:WSL393256 N458791:O458792 PU458791:PV458792 ZQ458791:ZR458792 AJM458791:AJN458792 ATI458791:ATJ458792 BDE458791:BDF458792 BNA458791:BNB458792 BWW458791:BWX458792 CGS458791:CGT458792 CQO458791:CQP458792 DAK458791:DAL458792 DKG458791:DKH458792 DUC458791:DUD458792 EDY458791:EDZ458792 ENU458791:ENV458792 EXQ458791:EXR458792 FHM458791:FHN458792 FRI458791:FRJ458792 GBE458791:GBF458792 GLA458791:GLB458792 GUW458791:GUX458792 HES458791:HET458792 HOO458791:HOP458792 HYK458791:HYL458792 IIG458791:IIH458792 ISC458791:ISD458792 JBY458791:JBZ458792 JLU458791:JLV458792 JVQ458791:JVR458792 KFM458791:KFN458792 KPI458791:KPJ458792 KZE458791:KZF458792 LJA458791:LJB458792 LSW458791:LSX458792 MCS458791:MCT458792 MMO458791:MMP458792 MWK458791:MWL458792 NGG458791:NGH458792 NQC458791:NQD458792 NZY458791:NZZ458792 OJU458791:OJV458792 OTQ458791:OTR458792 PDM458791:PDN458792 PNI458791:PNJ458792 PXE458791:PXF458792 QHA458791:QHB458792 QQW458791:QQX458792 RAS458791:RAT458792 RKO458791:RKP458792 RUK458791:RUL458792 SEG458791:SEH458792 SOC458791:SOD458792 SXY458791:SXZ458792 THU458791:THV458792 TRQ458791:TRR458792 UBM458791:UBN458792 ULI458791:ULJ458792 UVE458791:UVF458792 VFA458791:VFB458792 VOW458791:VOX458792 VYS458791:VYT458792 WIO458791:WIP458792 WSK458791:WSL458792 N524327:O524328 PU524327:PV524328 ZQ524327:ZR524328 AJM524327:AJN524328 ATI524327:ATJ524328 BDE524327:BDF524328 BNA524327:BNB524328 BWW524327:BWX524328 CGS524327:CGT524328 CQO524327:CQP524328 DAK524327:DAL524328 DKG524327:DKH524328 DUC524327:DUD524328 EDY524327:EDZ524328 ENU524327:ENV524328 EXQ524327:EXR524328 FHM524327:FHN524328 FRI524327:FRJ524328 GBE524327:GBF524328 GLA524327:GLB524328 GUW524327:GUX524328 HES524327:HET524328 HOO524327:HOP524328 HYK524327:HYL524328 IIG524327:IIH524328 ISC524327:ISD524328 JBY524327:JBZ524328 JLU524327:JLV524328 JVQ524327:JVR524328 KFM524327:KFN524328 KPI524327:KPJ524328 KZE524327:KZF524328 LJA524327:LJB524328 LSW524327:LSX524328 MCS524327:MCT524328 MMO524327:MMP524328 MWK524327:MWL524328 NGG524327:NGH524328 NQC524327:NQD524328 NZY524327:NZZ524328 OJU524327:OJV524328 OTQ524327:OTR524328 PDM524327:PDN524328 PNI524327:PNJ524328 PXE524327:PXF524328 QHA524327:QHB524328 QQW524327:QQX524328 RAS524327:RAT524328 RKO524327:RKP524328 RUK524327:RUL524328 SEG524327:SEH524328 SOC524327:SOD524328 SXY524327:SXZ524328 THU524327:THV524328 TRQ524327:TRR524328 UBM524327:UBN524328 ULI524327:ULJ524328 UVE524327:UVF524328 VFA524327:VFB524328 VOW524327:VOX524328 VYS524327:VYT524328 WIO524327:WIP524328 WSK524327:WSL524328 N589863:O589864 PU589863:PV589864 ZQ589863:ZR589864 AJM589863:AJN589864 ATI589863:ATJ589864 BDE589863:BDF589864 BNA589863:BNB589864 BWW589863:BWX589864 CGS589863:CGT589864 CQO589863:CQP589864 DAK589863:DAL589864 DKG589863:DKH589864 DUC589863:DUD589864 EDY589863:EDZ589864 ENU589863:ENV589864 EXQ589863:EXR589864 FHM589863:FHN589864 FRI589863:FRJ589864 GBE589863:GBF589864 GLA589863:GLB589864 GUW589863:GUX589864 HES589863:HET589864 HOO589863:HOP589864 HYK589863:HYL589864 IIG589863:IIH589864 ISC589863:ISD589864 JBY589863:JBZ589864 JLU589863:JLV589864 JVQ589863:JVR589864 KFM589863:KFN589864 KPI589863:KPJ589864 KZE589863:KZF589864 LJA589863:LJB589864 LSW589863:LSX589864 MCS589863:MCT589864 MMO589863:MMP589864 MWK589863:MWL589864 NGG589863:NGH589864 NQC589863:NQD589864 NZY589863:NZZ589864 OJU589863:OJV589864 OTQ589863:OTR589864 PDM589863:PDN589864 PNI589863:PNJ589864 PXE589863:PXF589864 QHA589863:QHB589864 QQW589863:QQX589864 RAS589863:RAT589864 RKO589863:RKP589864 RUK589863:RUL589864 SEG589863:SEH589864 SOC589863:SOD589864 SXY589863:SXZ589864 THU589863:THV589864 TRQ589863:TRR589864 UBM589863:UBN589864 ULI589863:ULJ589864 UVE589863:UVF589864 VFA589863:VFB589864 VOW589863:VOX589864 VYS589863:VYT589864 WIO589863:WIP589864 WSK589863:WSL589864 N655399:O655400 PU655399:PV655400 ZQ655399:ZR655400 AJM655399:AJN655400 ATI655399:ATJ655400 BDE655399:BDF655400 BNA655399:BNB655400 BWW655399:BWX655400 CGS655399:CGT655400 CQO655399:CQP655400 DAK655399:DAL655400 DKG655399:DKH655400 DUC655399:DUD655400 EDY655399:EDZ655400 ENU655399:ENV655400 EXQ655399:EXR655400 FHM655399:FHN655400 FRI655399:FRJ655400 GBE655399:GBF655400 GLA655399:GLB655400 GUW655399:GUX655400 HES655399:HET655400 HOO655399:HOP655400 HYK655399:HYL655400 IIG655399:IIH655400 ISC655399:ISD655400 JBY655399:JBZ655400 JLU655399:JLV655400 JVQ655399:JVR655400 KFM655399:KFN655400 KPI655399:KPJ655400 KZE655399:KZF655400 LJA655399:LJB655400 LSW655399:LSX655400 MCS655399:MCT655400 MMO655399:MMP655400 MWK655399:MWL655400 NGG655399:NGH655400 NQC655399:NQD655400 NZY655399:NZZ655400 OJU655399:OJV655400 OTQ655399:OTR655400 PDM655399:PDN655400 PNI655399:PNJ655400 PXE655399:PXF655400 QHA655399:QHB655400 QQW655399:QQX655400 RAS655399:RAT655400 RKO655399:RKP655400 RUK655399:RUL655400 SEG655399:SEH655400 SOC655399:SOD655400 SXY655399:SXZ655400 THU655399:THV655400 TRQ655399:TRR655400 UBM655399:UBN655400 ULI655399:ULJ655400 UVE655399:UVF655400 VFA655399:VFB655400 VOW655399:VOX655400 VYS655399:VYT655400 WIO655399:WIP655400 WSK655399:WSL655400 N720935:O720936 PU720935:PV720936 ZQ720935:ZR720936 AJM720935:AJN720936 ATI720935:ATJ720936 BDE720935:BDF720936 BNA720935:BNB720936 BWW720935:BWX720936 CGS720935:CGT720936 CQO720935:CQP720936 DAK720935:DAL720936 DKG720935:DKH720936 DUC720935:DUD720936 EDY720935:EDZ720936 ENU720935:ENV720936 EXQ720935:EXR720936 FHM720935:FHN720936 FRI720935:FRJ720936 GBE720935:GBF720936 GLA720935:GLB720936 GUW720935:GUX720936 HES720935:HET720936 HOO720935:HOP720936 HYK720935:HYL720936 IIG720935:IIH720936 ISC720935:ISD720936 JBY720935:JBZ720936 JLU720935:JLV720936 JVQ720935:JVR720936 KFM720935:KFN720936 KPI720935:KPJ720936 KZE720935:KZF720936 LJA720935:LJB720936 LSW720935:LSX720936 MCS720935:MCT720936 MMO720935:MMP720936 MWK720935:MWL720936 NGG720935:NGH720936 NQC720935:NQD720936 NZY720935:NZZ720936 OJU720935:OJV720936 OTQ720935:OTR720936 PDM720935:PDN720936 PNI720935:PNJ720936 PXE720935:PXF720936 QHA720935:QHB720936 QQW720935:QQX720936 RAS720935:RAT720936 RKO720935:RKP720936 RUK720935:RUL720936 SEG720935:SEH720936 SOC720935:SOD720936 SXY720935:SXZ720936 THU720935:THV720936 TRQ720935:TRR720936 UBM720935:UBN720936 ULI720935:ULJ720936 UVE720935:UVF720936 VFA720935:VFB720936 VOW720935:VOX720936 VYS720935:VYT720936 WIO720935:WIP720936 WSK720935:WSL720936 N786471:O786472 PU786471:PV786472 ZQ786471:ZR786472 AJM786471:AJN786472 ATI786471:ATJ786472 BDE786471:BDF786472 BNA786471:BNB786472 BWW786471:BWX786472 CGS786471:CGT786472 CQO786471:CQP786472 DAK786471:DAL786472 DKG786471:DKH786472 DUC786471:DUD786472 EDY786471:EDZ786472 ENU786471:ENV786472 EXQ786471:EXR786472 FHM786471:FHN786472 FRI786471:FRJ786472 GBE786471:GBF786472 GLA786471:GLB786472 GUW786471:GUX786472 HES786471:HET786472 HOO786471:HOP786472 HYK786471:HYL786472 IIG786471:IIH786472 ISC786471:ISD786472 JBY786471:JBZ786472 JLU786471:JLV786472 JVQ786471:JVR786472 KFM786471:KFN786472 KPI786471:KPJ786472 KZE786471:KZF786472 LJA786471:LJB786472 LSW786471:LSX786472 MCS786471:MCT786472 MMO786471:MMP786472 MWK786471:MWL786472 NGG786471:NGH786472 NQC786471:NQD786472 NZY786471:NZZ786472 OJU786471:OJV786472 OTQ786471:OTR786472 PDM786471:PDN786472 PNI786471:PNJ786472 PXE786471:PXF786472 QHA786471:QHB786472 QQW786471:QQX786472 RAS786471:RAT786472 RKO786471:RKP786472 RUK786471:RUL786472 SEG786471:SEH786472 SOC786471:SOD786472 SXY786471:SXZ786472 THU786471:THV786472 TRQ786471:TRR786472 UBM786471:UBN786472 ULI786471:ULJ786472 UVE786471:UVF786472 VFA786471:VFB786472 VOW786471:VOX786472 VYS786471:VYT786472 WIO786471:WIP786472 WSK786471:WSL786472 N852007:O852008 PU852007:PV852008 ZQ852007:ZR852008 AJM852007:AJN852008 ATI852007:ATJ852008 BDE852007:BDF852008 BNA852007:BNB852008 BWW852007:BWX852008 CGS852007:CGT852008 CQO852007:CQP852008 DAK852007:DAL852008 DKG852007:DKH852008 DUC852007:DUD852008 EDY852007:EDZ852008 ENU852007:ENV852008 EXQ852007:EXR852008 FHM852007:FHN852008 FRI852007:FRJ852008 GBE852007:GBF852008 GLA852007:GLB852008 GUW852007:GUX852008 HES852007:HET852008 HOO852007:HOP852008 HYK852007:HYL852008 IIG852007:IIH852008 ISC852007:ISD852008 JBY852007:JBZ852008 JLU852007:JLV852008 JVQ852007:JVR852008 KFM852007:KFN852008 KPI852007:KPJ852008 KZE852007:KZF852008 LJA852007:LJB852008 LSW852007:LSX852008 MCS852007:MCT852008 MMO852007:MMP852008 MWK852007:MWL852008 NGG852007:NGH852008 NQC852007:NQD852008 NZY852007:NZZ852008 OJU852007:OJV852008 OTQ852007:OTR852008 PDM852007:PDN852008 PNI852007:PNJ852008 PXE852007:PXF852008 QHA852007:QHB852008 QQW852007:QQX852008 RAS852007:RAT852008 RKO852007:RKP852008 RUK852007:RUL852008 SEG852007:SEH852008 SOC852007:SOD852008 SXY852007:SXZ852008 THU852007:THV852008 TRQ852007:TRR852008 UBM852007:UBN852008 ULI852007:ULJ852008 UVE852007:UVF852008 VFA852007:VFB852008 VOW852007:VOX852008 VYS852007:VYT852008 WIO852007:WIP852008 WSK852007:WSL852008 N917543:O917544 PU917543:PV917544 ZQ917543:ZR917544 AJM917543:AJN917544 ATI917543:ATJ917544 BDE917543:BDF917544 BNA917543:BNB917544 BWW917543:BWX917544 CGS917543:CGT917544 CQO917543:CQP917544 DAK917543:DAL917544 DKG917543:DKH917544 DUC917543:DUD917544 EDY917543:EDZ917544 ENU917543:ENV917544 EXQ917543:EXR917544 FHM917543:FHN917544 FRI917543:FRJ917544 GBE917543:GBF917544 GLA917543:GLB917544 GUW917543:GUX917544 HES917543:HET917544 HOO917543:HOP917544 HYK917543:HYL917544 IIG917543:IIH917544 ISC917543:ISD917544 JBY917543:JBZ917544 JLU917543:JLV917544 JVQ917543:JVR917544 KFM917543:KFN917544 KPI917543:KPJ917544 KZE917543:KZF917544 LJA917543:LJB917544 LSW917543:LSX917544 MCS917543:MCT917544 MMO917543:MMP917544 MWK917543:MWL917544 NGG917543:NGH917544 NQC917543:NQD917544 NZY917543:NZZ917544 OJU917543:OJV917544 OTQ917543:OTR917544 PDM917543:PDN917544 PNI917543:PNJ917544 PXE917543:PXF917544 QHA917543:QHB917544 QQW917543:QQX917544 RAS917543:RAT917544 RKO917543:RKP917544 RUK917543:RUL917544 SEG917543:SEH917544 SOC917543:SOD917544 SXY917543:SXZ917544 THU917543:THV917544 TRQ917543:TRR917544 UBM917543:UBN917544 ULI917543:ULJ917544 UVE917543:UVF917544 VFA917543:VFB917544 VOW917543:VOX917544 VYS917543:VYT917544 WIO917543:WIP917544 WSK917543:WSL917544 N983079:O983080 PU983079:PV983080 ZQ983079:ZR983080 AJM983079:AJN983080 ATI983079:ATJ983080 BDE983079:BDF983080 BNA983079:BNB983080 BWW983079:BWX983080 CGS983079:CGT983080 CQO983079:CQP983080 DAK983079:DAL983080 DKG983079:DKH983080 DUC983079:DUD983080 EDY983079:EDZ983080 ENU983079:ENV983080 EXQ983079:EXR983080 FHM983079:FHN983080 FRI983079:FRJ983080 GBE983079:GBF983080 GLA983079:GLB983080 GUW983079:GUX983080 HES983079:HET983080 HOO983079:HOP983080 HYK983079:HYL983080 IIG983079:IIH983080 ISC983079:ISD983080 JBY983079:JBZ983080 JLU983079:JLV983080 JVQ983079:JVR983080 KFM983079:KFN983080 KPI983079:KPJ983080 KZE983079:KZF983080 LJA983079:LJB983080 LSW983079:LSX983080 MCS983079:MCT983080 MMO983079:MMP983080 MWK983079:MWL983080 NGG983079:NGH983080 NQC983079:NQD983080 NZY983079:NZZ983080 OJU983079:OJV983080 OTQ983079:OTR983080 PDM983079:PDN983080 PNI983079:PNJ983080 PXE983079:PXF983080 QHA983079:QHB983080 QQW983079:QQX983080 RAS983079:RAT983080 RKO983079:RKP983080 RUK983079:RUL983080 SEG983079:SEH983080 SOC983079:SOD983080 SXY983079:SXZ983080 THU983079:THV983080 TRQ983079:TRR983080 UBM983079:UBN983080 ULI983079:ULJ983080 UVE983079:UVF983080 VFA983079:VFB983080 VOW983079:VOX983080 VYS983079:VYT983080 WIO983079:WIP983080 WSK983079:WSL983080 O41:O46 O65577:O65582 PV65577:PV65582 ZR65577:ZR65582 AJN65577:AJN65582 ATJ65577:ATJ65582 BDF65577:BDF65582 BNB65577:BNB65582 BWX65577:BWX65582 CGT65577:CGT65582 CQP65577:CQP65582 DAL65577:DAL65582 DKH65577:DKH65582 DUD65577:DUD65582 EDZ65577:EDZ65582 ENV65577:ENV65582 EXR65577:EXR65582 FHN65577:FHN65582 FRJ65577:FRJ65582 GBF65577:GBF65582 GLB65577:GLB65582 GUX65577:GUX65582 HET65577:HET65582 HOP65577:HOP65582 HYL65577:HYL65582 IIH65577:IIH65582 ISD65577:ISD65582 JBZ65577:JBZ65582 JLV65577:JLV65582 JVR65577:JVR65582 KFN65577:KFN65582 KPJ65577:KPJ65582 KZF65577:KZF65582 LJB65577:LJB65582 LSX65577:LSX65582 MCT65577:MCT65582 MMP65577:MMP65582 MWL65577:MWL65582 NGH65577:NGH65582 NQD65577:NQD65582 NZZ65577:NZZ65582 OJV65577:OJV65582 OTR65577:OTR65582 PDN65577:PDN65582 PNJ65577:PNJ65582 PXF65577:PXF65582 QHB65577:QHB65582 QQX65577:QQX65582 RAT65577:RAT65582 RKP65577:RKP65582 RUL65577:RUL65582 SEH65577:SEH65582 SOD65577:SOD65582 SXZ65577:SXZ65582 THV65577:THV65582 TRR65577:TRR65582 UBN65577:UBN65582 ULJ65577:ULJ65582 UVF65577:UVF65582 VFB65577:VFB65582 VOX65577:VOX65582 VYT65577:VYT65582 WIP65577:WIP65582 WSL65577:WSL65582 O131113:O131118 PV131113:PV131118 ZR131113:ZR131118 AJN131113:AJN131118 ATJ131113:ATJ131118 BDF131113:BDF131118 BNB131113:BNB131118 BWX131113:BWX131118 CGT131113:CGT131118 CQP131113:CQP131118 DAL131113:DAL131118 DKH131113:DKH131118 DUD131113:DUD131118 EDZ131113:EDZ131118 ENV131113:ENV131118 EXR131113:EXR131118 FHN131113:FHN131118 FRJ131113:FRJ131118 GBF131113:GBF131118 GLB131113:GLB131118 GUX131113:GUX131118 HET131113:HET131118 HOP131113:HOP131118 HYL131113:HYL131118 IIH131113:IIH131118 ISD131113:ISD131118 JBZ131113:JBZ131118 JLV131113:JLV131118 JVR131113:JVR131118 KFN131113:KFN131118 KPJ131113:KPJ131118 KZF131113:KZF131118 LJB131113:LJB131118 LSX131113:LSX131118 MCT131113:MCT131118 MMP131113:MMP131118 MWL131113:MWL131118 NGH131113:NGH131118 NQD131113:NQD131118 NZZ131113:NZZ131118 OJV131113:OJV131118 OTR131113:OTR131118 PDN131113:PDN131118 PNJ131113:PNJ131118 PXF131113:PXF131118 QHB131113:QHB131118 QQX131113:QQX131118 RAT131113:RAT131118 RKP131113:RKP131118 RUL131113:RUL131118 SEH131113:SEH131118 SOD131113:SOD131118 SXZ131113:SXZ131118 THV131113:THV131118 TRR131113:TRR131118 UBN131113:UBN131118 ULJ131113:ULJ131118 UVF131113:UVF131118 VFB131113:VFB131118 VOX131113:VOX131118 VYT131113:VYT131118 WIP131113:WIP131118 WSL131113:WSL131118 O196649:O196654 PV196649:PV196654 ZR196649:ZR196654 AJN196649:AJN196654 ATJ196649:ATJ196654 BDF196649:BDF196654 BNB196649:BNB196654 BWX196649:BWX196654 CGT196649:CGT196654 CQP196649:CQP196654 DAL196649:DAL196654 DKH196649:DKH196654 DUD196649:DUD196654 EDZ196649:EDZ196654 ENV196649:ENV196654 EXR196649:EXR196654 FHN196649:FHN196654 FRJ196649:FRJ196654 GBF196649:GBF196654 GLB196649:GLB196654 GUX196649:GUX196654 HET196649:HET196654 HOP196649:HOP196654 HYL196649:HYL196654 IIH196649:IIH196654 ISD196649:ISD196654 JBZ196649:JBZ196654 JLV196649:JLV196654 JVR196649:JVR196654 KFN196649:KFN196654 KPJ196649:KPJ196654 KZF196649:KZF196654 LJB196649:LJB196654 LSX196649:LSX196654 MCT196649:MCT196654 MMP196649:MMP196654 MWL196649:MWL196654 NGH196649:NGH196654 NQD196649:NQD196654 NZZ196649:NZZ196654 OJV196649:OJV196654 OTR196649:OTR196654 PDN196649:PDN196654 PNJ196649:PNJ196654 PXF196649:PXF196654 QHB196649:QHB196654 QQX196649:QQX196654 RAT196649:RAT196654 RKP196649:RKP196654 RUL196649:RUL196654 SEH196649:SEH196654 SOD196649:SOD196654 SXZ196649:SXZ196654 THV196649:THV196654 TRR196649:TRR196654 UBN196649:UBN196654 ULJ196649:ULJ196654 UVF196649:UVF196654 VFB196649:VFB196654 VOX196649:VOX196654 VYT196649:VYT196654 WIP196649:WIP196654 WSL196649:WSL196654 O262185:O262190 PV262185:PV262190 ZR262185:ZR262190 AJN262185:AJN262190 ATJ262185:ATJ262190 BDF262185:BDF262190 BNB262185:BNB262190 BWX262185:BWX262190 CGT262185:CGT262190 CQP262185:CQP262190 DAL262185:DAL262190 DKH262185:DKH262190 DUD262185:DUD262190 EDZ262185:EDZ262190 ENV262185:ENV262190 EXR262185:EXR262190 FHN262185:FHN262190 FRJ262185:FRJ262190 GBF262185:GBF262190 GLB262185:GLB262190 GUX262185:GUX262190 HET262185:HET262190 HOP262185:HOP262190 HYL262185:HYL262190 IIH262185:IIH262190 ISD262185:ISD262190 JBZ262185:JBZ262190 JLV262185:JLV262190 JVR262185:JVR262190 KFN262185:KFN262190 KPJ262185:KPJ262190 KZF262185:KZF262190 LJB262185:LJB262190 LSX262185:LSX262190 MCT262185:MCT262190 MMP262185:MMP262190 MWL262185:MWL262190 NGH262185:NGH262190 NQD262185:NQD262190 NZZ262185:NZZ262190 OJV262185:OJV262190 OTR262185:OTR262190 PDN262185:PDN262190 PNJ262185:PNJ262190 PXF262185:PXF262190 QHB262185:QHB262190 QQX262185:QQX262190 RAT262185:RAT262190 RKP262185:RKP262190 RUL262185:RUL262190 SEH262185:SEH262190 SOD262185:SOD262190 SXZ262185:SXZ262190 THV262185:THV262190 TRR262185:TRR262190 UBN262185:UBN262190 ULJ262185:ULJ262190 UVF262185:UVF262190 VFB262185:VFB262190 VOX262185:VOX262190 VYT262185:VYT262190 WIP262185:WIP262190 WSL262185:WSL262190 O327721:O327726 PV327721:PV327726 ZR327721:ZR327726 AJN327721:AJN327726 ATJ327721:ATJ327726 BDF327721:BDF327726 BNB327721:BNB327726 BWX327721:BWX327726 CGT327721:CGT327726 CQP327721:CQP327726 DAL327721:DAL327726 DKH327721:DKH327726 DUD327721:DUD327726 EDZ327721:EDZ327726 ENV327721:ENV327726 EXR327721:EXR327726 FHN327721:FHN327726 FRJ327721:FRJ327726 GBF327721:GBF327726 GLB327721:GLB327726 GUX327721:GUX327726 HET327721:HET327726 HOP327721:HOP327726 HYL327721:HYL327726 IIH327721:IIH327726 ISD327721:ISD327726 JBZ327721:JBZ327726 JLV327721:JLV327726 JVR327721:JVR327726 KFN327721:KFN327726 KPJ327721:KPJ327726 KZF327721:KZF327726 LJB327721:LJB327726 LSX327721:LSX327726 MCT327721:MCT327726 MMP327721:MMP327726 MWL327721:MWL327726 NGH327721:NGH327726 NQD327721:NQD327726 NZZ327721:NZZ327726 OJV327721:OJV327726 OTR327721:OTR327726 PDN327721:PDN327726 PNJ327721:PNJ327726 PXF327721:PXF327726 QHB327721:QHB327726 QQX327721:QQX327726 RAT327721:RAT327726 RKP327721:RKP327726 RUL327721:RUL327726 SEH327721:SEH327726 SOD327721:SOD327726 SXZ327721:SXZ327726 THV327721:THV327726 TRR327721:TRR327726 UBN327721:UBN327726 ULJ327721:ULJ327726 UVF327721:UVF327726 VFB327721:VFB327726 VOX327721:VOX327726 VYT327721:VYT327726 WIP327721:WIP327726 WSL327721:WSL327726 O393257:O393262 PV393257:PV393262 ZR393257:ZR393262 AJN393257:AJN393262 ATJ393257:ATJ393262 BDF393257:BDF393262 BNB393257:BNB393262 BWX393257:BWX393262 CGT393257:CGT393262 CQP393257:CQP393262 DAL393257:DAL393262 DKH393257:DKH393262 DUD393257:DUD393262 EDZ393257:EDZ393262 ENV393257:ENV393262 EXR393257:EXR393262 FHN393257:FHN393262 FRJ393257:FRJ393262 GBF393257:GBF393262 GLB393257:GLB393262 GUX393257:GUX393262 HET393257:HET393262 HOP393257:HOP393262 HYL393257:HYL393262 IIH393257:IIH393262 ISD393257:ISD393262 JBZ393257:JBZ393262 JLV393257:JLV393262 JVR393257:JVR393262 KFN393257:KFN393262 KPJ393257:KPJ393262 KZF393257:KZF393262 LJB393257:LJB393262 LSX393257:LSX393262 MCT393257:MCT393262 MMP393257:MMP393262 MWL393257:MWL393262 NGH393257:NGH393262 NQD393257:NQD393262 NZZ393257:NZZ393262 OJV393257:OJV393262 OTR393257:OTR393262 PDN393257:PDN393262 PNJ393257:PNJ393262 PXF393257:PXF393262 QHB393257:QHB393262 QQX393257:QQX393262 RAT393257:RAT393262 RKP393257:RKP393262 RUL393257:RUL393262 SEH393257:SEH393262 SOD393257:SOD393262 SXZ393257:SXZ393262 THV393257:THV393262 TRR393257:TRR393262 UBN393257:UBN393262 ULJ393257:ULJ393262 UVF393257:UVF393262 VFB393257:VFB393262 VOX393257:VOX393262 VYT393257:VYT393262 WIP393257:WIP393262 WSL393257:WSL393262 O458793:O458798 PV458793:PV458798 ZR458793:ZR458798 AJN458793:AJN458798 ATJ458793:ATJ458798 BDF458793:BDF458798 BNB458793:BNB458798 BWX458793:BWX458798 CGT458793:CGT458798 CQP458793:CQP458798 DAL458793:DAL458798 DKH458793:DKH458798 DUD458793:DUD458798 EDZ458793:EDZ458798 ENV458793:ENV458798 EXR458793:EXR458798 FHN458793:FHN458798 FRJ458793:FRJ458798 GBF458793:GBF458798 GLB458793:GLB458798 GUX458793:GUX458798 HET458793:HET458798 HOP458793:HOP458798 HYL458793:HYL458798 IIH458793:IIH458798 ISD458793:ISD458798 JBZ458793:JBZ458798 JLV458793:JLV458798 JVR458793:JVR458798 KFN458793:KFN458798 KPJ458793:KPJ458798 KZF458793:KZF458798 LJB458793:LJB458798 LSX458793:LSX458798 MCT458793:MCT458798 MMP458793:MMP458798 MWL458793:MWL458798 NGH458793:NGH458798 NQD458793:NQD458798 NZZ458793:NZZ458798 OJV458793:OJV458798 OTR458793:OTR458798 PDN458793:PDN458798 PNJ458793:PNJ458798 PXF458793:PXF458798 QHB458793:QHB458798 QQX458793:QQX458798 RAT458793:RAT458798 RKP458793:RKP458798 RUL458793:RUL458798 SEH458793:SEH458798 SOD458793:SOD458798 SXZ458793:SXZ458798 THV458793:THV458798 TRR458793:TRR458798 UBN458793:UBN458798 ULJ458793:ULJ458798 UVF458793:UVF458798 VFB458793:VFB458798 VOX458793:VOX458798 VYT458793:VYT458798 WIP458793:WIP458798 WSL458793:WSL458798 O524329:O524334 PV524329:PV524334 ZR524329:ZR524334 AJN524329:AJN524334 ATJ524329:ATJ524334 BDF524329:BDF524334 BNB524329:BNB524334 BWX524329:BWX524334 CGT524329:CGT524334 CQP524329:CQP524334 DAL524329:DAL524334 DKH524329:DKH524334 DUD524329:DUD524334 EDZ524329:EDZ524334 ENV524329:ENV524334 EXR524329:EXR524334 FHN524329:FHN524334 FRJ524329:FRJ524334 GBF524329:GBF524334 GLB524329:GLB524334 GUX524329:GUX524334 HET524329:HET524334 HOP524329:HOP524334 HYL524329:HYL524334 IIH524329:IIH524334 ISD524329:ISD524334 JBZ524329:JBZ524334 JLV524329:JLV524334 JVR524329:JVR524334 KFN524329:KFN524334 KPJ524329:KPJ524334 KZF524329:KZF524334 LJB524329:LJB524334 LSX524329:LSX524334 MCT524329:MCT524334 MMP524329:MMP524334 MWL524329:MWL524334 NGH524329:NGH524334 NQD524329:NQD524334 NZZ524329:NZZ524334 OJV524329:OJV524334 OTR524329:OTR524334 PDN524329:PDN524334 PNJ524329:PNJ524334 PXF524329:PXF524334 QHB524329:QHB524334 QQX524329:QQX524334 RAT524329:RAT524334 RKP524329:RKP524334 RUL524329:RUL524334 SEH524329:SEH524334 SOD524329:SOD524334 SXZ524329:SXZ524334 THV524329:THV524334 TRR524329:TRR524334 UBN524329:UBN524334 ULJ524329:ULJ524334 UVF524329:UVF524334 VFB524329:VFB524334 VOX524329:VOX524334 VYT524329:VYT524334 WIP524329:WIP524334 WSL524329:WSL524334 O589865:O589870 PV589865:PV589870 ZR589865:ZR589870 AJN589865:AJN589870 ATJ589865:ATJ589870 BDF589865:BDF589870 BNB589865:BNB589870 BWX589865:BWX589870 CGT589865:CGT589870 CQP589865:CQP589870 DAL589865:DAL589870 DKH589865:DKH589870 DUD589865:DUD589870 EDZ589865:EDZ589870 ENV589865:ENV589870 EXR589865:EXR589870 FHN589865:FHN589870 FRJ589865:FRJ589870 GBF589865:GBF589870 GLB589865:GLB589870 GUX589865:GUX589870 HET589865:HET589870 HOP589865:HOP589870 HYL589865:HYL589870 IIH589865:IIH589870 ISD589865:ISD589870 JBZ589865:JBZ589870 JLV589865:JLV589870 JVR589865:JVR589870 KFN589865:KFN589870 KPJ589865:KPJ589870 KZF589865:KZF589870 LJB589865:LJB589870 LSX589865:LSX589870 MCT589865:MCT589870 MMP589865:MMP589870 MWL589865:MWL589870 NGH589865:NGH589870 NQD589865:NQD589870 NZZ589865:NZZ589870 OJV589865:OJV589870 OTR589865:OTR589870 PDN589865:PDN589870 PNJ589865:PNJ589870 PXF589865:PXF589870 QHB589865:QHB589870 QQX589865:QQX589870 RAT589865:RAT589870 RKP589865:RKP589870 RUL589865:RUL589870 SEH589865:SEH589870 SOD589865:SOD589870 SXZ589865:SXZ589870 THV589865:THV589870 TRR589865:TRR589870 UBN589865:UBN589870 ULJ589865:ULJ589870 UVF589865:UVF589870 VFB589865:VFB589870 VOX589865:VOX589870 VYT589865:VYT589870 WIP589865:WIP589870 WSL589865:WSL589870 O655401:O655406 PV655401:PV655406 ZR655401:ZR655406 AJN655401:AJN655406 ATJ655401:ATJ655406 BDF655401:BDF655406 BNB655401:BNB655406 BWX655401:BWX655406 CGT655401:CGT655406 CQP655401:CQP655406 DAL655401:DAL655406 DKH655401:DKH655406 DUD655401:DUD655406 EDZ655401:EDZ655406 ENV655401:ENV655406 EXR655401:EXR655406 FHN655401:FHN655406 FRJ655401:FRJ655406 GBF655401:GBF655406 GLB655401:GLB655406 GUX655401:GUX655406 HET655401:HET655406 HOP655401:HOP655406 HYL655401:HYL655406 IIH655401:IIH655406 ISD655401:ISD655406 JBZ655401:JBZ655406 JLV655401:JLV655406 JVR655401:JVR655406 KFN655401:KFN655406 KPJ655401:KPJ655406 KZF655401:KZF655406 LJB655401:LJB655406 LSX655401:LSX655406 MCT655401:MCT655406 MMP655401:MMP655406 MWL655401:MWL655406 NGH655401:NGH655406 NQD655401:NQD655406 NZZ655401:NZZ655406 OJV655401:OJV655406 OTR655401:OTR655406 PDN655401:PDN655406 PNJ655401:PNJ655406 PXF655401:PXF655406 QHB655401:QHB655406 QQX655401:QQX655406 RAT655401:RAT655406 RKP655401:RKP655406 RUL655401:RUL655406 SEH655401:SEH655406 SOD655401:SOD655406 SXZ655401:SXZ655406 THV655401:THV655406 TRR655401:TRR655406 UBN655401:UBN655406 ULJ655401:ULJ655406 UVF655401:UVF655406 VFB655401:VFB655406 VOX655401:VOX655406 VYT655401:VYT655406 WIP655401:WIP655406 WSL655401:WSL655406 O720937:O720942 PV720937:PV720942 ZR720937:ZR720942 AJN720937:AJN720942 ATJ720937:ATJ720942 BDF720937:BDF720942 BNB720937:BNB720942 BWX720937:BWX720942 CGT720937:CGT720942 CQP720937:CQP720942 DAL720937:DAL720942 DKH720937:DKH720942 DUD720937:DUD720942 EDZ720937:EDZ720942 ENV720937:ENV720942 EXR720937:EXR720942 FHN720937:FHN720942 FRJ720937:FRJ720942 GBF720937:GBF720942 GLB720937:GLB720942 GUX720937:GUX720942 HET720937:HET720942 HOP720937:HOP720942 HYL720937:HYL720942 IIH720937:IIH720942 ISD720937:ISD720942 JBZ720937:JBZ720942 JLV720937:JLV720942 JVR720937:JVR720942 KFN720937:KFN720942 KPJ720937:KPJ720942 KZF720937:KZF720942 LJB720937:LJB720942 LSX720937:LSX720942 MCT720937:MCT720942 MMP720937:MMP720942 MWL720937:MWL720942 NGH720937:NGH720942 NQD720937:NQD720942 NZZ720937:NZZ720942 OJV720937:OJV720942 OTR720937:OTR720942 PDN720937:PDN720942 PNJ720937:PNJ720942 PXF720937:PXF720942 QHB720937:QHB720942 QQX720937:QQX720942 RAT720937:RAT720942 RKP720937:RKP720942 RUL720937:RUL720942 SEH720937:SEH720942 SOD720937:SOD720942 SXZ720937:SXZ720942 THV720937:THV720942 TRR720937:TRR720942 UBN720937:UBN720942 ULJ720937:ULJ720942 UVF720937:UVF720942 VFB720937:VFB720942 VOX720937:VOX720942 VYT720937:VYT720942 WIP720937:WIP720942 WSL720937:WSL720942 O786473:O786478 PV786473:PV786478 ZR786473:ZR786478 AJN786473:AJN786478 ATJ786473:ATJ786478 BDF786473:BDF786478 BNB786473:BNB786478 BWX786473:BWX786478 CGT786473:CGT786478 CQP786473:CQP786478 DAL786473:DAL786478 DKH786473:DKH786478 DUD786473:DUD786478 EDZ786473:EDZ786478 ENV786473:ENV786478 EXR786473:EXR786478 FHN786473:FHN786478 FRJ786473:FRJ786478 GBF786473:GBF786478 GLB786473:GLB786478 GUX786473:GUX786478 HET786473:HET786478 HOP786473:HOP786478 HYL786473:HYL786478 IIH786473:IIH786478 ISD786473:ISD786478 JBZ786473:JBZ786478 JLV786473:JLV786478 JVR786473:JVR786478 KFN786473:KFN786478 KPJ786473:KPJ786478 KZF786473:KZF786478 LJB786473:LJB786478 LSX786473:LSX786478 MCT786473:MCT786478 MMP786473:MMP786478 MWL786473:MWL786478 NGH786473:NGH786478 NQD786473:NQD786478 NZZ786473:NZZ786478 OJV786473:OJV786478 OTR786473:OTR786478 PDN786473:PDN786478 PNJ786473:PNJ786478 PXF786473:PXF786478 QHB786473:QHB786478 QQX786473:QQX786478 RAT786473:RAT786478 RKP786473:RKP786478 RUL786473:RUL786478 SEH786473:SEH786478 SOD786473:SOD786478 SXZ786473:SXZ786478 THV786473:THV786478 TRR786473:TRR786478 UBN786473:UBN786478 ULJ786473:ULJ786478 UVF786473:UVF786478 VFB786473:VFB786478 VOX786473:VOX786478 VYT786473:VYT786478 WIP786473:WIP786478 WSL786473:WSL786478 O852009:O852014 PV852009:PV852014 ZR852009:ZR852014 AJN852009:AJN852014 ATJ852009:ATJ852014 BDF852009:BDF852014 BNB852009:BNB852014 BWX852009:BWX852014 CGT852009:CGT852014 CQP852009:CQP852014 DAL852009:DAL852014 DKH852009:DKH852014 DUD852009:DUD852014 EDZ852009:EDZ852014 ENV852009:ENV852014 EXR852009:EXR852014 FHN852009:FHN852014 FRJ852009:FRJ852014 GBF852009:GBF852014 GLB852009:GLB852014 GUX852009:GUX852014 HET852009:HET852014 HOP852009:HOP852014 HYL852009:HYL852014 IIH852009:IIH852014 ISD852009:ISD852014 JBZ852009:JBZ852014 JLV852009:JLV852014 JVR852009:JVR852014 KFN852009:KFN852014 KPJ852009:KPJ852014 KZF852009:KZF852014 LJB852009:LJB852014 LSX852009:LSX852014 MCT852009:MCT852014 MMP852009:MMP852014 MWL852009:MWL852014 NGH852009:NGH852014 NQD852009:NQD852014 NZZ852009:NZZ852014 OJV852009:OJV852014 OTR852009:OTR852014 PDN852009:PDN852014 PNJ852009:PNJ852014 PXF852009:PXF852014 QHB852009:QHB852014 QQX852009:QQX852014 RAT852009:RAT852014 RKP852009:RKP852014 RUL852009:RUL852014 SEH852009:SEH852014 SOD852009:SOD852014 SXZ852009:SXZ852014 THV852009:THV852014 TRR852009:TRR852014 UBN852009:UBN852014 ULJ852009:ULJ852014 UVF852009:UVF852014 VFB852009:VFB852014 VOX852009:VOX852014 VYT852009:VYT852014 WIP852009:WIP852014 WSL852009:WSL852014 O917545:O917550 PV917545:PV917550 ZR917545:ZR917550 AJN917545:AJN917550 ATJ917545:ATJ917550 BDF917545:BDF917550 BNB917545:BNB917550 BWX917545:BWX917550 CGT917545:CGT917550 CQP917545:CQP917550 DAL917545:DAL917550 DKH917545:DKH917550 DUD917545:DUD917550 EDZ917545:EDZ917550 ENV917545:ENV917550 EXR917545:EXR917550 FHN917545:FHN917550 FRJ917545:FRJ917550 GBF917545:GBF917550 GLB917545:GLB917550 GUX917545:GUX917550 HET917545:HET917550 HOP917545:HOP917550 HYL917545:HYL917550 IIH917545:IIH917550 ISD917545:ISD917550 JBZ917545:JBZ917550 JLV917545:JLV917550 JVR917545:JVR917550 KFN917545:KFN917550 KPJ917545:KPJ917550 KZF917545:KZF917550 LJB917545:LJB917550 LSX917545:LSX917550 MCT917545:MCT917550 MMP917545:MMP917550 MWL917545:MWL917550 NGH917545:NGH917550 NQD917545:NQD917550 NZZ917545:NZZ917550 OJV917545:OJV917550 OTR917545:OTR917550 PDN917545:PDN917550 PNJ917545:PNJ917550 PXF917545:PXF917550 QHB917545:QHB917550 QQX917545:QQX917550 RAT917545:RAT917550 RKP917545:RKP917550 RUL917545:RUL917550 SEH917545:SEH917550 SOD917545:SOD917550 SXZ917545:SXZ917550 THV917545:THV917550 TRR917545:TRR917550 UBN917545:UBN917550 ULJ917545:ULJ917550 UVF917545:UVF917550 VFB917545:VFB917550 VOX917545:VOX917550 VYT917545:VYT917550 WIP917545:WIP917550 WSL917545:WSL917550 O983081:O983086 PV983081:PV983086 ZR983081:ZR983086 AJN983081:AJN983086 ATJ983081:ATJ983086 BDF983081:BDF983086 BNB983081:BNB983086 BWX983081:BWX983086 CGT983081:CGT983086 CQP983081:CQP983086 DAL983081:DAL983086 DKH983081:DKH983086 DUD983081:DUD983086 EDZ983081:EDZ983086 ENV983081:ENV983086 EXR983081:EXR983086 FHN983081:FHN983086 FRJ983081:FRJ983086 GBF983081:GBF983086 GLB983081:GLB983086 GUX983081:GUX983086 HET983081:HET983086 HOP983081:HOP983086 HYL983081:HYL983086 IIH983081:IIH983086 ISD983081:ISD983086 JBZ983081:JBZ983086 JLV983081:JLV983086 JVR983081:JVR983086 KFN983081:KFN983086 KPJ983081:KPJ983086 KZF983081:KZF983086 LJB983081:LJB983086 LSX983081:LSX983086 MCT983081:MCT983086 MMP983081:MMP983086 MWL983081:MWL983086 NGH983081:NGH983086 NQD983081:NQD983086 NZZ983081:NZZ983086 OJV983081:OJV983086 OTR983081:OTR983086 PDN983081:PDN983086 PNJ983081:PNJ983086 PXF983081:PXF983086 QHB983081:QHB983086 QQX983081:QQX983086 RAT983081:RAT983086 RKP983081:RKP983086 RUL983081:RUL983086 SEH983081:SEH983086 SOD983081:SOD983086 SXZ983081:SXZ983086 THV983081:THV983086 TRR983081:TRR983086 UBN983081:UBN983086 ULJ983081:ULJ983086 UVF983081:UVF983086 VFB983081:VFB983086 VOX983081:VOX983086 VYT983081:VYT983086 WIP983081:WIP983086 WSL983081:WSL983086 WSL41 WSK42:WSK44 WSL45:WSL46 WIP41 WIO42:WIO44 WIP45:WIP46 VYT41 VYS42:VYS44 VYT45:VYT46 VOX41 VOW42:VOW44 VOX45:VOX46 VFB41 VFA42:VFA44 VFB45:VFB46 UVF41 UVE42:UVE44 UVF45:UVF46 ULJ41 ULI42:ULI44 ULJ45:ULJ46 UBN41 UBM42:UBM44 UBN45:UBN46 TRR41 TRQ42:TRQ44 TRR45:TRR46 THV41 THU42:THU44 THV45:THV46 SXZ41 SXY42:SXY44 SXZ45:SXZ46 SOD41 SOC42:SOC44 SOD45:SOD46 SEH41 SEG42:SEG44 SEH45:SEH46 RUL41 RUK42:RUK44 RUL45:RUL46 RKP41 RKO42:RKO44 RKP45:RKP46 RAT41 RAS42:RAS44 RAT45:RAT46 QQX41 QQW42:QQW44 QQX45:QQX46 QHB41 QHA42:QHA44 QHB45:QHB46 PXF41 PXE42:PXE44 PXF45:PXF46 PNJ41 PNI42:PNI44 PNJ45:PNJ46 PDN41 PDM42:PDM44 PDN45:PDN46 OTR41 OTQ42:OTQ44 OTR45:OTR46 OJV41 OJU42:OJU44 OJV45:OJV46 NZZ41 NZY42:NZY44 NZZ45:NZZ46 NQD41 NQC42:NQC44 NQD45:NQD46 NGH41 NGG42:NGG44 NGH45:NGH46 MWL41 MWK42:MWK44 MWL45:MWL46 MMP41 MMO42:MMO44 MMP45:MMP46 MCT41 MCS42:MCS44 MCT45:MCT46 LSX41 LSW42:LSW44 LSX45:LSX46 LJB41 LJA42:LJA44 LJB45:LJB46 KZF41 KZE42:KZE44 KZF45:KZF46 KPJ41 KPI42:KPI44 KPJ45:KPJ46 KFN41 KFM42:KFM44 KFN45:KFN46 JVR41 JVQ42:JVQ44 JVR45:JVR46 JLV41 JLU42:JLU44 JLV45:JLV46 JBZ41 JBY42:JBY44 JBZ45:JBZ46 ISD41 ISC42:ISC44 ISD45:ISD46 IIH41 IIG42:IIG44 IIH45:IIH46 HYL41 HYK42:HYK44 HYL45:HYL46 HOP41 HOO42:HOO44 HOP45:HOP46 HET41 HES42:HES44 HET45:HET46 GUX41 GUW42:GUW44 GUX45:GUX46 GLB41 GLA42:GLA44 GLB45:GLB46 GBF41 GBE42:GBE44 GBF45:GBF46 FRJ41 FRI42:FRI44 FRJ45:FRJ46 FHN41 FHM42:FHM44 FHN45:FHN46 EXR41 EXQ42:EXQ44 EXR45:EXR46 ENV41 ENU42:ENU44 ENV45:ENV46 EDZ41 EDY42:EDY44 EDZ45:EDZ46 DUD41 DUC42:DUC44 DUD45:DUD46 DKH41 DKG42:DKG44 DKH45:DKH46 DAL41 DAK42:DAK44 DAL45:DAL46 CQP41 CQO42:CQO44 CQP45:CQP46 CGT41 CGS42:CGS44 CGT45:CGT46 BWX41 BWW42:BWW44 BWX45:BWX46 BNB41 BNA42:BNA44 BNB45:BNB46 BDF41 BDE42:BDE44 BDF45:BDF46 ATJ41 ATI42:ATI44 ATJ45:ATJ46 AJN41 AJM42:AJM44 AJN45:AJN46 ZR41 ZQ42:ZQ44 ZR45:ZR46 PV41 PU42:PU44 PV45:PV46">
      <formula1>"Yes,No,NA"</formula1>
    </dataValidation>
    <dataValidation type="list" allowBlank="1" showInputMessage="1" showErrorMessage="1" sqref="PU45:PU46 N65578:N65582 PU65578:PU65582 ZQ65578:ZQ65582 AJM65578:AJM65582 ATI65578:ATI65582 BDE65578:BDE65582 BNA65578:BNA65582 BWW65578:BWW65582 CGS65578:CGS65582 CQO65578:CQO65582 DAK65578:DAK65582 DKG65578:DKG65582 DUC65578:DUC65582 EDY65578:EDY65582 ENU65578:ENU65582 EXQ65578:EXQ65582 FHM65578:FHM65582 FRI65578:FRI65582 GBE65578:GBE65582 GLA65578:GLA65582 GUW65578:GUW65582 HES65578:HES65582 HOO65578:HOO65582 HYK65578:HYK65582 IIG65578:IIG65582 ISC65578:ISC65582 JBY65578:JBY65582 JLU65578:JLU65582 JVQ65578:JVQ65582 KFM65578:KFM65582 KPI65578:KPI65582 KZE65578:KZE65582 LJA65578:LJA65582 LSW65578:LSW65582 MCS65578:MCS65582 MMO65578:MMO65582 MWK65578:MWK65582 NGG65578:NGG65582 NQC65578:NQC65582 NZY65578:NZY65582 OJU65578:OJU65582 OTQ65578:OTQ65582 PDM65578:PDM65582 PNI65578:PNI65582 PXE65578:PXE65582 QHA65578:QHA65582 QQW65578:QQW65582 RAS65578:RAS65582 RKO65578:RKO65582 RUK65578:RUK65582 SEG65578:SEG65582 SOC65578:SOC65582 SXY65578:SXY65582 THU65578:THU65582 TRQ65578:TRQ65582 UBM65578:UBM65582 ULI65578:ULI65582 UVE65578:UVE65582 VFA65578:VFA65582 VOW65578:VOW65582 VYS65578:VYS65582 WIO65578:WIO65582 WSK65578:WSK65582 N131114:N131118 PU131114:PU131118 ZQ131114:ZQ131118 AJM131114:AJM131118 ATI131114:ATI131118 BDE131114:BDE131118 BNA131114:BNA131118 BWW131114:BWW131118 CGS131114:CGS131118 CQO131114:CQO131118 DAK131114:DAK131118 DKG131114:DKG131118 DUC131114:DUC131118 EDY131114:EDY131118 ENU131114:ENU131118 EXQ131114:EXQ131118 FHM131114:FHM131118 FRI131114:FRI131118 GBE131114:GBE131118 GLA131114:GLA131118 GUW131114:GUW131118 HES131114:HES131118 HOO131114:HOO131118 HYK131114:HYK131118 IIG131114:IIG131118 ISC131114:ISC131118 JBY131114:JBY131118 JLU131114:JLU131118 JVQ131114:JVQ131118 KFM131114:KFM131118 KPI131114:KPI131118 KZE131114:KZE131118 LJA131114:LJA131118 LSW131114:LSW131118 MCS131114:MCS131118 MMO131114:MMO131118 MWK131114:MWK131118 NGG131114:NGG131118 NQC131114:NQC131118 NZY131114:NZY131118 OJU131114:OJU131118 OTQ131114:OTQ131118 PDM131114:PDM131118 PNI131114:PNI131118 PXE131114:PXE131118 QHA131114:QHA131118 QQW131114:QQW131118 RAS131114:RAS131118 RKO131114:RKO131118 RUK131114:RUK131118 SEG131114:SEG131118 SOC131114:SOC131118 SXY131114:SXY131118 THU131114:THU131118 TRQ131114:TRQ131118 UBM131114:UBM131118 ULI131114:ULI131118 UVE131114:UVE131118 VFA131114:VFA131118 VOW131114:VOW131118 VYS131114:VYS131118 WIO131114:WIO131118 WSK131114:WSK131118 N196650:N196654 PU196650:PU196654 ZQ196650:ZQ196654 AJM196650:AJM196654 ATI196650:ATI196654 BDE196650:BDE196654 BNA196650:BNA196654 BWW196650:BWW196654 CGS196650:CGS196654 CQO196650:CQO196654 DAK196650:DAK196654 DKG196650:DKG196654 DUC196650:DUC196654 EDY196650:EDY196654 ENU196650:ENU196654 EXQ196650:EXQ196654 FHM196650:FHM196654 FRI196650:FRI196654 GBE196650:GBE196654 GLA196650:GLA196654 GUW196650:GUW196654 HES196650:HES196654 HOO196650:HOO196654 HYK196650:HYK196654 IIG196650:IIG196654 ISC196650:ISC196654 JBY196650:JBY196654 JLU196650:JLU196654 JVQ196650:JVQ196654 KFM196650:KFM196654 KPI196650:KPI196654 KZE196650:KZE196654 LJA196650:LJA196654 LSW196650:LSW196654 MCS196650:MCS196654 MMO196650:MMO196654 MWK196650:MWK196654 NGG196650:NGG196654 NQC196650:NQC196654 NZY196650:NZY196654 OJU196650:OJU196654 OTQ196650:OTQ196654 PDM196650:PDM196654 PNI196650:PNI196654 PXE196650:PXE196654 QHA196650:QHA196654 QQW196650:QQW196654 RAS196650:RAS196654 RKO196650:RKO196654 RUK196650:RUK196654 SEG196650:SEG196654 SOC196650:SOC196654 SXY196650:SXY196654 THU196650:THU196654 TRQ196650:TRQ196654 UBM196650:UBM196654 ULI196650:ULI196654 UVE196650:UVE196654 VFA196650:VFA196654 VOW196650:VOW196654 VYS196650:VYS196654 WIO196650:WIO196654 WSK196650:WSK196654 N262186:N262190 PU262186:PU262190 ZQ262186:ZQ262190 AJM262186:AJM262190 ATI262186:ATI262190 BDE262186:BDE262190 BNA262186:BNA262190 BWW262186:BWW262190 CGS262186:CGS262190 CQO262186:CQO262190 DAK262186:DAK262190 DKG262186:DKG262190 DUC262186:DUC262190 EDY262186:EDY262190 ENU262186:ENU262190 EXQ262186:EXQ262190 FHM262186:FHM262190 FRI262186:FRI262190 GBE262186:GBE262190 GLA262186:GLA262190 GUW262186:GUW262190 HES262186:HES262190 HOO262186:HOO262190 HYK262186:HYK262190 IIG262186:IIG262190 ISC262186:ISC262190 JBY262186:JBY262190 JLU262186:JLU262190 JVQ262186:JVQ262190 KFM262186:KFM262190 KPI262186:KPI262190 KZE262186:KZE262190 LJA262186:LJA262190 LSW262186:LSW262190 MCS262186:MCS262190 MMO262186:MMO262190 MWK262186:MWK262190 NGG262186:NGG262190 NQC262186:NQC262190 NZY262186:NZY262190 OJU262186:OJU262190 OTQ262186:OTQ262190 PDM262186:PDM262190 PNI262186:PNI262190 PXE262186:PXE262190 QHA262186:QHA262190 QQW262186:QQW262190 RAS262186:RAS262190 RKO262186:RKO262190 RUK262186:RUK262190 SEG262186:SEG262190 SOC262186:SOC262190 SXY262186:SXY262190 THU262186:THU262190 TRQ262186:TRQ262190 UBM262186:UBM262190 ULI262186:ULI262190 UVE262186:UVE262190 VFA262186:VFA262190 VOW262186:VOW262190 VYS262186:VYS262190 WIO262186:WIO262190 WSK262186:WSK262190 N327722:N327726 PU327722:PU327726 ZQ327722:ZQ327726 AJM327722:AJM327726 ATI327722:ATI327726 BDE327722:BDE327726 BNA327722:BNA327726 BWW327722:BWW327726 CGS327722:CGS327726 CQO327722:CQO327726 DAK327722:DAK327726 DKG327722:DKG327726 DUC327722:DUC327726 EDY327722:EDY327726 ENU327722:ENU327726 EXQ327722:EXQ327726 FHM327722:FHM327726 FRI327722:FRI327726 GBE327722:GBE327726 GLA327722:GLA327726 GUW327722:GUW327726 HES327722:HES327726 HOO327722:HOO327726 HYK327722:HYK327726 IIG327722:IIG327726 ISC327722:ISC327726 JBY327722:JBY327726 JLU327722:JLU327726 JVQ327722:JVQ327726 KFM327722:KFM327726 KPI327722:KPI327726 KZE327722:KZE327726 LJA327722:LJA327726 LSW327722:LSW327726 MCS327722:MCS327726 MMO327722:MMO327726 MWK327722:MWK327726 NGG327722:NGG327726 NQC327722:NQC327726 NZY327722:NZY327726 OJU327722:OJU327726 OTQ327722:OTQ327726 PDM327722:PDM327726 PNI327722:PNI327726 PXE327722:PXE327726 QHA327722:QHA327726 QQW327722:QQW327726 RAS327722:RAS327726 RKO327722:RKO327726 RUK327722:RUK327726 SEG327722:SEG327726 SOC327722:SOC327726 SXY327722:SXY327726 THU327722:THU327726 TRQ327722:TRQ327726 UBM327722:UBM327726 ULI327722:ULI327726 UVE327722:UVE327726 VFA327722:VFA327726 VOW327722:VOW327726 VYS327722:VYS327726 WIO327722:WIO327726 WSK327722:WSK327726 N393258:N393262 PU393258:PU393262 ZQ393258:ZQ393262 AJM393258:AJM393262 ATI393258:ATI393262 BDE393258:BDE393262 BNA393258:BNA393262 BWW393258:BWW393262 CGS393258:CGS393262 CQO393258:CQO393262 DAK393258:DAK393262 DKG393258:DKG393262 DUC393258:DUC393262 EDY393258:EDY393262 ENU393258:ENU393262 EXQ393258:EXQ393262 FHM393258:FHM393262 FRI393258:FRI393262 GBE393258:GBE393262 GLA393258:GLA393262 GUW393258:GUW393262 HES393258:HES393262 HOO393258:HOO393262 HYK393258:HYK393262 IIG393258:IIG393262 ISC393258:ISC393262 JBY393258:JBY393262 JLU393258:JLU393262 JVQ393258:JVQ393262 KFM393258:KFM393262 KPI393258:KPI393262 KZE393258:KZE393262 LJA393258:LJA393262 LSW393258:LSW393262 MCS393258:MCS393262 MMO393258:MMO393262 MWK393258:MWK393262 NGG393258:NGG393262 NQC393258:NQC393262 NZY393258:NZY393262 OJU393258:OJU393262 OTQ393258:OTQ393262 PDM393258:PDM393262 PNI393258:PNI393262 PXE393258:PXE393262 QHA393258:QHA393262 QQW393258:QQW393262 RAS393258:RAS393262 RKO393258:RKO393262 RUK393258:RUK393262 SEG393258:SEG393262 SOC393258:SOC393262 SXY393258:SXY393262 THU393258:THU393262 TRQ393258:TRQ393262 UBM393258:UBM393262 ULI393258:ULI393262 UVE393258:UVE393262 VFA393258:VFA393262 VOW393258:VOW393262 VYS393258:VYS393262 WIO393258:WIO393262 WSK393258:WSK393262 N458794:N458798 PU458794:PU458798 ZQ458794:ZQ458798 AJM458794:AJM458798 ATI458794:ATI458798 BDE458794:BDE458798 BNA458794:BNA458798 BWW458794:BWW458798 CGS458794:CGS458798 CQO458794:CQO458798 DAK458794:DAK458798 DKG458794:DKG458798 DUC458794:DUC458798 EDY458794:EDY458798 ENU458794:ENU458798 EXQ458794:EXQ458798 FHM458794:FHM458798 FRI458794:FRI458798 GBE458794:GBE458798 GLA458794:GLA458798 GUW458794:GUW458798 HES458794:HES458798 HOO458794:HOO458798 HYK458794:HYK458798 IIG458794:IIG458798 ISC458794:ISC458798 JBY458794:JBY458798 JLU458794:JLU458798 JVQ458794:JVQ458798 KFM458794:KFM458798 KPI458794:KPI458798 KZE458794:KZE458798 LJA458794:LJA458798 LSW458794:LSW458798 MCS458794:MCS458798 MMO458794:MMO458798 MWK458794:MWK458798 NGG458794:NGG458798 NQC458794:NQC458798 NZY458794:NZY458798 OJU458794:OJU458798 OTQ458794:OTQ458798 PDM458794:PDM458798 PNI458794:PNI458798 PXE458794:PXE458798 QHA458794:QHA458798 QQW458794:QQW458798 RAS458794:RAS458798 RKO458794:RKO458798 RUK458794:RUK458798 SEG458794:SEG458798 SOC458794:SOC458798 SXY458794:SXY458798 THU458794:THU458798 TRQ458794:TRQ458798 UBM458794:UBM458798 ULI458794:ULI458798 UVE458794:UVE458798 VFA458794:VFA458798 VOW458794:VOW458798 VYS458794:VYS458798 WIO458794:WIO458798 WSK458794:WSK458798 N524330:N524334 PU524330:PU524334 ZQ524330:ZQ524334 AJM524330:AJM524334 ATI524330:ATI524334 BDE524330:BDE524334 BNA524330:BNA524334 BWW524330:BWW524334 CGS524330:CGS524334 CQO524330:CQO524334 DAK524330:DAK524334 DKG524330:DKG524334 DUC524330:DUC524334 EDY524330:EDY524334 ENU524330:ENU524334 EXQ524330:EXQ524334 FHM524330:FHM524334 FRI524330:FRI524334 GBE524330:GBE524334 GLA524330:GLA524334 GUW524330:GUW524334 HES524330:HES524334 HOO524330:HOO524334 HYK524330:HYK524334 IIG524330:IIG524334 ISC524330:ISC524334 JBY524330:JBY524334 JLU524330:JLU524334 JVQ524330:JVQ524334 KFM524330:KFM524334 KPI524330:KPI524334 KZE524330:KZE524334 LJA524330:LJA524334 LSW524330:LSW524334 MCS524330:MCS524334 MMO524330:MMO524334 MWK524330:MWK524334 NGG524330:NGG524334 NQC524330:NQC524334 NZY524330:NZY524334 OJU524330:OJU524334 OTQ524330:OTQ524334 PDM524330:PDM524334 PNI524330:PNI524334 PXE524330:PXE524334 QHA524330:QHA524334 QQW524330:QQW524334 RAS524330:RAS524334 RKO524330:RKO524334 RUK524330:RUK524334 SEG524330:SEG524334 SOC524330:SOC524334 SXY524330:SXY524334 THU524330:THU524334 TRQ524330:TRQ524334 UBM524330:UBM524334 ULI524330:ULI524334 UVE524330:UVE524334 VFA524330:VFA524334 VOW524330:VOW524334 VYS524330:VYS524334 WIO524330:WIO524334 WSK524330:WSK524334 N589866:N589870 PU589866:PU589870 ZQ589866:ZQ589870 AJM589866:AJM589870 ATI589866:ATI589870 BDE589866:BDE589870 BNA589866:BNA589870 BWW589866:BWW589870 CGS589866:CGS589870 CQO589866:CQO589870 DAK589866:DAK589870 DKG589866:DKG589870 DUC589866:DUC589870 EDY589866:EDY589870 ENU589866:ENU589870 EXQ589866:EXQ589870 FHM589866:FHM589870 FRI589866:FRI589870 GBE589866:GBE589870 GLA589866:GLA589870 GUW589866:GUW589870 HES589866:HES589870 HOO589866:HOO589870 HYK589866:HYK589870 IIG589866:IIG589870 ISC589866:ISC589870 JBY589866:JBY589870 JLU589866:JLU589870 JVQ589866:JVQ589870 KFM589866:KFM589870 KPI589866:KPI589870 KZE589866:KZE589870 LJA589866:LJA589870 LSW589866:LSW589870 MCS589866:MCS589870 MMO589866:MMO589870 MWK589866:MWK589870 NGG589866:NGG589870 NQC589866:NQC589870 NZY589866:NZY589870 OJU589866:OJU589870 OTQ589866:OTQ589870 PDM589866:PDM589870 PNI589866:PNI589870 PXE589866:PXE589870 QHA589866:QHA589870 QQW589866:QQW589870 RAS589866:RAS589870 RKO589866:RKO589870 RUK589866:RUK589870 SEG589866:SEG589870 SOC589866:SOC589870 SXY589866:SXY589870 THU589866:THU589870 TRQ589866:TRQ589870 UBM589866:UBM589870 ULI589866:ULI589870 UVE589866:UVE589870 VFA589866:VFA589870 VOW589866:VOW589870 VYS589866:VYS589870 WIO589866:WIO589870 WSK589866:WSK589870 N655402:N655406 PU655402:PU655406 ZQ655402:ZQ655406 AJM655402:AJM655406 ATI655402:ATI655406 BDE655402:BDE655406 BNA655402:BNA655406 BWW655402:BWW655406 CGS655402:CGS655406 CQO655402:CQO655406 DAK655402:DAK655406 DKG655402:DKG655406 DUC655402:DUC655406 EDY655402:EDY655406 ENU655402:ENU655406 EXQ655402:EXQ655406 FHM655402:FHM655406 FRI655402:FRI655406 GBE655402:GBE655406 GLA655402:GLA655406 GUW655402:GUW655406 HES655402:HES655406 HOO655402:HOO655406 HYK655402:HYK655406 IIG655402:IIG655406 ISC655402:ISC655406 JBY655402:JBY655406 JLU655402:JLU655406 JVQ655402:JVQ655406 KFM655402:KFM655406 KPI655402:KPI655406 KZE655402:KZE655406 LJA655402:LJA655406 LSW655402:LSW655406 MCS655402:MCS655406 MMO655402:MMO655406 MWK655402:MWK655406 NGG655402:NGG655406 NQC655402:NQC655406 NZY655402:NZY655406 OJU655402:OJU655406 OTQ655402:OTQ655406 PDM655402:PDM655406 PNI655402:PNI655406 PXE655402:PXE655406 QHA655402:QHA655406 QQW655402:QQW655406 RAS655402:RAS655406 RKO655402:RKO655406 RUK655402:RUK655406 SEG655402:SEG655406 SOC655402:SOC655406 SXY655402:SXY655406 THU655402:THU655406 TRQ655402:TRQ655406 UBM655402:UBM655406 ULI655402:ULI655406 UVE655402:UVE655406 VFA655402:VFA655406 VOW655402:VOW655406 VYS655402:VYS655406 WIO655402:WIO655406 WSK655402:WSK655406 N720938:N720942 PU720938:PU720942 ZQ720938:ZQ720942 AJM720938:AJM720942 ATI720938:ATI720942 BDE720938:BDE720942 BNA720938:BNA720942 BWW720938:BWW720942 CGS720938:CGS720942 CQO720938:CQO720942 DAK720938:DAK720942 DKG720938:DKG720942 DUC720938:DUC720942 EDY720938:EDY720942 ENU720938:ENU720942 EXQ720938:EXQ720942 FHM720938:FHM720942 FRI720938:FRI720942 GBE720938:GBE720942 GLA720938:GLA720942 GUW720938:GUW720942 HES720938:HES720942 HOO720938:HOO720942 HYK720938:HYK720942 IIG720938:IIG720942 ISC720938:ISC720942 JBY720938:JBY720942 JLU720938:JLU720942 JVQ720938:JVQ720942 KFM720938:KFM720942 KPI720938:KPI720942 KZE720938:KZE720942 LJA720938:LJA720942 LSW720938:LSW720942 MCS720938:MCS720942 MMO720938:MMO720942 MWK720938:MWK720942 NGG720938:NGG720942 NQC720938:NQC720942 NZY720938:NZY720942 OJU720938:OJU720942 OTQ720938:OTQ720942 PDM720938:PDM720942 PNI720938:PNI720942 PXE720938:PXE720942 QHA720938:QHA720942 QQW720938:QQW720942 RAS720938:RAS720942 RKO720938:RKO720942 RUK720938:RUK720942 SEG720938:SEG720942 SOC720938:SOC720942 SXY720938:SXY720942 THU720938:THU720942 TRQ720938:TRQ720942 UBM720938:UBM720942 ULI720938:ULI720942 UVE720938:UVE720942 VFA720938:VFA720942 VOW720938:VOW720942 VYS720938:VYS720942 WIO720938:WIO720942 WSK720938:WSK720942 N786474:N786478 PU786474:PU786478 ZQ786474:ZQ786478 AJM786474:AJM786478 ATI786474:ATI786478 BDE786474:BDE786478 BNA786474:BNA786478 BWW786474:BWW786478 CGS786474:CGS786478 CQO786474:CQO786478 DAK786474:DAK786478 DKG786474:DKG786478 DUC786474:DUC786478 EDY786474:EDY786478 ENU786474:ENU786478 EXQ786474:EXQ786478 FHM786474:FHM786478 FRI786474:FRI786478 GBE786474:GBE786478 GLA786474:GLA786478 GUW786474:GUW786478 HES786474:HES786478 HOO786474:HOO786478 HYK786474:HYK786478 IIG786474:IIG786478 ISC786474:ISC786478 JBY786474:JBY786478 JLU786474:JLU786478 JVQ786474:JVQ786478 KFM786474:KFM786478 KPI786474:KPI786478 KZE786474:KZE786478 LJA786474:LJA786478 LSW786474:LSW786478 MCS786474:MCS786478 MMO786474:MMO786478 MWK786474:MWK786478 NGG786474:NGG786478 NQC786474:NQC786478 NZY786474:NZY786478 OJU786474:OJU786478 OTQ786474:OTQ786478 PDM786474:PDM786478 PNI786474:PNI786478 PXE786474:PXE786478 QHA786474:QHA786478 QQW786474:QQW786478 RAS786474:RAS786478 RKO786474:RKO786478 RUK786474:RUK786478 SEG786474:SEG786478 SOC786474:SOC786478 SXY786474:SXY786478 THU786474:THU786478 TRQ786474:TRQ786478 UBM786474:UBM786478 ULI786474:ULI786478 UVE786474:UVE786478 VFA786474:VFA786478 VOW786474:VOW786478 VYS786474:VYS786478 WIO786474:WIO786478 WSK786474:WSK786478 N852010:N852014 PU852010:PU852014 ZQ852010:ZQ852014 AJM852010:AJM852014 ATI852010:ATI852014 BDE852010:BDE852014 BNA852010:BNA852014 BWW852010:BWW852014 CGS852010:CGS852014 CQO852010:CQO852014 DAK852010:DAK852014 DKG852010:DKG852014 DUC852010:DUC852014 EDY852010:EDY852014 ENU852010:ENU852014 EXQ852010:EXQ852014 FHM852010:FHM852014 FRI852010:FRI852014 GBE852010:GBE852014 GLA852010:GLA852014 GUW852010:GUW852014 HES852010:HES852014 HOO852010:HOO852014 HYK852010:HYK852014 IIG852010:IIG852014 ISC852010:ISC852014 JBY852010:JBY852014 JLU852010:JLU852014 JVQ852010:JVQ852014 KFM852010:KFM852014 KPI852010:KPI852014 KZE852010:KZE852014 LJA852010:LJA852014 LSW852010:LSW852014 MCS852010:MCS852014 MMO852010:MMO852014 MWK852010:MWK852014 NGG852010:NGG852014 NQC852010:NQC852014 NZY852010:NZY852014 OJU852010:OJU852014 OTQ852010:OTQ852014 PDM852010:PDM852014 PNI852010:PNI852014 PXE852010:PXE852014 QHA852010:QHA852014 QQW852010:QQW852014 RAS852010:RAS852014 RKO852010:RKO852014 RUK852010:RUK852014 SEG852010:SEG852014 SOC852010:SOC852014 SXY852010:SXY852014 THU852010:THU852014 TRQ852010:TRQ852014 UBM852010:UBM852014 ULI852010:ULI852014 UVE852010:UVE852014 VFA852010:VFA852014 VOW852010:VOW852014 VYS852010:VYS852014 WIO852010:WIO852014 WSK852010:WSK852014 N917546:N917550 PU917546:PU917550 ZQ917546:ZQ917550 AJM917546:AJM917550 ATI917546:ATI917550 BDE917546:BDE917550 BNA917546:BNA917550 BWW917546:BWW917550 CGS917546:CGS917550 CQO917546:CQO917550 DAK917546:DAK917550 DKG917546:DKG917550 DUC917546:DUC917550 EDY917546:EDY917550 ENU917546:ENU917550 EXQ917546:EXQ917550 FHM917546:FHM917550 FRI917546:FRI917550 GBE917546:GBE917550 GLA917546:GLA917550 GUW917546:GUW917550 HES917546:HES917550 HOO917546:HOO917550 HYK917546:HYK917550 IIG917546:IIG917550 ISC917546:ISC917550 JBY917546:JBY917550 JLU917546:JLU917550 JVQ917546:JVQ917550 KFM917546:KFM917550 KPI917546:KPI917550 KZE917546:KZE917550 LJA917546:LJA917550 LSW917546:LSW917550 MCS917546:MCS917550 MMO917546:MMO917550 MWK917546:MWK917550 NGG917546:NGG917550 NQC917546:NQC917550 NZY917546:NZY917550 OJU917546:OJU917550 OTQ917546:OTQ917550 PDM917546:PDM917550 PNI917546:PNI917550 PXE917546:PXE917550 QHA917546:QHA917550 QQW917546:QQW917550 RAS917546:RAS917550 RKO917546:RKO917550 RUK917546:RUK917550 SEG917546:SEG917550 SOC917546:SOC917550 SXY917546:SXY917550 THU917546:THU917550 TRQ917546:TRQ917550 UBM917546:UBM917550 ULI917546:ULI917550 UVE917546:UVE917550 VFA917546:VFA917550 VOW917546:VOW917550 VYS917546:VYS917550 WIO917546:WIO917550 WSK917546:WSK917550 N983082:N983086 PU983082:PU983086 ZQ983082:ZQ983086 AJM983082:AJM983086 ATI983082:ATI983086 BDE983082:BDE983086 BNA983082:BNA983086 BWW983082:BWW983086 CGS983082:CGS983086 CQO983082:CQO983086 DAK983082:DAK983086 DKG983082:DKG983086 DUC983082:DUC983086 EDY983082:EDY983086 ENU983082:ENU983086 EXQ983082:EXQ983086 FHM983082:FHM983086 FRI983082:FRI983086 GBE983082:GBE983086 GLA983082:GLA983086 GUW983082:GUW983086 HES983082:HES983086 HOO983082:HOO983086 HYK983082:HYK983086 IIG983082:IIG983086 ISC983082:ISC983086 JBY983082:JBY983086 JLU983082:JLU983086 JVQ983082:JVQ983086 KFM983082:KFM983086 KPI983082:KPI983086 KZE983082:KZE983086 LJA983082:LJA983086 LSW983082:LSW983086 MCS983082:MCS983086 MMO983082:MMO983086 MWK983082:MWK983086 NGG983082:NGG983086 NQC983082:NQC983086 NZY983082:NZY983086 OJU983082:OJU983086 OTQ983082:OTQ983086 PDM983082:PDM983086 PNI983082:PNI983086 PXE983082:PXE983086 QHA983082:QHA983086 QQW983082:QQW983086 RAS983082:RAS983086 RKO983082:RKO983086 RUK983082:RUK983086 SEG983082:SEG983086 SOC983082:SOC983086 SXY983082:SXY983086 THU983082:THU983086 TRQ983082:TRQ983086 UBM983082:UBM983086 ULI983082:ULI983086 UVE983082:UVE983086 VFA983082:VFA983086 VOW983082:VOW983086 VYS983082:VYS983086 WIO983082:WIO983086 WSK983082:WSK983086 WSJ42:WSJ44 WSK45:WSK46 WIN42:WIN44 WIO45:WIO46 VYR42:VYR44 VYS45:VYS46 VOV42:VOV44 VOW45:VOW46 VEZ42:VEZ44 VFA45:VFA46 UVD42:UVD44 UVE45:UVE46 ULH42:ULH44 ULI45:ULI46 UBL42:UBL44 UBM45:UBM46 TRP42:TRP44 TRQ45:TRQ46 THT42:THT44 THU45:THU46 SXX42:SXX44 SXY45:SXY46 SOB42:SOB44 SOC45:SOC46 SEF42:SEF44 SEG45:SEG46 RUJ42:RUJ44 RUK45:RUK46 RKN42:RKN44 RKO45:RKO46 RAR42:RAR44 RAS45:RAS46 QQV42:QQV44 QQW45:QQW46 QGZ42:QGZ44 QHA45:QHA46 PXD42:PXD44 PXE45:PXE46 PNH42:PNH44 PNI45:PNI46 PDL42:PDL44 PDM45:PDM46 OTP42:OTP44 OTQ45:OTQ46 OJT42:OJT44 OJU45:OJU46 NZX42:NZX44 NZY45:NZY46 NQB42:NQB44 NQC45:NQC46 NGF42:NGF44 NGG45:NGG46 MWJ42:MWJ44 MWK45:MWK46 MMN42:MMN44 MMO45:MMO46 MCR42:MCR44 MCS45:MCS46 LSV42:LSV44 LSW45:LSW46 LIZ42:LIZ44 LJA45:LJA46 KZD42:KZD44 KZE45:KZE46 KPH42:KPH44 KPI45:KPI46 KFL42:KFL44 KFM45:KFM46 JVP42:JVP44 JVQ45:JVQ46 JLT42:JLT44 JLU45:JLU46 JBX42:JBX44 JBY45:JBY46 ISB42:ISB44 ISC45:ISC46 IIF42:IIF44 IIG45:IIG46 HYJ42:HYJ44 HYK45:HYK46 HON42:HON44 HOO45:HOO46 HER42:HER44 HES45:HES46 GUV42:GUV44 GUW45:GUW46 GKZ42:GKZ44 GLA45:GLA46 GBD42:GBD44 GBE45:GBE46 FRH42:FRH44 FRI45:FRI46 FHL42:FHL44 FHM45:FHM46 EXP42:EXP44 EXQ45:EXQ46 ENT42:ENT44 ENU45:ENU46 EDX42:EDX44 EDY45:EDY46 DUB42:DUB44 DUC45:DUC46 DKF42:DKF44 DKG45:DKG46 DAJ42:DAJ44 DAK45:DAK46 CQN42:CQN44 CQO45:CQO46 CGR42:CGR44 CGS45:CGS46 BWV42:BWV44 BWW45:BWW46 BMZ42:BMZ44 BNA45:BNA46 BDD42:BDD44 BDE45:BDE46 ATH42:ATH44 ATI45:ATI46 AJL42:AJL44 AJM45:AJM46 ZP42:ZP44 ZQ45:ZQ46 PT42:PT44 N42">
      <formula1>$T$50:$T$53</formula1>
    </dataValidation>
    <dataValidation type="list" allowBlank="1" showInputMessage="1" showErrorMessage="1" sqref="K29:L35">
      <formula1>YN</formula1>
    </dataValidation>
  </dataValidations>
  <hyperlinks>
    <hyperlink ref="A1" location="'Table Of Contents'!A1" display="TOC"/>
  </hyperlinks>
  <pageMargins left="0.25" right="0.25" top="0.75" bottom="0.75" header="0.3" footer="0.3"/>
  <pageSetup scale="47"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FF00"/>
  </sheetPr>
  <dimension ref="A1:BO177"/>
  <sheetViews>
    <sheetView showGridLines="0" view="pageBreakPreview" zoomScaleNormal="75" zoomScaleSheetLayoutView="100" workbookViewId="0">
      <selection activeCell="B1" sqref="B1"/>
    </sheetView>
  </sheetViews>
  <sheetFormatPr defaultRowHeight="12.75"/>
  <cols>
    <col min="1" max="1" width="9.140625" style="953"/>
    <col min="2" max="2" width="20" style="953" customWidth="1"/>
    <col min="3" max="3" width="14.5703125" style="953" customWidth="1"/>
    <col min="4" max="4" width="23.42578125" style="953" customWidth="1"/>
    <col min="5" max="7" width="12.7109375" style="953" customWidth="1"/>
    <col min="8" max="8" width="10.7109375" style="953" customWidth="1"/>
    <col min="9" max="9" width="11" style="953" customWidth="1"/>
    <col min="10" max="10" width="14.5703125" style="953" customWidth="1"/>
    <col min="11" max="12" width="9.140625" style="953"/>
    <col min="13" max="13" width="12.7109375" style="953" customWidth="1"/>
    <col min="14" max="14" width="18.28515625" style="953" customWidth="1"/>
    <col min="15" max="16" width="9.140625" style="953"/>
    <col min="17" max="17" width="9.140625" style="953" hidden="1" customWidth="1"/>
    <col min="18" max="257" width="9.140625" style="953"/>
    <col min="258" max="258" width="20" style="953" customWidth="1"/>
    <col min="259" max="259" width="14.5703125" style="953" customWidth="1"/>
    <col min="260" max="260" width="23.42578125" style="953" customWidth="1"/>
    <col min="261" max="263" width="12.7109375" style="953" customWidth="1"/>
    <col min="264" max="264" width="10.7109375" style="953" customWidth="1"/>
    <col min="265" max="265" width="11" style="953" customWidth="1"/>
    <col min="266" max="266" width="14.5703125" style="953" customWidth="1"/>
    <col min="267" max="268" width="9.140625" style="953"/>
    <col min="269" max="269" width="12.7109375" style="953" customWidth="1"/>
    <col min="270" max="270" width="18.28515625" style="953" customWidth="1"/>
    <col min="271" max="272" width="9.140625" style="953"/>
    <col min="273" max="273" width="0" style="953" hidden="1" customWidth="1"/>
    <col min="274" max="513" width="9.140625" style="953"/>
    <col min="514" max="514" width="20" style="953" customWidth="1"/>
    <col min="515" max="515" width="14.5703125" style="953" customWidth="1"/>
    <col min="516" max="516" width="23.42578125" style="953" customWidth="1"/>
    <col min="517" max="519" width="12.7109375" style="953" customWidth="1"/>
    <col min="520" max="520" width="10.7109375" style="953" customWidth="1"/>
    <col min="521" max="521" width="11" style="953" customWidth="1"/>
    <col min="522" max="522" width="14.5703125" style="953" customWidth="1"/>
    <col min="523" max="524" width="9.140625" style="953"/>
    <col min="525" max="525" width="12.7109375" style="953" customWidth="1"/>
    <col min="526" max="526" width="18.28515625" style="953" customWidth="1"/>
    <col min="527" max="528" width="9.140625" style="953"/>
    <col min="529" max="529" width="0" style="953" hidden="1" customWidth="1"/>
    <col min="530" max="769" width="9.140625" style="953"/>
    <col min="770" max="770" width="20" style="953" customWidth="1"/>
    <col min="771" max="771" width="14.5703125" style="953" customWidth="1"/>
    <col min="772" max="772" width="23.42578125" style="953" customWidth="1"/>
    <col min="773" max="775" width="12.7109375" style="953" customWidth="1"/>
    <col min="776" max="776" width="10.7109375" style="953" customWidth="1"/>
    <col min="777" max="777" width="11" style="953" customWidth="1"/>
    <col min="778" max="778" width="14.5703125" style="953" customWidth="1"/>
    <col min="779" max="780" width="9.140625" style="953"/>
    <col min="781" max="781" width="12.7109375" style="953" customWidth="1"/>
    <col min="782" max="782" width="18.28515625" style="953" customWidth="1"/>
    <col min="783" max="784" width="9.140625" style="953"/>
    <col min="785" max="785" width="0" style="953" hidden="1" customWidth="1"/>
    <col min="786" max="1025" width="9.140625" style="953"/>
    <col min="1026" max="1026" width="20" style="953" customWidth="1"/>
    <col min="1027" max="1027" width="14.5703125" style="953" customWidth="1"/>
    <col min="1028" max="1028" width="23.42578125" style="953" customWidth="1"/>
    <col min="1029" max="1031" width="12.7109375" style="953" customWidth="1"/>
    <col min="1032" max="1032" width="10.7109375" style="953" customWidth="1"/>
    <col min="1033" max="1033" width="11" style="953" customWidth="1"/>
    <col min="1034" max="1034" width="14.5703125" style="953" customWidth="1"/>
    <col min="1035" max="1036" width="9.140625" style="953"/>
    <col min="1037" max="1037" width="12.7109375" style="953" customWidth="1"/>
    <col min="1038" max="1038" width="18.28515625" style="953" customWidth="1"/>
    <col min="1039" max="1040" width="9.140625" style="953"/>
    <col min="1041" max="1041" width="0" style="953" hidden="1" customWidth="1"/>
    <col min="1042" max="1281" width="9.140625" style="953"/>
    <col min="1282" max="1282" width="20" style="953" customWidth="1"/>
    <col min="1283" max="1283" width="14.5703125" style="953" customWidth="1"/>
    <col min="1284" max="1284" width="23.42578125" style="953" customWidth="1"/>
    <col min="1285" max="1287" width="12.7109375" style="953" customWidth="1"/>
    <col min="1288" max="1288" width="10.7109375" style="953" customWidth="1"/>
    <col min="1289" max="1289" width="11" style="953" customWidth="1"/>
    <col min="1290" max="1290" width="14.5703125" style="953" customWidth="1"/>
    <col min="1291" max="1292" width="9.140625" style="953"/>
    <col min="1293" max="1293" width="12.7109375" style="953" customWidth="1"/>
    <col min="1294" max="1294" width="18.28515625" style="953" customWidth="1"/>
    <col min="1295" max="1296" width="9.140625" style="953"/>
    <col min="1297" max="1297" width="0" style="953" hidden="1" customWidth="1"/>
    <col min="1298" max="1537" width="9.140625" style="953"/>
    <col min="1538" max="1538" width="20" style="953" customWidth="1"/>
    <col min="1539" max="1539" width="14.5703125" style="953" customWidth="1"/>
    <col min="1540" max="1540" width="23.42578125" style="953" customWidth="1"/>
    <col min="1541" max="1543" width="12.7109375" style="953" customWidth="1"/>
    <col min="1544" max="1544" width="10.7109375" style="953" customWidth="1"/>
    <col min="1545" max="1545" width="11" style="953" customWidth="1"/>
    <col min="1546" max="1546" width="14.5703125" style="953" customWidth="1"/>
    <col min="1547" max="1548" width="9.140625" style="953"/>
    <col min="1549" max="1549" width="12.7109375" style="953" customWidth="1"/>
    <col min="1550" max="1550" width="18.28515625" style="953" customWidth="1"/>
    <col min="1551" max="1552" width="9.140625" style="953"/>
    <col min="1553" max="1553" width="0" style="953" hidden="1" customWidth="1"/>
    <col min="1554" max="1793" width="9.140625" style="953"/>
    <col min="1794" max="1794" width="20" style="953" customWidth="1"/>
    <col min="1795" max="1795" width="14.5703125" style="953" customWidth="1"/>
    <col min="1796" max="1796" width="23.42578125" style="953" customWidth="1"/>
    <col min="1797" max="1799" width="12.7109375" style="953" customWidth="1"/>
    <col min="1800" max="1800" width="10.7109375" style="953" customWidth="1"/>
    <col min="1801" max="1801" width="11" style="953" customWidth="1"/>
    <col min="1802" max="1802" width="14.5703125" style="953" customWidth="1"/>
    <col min="1803" max="1804" width="9.140625" style="953"/>
    <col min="1805" max="1805" width="12.7109375" style="953" customWidth="1"/>
    <col min="1806" max="1806" width="18.28515625" style="953" customWidth="1"/>
    <col min="1807" max="1808" width="9.140625" style="953"/>
    <col min="1809" max="1809" width="0" style="953" hidden="1" customWidth="1"/>
    <col min="1810" max="2049" width="9.140625" style="953"/>
    <col min="2050" max="2050" width="20" style="953" customWidth="1"/>
    <col min="2051" max="2051" width="14.5703125" style="953" customWidth="1"/>
    <col min="2052" max="2052" width="23.42578125" style="953" customWidth="1"/>
    <col min="2053" max="2055" width="12.7109375" style="953" customWidth="1"/>
    <col min="2056" max="2056" width="10.7109375" style="953" customWidth="1"/>
    <col min="2057" max="2057" width="11" style="953" customWidth="1"/>
    <col min="2058" max="2058" width="14.5703125" style="953" customWidth="1"/>
    <col min="2059" max="2060" width="9.140625" style="953"/>
    <col min="2061" max="2061" width="12.7109375" style="953" customWidth="1"/>
    <col min="2062" max="2062" width="18.28515625" style="953" customWidth="1"/>
    <col min="2063" max="2064" width="9.140625" style="953"/>
    <col min="2065" max="2065" width="0" style="953" hidden="1" customWidth="1"/>
    <col min="2066" max="2305" width="9.140625" style="953"/>
    <col min="2306" max="2306" width="20" style="953" customWidth="1"/>
    <col min="2307" max="2307" width="14.5703125" style="953" customWidth="1"/>
    <col min="2308" max="2308" width="23.42578125" style="953" customWidth="1"/>
    <col min="2309" max="2311" width="12.7109375" style="953" customWidth="1"/>
    <col min="2312" max="2312" width="10.7109375" style="953" customWidth="1"/>
    <col min="2313" max="2313" width="11" style="953" customWidth="1"/>
    <col min="2314" max="2314" width="14.5703125" style="953" customWidth="1"/>
    <col min="2315" max="2316" width="9.140625" style="953"/>
    <col min="2317" max="2317" width="12.7109375" style="953" customWidth="1"/>
    <col min="2318" max="2318" width="18.28515625" style="953" customWidth="1"/>
    <col min="2319" max="2320" width="9.140625" style="953"/>
    <col min="2321" max="2321" width="0" style="953" hidden="1" customWidth="1"/>
    <col min="2322" max="2561" width="9.140625" style="953"/>
    <col min="2562" max="2562" width="20" style="953" customWidth="1"/>
    <col min="2563" max="2563" width="14.5703125" style="953" customWidth="1"/>
    <col min="2564" max="2564" width="23.42578125" style="953" customWidth="1"/>
    <col min="2565" max="2567" width="12.7109375" style="953" customWidth="1"/>
    <col min="2568" max="2568" width="10.7109375" style="953" customWidth="1"/>
    <col min="2569" max="2569" width="11" style="953" customWidth="1"/>
    <col min="2570" max="2570" width="14.5703125" style="953" customWidth="1"/>
    <col min="2571" max="2572" width="9.140625" style="953"/>
    <col min="2573" max="2573" width="12.7109375" style="953" customWidth="1"/>
    <col min="2574" max="2574" width="18.28515625" style="953" customWidth="1"/>
    <col min="2575" max="2576" width="9.140625" style="953"/>
    <col min="2577" max="2577" width="0" style="953" hidden="1" customWidth="1"/>
    <col min="2578" max="2817" width="9.140625" style="953"/>
    <col min="2818" max="2818" width="20" style="953" customWidth="1"/>
    <col min="2819" max="2819" width="14.5703125" style="953" customWidth="1"/>
    <col min="2820" max="2820" width="23.42578125" style="953" customWidth="1"/>
    <col min="2821" max="2823" width="12.7109375" style="953" customWidth="1"/>
    <col min="2824" max="2824" width="10.7109375" style="953" customWidth="1"/>
    <col min="2825" max="2825" width="11" style="953" customWidth="1"/>
    <col min="2826" max="2826" width="14.5703125" style="953" customWidth="1"/>
    <col min="2827" max="2828" width="9.140625" style="953"/>
    <col min="2829" max="2829" width="12.7109375" style="953" customWidth="1"/>
    <col min="2830" max="2830" width="18.28515625" style="953" customWidth="1"/>
    <col min="2831" max="2832" width="9.140625" style="953"/>
    <col min="2833" max="2833" width="0" style="953" hidden="1" customWidth="1"/>
    <col min="2834" max="3073" width="9.140625" style="953"/>
    <col min="3074" max="3074" width="20" style="953" customWidth="1"/>
    <col min="3075" max="3075" width="14.5703125" style="953" customWidth="1"/>
    <col min="3076" max="3076" width="23.42578125" style="953" customWidth="1"/>
    <col min="3077" max="3079" width="12.7109375" style="953" customWidth="1"/>
    <col min="3080" max="3080" width="10.7109375" style="953" customWidth="1"/>
    <col min="3081" max="3081" width="11" style="953" customWidth="1"/>
    <col min="3082" max="3082" width="14.5703125" style="953" customWidth="1"/>
    <col min="3083" max="3084" width="9.140625" style="953"/>
    <col min="3085" max="3085" width="12.7109375" style="953" customWidth="1"/>
    <col min="3086" max="3086" width="18.28515625" style="953" customWidth="1"/>
    <col min="3087" max="3088" width="9.140625" style="953"/>
    <col min="3089" max="3089" width="0" style="953" hidden="1" customWidth="1"/>
    <col min="3090" max="3329" width="9.140625" style="953"/>
    <col min="3330" max="3330" width="20" style="953" customWidth="1"/>
    <col min="3331" max="3331" width="14.5703125" style="953" customWidth="1"/>
    <col min="3332" max="3332" width="23.42578125" style="953" customWidth="1"/>
    <col min="3333" max="3335" width="12.7109375" style="953" customWidth="1"/>
    <col min="3336" max="3336" width="10.7109375" style="953" customWidth="1"/>
    <col min="3337" max="3337" width="11" style="953" customWidth="1"/>
    <col min="3338" max="3338" width="14.5703125" style="953" customWidth="1"/>
    <col min="3339" max="3340" width="9.140625" style="953"/>
    <col min="3341" max="3341" width="12.7109375" style="953" customWidth="1"/>
    <col min="3342" max="3342" width="18.28515625" style="953" customWidth="1"/>
    <col min="3343" max="3344" width="9.140625" style="953"/>
    <col min="3345" max="3345" width="0" style="953" hidden="1" customWidth="1"/>
    <col min="3346" max="3585" width="9.140625" style="953"/>
    <col min="3586" max="3586" width="20" style="953" customWidth="1"/>
    <col min="3587" max="3587" width="14.5703125" style="953" customWidth="1"/>
    <col min="3588" max="3588" width="23.42578125" style="953" customWidth="1"/>
    <col min="3589" max="3591" width="12.7109375" style="953" customWidth="1"/>
    <col min="3592" max="3592" width="10.7109375" style="953" customWidth="1"/>
    <col min="3593" max="3593" width="11" style="953" customWidth="1"/>
    <col min="3594" max="3594" width="14.5703125" style="953" customWidth="1"/>
    <col min="3595" max="3596" width="9.140625" style="953"/>
    <col min="3597" max="3597" width="12.7109375" style="953" customWidth="1"/>
    <col min="3598" max="3598" width="18.28515625" style="953" customWidth="1"/>
    <col min="3599" max="3600" width="9.140625" style="953"/>
    <col min="3601" max="3601" width="0" style="953" hidden="1" customWidth="1"/>
    <col min="3602" max="3841" width="9.140625" style="953"/>
    <col min="3842" max="3842" width="20" style="953" customWidth="1"/>
    <col min="3843" max="3843" width="14.5703125" style="953" customWidth="1"/>
    <col min="3844" max="3844" width="23.42578125" style="953" customWidth="1"/>
    <col min="3845" max="3847" width="12.7109375" style="953" customWidth="1"/>
    <col min="3848" max="3848" width="10.7109375" style="953" customWidth="1"/>
    <col min="3849" max="3849" width="11" style="953" customWidth="1"/>
    <col min="3850" max="3850" width="14.5703125" style="953" customWidth="1"/>
    <col min="3851" max="3852" width="9.140625" style="953"/>
    <col min="3853" max="3853" width="12.7109375" style="953" customWidth="1"/>
    <col min="3854" max="3854" width="18.28515625" style="953" customWidth="1"/>
    <col min="3855" max="3856" width="9.140625" style="953"/>
    <col min="3857" max="3857" width="0" style="953" hidden="1" customWidth="1"/>
    <col min="3858" max="4097" width="9.140625" style="953"/>
    <col min="4098" max="4098" width="20" style="953" customWidth="1"/>
    <col min="4099" max="4099" width="14.5703125" style="953" customWidth="1"/>
    <col min="4100" max="4100" width="23.42578125" style="953" customWidth="1"/>
    <col min="4101" max="4103" width="12.7109375" style="953" customWidth="1"/>
    <col min="4104" max="4104" width="10.7109375" style="953" customWidth="1"/>
    <col min="4105" max="4105" width="11" style="953" customWidth="1"/>
    <col min="4106" max="4106" width="14.5703125" style="953" customWidth="1"/>
    <col min="4107" max="4108" width="9.140625" style="953"/>
    <col min="4109" max="4109" width="12.7109375" style="953" customWidth="1"/>
    <col min="4110" max="4110" width="18.28515625" style="953" customWidth="1"/>
    <col min="4111" max="4112" width="9.140625" style="953"/>
    <col min="4113" max="4113" width="0" style="953" hidden="1" customWidth="1"/>
    <col min="4114" max="4353" width="9.140625" style="953"/>
    <col min="4354" max="4354" width="20" style="953" customWidth="1"/>
    <col min="4355" max="4355" width="14.5703125" style="953" customWidth="1"/>
    <col min="4356" max="4356" width="23.42578125" style="953" customWidth="1"/>
    <col min="4357" max="4359" width="12.7109375" style="953" customWidth="1"/>
    <col min="4360" max="4360" width="10.7109375" style="953" customWidth="1"/>
    <col min="4361" max="4361" width="11" style="953" customWidth="1"/>
    <col min="4362" max="4362" width="14.5703125" style="953" customWidth="1"/>
    <col min="4363" max="4364" width="9.140625" style="953"/>
    <col min="4365" max="4365" width="12.7109375" style="953" customWidth="1"/>
    <col min="4366" max="4366" width="18.28515625" style="953" customWidth="1"/>
    <col min="4367" max="4368" width="9.140625" style="953"/>
    <col min="4369" max="4369" width="0" style="953" hidden="1" customWidth="1"/>
    <col min="4370" max="4609" width="9.140625" style="953"/>
    <col min="4610" max="4610" width="20" style="953" customWidth="1"/>
    <col min="4611" max="4611" width="14.5703125" style="953" customWidth="1"/>
    <col min="4612" max="4612" width="23.42578125" style="953" customWidth="1"/>
    <col min="4613" max="4615" width="12.7109375" style="953" customWidth="1"/>
    <col min="4616" max="4616" width="10.7109375" style="953" customWidth="1"/>
    <col min="4617" max="4617" width="11" style="953" customWidth="1"/>
    <col min="4618" max="4618" width="14.5703125" style="953" customWidth="1"/>
    <col min="4619" max="4620" width="9.140625" style="953"/>
    <col min="4621" max="4621" width="12.7109375" style="953" customWidth="1"/>
    <col min="4622" max="4622" width="18.28515625" style="953" customWidth="1"/>
    <col min="4623" max="4624" width="9.140625" style="953"/>
    <col min="4625" max="4625" width="0" style="953" hidden="1" customWidth="1"/>
    <col min="4626" max="4865" width="9.140625" style="953"/>
    <col min="4866" max="4866" width="20" style="953" customWidth="1"/>
    <col min="4867" max="4867" width="14.5703125" style="953" customWidth="1"/>
    <col min="4868" max="4868" width="23.42578125" style="953" customWidth="1"/>
    <col min="4869" max="4871" width="12.7109375" style="953" customWidth="1"/>
    <col min="4872" max="4872" width="10.7109375" style="953" customWidth="1"/>
    <col min="4873" max="4873" width="11" style="953" customWidth="1"/>
    <col min="4874" max="4874" width="14.5703125" style="953" customWidth="1"/>
    <col min="4875" max="4876" width="9.140625" style="953"/>
    <col min="4877" max="4877" width="12.7109375" style="953" customWidth="1"/>
    <col min="4878" max="4878" width="18.28515625" style="953" customWidth="1"/>
    <col min="4879" max="4880" width="9.140625" style="953"/>
    <col min="4881" max="4881" width="0" style="953" hidden="1" customWidth="1"/>
    <col min="4882" max="5121" width="9.140625" style="953"/>
    <col min="5122" max="5122" width="20" style="953" customWidth="1"/>
    <col min="5123" max="5123" width="14.5703125" style="953" customWidth="1"/>
    <col min="5124" max="5124" width="23.42578125" style="953" customWidth="1"/>
    <col min="5125" max="5127" width="12.7109375" style="953" customWidth="1"/>
    <col min="5128" max="5128" width="10.7109375" style="953" customWidth="1"/>
    <col min="5129" max="5129" width="11" style="953" customWidth="1"/>
    <col min="5130" max="5130" width="14.5703125" style="953" customWidth="1"/>
    <col min="5131" max="5132" width="9.140625" style="953"/>
    <col min="5133" max="5133" width="12.7109375" style="953" customWidth="1"/>
    <col min="5134" max="5134" width="18.28515625" style="953" customWidth="1"/>
    <col min="5135" max="5136" width="9.140625" style="953"/>
    <col min="5137" max="5137" width="0" style="953" hidden="1" customWidth="1"/>
    <col min="5138" max="5377" width="9.140625" style="953"/>
    <col min="5378" max="5378" width="20" style="953" customWidth="1"/>
    <col min="5379" max="5379" width="14.5703125" style="953" customWidth="1"/>
    <col min="5380" max="5380" width="23.42578125" style="953" customWidth="1"/>
    <col min="5381" max="5383" width="12.7109375" style="953" customWidth="1"/>
    <col min="5384" max="5384" width="10.7109375" style="953" customWidth="1"/>
    <col min="5385" max="5385" width="11" style="953" customWidth="1"/>
    <col min="5386" max="5386" width="14.5703125" style="953" customWidth="1"/>
    <col min="5387" max="5388" width="9.140625" style="953"/>
    <col min="5389" max="5389" width="12.7109375" style="953" customWidth="1"/>
    <col min="5390" max="5390" width="18.28515625" style="953" customWidth="1"/>
    <col min="5391" max="5392" width="9.140625" style="953"/>
    <col min="5393" max="5393" width="0" style="953" hidden="1" customWidth="1"/>
    <col min="5394" max="5633" width="9.140625" style="953"/>
    <col min="5634" max="5634" width="20" style="953" customWidth="1"/>
    <col min="5635" max="5635" width="14.5703125" style="953" customWidth="1"/>
    <col min="5636" max="5636" width="23.42578125" style="953" customWidth="1"/>
    <col min="5637" max="5639" width="12.7109375" style="953" customWidth="1"/>
    <col min="5640" max="5640" width="10.7109375" style="953" customWidth="1"/>
    <col min="5641" max="5641" width="11" style="953" customWidth="1"/>
    <col min="5642" max="5642" width="14.5703125" style="953" customWidth="1"/>
    <col min="5643" max="5644" width="9.140625" style="953"/>
    <col min="5645" max="5645" width="12.7109375" style="953" customWidth="1"/>
    <col min="5646" max="5646" width="18.28515625" style="953" customWidth="1"/>
    <col min="5647" max="5648" width="9.140625" style="953"/>
    <col min="5649" max="5649" width="0" style="953" hidden="1" customWidth="1"/>
    <col min="5650" max="5889" width="9.140625" style="953"/>
    <col min="5890" max="5890" width="20" style="953" customWidth="1"/>
    <col min="5891" max="5891" width="14.5703125" style="953" customWidth="1"/>
    <col min="5892" max="5892" width="23.42578125" style="953" customWidth="1"/>
    <col min="5893" max="5895" width="12.7109375" style="953" customWidth="1"/>
    <col min="5896" max="5896" width="10.7109375" style="953" customWidth="1"/>
    <col min="5897" max="5897" width="11" style="953" customWidth="1"/>
    <col min="5898" max="5898" width="14.5703125" style="953" customWidth="1"/>
    <col min="5899" max="5900" width="9.140625" style="953"/>
    <col min="5901" max="5901" width="12.7109375" style="953" customWidth="1"/>
    <col min="5902" max="5902" width="18.28515625" style="953" customWidth="1"/>
    <col min="5903" max="5904" width="9.140625" style="953"/>
    <col min="5905" max="5905" width="0" style="953" hidden="1" customWidth="1"/>
    <col min="5906" max="6145" width="9.140625" style="953"/>
    <col min="6146" max="6146" width="20" style="953" customWidth="1"/>
    <col min="6147" max="6147" width="14.5703125" style="953" customWidth="1"/>
    <col min="6148" max="6148" width="23.42578125" style="953" customWidth="1"/>
    <col min="6149" max="6151" width="12.7109375" style="953" customWidth="1"/>
    <col min="6152" max="6152" width="10.7109375" style="953" customWidth="1"/>
    <col min="6153" max="6153" width="11" style="953" customWidth="1"/>
    <col min="6154" max="6154" width="14.5703125" style="953" customWidth="1"/>
    <col min="6155" max="6156" width="9.140625" style="953"/>
    <col min="6157" max="6157" width="12.7109375" style="953" customWidth="1"/>
    <col min="6158" max="6158" width="18.28515625" style="953" customWidth="1"/>
    <col min="6159" max="6160" width="9.140625" style="953"/>
    <col min="6161" max="6161" width="0" style="953" hidden="1" customWidth="1"/>
    <col min="6162" max="6401" width="9.140625" style="953"/>
    <col min="6402" max="6402" width="20" style="953" customWidth="1"/>
    <col min="6403" max="6403" width="14.5703125" style="953" customWidth="1"/>
    <col min="6404" max="6404" width="23.42578125" style="953" customWidth="1"/>
    <col min="6405" max="6407" width="12.7109375" style="953" customWidth="1"/>
    <col min="6408" max="6408" width="10.7109375" style="953" customWidth="1"/>
    <col min="6409" max="6409" width="11" style="953" customWidth="1"/>
    <col min="6410" max="6410" width="14.5703125" style="953" customWidth="1"/>
    <col min="6411" max="6412" width="9.140625" style="953"/>
    <col min="6413" max="6413" width="12.7109375" style="953" customWidth="1"/>
    <col min="6414" max="6414" width="18.28515625" style="953" customWidth="1"/>
    <col min="6415" max="6416" width="9.140625" style="953"/>
    <col min="6417" max="6417" width="0" style="953" hidden="1" customWidth="1"/>
    <col min="6418" max="6657" width="9.140625" style="953"/>
    <col min="6658" max="6658" width="20" style="953" customWidth="1"/>
    <col min="6659" max="6659" width="14.5703125" style="953" customWidth="1"/>
    <col min="6660" max="6660" width="23.42578125" style="953" customWidth="1"/>
    <col min="6661" max="6663" width="12.7109375" style="953" customWidth="1"/>
    <col min="6664" max="6664" width="10.7109375" style="953" customWidth="1"/>
    <col min="6665" max="6665" width="11" style="953" customWidth="1"/>
    <col min="6666" max="6666" width="14.5703125" style="953" customWidth="1"/>
    <col min="6667" max="6668" width="9.140625" style="953"/>
    <col min="6669" max="6669" width="12.7109375" style="953" customWidth="1"/>
    <col min="6670" max="6670" width="18.28515625" style="953" customWidth="1"/>
    <col min="6671" max="6672" width="9.140625" style="953"/>
    <col min="6673" max="6673" width="0" style="953" hidden="1" customWidth="1"/>
    <col min="6674" max="6913" width="9.140625" style="953"/>
    <col min="6914" max="6914" width="20" style="953" customWidth="1"/>
    <col min="6915" max="6915" width="14.5703125" style="953" customWidth="1"/>
    <col min="6916" max="6916" width="23.42578125" style="953" customWidth="1"/>
    <col min="6917" max="6919" width="12.7109375" style="953" customWidth="1"/>
    <col min="6920" max="6920" width="10.7109375" style="953" customWidth="1"/>
    <col min="6921" max="6921" width="11" style="953" customWidth="1"/>
    <col min="6922" max="6922" width="14.5703125" style="953" customWidth="1"/>
    <col min="6923" max="6924" width="9.140625" style="953"/>
    <col min="6925" max="6925" width="12.7109375" style="953" customWidth="1"/>
    <col min="6926" max="6926" width="18.28515625" style="953" customWidth="1"/>
    <col min="6927" max="6928" width="9.140625" style="953"/>
    <col min="6929" max="6929" width="0" style="953" hidden="1" customWidth="1"/>
    <col min="6930" max="7169" width="9.140625" style="953"/>
    <col min="7170" max="7170" width="20" style="953" customWidth="1"/>
    <col min="7171" max="7171" width="14.5703125" style="953" customWidth="1"/>
    <col min="7172" max="7172" width="23.42578125" style="953" customWidth="1"/>
    <col min="7173" max="7175" width="12.7109375" style="953" customWidth="1"/>
    <col min="7176" max="7176" width="10.7109375" style="953" customWidth="1"/>
    <col min="7177" max="7177" width="11" style="953" customWidth="1"/>
    <col min="7178" max="7178" width="14.5703125" style="953" customWidth="1"/>
    <col min="7179" max="7180" width="9.140625" style="953"/>
    <col min="7181" max="7181" width="12.7109375" style="953" customWidth="1"/>
    <col min="7182" max="7182" width="18.28515625" style="953" customWidth="1"/>
    <col min="7183" max="7184" width="9.140625" style="953"/>
    <col min="7185" max="7185" width="0" style="953" hidden="1" customWidth="1"/>
    <col min="7186" max="7425" width="9.140625" style="953"/>
    <col min="7426" max="7426" width="20" style="953" customWidth="1"/>
    <col min="7427" max="7427" width="14.5703125" style="953" customWidth="1"/>
    <col min="7428" max="7428" width="23.42578125" style="953" customWidth="1"/>
    <col min="7429" max="7431" width="12.7109375" style="953" customWidth="1"/>
    <col min="7432" max="7432" width="10.7109375" style="953" customWidth="1"/>
    <col min="7433" max="7433" width="11" style="953" customWidth="1"/>
    <col min="7434" max="7434" width="14.5703125" style="953" customWidth="1"/>
    <col min="7435" max="7436" width="9.140625" style="953"/>
    <col min="7437" max="7437" width="12.7109375" style="953" customWidth="1"/>
    <col min="7438" max="7438" width="18.28515625" style="953" customWidth="1"/>
    <col min="7439" max="7440" width="9.140625" style="953"/>
    <col min="7441" max="7441" width="0" style="953" hidden="1" customWidth="1"/>
    <col min="7442" max="7681" width="9.140625" style="953"/>
    <col min="7682" max="7682" width="20" style="953" customWidth="1"/>
    <col min="7683" max="7683" width="14.5703125" style="953" customWidth="1"/>
    <col min="7684" max="7684" width="23.42578125" style="953" customWidth="1"/>
    <col min="7685" max="7687" width="12.7109375" style="953" customWidth="1"/>
    <col min="7688" max="7688" width="10.7109375" style="953" customWidth="1"/>
    <col min="7689" max="7689" width="11" style="953" customWidth="1"/>
    <col min="7690" max="7690" width="14.5703125" style="953" customWidth="1"/>
    <col min="7691" max="7692" width="9.140625" style="953"/>
    <col min="7693" max="7693" width="12.7109375" style="953" customWidth="1"/>
    <col min="7694" max="7694" width="18.28515625" style="953" customWidth="1"/>
    <col min="7695" max="7696" width="9.140625" style="953"/>
    <col min="7697" max="7697" width="0" style="953" hidden="1" customWidth="1"/>
    <col min="7698" max="7937" width="9.140625" style="953"/>
    <col min="7938" max="7938" width="20" style="953" customWidth="1"/>
    <col min="7939" max="7939" width="14.5703125" style="953" customWidth="1"/>
    <col min="7940" max="7940" width="23.42578125" style="953" customWidth="1"/>
    <col min="7941" max="7943" width="12.7109375" style="953" customWidth="1"/>
    <col min="7944" max="7944" width="10.7109375" style="953" customWidth="1"/>
    <col min="7945" max="7945" width="11" style="953" customWidth="1"/>
    <col min="7946" max="7946" width="14.5703125" style="953" customWidth="1"/>
    <col min="7947" max="7948" width="9.140625" style="953"/>
    <col min="7949" max="7949" width="12.7109375" style="953" customWidth="1"/>
    <col min="7950" max="7950" width="18.28515625" style="953" customWidth="1"/>
    <col min="7951" max="7952" width="9.140625" style="953"/>
    <col min="7953" max="7953" width="0" style="953" hidden="1" customWidth="1"/>
    <col min="7954" max="8193" width="9.140625" style="953"/>
    <col min="8194" max="8194" width="20" style="953" customWidth="1"/>
    <col min="8195" max="8195" width="14.5703125" style="953" customWidth="1"/>
    <col min="8196" max="8196" width="23.42578125" style="953" customWidth="1"/>
    <col min="8197" max="8199" width="12.7109375" style="953" customWidth="1"/>
    <col min="8200" max="8200" width="10.7109375" style="953" customWidth="1"/>
    <col min="8201" max="8201" width="11" style="953" customWidth="1"/>
    <col min="8202" max="8202" width="14.5703125" style="953" customWidth="1"/>
    <col min="8203" max="8204" width="9.140625" style="953"/>
    <col min="8205" max="8205" width="12.7109375" style="953" customWidth="1"/>
    <col min="8206" max="8206" width="18.28515625" style="953" customWidth="1"/>
    <col min="8207" max="8208" width="9.140625" style="953"/>
    <col min="8209" max="8209" width="0" style="953" hidden="1" customWidth="1"/>
    <col min="8210" max="8449" width="9.140625" style="953"/>
    <col min="8450" max="8450" width="20" style="953" customWidth="1"/>
    <col min="8451" max="8451" width="14.5703125" style="953" customWidth="1"/>
    <col min="8452" max="8452" width="23.42578125" style="953" customWidth="1"/>
    <col min="8453" max="8455" width="12.7109375" style="953" customWidth="1"/>
    <col min="8456" max="8456" width="10.7109375" style="953" customWidth="1"/>
    <col min="8457" max="8457" width="11" style="953" customWidth="1"/>
    <col min="8458" max="8458" width="14.5703125" style="953" customWidth="1"/>
    <col min="8459" max="8460" width="9.140625" style="953"/>
    <col min="8461" max="8461" width="12.7109375" style="953" customWidth="1"/>
    <col min="8462" max="8462" width="18.28515625" style="953" customWidth="1"/>
    <col min="8463" max="8464" width="9.140625" style="953"/>
    <col min="8465" max="8465" width="0" style="953" hidden="1" customWidth="1"/>
    <col min="8466" max="8705" width="9.140625" style="953"/>
    <col min="8706" max="8706" width="20" style="953" customWidth="1"/>
    <col min="8707" max="8707" width="14.5703125" style="953" customWidth="1"/>
    <col min="8708" max="8708" width="23.42578125" style="953" customWidth="1"/>
    <col min="8709" max="8711" width="12.7109375" style="953" customWidth="1"/>
    <col min="8712" max="8712" width="10.7109375" style="953" customWidth="1"/>
    <col min="8713" max="8713" width="11" style="953" customWidth="1"/>
    <col min="8714" max="8714" width="14.5703125" style="953" customWidth="1"/>
    <col min="8715" max="8716" width="9.140625" style="953"/>
    <col min="8717" max="8717" width="12.7109375" style="953" customWidth="1"/>
    <col min="8718" max="8718" width="18.28515625" style="953" customWidth="1"/>
    <col min="8719" max="8720" width="9.140625" style="953"/>
    <col min="8721" max="8721" width="0" style="953" hidden="1" customWidth="1"/>
    <col min="8722" max="8961" width="9.140625" style="953"/>
    <col min="8962" max="8962" width="20" style="953" customWidth="1"/>
    <col min="8963" max="8963" width="14.5703125" style="953" customWidth="1"/>
    <col min="8964" max="8964" width="23.42578125" style="953" customWidth="1"/>
    <col min="8965" max="8967" width="12.7109375" style="953" customWidth="1"/>
    <col min="8968" max="8968" width="10.7109375" style="953" customWidth="1"/>
    <col min="8969" max="8969" width="11" style="953" customWidth="1"/>
    <col min="8970" max="8970" width="14.5703125" style="953" customWidth="1"/>
    <col min="8971" max="8972" width="9.140625" style="953"/>
    <col min="8973" max="8973" width="12.7109375" style="953" customWidth="1"/>
    <col min="8974" max="8974" width="18.28515625" style="953" customWidth="1"/>
    <col min="8975" max="8976" width="9.140625" style="953"/>
    <col min="8977" max="8977" width="0" style="953" hidden="1" customWidth="1"/>
    <col min="8978" max="9217" width="9.140625" style="953"/>
    <col min="9218" max="9218" width="20" style="953" customWidth="1"/>
    <col min="9219" max="9219" width="14.5703125" style="953" customWidth="1"/>
    <col min="9220" max="9220" width="23.42578125" style="953" customWidth="1"/>
    <col min="9221" max="9223" width="12.7109375" style="953" customWidth="1"/>
    <col min="9224" max="9224" width="10.7109375" style="953" customWidth="1"/>
    <col min="9225" max="9225" width="11" style="953" customWidth="1"/>
    <col min="9226" max="9226" width="14.5703125" style="953" customWidth="1"/>
    <col min="9227" max="9228" width="9.140625" style="953"/>
    <col min="9229" max="9229" width="12.7109375" style="953" customWidth="1"/>
    <col min="9230" max="9230" width="18.28515625" style="953" customWidth="1"/>
    <col min="9231" max="9232" width="9.140625" style="953"/>
    <col min="9233" max="9233" width="0" style="953" hidden="1" customWidth="1"/>
    <col min="9234" max="9473" width="9.140625" style="953"/>
    <col min="9474" max="9474" width="20" style="953" customWidth="1"/>
    <col min="9475" max="9475" width="14.5703125" style="953" customWidth="1"/>
    <col min="9476" max="9476" width="23.42578125" style="953" customWidth="1"/>
    <col min="9477" max="9479" width="12.7109375" style="953" customWidth="1"/>
    <col min="9480" max="9480" width="10.7109375" style="953" customWidth="1"/>
    <col min="9481" max="9481" width="11" style="953" customWidth="1"/>
    <col min="9482" max="9482" width="14.5703125" style="953" customWidth="1"/>
    <col min="9483" max="9484" width="9.140625" style="953"/>
    <col min="9485" max="9485" width="12.7109375" style="953" customWidth="1"/>
    <col min="9486" max="9486" width="18.28515625" style="953" customWidth="1"/>
    <col min="9487" max="9488" width="9.140625" style="953"/>
    <col min="9489" max="9489" width="0" style="953" hidden="1" customWidth="1"/>
    <col min="9490" max="9729" width="9.140625" style="953"/>
    <col min="9730" max="9730" width="20" style="953" customWidth="1"/>
    <col min="9731" max="9731" width="14.5703125" style="953" customWidth="1"/>
    <col min="9732" max="9732" width="23.42578125" style="953" customWidth="1"/>
    <col min="9733" max="9735" width="12.7109375" style="953" customWidth="1"/>
    <col min="9736" max="9736" width="10.7109375" style="953" customWidth="1"/>
    <col min="9737" max="9737" width="11" style="953" customWidth="1"/>
    <col min="9738" max="9738" width="14.5703125" style="953" customWidth="1"/>
    <col min="9739" max="9740" width="9.140625" style="953"/>
    <col min="9741" max="9741" width="12.7109375" style="953" customWidth="1"/>
    <col min="9742" max="9742" width="18.28515625" style="953" customWidth="1"/>
    <col min="9743" max="9744" width="9.140625" style="953"/>
    <col min="9745" max="9745" width="0" style="953" hidden="1" customWidth="1"/>
    <col min="9746" max="9985" width="9.140625" style="953"/>
    <col min="9986" max="9986" width="20" style="953" customWidth="1"/>
    <col min="9987" max="9987" width="14.5703125" style="953" customWidth="1"/>
    <col min="9988" max="9988" width="23.42578125" style="953" customWidth="1"/>
    <col min="9989" max="9991" width="12.7109375" style="953" customWidth="1"/>
    <col min="9992" max="9992" width="10.7109375" style="953" customWidth="1"/>
    <col min="9993" max="9993" width="11" style="953" customWidth="1"/>
    <col min="9994" max="9994" width="14.5703125" style="953" customWidth="1"/>
    <col min="9995" max="9996" width="9.140625" style="953"/>
    <col min="9997" max="9997" width="12.7109375" style="953" customWidth="1"/>
    <col min="9998" max="9998" width="18.28515625" style="953" customWidth="1"/>
    <col min="9999" max="10000" width="9.140625" style="953"/>
    <col min="10001" max="10001" width="0" style="953" hidden="1" customWidth="1"/>
    <col min="10002" max="10241" width="9.140625" style="953"/>
    <col min="10242" max="10242" width="20" style="953" customWidth="1"/>
    <col min="10243" max="10243" width="14.5703125" style="953" customWidth="1"/>
    <col min="10244" max="10244" width="23.42578125" style="953" customWidth="1"/>
    <col min="10245" max="10247" width="12.7109375" style="953" customWidth="1"/>
    <col min="10248" max="10248" width="10.7109375" style="953" customWidth="1"/>
    <col min="10249" max="10249" width="11" style="953" customWidth="1"/>
    <col min="10250" max="10250" width="14.5703125" style="953" customWidth="1"/>
    <col min="10251" max="10252" width="9.140625" style="953"/>
    <col min="10253" max="10253" width="12.7109375" style="953" customWidth="1"/>
    <col min="10254" max="10254" width="18.28515625" style="953" customWidth="1"/>
    <col min="10255" max="10256" width="9.140625" style="953"/>
    <col min="10257" max="10257" width="0" style="953" hidden="1" customWidth="1"/>
    <col min="10258" max="10497" width="9.140625" style="953"/>
    <col min="10498" max="10498" width="20" style="953" customWidth="1"/>
    <col min="10499" max="10499" width="14.5703125" style="953" customWidth="1"/>
    <col min="10500" max="10500" width="23.42578125" style="953" customWidth="1"/>
    <col min="10501" max="10503" width="12.7109375" style="953" customWidth="1"/>
    <col min="10504" max="10504" width="10.7109375" style="953" customWidth="1"/>
    <col min="10505" max="10505" width="11" style="953" customWidth="1"/>
    <col min="10506" max="10506" width="14.5703125" style="953" customWidth="1"/>
    <col min="10507" max="10508" width="9.140625" style="953"/>
    <col min="10509" max="10509" width="12.7109375" style="953" customWidth="1"/>
    <col min="10510" max="10510" width="18.28515625" style="953" customWidth="1"/>
    <col min="10511" max="10512" width="9.140625" style="953"/>
    <col min="10513" max="10513" width="0" style="953" hidden="1" customWidth="1"/>
    <col min="10514" max="10753" width="9.140625" style="953"/>
    <col min="10754" max="10754" width="20" style="953" customWidth="1"/>
    <col min="10755" max="10755" width="14.5703125" style="953" customWidth="1"/>
    <col min="10756" max="10756" width="23.42578125" style="953" customWidth="1"/>
    <col min="10757" max="10759" width="12.7109375" style="953" customWidth="1"/>
    <col min="10760" max="10760" width="10.7109375" style="953" customWidth="1"/>
    <col min="10761" max="10761" width="11" style="953" customWidth="1"/>
    <col min="10762" max="10762" width="14.5703125" style="953" customWidth="1"/>
    <col min="10763" max="10764" width="9.140625" style="953"/>
    <col min="10765" max="10765" width="12.7109375" style="953" customWidth="1"/>
    <col min="10766" max="10766" width="18.28515625" style="953" customWidth="1"/>
    <col min="10767" max="10768" width="9.140625" style="953"/>
    <col min="10769" max="10769" width="0" style="953" hidden="1" customWidth="1"/>
    <col min="10770" max="11009" width="9.140625" style="953"/>
    <col min="11010" max="11010" width="20" style="953" customWidth="1"/>
    <col min="11011" max="11011" width="14.5703125" style="953" customWidth="1"/>
    <col min="11012" max="11012" width="23.42578125" style="953" customWidth="1"/>
    <col min="11013" max="11015" width="12.7109375" style="953" customWidth="1"/>
    <col min="11016" max="11016" width="10.7109375" style="953" customWidth="1"/>
    <col min="11017" max="11017" width="11" style="953" customWidth="1"/>
    <col min="11018" max="11018" width="14.5703125" style="953" customWidth="1"/>
    <col min="11019" max="11020" width="9.140625" style="953"/>
    <col min="11021" max="11021" width="12.7109375" style="953" customWidth="1"/>
    <col min="11022" max="11022" width="18.28515625" style="953" customWidth="1"/>
    <col min="11023" max="11024" width="9.140625" style="953"/>
    <col min="11025" max="11025" width="0" style="953" hidden="1" customWidth="1"/>
    <col min="11026" max="11265" width="9.140625" style="953"/>
    <col min="11266" max="11266" width="20" style="953" customWidth="1"/>
    <col min="11267" max="11267" width="14.5703125" style="953" customWidth="1"/>
    <col min="11268" max="11268" width="23.42578125" style="953" customWidth="1"/>
    <col min="11269" max="11271" width="12.7109375" style="953" customWidth="1"/>
    <col min="11272" max="11272" width="10.7109375" style="953" customWidth="1"/>
    <col min="11273" max="11273" width="11" style="953" customWidth="1"/>
    <col min="11274" max="11274" width="14.5703125" style="953" customWidth="1"/>
    <col min="11275" max="11276" width="9.140625" style="953"/>
    <col min="11277" max="11277" width="12.7109375" style="953" customWidth="1"/>
    <col min="11278" max="11278" width="18.28515625" style="953" customWidth="1"/>
    <col min="11279" max="11280" width="9.140625" style="953"/>
    <col min="11281" max="11281" width="0" style="953" hidden="1" customWidth="1"/>
    <col min="11282" max="11521" width="9.140625" style="953"/>
    <col min="11522" max="11522" width="20" style="953" customWidth="1"/>
    <col min="11523" max="11523" width="14.5703125" style="953" customWidth="1"/>
    <col min="11524" max="11524" width="23.42578125" style="953" customWidth="1"/>
    <col min="11525" max="11527" width="12.7109375" style="953" customWidth="1"/>
    <col min="11528" max="11528" width="10.7109375" style="953" customWidth="1"/>
    <col min="11529" max="11529" width="11" style="953" customWidth="1"/>
    <col min="11530" max="11530" width="14.5703125" style="953" customWidth="1"/>
    <col min="11531" max="11532" width="9.140625" style="953"/>
    <col min="11533" max="11533" width="12.7109375" style="953" customWidth="1"/>
    <col min="11534" max="11534" width="18.28515625" style="953" customWidth="1"/>
    <col min="11535" max="11536" width="9.140625" style="953"/>
    <col min="11537" max="11537" width="0" style="953" hidden="1" customWidth="1"/>
    <col min="11538" max="11777" width="9.140625" style="953"/>
    <col min="11778" max="11778" width="20" style="953" customWidth="1"/>
    <col min="11779" max="11779" width="14.5703125" style="953" customWidth="1"/>
    <col min="11780" max="11780" width="23.42578125" style="953" customWidth="1"/>
    <col min="11781" max="11783" width="12.7109375" style="953" customWidth="1"/>
    <col min="11784" max="11784" width="10.7109375" style="953" customWidth="1"/>
    <col min="11785" max="11785" width="11" style="953" customWidth="1"/>
    <col min="11786" max="11786" width="14.5703125" style="953" customWidth="1"/>
    <col min="11787" max="11788" width="9.140625" style="953"/>
    <col min="11789" max="11789" width="12.7109375" style="953" customWidth="1"/>
    <col min="11790" max="11790" width="18.28515625" style="953" customWidth="1"/>
    <col min="11791" max="11792" width="9.140625" style="953"/>
    <col min="11793" max="11793" width="0" style="953" hidden="1" customWidth="1"/>
    <col min="11794" max="12033" width="9.140625" style="953"/>
    <col min="12034" max="12034" width="20" style="953" customWidth="1"/>
    <col min="12035" max="12035" width="14.5703125" style="953" customWidth="1"/>
    <col min="12036" max="12036" width="23.42578125" style="953" customWidth="1"/>
    <col min="12037" max="12039" width="12.7109375" style="953" customWidth="1"/>
    <col min="12040" max="12040" width="10.7109375" style="953" customWidth="1"/>
    <col min="12041" max="12041" width="11" style="953" customWidth="1"/>
    <col min="12042" max="12042" width="14.5703125" style="953" customWidth="1"/>
    <col min="12043" max="12044" width="9.140625" style="953"/>
    <col min="12045" max="12045" width="12.7109375" style="953" customWidth="1"/>
    <col min="12046" max="12046" width="18.28515625" style="953" customWidth="1"/>
    <col min="12047" max="12048" width="9.140625" style="953"/>
    <col min="12049" max="12049" width="0" style="953" hidden="1" customWidth="1"/>
    <col min="12050" max="12289" width="9.140625" style="953"/>
    <col min="12290" max="12290" width="20" style="953" customWidth="1"/>
    <col min="12291" max="12291" width="14.5703125" style="953" customWidth="1"/>
    <col min="12292" max="12292" width="23.42578125" style="953" customWidth="1"/>
    <col min="12293" max="12295" width="12.7109375" style="953" customWidth="1"/>
    <col min="12296" max="12296" width="10.7109375" style="953" customWidth="1"/>
    <col min="12297" max="12297" width="11" style="953" customWidth="1"/>
    <col min="12298" max="12298" width="14.5703125" style="953" customWidth="1"/>
    <col min="12299" max="12300" width="9.140625" style="953"/>
    <col min="12301" max="12301" width="12.7109375" style="953" customWidth="1"/>
    <col min="12302" max="12302" width="18.28515625" style="953" customWidth="1"/>
    <col min="12303" max="12304" width="9.140625" style="953"/>
    <col min="12305" max="12305" width="0" style="953" hidden="1" customWidth="1"/>
    <col min="12306" max="12545" width="9.140625" style="953"/>
    <col min="12546" max="12546" width="20" style="953" customWidth="1"/>
    <col min="12547" max="12547" width="14.5703125" style="953" customWidth="1"/>
    <col min="12548" max="12548" width="23.42578125" style="953" customWidth="1"/>
    <col min="12549" max="12551" width="12.7109375" style="953" customWidth="1"/>
    <col min="12552" max="12552" width="10.7109375" style="953" customWidth="1"/>
    <col min="12553" max="12553" width="11" style="953" customWidth="1"/>
    <col min="12554" max="12554" width="14.5703125" style="953" customWidth="1"/>
    <col min="12555" max="12556" width="9.140625" style="953"/>
    <col min="12557" max="12557" width="12.7109375" style="953" customWidth="1"/>
    <col min="12558" max="12558" width="18.28515625" style="953" customWidth="1"/>
    <col min="12559" max="12560" width="9.140625" style="953"/>
    <col min="12561" max="12561" width="0" style="953" hidden="1" customWidth="1"/>
    <col min="12562" max="12801" width="9.140625" style="953"/>
    <col min="12802" max="12802" width="20" style="953" customWidth="1"/>
    <col min="12803" max="12803" width="14.5703125" style="953" customWidth="1"/>
    <col min="12804" max="12804" width="23.42578125" style="953" customWidth="1"/>
    <col min="12805" max="12807" width="12.7109375" style="953" customWidth="1"/>
    <col min="12808" max="12808" width="10.7109375" style="953" customWidth="1"/>
    <col min="12809" max="12809" width="11" style="953" customWidth="1"/>
    <col min="12810" max="12810" width="14.5703125" style="953" customWidth="1"/>
    <col min="12811" max="12812" width="9.140625" style="953"/>
    <col min="12813" max="12813" width="12.7109375" style="953" customWidth="1"/>
    <col min="12814" max="12814" width="18.28515625" style="953" customWidth="1"/>
    <col min="12815" max="12816" width="9.140625" style="953"/>
    <col min="12817" max="12817" width="0" style="953" hidden="1" customWidth="1"/>
    <col min="12818" max="13057" width="9.140625" style="953"/>
    <col min="13058" max="13058" width="20" style="953" customWidth="1"/>
    <col min="13059" max="13059" width="14.5703125" style="953" customWidth="1"/>
    <col min="13060" max="13060" width="23.42578125" style="953" customWidth="1"/>
    <col min="13061" max="13063" width="12.7109375" style="953" customWidth="1"/>
    <col min="13064" max="13064" width="10.7109375" style="953" customWidth="1"/>
    <col min="13065" max="13065" width="11" style="953" customWidth="1"/>
    <col min="13066" max="13066" width="14.5703125" style="953" customWidth="1"/>
    <col min="13067" max="13068" width="9.140625" style="953"/>
    <col min="13069" max="13069" width="12.7109375" style="953" customWidth="1"/>
    <col min="13070" max="13070" width="18.28515625" style="953" customWidth="1"/>
    <col min="13071" max="13072" width="9.140625" style="953"/>
    <col min="13073" max="13073" width="0" style="953" hidden="1" customWidth="1"/>
    <col min="13074" max="13313" width="9.140625" style="953"/>
    <col min="13314" max="13314" width="20" style="953" customWidth="1"/>
    <col min="13315" max="13315" width="14.5703125" style="953" customWidth="1"/>
    <col min="13316" max="13316" width="23.42578125" style="953" customWidth="1"/>
    <col min="13317" max="13319" width="12.7109375" style="953" customWidth="1"/>
    <col min="13320" max="13320" width="10.7109375" style="953" customWidth="1"/>
    <col min="13321" max="13321" width="11" style="953" customWidth="1"/>
    <col min="13322" max="13322" width="14.5703125" style="953" customWidth="1"/>
    <col min="13323" max="13324" width="9.140625" style="953"/>
    <col min="13325" max="13325" width="12.7109375" style="953" customWidth="1"/>
    <col min="13326" max="13326" width="18.28515625" style="953" customWidth="1"/>
    <col min="13327" max="13328" width="9.140625" style="953"/>
    <col min="13329" max="13329" width="0" style="953" hidden="1" customWidth="1"/>
    <col min="13330" max="13569" width="9.140625" style="953"/>
    <col min="13570" max="13570" width="20" style="953" customWidth="1"/>
    <col min="13571" max="13571" width="14.5703125" style="953" customWidth="1"/>
    <col min="13572" max="13572" width="23.42578125" style="953" customWidth="1"/>
    <col min="13573" max="13575" width="12.7109375" style="953" customWidth="1"/>
    <col min="13576" max="13576" width="10.7109375" style="953" customWidth="1"/>
    <col min="13577" max="13577" width="11" style="953" customWidth="1"/>
    <col min="13578" max="13578" width="14.5703125" style="953" customWidth="1"/>
    <col min="13579" max="13580" width="9.140625" style="953"/>
    <col min="13581" max="13581" width="12.7109375" style="953" customWidth="1"/>
    <col min="13582" max="13582" width="18.28515625" style="953" customWidth="1"/>
    <col min="13583" max="13584" width="9.140625" style="953"/>
    <col min="13585" max="13585" width="0" style="953" hidden="1" customWidth="1"/>
    <col min="13586" max="13825" width="9.140625" style="953"/>
    <col min="13826" max="13826" width="20" style="953" customWidth="1"/>
    <col min="13827" max="13827" width="14.5703125" style="953" customWidth="1"/>
    <col min="13828" max="13828" width="23.42578125" style="953" customWidth="1"/>
    <col min="13829" max="13831" width="12.7109375" style="953" customWidth="1"/>
    <col min="13832" max="13832" width="10.7109375" style="953" customWidth="1"/>
    <col min="13833" max="13833" width="11" style="953" customWidth="1"/>
    <col min="13834" max="13834" width="14.5703125" style="953" customWidth="1"/>
    <col min="13835" max="13836" width="9.140625" style="953"/>
    <col min="13837" max="13837" width="12.7109375" style="953" customWidth="1"/>
    <col min="13838" max="13838" width="18.28515625" style="953" customWidth="1"/>
    <col min="13839" max="13840" width="9.140625" style="953"/>
    <col min="13841" max="13841" width="0" style="953" hidden="1" customWidth="1"/>
    <col min="13842" max="14081" width="9.140625" style="953"/>
    <col min="14082" max="14082" width="20" style="953" customWidth="1"/>
    <col min="14083" max="14083" width="14.5703125" style="953" customWidth="1"/>
    <col min="14084" max="14084" width="23.42578125" style="953" customWidth="1"/>
    <col min="14085" max="14087" width="12.7109375" style="953" customWidth="1"/>
    <col min="14088" max="14088" width="10.7109375" style="953" customWidth="1"/>
    <col min="14089" max="14089" width="11" style="953" customWidth="1"/>
    <col min="14090" max="14090" width="14.5703125" style="953" customWidth="1"/>
    <col min="14091" max="14092" width="9.140625" style="953"/>
    <col min="14093" max="14093" width="12.7109375" style="953" customWidth="1"/>
    <col min="14094" max="14094" width="18.28515625" style="953" customWidth="1"/>
    <col min="14095" max="14096" width="9.140625" style="953"/>
    <col min="14097" max="14097" width="0" style="953" hidden="1" customWidth="1"/>
    <col min="14098" max="14337" width="9.140625" style="953"/>
    <col min="14338" max="14338" width="20" style="953" customWidth="1"/>
    <col min="14339" max="14339" width="14.5703125" style="953" customWidth="1"/>
    <col min="14340" max="14340" width="23.42578125" style="953" customWidth="1"/>
    <col min="14341" max="14343" width="12.7109375" style="953" customWidth="1"/>
    <col min="14344" max="14344" width="10.7109375" style="953" customWidth="1"/>
    <col min="14345" max="14345" width="11" style="953" customWidth="1"/>
    <col min="14346" max="14346" width="14.5703125" style="953" customWidth="1"/>
    <col min="14347" max="14348" width="9.140625" style="953"/>
    <col min="14349" max="14349" width="12.7109375" style="953" customWidth="1"/>
    <col min="14350" max="14350" width="18.28515625" style="953" customWidth="1"/>
    <col min="14351" max="14352" width="9.140625" style="953"/>
    <col min="14353" max="14353" width="0" style="953" hidden="1" customWidth="1"/>
    <col min="14354" max="14593" width="9.140625" style="953"/>
    <col min="14594" max="14594" width="20" style="953" customWidth="1"/>
    <col min="14595" max="14595" width="14.5703125" style="953" customWidth="1"/>
    <col min="14596" max="14596" width="23.42578125" style="953" customWidth="1"/>
    <col min="14597" max="14599" width="12.7109375" style="953" customWidth="1"/>
    <col min="14600" max="14600" width="10.7109375" style="953" customWidth="1"/>
    <col min="14601" max="14601" width="11" style="953" customWidth="1"/>
    <col min="14602" max="14602" width="14.5703125" style="953" customWidth="1"/>
    <col min="14603" max="14604" width="9.140625" style="953"/>
    <col min="14605" max="14605" width="12.7109375" style="953" customWidth="1"/>
    <col min="14606" max="14606" width="18.28515625" style="953" customWidth="1"/>
    <col min="14607" max="14608" width="9.140625" style="953"/>
    <col min="14609" max="14609" width="0" style="953" hidden="1" customWidth="1"/>
    <col min="14610" max="14849" width="9.140625" style="953"/>
    <col min="14850" max="14850" width="20" style="953" customWidth="1"/>
    <col min="14851" max="14851" width="14.5703125" style="953" customWidth="1"/>
    <col min="14852" max="14852" width="23.42578125" style="953" customWidth="1"/>
    <col min="14853" max="14855" width="12.7109375" style="953" customWidth="1"/>
    <col min="14856" max="14856" width="10.7109375" style="953" customWidth="1"/>
    <col min="14857" max="14857" width="11" style="953" customWidth="1"/>
    <col min="14858" max="14858" width="14.5703125" style="953" customWidth="1"/>
    <col min="14859" max="14860" width="9.140625" style="953"/>
    <col min="14861" max="14861" width="12.7109375" style="953" customWidth="1"/>
    <col min="14862" max="14862" width="18.28515625" style="953" customWidth="1"/>
    <col min="14863" max="14864" width="9.140625" style="953"/>
    <col min="14865" max="14865" width="0" style="953" hidden="1" customWidth="1"/>
    <col min="14866" max="15105" width="9.140625" style="953"/>
    <col min="15106" max="15106" width="20" style="953" customWidth="1"/>
    <col min="15107" max="15107" width="14.5703125" style="953" customWidth="1"/>
    <col min="15108" max="15108" width="23.42578125" style="953" customWidth="1"/>
    <col min="15109" max="15111" width="12.7109375" style="953" customWidth="1"/>
    <col min="15112" max="15112" width="10.7109375" style="953" customWidth="1"/>
    <col min="15113" max="15113" width="11" style="953" customWidth="1"/>
    <col min="15114" max="15114" width="14.5703125" style="953" customWidth="1"/>
    <col min="15115" max="15116" width="9.140625" style="953"/>
    <col min="15117" max="15117" width="12.7109375" style="953" customWidth="1"/>
    <col min="15118" max="15118" width="18.28515625" style="953" customWidth="1"/>
    <col min="15119" max="15120" width="9.140625" style="953"/>
    <col min="15121" max="15121" width="0" style="953" hidden="1" customWidth="1"/>
    <col min="15122" max="15361" width="9.140625" style="953"/>
    <col min="15362" max="15362" width="20" style="953" customWidth="1"/>
    <col min="15363" max="15363" width="14.5703125" style="953" customWidth="1"/>
    <col min="15364" max="15364" width="23.42578125" style="953" customWidth="1"/>
    <col min="15365" max="15367" width="12.7109375" style="953" customWidth="1"/>
    <col min="15368" max="15368" width="10.7109375" style="953" customWidth="1"/>
    <col min="15369" max="15369" width="11" style="953" customWidth="1"/>
    <col min="15370" max="15370" width="14.5703125" style="953" customWidth="1"/>
    <col min="15371" max="15372" width="9.140625" style="953"/>
    <col min="15373" max="15373" width="12.7109375" style="953" customWidth="1"/>
    <col min="15374" max="15374" width="18.28515625" style="953" customWidth="1"/>
    <col min="15375" max="15376" width="9.140625" style="953"/>
    <col min="15377" max="15377" width="0" style="953" hidden="1" customWidth="1"/>
    <col min="15378" max="15617" width="9.140625" style="953"/>
    <col min="15618" max="15618" width="20" style="953" customWidth="1"/>
    <col min="15619" max="15619" width="14.5703125" style="953" customWidth="1"/>
    <col min="15620" max="15620" width="23.42578125" style="953" customWidth="1"/>
    <col min="15621" max="15623" width="12.7109375" style="953" customWidth="1"/>
    <col min="15624" max="15624" width="10.7109375" style="953" customWidth="1"/>
    <col min="15625" max="15625" width="11" style="953" customWidth="1"/>
    <col min="15626" max="15626" width="14.5703125" style="953" customWidth="1"/>
    <col min="15627" max="15628" width="9.140625" style="953"/>
    <col min="15629" max="15629" width="12.7109375" style="953" customWidth="1"/>
    <col min="15630" max="15630" width="18.28515625" style="953" customWidth="1"/>
    <col min="15631" max="15632" width="9.140625" style="953"/>
    <col min="15633" max="15633" width="0" style="953" hidden="1" customWidth="1"/>
    <col min="15634" max="15873" width="9.140625" style="953"/>
    <col min="15874" max="15874" width="20" style="953" customWidth="1"/>
    <col min="15875" max="15875" width="14.5703125" style="953" customWidth="1"/>
    <col min="15876" max="15876" width="23.42578125" style="953" customWidth="1"/>
    <col min="15877" max="15879" width="12.7109375" style="953" customWidth="1"/>
    <col min="15880" max="15880" width="10.7109375" style="953" customWidth="1"/>
    <col min="15881" max="15881" width="11" style="953" customWidth="1"/>
    <col min="15882" max="15882" width="14.5703125" style="953" customWidth="1"/>
    <col min="15883" max="15884" width="9.140625" style="953"/>
    <col min="15885" max="15885" width="12.7109375" style="953" customWidth="1"/>
    <col min="15886" max="15886" width="18.28515625" style="953" customWidth="1"/>
    <col min="15887" max="15888" width="9.140625" style="953"/>
    <col min="15889" max="15889" width="0" style="953" hidden="1" customWidth="1"/>
    <col min="15890" max="16129" width="9.140625" style="953"/>
    <col min="16130" max="16130" width="20" style="953" customWidth="1"/>
    <col min="16131" max="16131" width="14.5703125" style="953" customWidth="1"/>
    <col min="16132" max="16132" width="23.42578125" style="953" customWidth="1"/>
    <col min="16133" max="16135" width="12.7109375" style="953" customWidth="1"/>
    <col min="16136" max="16136" width="10.7109375" style="953" customWidth="1"/>
    <col min="16137" max="16137" width="11" style="953" customWidth="1"/>
    <col min="16138" max="16138" width="14.5703125" style="953" customWidth="1"/>
    <col min="16139" max="16140" width="9.140625" style="953"/>
    <col min="16141" max="16141" width="12.7109375" style="953" customWidth="1"/>
    <col min="16142" max="16142" width="18.28515625" style="953" customWidth="1"/>
    <col min="16143" max="16144" width="9.140625" style="953"/>
    <col min="16145" max="16145" width="0" style="953" hidden="1" customWidth="1"/>
    <col min="16146" max="16384" width="9.140625" style="953"/>
  </cols>
  <sheetData>
    <row r="1" spans="1:67" ht="26.25" customHeight="1">
      <c r="A1" s="1437" t="s">
        <v>1597</v>
      </c>
      <c r="B1" s="1438" t="s">
        <v>1598</v>
      </c>
      <c r="C1" s="1439"/>
      <c r="D1" s="1439"/>
      <c r="E1" s="1439"/>
      <c r="F1" s="1441"/>
      <c r="G1" s="1439"/>
      <c r="H1" s="1439"/>
      <c r="I1" s="1439"/>
      <c r="J1" s="1439"/>
    </row>
    <row r="2" spans="1:67" ht="26.25" customHeight="1">
      <c r="B2" s="1438" t="s">
        <v>1599</v>
      </c>
      <c r="C2" s="1439"/>
      <c r="D2" s="1439"/>
      <c r="E2" s="1439"/>
      <c r="F2" s="1441"/>
      <c r="G2" s="1439"/>
      <c r="H2" s="1439"/>
      <c r="I2" s="1439"/>
      <c r="J2" s="1439"/>
    </row>
    <row r="3" spans="1:67" ht="26.25" customHeight="1">
      <c r="B3" s="1440" t="s">
        <v>409</v>
      </c>
      <c r="C3" s="1440">
        <f>'Project Info'!$C$3</f>
        <v>0</v>
      </c>
      <c r="D3" s="1440"/>
      <c r="E3" s="1439"/>
      <c r="F3" s="1441"/>
      <c r="G3" s="1439"/>
      <c r="H3" s="1439"/>
      <c r="I3" s="1439"/>
      <c r="J3" s="1439"/>
    </row>
    <row r="4" spans="1:67" ht="26.25" customHeight="1">
      <c r="A4" s="1469"/>
      <c r="B4" s="1439"/>
      <c r="C4" s="1439"/>
      <c r="D4" s="1439"/>
      <c r="E4" s="1439"/>
      <c r="F4" s="1439"/>
      <c r="G4" s="1439"/>
      <c r="H4" s="1439"/>
      <c r="I4" s="1439"/>
      <c r="J4" s="1470"/>
      <c r="K4" s="1439"/>
      <c r="L4" s="1449"/>
      <c r="M4" s="1449"/>
      <c r="N4" s="1449"/>
    </row>
    <row r="5" spans="1:67" s="1543" customFormat="1" ht="15.75">
      <c r="A5" s="1442"/>
      <c r="B5" s="1443" t="s">
        <v>1827</v>
      </c>
      <c r="C5" s="1444"/>
      <c r="D5" s="1444"/>
      <c r="E5" s="1586"/>
      <c r="F5" s="1586"/>
      <c r="G5" s="1587"/>
      <c r="H5" s="1542"/>
      <c r="I5" s="1542"/>
      <c r="J5" s="1446"/>
      <c r="K5" s="1446"/>
      <c r="L5" s="1446"/>
      <c r="M5" s="1447" t="s">
        <v>1601</v>
      </c>
      <c r="N5" s="1447" t="s">
        <v>1602</v>
      </c>
      <c r="O5" s="1475"/>
      <c r="P5" s="1475"/>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c r="BO5" s="1475"/>
    </row>
    <row r="6" spans="1:67" s="1520" customFormat="1">
      <c r="B6" s="1450"/>
      <c r="C6" s="1450"/>
      <c r="D6" s="1450"/>
      <c r="E6" s="1450"/>
      <c r="F6" s="1450"/>
      <c r="G6" s="1450"/>
      <c r="H6" s="1450"/>
      <c r="I6" s="1450"/>
      <c r="J6" s="1452"/>
      <c r="K6" s="1449"/>
      <c r="L6" s="1450"/>
      <c r="M6" s="1265" t="s">
        <v>1603</v>
      </c>
      <c r="N6" s="1280"/>
    </row>
    <row r="7" spans="1:67" s="1520" customFormat="1">
      <c r="B7" s="1545" t="s">
        <v>1604</v>
      </c>
      <c r="C7" s="1545"/>
      <c r="D7" s="1545"/>
      <c r="E7" s="1545"/>
      <c r="F7" s="1545"/>
      <c r="G7" s="1545"/>
      <c r="H7" s="1450"/>
      <c r="I7" s="1450"/>
      <c r="J7" s="1452"/>
      <c r="K7" s="1449"/>
      <c r="L7" s="1450"/>
      <c r="M7" s="1258"/>
      <c r="N7" s="1259"/>
    </row>
    <row r="8" spans="1:67" s="1520" customFormat="1">
      <c r="B8" s="1544" t="s">
        <v>1828</v>
      </c>
      <c r="C8" s="1450"/>
      <c r="D8" s="1450"/>
      <c r="E8" s="1450"/>
      <c r="F8" s="1450"/>
      <c r="G8" s="1450"/>
      <c r="H8" s="1450"/>
      <c r="I8" s="1450"/>
      <c r="J8" s="1452"/>
      <c r="K8" s="1449"/>
      <c r="L8" s="1450"/>
      <c r="M8" s="1258"/>
      <c r="N8" s="1259"/>
    </row>
    <row r="9" spans="1:67">
      <c r="A9" s="1457"/>
      <c r="B9" s="1449"/>
      <c r="C9" s="1449"/>
      <c r="D9" s="1449"/>
      <c r="E9" s="1449"/>
      <c r="F9" s="1449"/>
      <c r="G9" s="1439"/>
      <c r="H9" s="1439"/>
      <c r="N9" s="1340"/>
    </row>
    <row r="10" spans="1:67">
      <c r="A10" s="1457"/>
      <c r="B10" s="1582" t="s">
        <v>1607</v>
      </c>
      <c r="C10" s="1449"/>
      <c r="D10" s="1449"/>
      <c r="E10" s="1449"/>
      <c r="F10" s="1449"/>
      <c r="G10" s="1439"/>
      <c r="H10" s="1439"/>
      <c r="N10" s="1340"/>
    </row>
    <row r="11" spans="1:67">
      <c r="A11" s="1457"/>
      <c r="B11" s="1449" t="s">
        <v>1608</v>
      </c>
      <c r="C11" s="1449"/>
      <c r="D11" s="1449"/>
      <c r="E11" s="1449"/>
      <c r="F11" s="1588"/>
      <c r="G11" s="1439"/>
      <c r="H11" s="1439"/>
      <c r="N11" s="1449"/>
    </row>
    <row r="12" spans="1:67">
      <c r="A12" s="1457"/>
      <c r="B12" s="1455" t="s">
        <v>1674</v>
      </c>
      <c r="C12" s="1449"/>
      <c r="D12" s="1449"/>
      <c r="E12" s="1449"/>
      <c r="F12" s="1449"/>
      <c r="G12" s="1439"/>
      <c r="H12" s="1439"/>
      <c r="N12" s="1449"/>
    </row>
    <row r="13" spans="1:67">
      <c r="A13" s="1457"/>
      <c r="B13" s="1449" t="s">
        <v>1610</v>
      </c>
      <c r="C13" s="1449"/>
      <c r="D13" s="1449"/>
      <c r="E13" s="1449"/>
      <c r="F13" s="1589"/>
      <c r="G13" s="1439"/>
      <c r="H13" s="1439"/>
      <c r="N13" s="1449"/>
    </row>
    <row r="14" spans="1:67">
      <c r="A14" s="1457"/>
      <c r="B14" s="1449" t="s">
        <v>1829</v>
      </c>
      <c r="C14" s="1449"/>
      <c r="D14" s="1449"/>
      <c r="E14" s="1449"/>
      <c r="F14" s="1449"/>
      <c r="G14" s="1439"/>
      <c r="H14" s="1439"/>
      <c r="N14" s="1449"/>
    </row>
    <row r="15" spans="1:67">
      <c r="A15" s="1457"/>
      <c r="B15" s="1449" t="s">
        <v>1830</v>
      </c>
      <c r="C15" s="1449"/>
      <c r="D15" s="1449"/>
      <c r="E15" s="1449"/>
      <c r="F15" s="1449"/>
      <c r="G15" s="1439"/>
      <c r="H15" s="1439"/>
      <c r="N15" s="1449"/>
    </row>
    <row r="16" spans="1:67">
      <c r="A16" s="1457"/>
      <c r="B16" s="1449" t="s">
        <v>1831</v>
      </c>
      <c r="C16" s="1449"/>
      <c r="D16" s="1449"/>
      <c r="E16" s="1449"/>
      <c r="F16" s="1449"/>
      <c r="G16" s="1439"/>
      <c r="H16" s="1439"/>
      <c r="N16" s="1449"/>
    </row>
    <row r="17" spans="1:17">
      <c r="A17" s="1457"/>
      <c r="B17" s="1449"/>
      <c r="C17" s="1449"/>
      <c r="D17" s="1449"/>
      <c r="E17" s="1449"/>
      <c r="F17" s="1449"/>
      <c r="G17" s="1439"/>
      <c r="H17" s="1439"/>
      <c r="N17" s="1449"/>
    </row>
    <row r="18" spans="1:17">
      <c r="A18" s="1457"/>
      <c r="B18" s="1454" t="s">
        <v>1611</v>
      </c>
      <c r="C18" s="1449"/>
      <c r="D18" s="1449"/>
      <c r="E18" s="1449"/>
      <c r="F18" s="1449"/>
      <c r="G18" s="1449"/>
      <c r="H18" s="1449"/>
      <c r="N18" s="1449"/>
    </row>
    <row r="19" spans="1:17">
      <c r="A19" s="1457"/>
      <c r="B19" s="1455" t="s">
        <v>1832</v>
      </c>
      <c r="C19" s="1449"/>
      <c r="D19" s="1449"/>
      <c r="E19" s="1449"/>
      <c r="F19" s="1449"/>
      <c r="G19" s="1449"/>
      <c r="H19" s="1449"/>
      <c r="I19" s="1449"/>
      <c r="J19" s="1449"/>
      <c r="K19" s="1449"/>
      <c r="L19" s="1449"/>
      <c r="M19" s="1449"/>
      <c r="N19" s="1449"/>
    </row>
    <row r="20" spans="1:17" ht="39.75" customHeight="1">
      <c r="A20" s="1457"/>
      <c r="B20" s="2584" t="s">
        <v>1833</v>
      </c>
      <c r="C20" s="2584"/>
      <c r="D20" s="2584"/>
      <c r="E20" s="2584"/>
      <c r="F20" s="2584"/>
      <c r="G20" s="2584"/>
      <c r="H20" s="2584"/>
      <c r="I20" s="2584"/>
      <c r="J20" s="2584"/>
      <c r="K20" s="1449"/>
      <c r="L20" s="1449"/>
      <c r="M20" s="1449"/>
      <c r="N20" s="1449"/>
    </row>
    <row r="21" spans="1:17">
      <c r="A21" s="1457"/>
      <c r="B21" s="1582" t="s">
        <v>1614</v>
      </c>
      <c r="C21" s="1449"/>
      <c r="D21" s="1449"/>
      <c r="E21" s="1449"/>
      <c r="F21" s="1449"/>
      <c r="G21" s="1449"/>
      <c r="H21" s="1449"/>
      <c r="I21" s="1449"/>
      <c r="J21" s="1449"/>
      <c r="K21" s="1449"/>
      <c r="L21" s="1449"/>
      <c r="M21" s="1449"/>
      <c r="N21" s="1449"/>
      <c r="O21" s="1449"/>
      <c r="P21" s="1449"/>
      <c r="Q21" s="1457"/>
    </row>
    <row r="22" spans="1:17" ht="26.25" customHeight="1">
      <c r="A22" s="1457"/>
      <c r="B22" s="2694" t="s">
        <v>1834</v>
      </c>
      <c r="C22" s="2694"/>
      <c r="D22" s="2694"/>
      <c r="E22" s="2694"/>
      <c r="F22" s="2694"/>
      <c r="G22" s="2694"/>
      <c r="H22" s="2694"/>
      <c r="I22" s="2694"/>
      <c r="J22" s="2694"/>
      <c r="K22" s="1449"/>
      <c r="L22" s="1449"/>
      <c r="M22" s="1449"/>
      <c r="N22" s="1449"/>
      <c r="O22" s="1449"/>
      <c r="P22" s="1449"/>
      <c r="Q22" s="1457"/>
    </row>
    <row r="23" spans="1:17">
      <c r="A23" s="1457"/>
      <c r="B23" s="1581"/>
      <c r="C23" s="1449"/>
      <c r="D23" s="1449"/>
      <c r="E23" s="1449"/>
      <c r="F23" s="1449"/>
      <c r="G23" s="1449"/>
      <c r="H23" s="1449"/>
      <c r="I23" s="1449"/>
      <c r="J23" s="1449"/>
      <c r="K23" s="1449"/>
      <c r="L23" s="1449"/>
      <c r="M23" s="1449"/>
      <c r="N23" s="1449"/>
    </row>
    <row r="24" spans="1:17" ht="83.25" customHeight="1">
      <c r="B24" s="1590" t="s">
        <v>1617</v>
      </c>
      <c r="C24" s="1590"/>
      <c r="D24" s="1463"/>
      <c r="E24" s="1463"/>
      <c r="F24" s="1459"/>
      <c r="G24" s="2572" t="s">
        <v>1626</v>
      </c>
      <c r="H24" s="2572"/>
      <c r="I24" s="2572"/>
      <c r="J24" s="1463" t="s">
        <v>1703</v>
      </c>
      <c r="K24" s="1465" t="s">
        <v>1628</v>
      </c>
    </row>
    <row r="25" spans="1:17" ht="108" customHeight="1">
      <c r="A25" s="1321"/>
      <c r="B25" s="2575" t="s">
        <v>1835</v>
      </c>
      <c r="C25" s="2589"/>
      <c r="D25" s="2589"/>
      <c r="E25" s="2589"/>
      <c r="F25" s="2647"/>
      <c r="G25" s="2590"/>
      <c r="H25" s="2707"/>
      <c r="I25" s="2707"/>
      <c r="J25" s="1263"/>
      <c r="K25" s="1151"/>
    </row>
    <row r="26" spans="1:17" ht="73.5" customHeight="1">
      <c r="B26" s="1477" t="s">
        <v>1651</v>
      </c>
      <c r="C26" s="1478" t="s">
        <v>1836</v>
      </c>
      <c r="D26" s="1478" t="s">
        <v>1811</v>
      </c>
      <c r="E26" s="1478" t="s">
        <v>1837</v>
      </c>
      <c r="F26" s="1477" t="s">
        <v>1838</v>
      </c>
      <c r="G26" s="1477" t="s">
        <v>1839</v>
      </c>
      <c r="H26" s="1477" t="s">
        <v>1840</v>
      </c>
      <c r="I26" s="1478" t="s">
        <v>1841</v>
      </c>
      <c r="J26" s="1463" t="s">
        <v>1703</v>
      </c>
      <c r="K26" s="1465" t="s">
        <v>1628</v>
      </c>
      <c r="L26" s="1465" t="s">
        <v>1629</v>
      </c>
      <c r="M26" s="2708" t="s">
        <v>1842</v>
      </c>
      <c r="N26" s="2708"/>
    </row>
    <row r="27" spans="1:17">
      <c r="B27" s="1113"/>
      <c r="C27" s="1113"/>
      <c r="D27" s="1113"/>
      <c r="E27" s="1113"/>
      <c r="F27" s="1113"/>
      <c r="G27" s="1113"/>
      <c r="H27" s="1113"/>
      <c r="I27" s="1113"/>
      <c r="J27" s="1113"/>
      <c r="K27" s="1274"/>
      <c r="L27" s="1269"/>
      <c r="M27" s="2709"/>
      <c r="N27" s="2709"/>
    </row>
    <row r="28" spans="1:17">
      <c r="B28" s="1113"/>
      <c r="C28" s="1113"/>
      <c r="D28" s="1113"/>
      <c r="E28" s="1113"/>
      <c r="F28" s="1113"/>
      <c r="G28" s="1113"/>
      <c r="H28" s="1113"/>
      <c r="I28" s="1113"/>
      <c r="J28" s="1113"/>
      <c r="K28" s="1274"/>
      <c r="L28" s="1269"/>
      <c r="M28" s="2709"/>
      <c r="N28" s="2709"/>
    </row>
    <row r="29" spans="1:17">
      <c r="B29" s="1113"/>
      <c r="C29" s="1113"/>
      <c r="D29" s="1113"/>
      <c r="E29" s="1113"/>
      <c r="F29" s="1113"/>
      <c r="G29" s="1113"/>
      <c r="H29" s="1113"/>
      <c r="I29" s="1113"/>
      <c r="J29" s="1113"/>
      <c r="K29" s="1274"/>
      <c r="L29" s="1269"/>
      <c r="M29" s="2709"/>
      <c r="N29" s="2709"/>
    </row>
    <row r="30" spans="1:17">
      <c r="B30" s="1113"/>
      <c r="C30" s="1113"/>
      <c r="D30" s="1113"/>
      <c r="E30" s="1113"/>
      <c r="F30" s="1113"/>
      <c r="G30" s="1113"/>
      <c r="H30" s="1113"/>
      <c r="I30" s="1113"/>
      <c r="J30" s="1113"/>
      <c r="K30" s="1274"/>
      <c r="L30" s="1269"/>
      <c r="M30" s="2709"/>
      <c r="N30" s="2709"/>
    </row>
    <row r="31" spans="1:17">
      <c r="B31" s="1113"/>
      <c r="C31" s="1113"/>
      <c r="D31" s="1113"/>
      <c r="E31" s="1113"/>
      <c r="F31" s="1113"/>
      <c r="G31" s="1113"/>
      <c r="H31" s="1113"/>
      <c r="I31" s="1113"/>
      <c r="J31" s="1113"/>
      <c r="K31" s="1274"/>
      <c r="L31" s="1269"/>
      <c r="M31" s="2709"/>
      <c r="N31" s="2709"/>
    </row>
    <row r="32" spans="1:17" ht="73.5" customHeight="1">
      <c r="A32" s="1457"/>
      <c r="B32" s="2639" t="s">
        <v>1619</v>
      </c>
      <c r="C32" s="2639"/>
      <c r="D32" s="2639"/>
      <c r="E32" s="2639" t="s">
        <v>1714</v>
      </c>
      <c r="F32" s="2639"/>
      <c r="G32" s="2704" t="s">
        <v>1843</v>
      </c>
      <c r="H32" s="2704"/>
      <c r="I32" s="2704"/>
      <c r="J32" s="1459" t="s">
        <v>1703</v>
      </c>
      <c r="K32" s="1465" t="s">
        <v>1628</v>
      </c>
      <c r="L32" s="1465" t="s">
        <v>1629</v>
      </c>
      <c r="M32" s="2705" t="s">
        <v>1842</v>
      </c>
      <c r="N32" s="2705"/>
      <c r="O32" s="1449"/>
      <c r="P32" s="1449"/>
      <c r="Q32" s="1449"/>
    </row>
    <row r="33" spans="1:17" ht="123" customHeight="1">
      <c r="A33" s="1457"/>
      <c r="B33" s="2698" t="str">
        <f>'Mod Prescriptive Path Checklist'!C27</f>
        <v>Assembly U-value determinations must follow ASHRAE 90.1-2007, Appendix A.
See Tables 2 and 3 for climate specific envelope requirements for the following components: roof insulation; above grade and below grade wall insulation; floor and slab insulation; exterior doors; and vertical glazing.</v>
      </c>
      <c r="C33" s="2699"/>
      <c r="D33" s="2700"/>
      <c r="E33" s="2595">
        <f>ERMs!C30</f>
        <v>0</v>
      </c>
      <c r="F33" s="2638"/>
      <c r="G33" s="2701"/>
      <c r="H33" s="2702"/>
      <c r="I33" s="2703"/>
      <c r="J33" s="1284"/>
      <c r="K33" s="1253"/>
      <c r="L33" s="1134"/>
      <c r="M33" s="2697"/>
      <c r="N33" s="2697"/>
      <c r="O33" s="1449"/>
      <c r="P33" s="1449"/>
      <c r="Q33" s="1449"/>
    </row>
    <row r="34" spans="1:17" ht="75.75" customHeight="1">
      <c r="B34" s="2663" t="s">
        <v>1633</v>
      </c>
      <c r="C34" s="2663"/>
      <c r="D34" s="1459" t="s">
        <v>1619</v>
      </c>
      <c r="E34" s="2663" t="s">
        <v>1714</v>
      </c>
      <c r="F34" s="2663"/>
      <c r="G34" s="2704" t="s">
        <v>1626</v>
      </c>
      <c r="H34" s="2704"/>
      <c r="I34" s="2704"/>
      <c r="J34" s="1463" t="s">
        <v>1703</v>
      </c>
      <c r="K34" s="1465" t="s">
        <v>1628</v>
      </c>
      <c r="L34" s="1465" t="s">
        <v>1629</v>
      </c>
      <c r="M34" s="2705" t="s">
        <v>1842</v>
      </c>
      <c r="N34" s="2705"/>
    </row>
    <row r="35" spans="1:17" ht="39.75" customHeight="1">
      <c r="A35" s="1321"/>
      <c r="B35" s="2611" t="s">
        <v>1844</v>
      </c>
      <c r="C35" s="2640"/>
      <c r="D35" s="2640"/>
      <c r="E35" s="2640"/>
      <c r="F35" s="2706"/>
      <c r="G35" s="2590"/>
      <c r="H35" s="2590"/>
      <c r="I35" s="2590"/>
      <c r="J35" s="1152"/>
      <c r="K35" s="1153"/>
      <c r="L35" s="1278"/>
      <c r="M35" s="2697"/>
      <c r="N35" s="2697"/>
      <c r="Q35" s="1439"/>
    </row>
    <row r="36" spans="1:17" ht="26.25" customHeight="1">
      <c r="B36" s="2680" t="s">
        <v>1845</v>
      </c>
      <c r="C36" s="2681"/>
      <c r="D36" s="2681"/>
      <c r="E36" s="2681"/>
      <c r="F36" s="2681"/>
      <c r="G36" s="2681"/>
      <c r="H36" s="2681"/>
      <c r="I36" s="2681"/>
      <c r="J36" s="2681"/>
      <c r="K36" s="2681"/>
      <c r="L36" s="1278"/>
      <c r="M36" s="2697"/>
      <c r="N36" s="2697"/>
    </row>
    <row r="37" spans="1:17" ht="28.5" customHeight="1">
      <c r="B37" s="2680" t="s">
        <v>1846</v>
      </c>
      <c r="C37" s="2681"/>
      <c r="D37" s="2681"/>
      <c r="E37" s="2681"/>
      <c r="F37" s="2681"/>
      <c r="G37" s="2681"/>
      <c r="H37" s="2681"/>
      <c r="I37" s="2681"/>
      <c r="J37" s="2681"/>
      <c r="K37" s="2681"/>
      <c r="L37" s="1278"/>
      <c r="M37" s="2697"/>
      <c r="N37" s="2697"/>
    </row>
    <row r="38" spans="1:17" ht="64.5" customHeight="1">
      <c r="A38" s="1321"/>
      <c r="B38" s="2680" t="s">
        <v>1847</v>
      </c>
      <c r="C38" s="2681"/>
      <c r="D38" s="2681"/>
      <c r="E38" s="2681"/>
      <c r="F38" s="2681"/>
      <c r="G38" s="2681"/>
      <c r="H38" s="2681"/>
      <c r="I38" s="2681"/>
      <c r="J38" s="2681"/>
      <c r="K38" s="2681"/>
      <c r="L38" s="1278"/>
      <c r="M38" s="2697"/>
      <c r="N38" s="2697"/>
    </row>
    <row r="39" spans="1:17" ht="29.25" customHeight="1">
      <c r="B39" s="2680" t="s">
        <v>1848</v>
      </c>
      <c r="C39" s="2681"/>
      <c r="D39" s="2681"/>
      <c r="E39" s="2681"/>
      <c r="F39" s="2681"/>
      <c r="G39" s="2681"/>
      <c r="H39" s="2681"/>
      <c r="I39" s="2681"/>
      <c r="J39" s="2681"/>
      <c r="K39" s="2681"/>
      <c r="L39" s="1278"/>
      <c r="M39" s="2697"/>
      <c r="N39" s="2697"/>
    </row>
    <row r="40" spans="1:17" ht="54" customHeight="1">
      <c r="B40" s="2680" t="s">
        <v>1826</v>
      </c>
      <c r="C40" s="2681"/>
      <c r="D40" s="2681"/>
      <c r="E40" s="2681"/>
      <c r="F40" s="2681"/>
      <c r="G40" s="2681"/>
      <c r="H40" s="2681"/>
      <c r="I40" s="2681"/>
      <c r="J40" s="2681"/>
      <c r="K40" s="2681"/>
      <c r="L40" s="1278"/>
      <c r="M40" s="2697"/>
      <c r="N40" s="2697"/>
    </row>
    <row r="41" spans="1:17">
      <c r="B41" s="1439"/>
      <c r="C41" s="1439"/>
      <c r="D41" s="1439"/>
      <c r="E41" s="1439"/>
      <c r="F41" s="1439"/>
      <c r="G41" s="1439"/>
      <c r="H41" s="1439"/>
      <c r="I41" s="1439"/>
      <c r="J41" s="1439"/>
      <c r="K41" s="1439"/>
      <c r="L41" s="1439"/>
      <c r="M41" s="1439"/>
      <c r="N41" s="1439"/>
    </row>
    <row r="42" spans="1:17">
      <c r="B42" s="1591"/>
      <c r="C42" s="1439"/>
      <c r="D42" s="1439"/>
      <c r="E42" s="1439"/>
      <c r="F42" s="1439"/>
      <c r="G42" s="1439"/>
      <c r="H42" s="1439"/>
      <c r="I42" s="1439"/>
      <c r="J42" s="1439"/>
      <c r="K42" s="1439"/>
      <c r="L42" s="1439"/>
      <c r="M42" s="1439"/>
      <c r="N42" s="1439"/>
    </row>
    <row r="44" spans="1:17" ht="25.5">
      <c r="C44" s="1468"/>
    </row>
    <row r="45" spans="1:17" ht="25.5">
      <c r="C45" s="1468"/>
      <c r="Q45" s="1321" t="s">
        <v>403</v>
      </c>
    </row>
    <row r="46" spans="1:17" ht="25.5">
      <c r="C46" s="1468"/>
      <c r="Q46" s="1321" t="s">
        <v>405</v>
      </c>
    </row>
    <row r="47" spans="1:17">
      <c r="Q47" s="1321" t="s">
        <v>404</v>
      </c>
    </row>
    <row r="177" spans="2:2" ht="18">
      <c r="B177" s="1323"/>
    </row>
  </sheetData>
  <sheetProtection sheet="1" objects="1" scenarios="1" formatCells="0" formatColumns="0" formatRows="0" insertColumns="0" insertRows="0"/>
  <mergeCells count="36">
    <mergeCell ref="B32:D32"/>
    <mergeCell ref="E32:F32"/>
    <mergeCell ref="G32:I32"/>
    <mergeCell ref="M32:N32"/>
    <mergeCell ref="B20:J20"/>
    <mergeCell ref="B22:J22"/>
    <mergeCell ref="G24:I24"/>
    <mergeCell ref="B25:F25"/>
    <mergeCell ref="G25:I25"/>
    <mergeCell ref="M26:N26"/>
    <mergeCell ref="M27:N27"/>
    <mergeCell ref="M28:N28"/>
    <mergeCell ref="M29:N29"/>
    <mergeCell ref="M30:N30"/>
    <mergeCell ref="M31:N31"/>
    <mergeCell ref="B37:K37"/>
    <mergeCell ref="M37:N37"/>
    <mergeCell ref="B33:D33"/>
    <mergeCell ref="E33:F33"/>
    <mergeCell ref="G33:I33"/>
    <mergeCell ref="M33:N33"/>
    <mergeCell ref="B34:C34"/>
    <mergeCell ref="E34:F34"/>
    <mergeCell ref="G34:I34"/>
    <mergeCell ref="M34:N34"/>
    <mergeCell ref="B35:F35"/>
    <mergeCell ref="G35:I35"/>
    <mergeCell ref="M35:N35"/>
    <mergeCell ref="B36:K36"/>
    <mergeCell ref="M36:N36"/>
    <mergeCell ref="B38:K38"/>
    <mergeCell ref="M38:N38"/>
    <mergeCell ref="B39:K39"/>
    <mergeCell ref="M39:N39"/>
    <mergeCell ref="B40:K40"/>
    <mergeCell ref="M40:N40"/>
  </mergeCells>
  <dataValidations count="3">
    <dataValidation type="list" allowBlank="1" showInputMessage="1" showErrorMessage="1" sqref="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K27:L31 JG27:JH31 TC27:TD31 ACY27:ACZ31 AMU27:AMV31 AWQ27:AWR31 BGM27:BGN31 BQI27:BQJ31 CAE27:CAF31 CKA27:CKB31 CTW27:CTX31 DDS27:DDT31 DNO27:DNP31 DXK27:DXL31 EHG27:EHH31 ERC27:ERD31 FAY27:FAZ31 FKU27:FKV31 FUQ27:FUR31 GEM27:GEN31 GOI27:GOJ31 GYE27:GYF31 HIA27:HIB31 HRW27:HRX31 IBS27:IBT31 ILO27:ILP31 IVK27:IVL31 JFG27:JFH31 JPC27:JPD31 JYY27:JYZ31 KIU27:KIV31 KSQ27:KSR31 LCM27:LCN31 LMI27:LMJ31 LWE27:LWF31 MGA27:MGB31 MPW27:MPX31 MZS27:MZT31 NJO27:NJP31 NTK27:NTL31 ODG27:ODH31 ONC27:OND31 OWY27:OWZ31 PGU27:PGV31 PQQ27:PQR31 QAM27:QAN31 QKI27:QKJ31 QUE27:QUF31 REA27:REB31 RNW27:RNX31 RXS27:RXT31 SHO27:SHP31 SRK27:SRL31 TBG27:TBH31 TLC27:TLD31 TUY27:TUZ31 UEU27:UEV31 UOQ27:UOR31 UYM27:UYN31 VII27:VIJ31 VSE27:VSF31 WCA27:WCB31 WLW27:WLX31 WVS27:WVT31 K65563:L65567 JG65563:JH65567 TC65563:TD65567 ACY65563:ACZ65567 AMU65563:AMV65567 AWQ65563:AWR65567 BGM65563:BGN65567 BQI65563:BQJ65567 CAE65563:CAF65567 CKA65563:CKB65567 CTW65563:CTX65567 DDS65563:DDT65567 DNO65563:DNP65567 DXK65563:DXL65567 EHG65563:EHH65567 ERC65563:ERD65567 FAY65563:FAZ65567 FKU65563:FKV65567 FUQ65563:FUR65567 GEM65563:GEN65567 GOI65563:GOJ65567 GYE65563:GYF65567 HIA65563:HIB65567 HRW65563:HRX65567 IBS65563:IBT65567 ILO65563:ILP65567 IVK65563:IVL65567 JFG65563:JFH65567 JPC65563:JPD65567 JYY65563:JYZ65567 KIU65563:KIV65567 KSQ65563:KSR65567 LCM65563:LCN65567 LMI65563:LMJ65567 LWE65563:LWF65567 MGA65563:MGB65567 MPW65563:MPX65567 MZS65563:MZT65567 NJO65563:NJP65567 NTK65563:NTL65567 ODG65563:ODH65567 ONC65563:OND65567 OWY65563:OWZ65567 PGU65563:PGV65567 PQQ65563:PQR65567 QAM65563:QAN65567 QKI65563:QKJ65567 QUE65563:QUF65567 REA65563:REB65567 RNW65563:RNX65567 RXS65563:RXT65567 SHO65563:SHP65567 SRK65563:SRL65567 TBG65563:TBH65567 TLC65563:TLD65567 TUY65563:TUZ65567 UEU65563:UEV65567 UOQ65563:UOR65567 UYM65563:UYN65567 VII65563:VIJ65567 VSE65563:VSF65567 WCA65563:WCB65567 WLW65563:WLX65567 WVS65563:WVT65567 K131099:L131103 JG131099:JH131103 TC131099:TD131103 ACY131099:ACZ131103 AMU131099:AMV131103 AWQ131099:AWR131103 BGM131099:BGN131103 BQI131099:BQJ131103 CAE131099:CAF131103 CKA131099:CKB131103 CTW131099:CTX131103 DDS131099:DDT131103 DNO131099:DNP131103 DXK131099:DXL131103 EHG131099:EHH131103 ERC131099:ERD131103 FAY131099:FAZ131103 FKU131099:FKV131103 FUQ131099:FUR131103 GEM131099:GEN131103 GOI131099:GOJ131103 GYE131099:GYF131103 HIA131099:HIB131103 HRW131099:HRX131103 IBS131099:IBT131103 ILO131099:ILP131103 IVK131099:IVL131103 JFG131099:JFH131103 JPC131099:JPD131103 JYY131099:JYZ131103 KIU131099:KIV131103 KSQ131099:KSR131103 LCM131099:LCN131103 LMI131099:LMJ131103 LWE131099:LWF131103 MGA131099:MGB131103 MPW131099:MPX131103 MZS131099:MZT131103 NJO131099:NJP131103 NTK131099:NTL131103 ODG131099:ODH131103 ONC131099:OND131103 OWY131099:OWZ131103 PGU131099:PGV131103 PQQ131099:PQR131103 QAM131099:QAN131103 QKI131099:QKJ131103 QUE131099:QUF131103 REA131099:REB131103 RNW131099:RNX131103 RXS131099:RXT131103 SHO131099:SHP131103 SRK131099:SRL131103 TBG131099:TBH131103 TLC131099:TLD131103 TUY131099:TUZ131103 UEU131099:UEV131103 UOQ131099:UOR131103 UYM131099:UYN131103 VII131099:VIJ131103 VSE131099:VSF131103 WCA131099:WCB131103 WLW131099:WLX131103 WVS131099:WVT131103 K196635:L196639 JG196635:JH196639 TC196635:TD196639 ACY196635:ACZ196639 AMU196635:AMV196639 AWQ196635:AWR196639 BGM196635:BGN196639 BQI196635:BQJ196639 CAE196635:CAF196639 CKA196635:CKB196639 CTW196635:CTX196639 DDS196635:DDT196639 DNO196635:DNP196639 DXK196635:DXL196639 EHG196635:EHH196639 ERC196635:ERD196639 FAY196635:FAZ196639 FKU196635:FKV196639 FUQ196635:FUR196639 GEM196635:GEN196639 GOI196635:GOJ196639 GYE196635:GYF196639 HIA196635:HIB196639 HRW196635:HRX196639 IBS196635:IBT196639 ILO196635:ILP196639 IVK196635:IVL196639 JFG196635:JFH196639 JPC196635:JPD196639 JYY196635:JYZ196639 KIU196635:KIV196639 KSQ196635:KSR196639 LCM196635:LCN196639 LMI196635:LMJ196639 LWE196635:LWF196639 MGA196635:MGB196639 MPW196635:MPX196639 MZS196635:MZT196639 NJO196635:NJP196639 NTK196635:NTL196639 ODG196635:ODH196639 ONC196635:OND196639 OWY196635:OWZ196639 PGU196635:PGV196639 PQQ196635:PQR196639 QAM196635:QAN196639 QKI196635:QKJ196639 QUE196635:QUF196639 REA196635:REB196639 RNW196635:RNX196639 RXS196635:RXT196639 SHO196635:SHP196639 SRK196635:SRL196639 TBG196635:TBH196639 TLC196635:TLD196639 TUY196635:TUZ196639 UEU196635:UEV196639 UOQ196635:UOR196639 UYM196635:UYN196639 VII196635:VIJ196639 VSE196635:VSF196639 WCA196635:WCB196639 WLW196635:WLX196639 WVS196635:WVT196639 K262171:L262175 JG262171:JH262175 TC262171:TD262175 ACY262171:ACZ262175 AMU262171:AMV262175 AWQ262171:AWR262175 BGM262171:BGN262175 BQI262171:BQJ262175 CAE262171:CAF262175 CKA262171:CKB262175 CTW262171:CTX262175 DDS262171:DDT262175 DNO262171:DNP262175 DXK262171:DXL262175 EHG262171:EHH262175 ERC262171:ERD262175 FAY262171:FAZ262175 FKU262171:FKV262175 FUQ262171:FUR262175 GEM262171:GEN262175 GOI262171:GOJ262175 GYE262171:GYF262175 HIA262171:HIB262175 HRW262171:HRX262175 IBS262171:IBT262175 ILO262171:ILP262175 IVK262171:IVL262175 JFG262171:JFH262175 JPC262171:JPD262175 JYY262171:JYZ262175 KIU262171:KIV262175 KSQ262171:KSR262175 LCM262171:LCN262175 LMI262171:LMJ262175 LWE262171:LWF262175 MGA262171:MGB262175 MPW262171:MPX262175 MZS262171:MZT262175 NJO262171:NJP262175 NTK262171:NTL262175 ODG262171:ODH262175 ONC262171:OND262175 OWY262171:OWZ262175 PGU262171:PGV262175 PQQ262171:PQR262175 QAM262171:QAN262175 QKI262171:QKJ262175 QUE262171:QUF262175 REA262171:REB262175 RNW262171:RNX262175 RXS262171:RXT262175 SHO262171:SHP262175 SRK262171:SRL262175 TBG262171:TBH262175 TLC262171:TLD262175 TUY262171:TUZ262175 UEU262171:UEV262175 UOQ262171:UOR262175 UYM262171:UYN262175 VII262171:VIJ262175 VSE262171:VSF262175 WCA262171:WCB262175 WLW262171:WLX262175 WVS262171:WVT262175 K327707:L327711 JG327707:JH327711 TC327707:TD327711 ACY327707:ACZ327711 AMU327707:AMV327711 AWQ327707:AWR327711 BGM327707:BGN327711 BQI327707:BQJ327711 CAE327707:CAF327711 CKA327707:CKB327711 CTW327707:CTX327711 DDS327707:DDT327711 DNO327707:DNP327711 DXK327707:DXL327711 EHG327707:EHH327711 ERC327707:ERD327711 FAY327707:FAZ327711 FKU327707:FKV327711 FUQ327707:FUR327711 GEM327707:GEN327711 GOI327707:GOJ327711 GYE327707:GYF327711 HIA327707:HIB327711 HRW327707:HRX327711 IBS327707:IBT327711 ILO327707:ILP327711 IVK327707:IVL327711 JFG327707:JFH327711 JPC327707:JPD327711 JYY327707:JYZ327711 KIU327707:KIV327711 KSQ327707:KSR327711 LCM327707:LCN327711 LMI327707:LMJ327711 LWE327707:LWF327711 MGA327707:MGB327711 MPW327707:MPX327711 MZS327707:MZT327711 NJO327707:NJP327711 NTK327707:NTL327711 ODG327707:ODH327711 ONC327707:OND327711 OWY327707:OWZ327711 PGU327707:PGV327711 PQQ327707:PQR327711 QAM327707:QAN327711 QKI327707:QKJ327711 QUE327707:QUF327711 REA327707:REB327711 RNW327707:RNX327711 RXS327707:RXT327711 SHO327707:SHP327711 SRK327707:SRL327711 TBG327707:TBH327711 TLC327707:TLD327711 TUY327707:TUZ327711 UEU327707:UEV327711 UOQ327707:UOR327711 UYM327707:UYN327711 VII327707:VIJ327711 VSE327707:VSF327711 WCA327707:WCB327711 WLW327707:WLX327711 WVS327707:WVT327711 K393243:L393247 JG393243:JH393247 TC393243:TD393247 ACY393243:ACZ393247 AMU393243:AMV393247 AWQ393243:AWR393247 BGM393243:BGN393247 BQI393243:BQJ393247 CAE393243:CAF393247 CKA393243:CKB393247 CTW393243:CTX393247 DDS393243:DDT393247 DNO393243:DNP393247 DXK393243:DXL393247 EHG393243:EHH393247 ERC393243:ERD393247 FAY393243:FAZ393247 FKU393243:FKV393247 FUQ393243:FUR393247 GEM393243:GEN393247 GOI393243:GOJ393247 GYE393243:GYF393247 HIA393243:HIB393247 HRW393243:HRX393247 IBS393243:IBT393247 ILO393243:ILP393247 IVK393243:IVL393247 JFG393243:JFH393247 JPC393243:JPD393247 JYY393243:JYZ393247 KIU393243:KIV393247 KSQ393243:KSR393247 LCM393243:LCN393247 LMI393243:LMJ393247 LWE393243:LWF393247 MGA393243:MGB393247 MPW393243:MPX393247 MZS393243:MZT393247 NJO393243:NJP393247 NTK393243:NTL393247 ODG393243:ODH393247 ONC393243:OND393247 OWY393243:OWZ393247 PGU393243:PGV393247 PQQ393243:PQR393247 QAM393243:QAN393247 QKI393243:QKJ393247 QUE393243:QUF393247 REA393243:REB393247 RNW393243:RNX393247 RXS393243:RXT393247 SHO393243:SHP393247 SRK393243:SRL393247 TBG393243:TBH393247 TLC393243:TLD393247 TUY393243:TUZ393247 UEU393243:UEV393247 UOQ393243:UOR393247 UYM393243:UYN393247 VII393243:VIJ393247 VSE393243:VSF393247 WCA393243:WCB393247 WLW393243:WLX393247 WVS393243:WVT393247 K458779:L458783 JG458779:JH458783 TC458779:TD458783 ACY458779:ACZ458783 AMU458779:AMV458783 AWQ458779:AWR458783 BGM458779:BGN458783 BQI458779:BQJ458783 CAE458779:CAF458783 CKA458779:CKB458783 CTW458779:CTX458783 DDS458779:DDT458783 DNO458779:DNP458783 DXK458779:DXL458783 EHG458779:EHH458783 ERC458779:ERD458783 FAY458779:FAZ458783 FKU458779:FKV458783 FUQ458779:FUR458783 GEM458779:GEN458783 GOI458779:GOJ458783 GYE458779:GYF458783 HIA458779:HIB458783 HRW458779:HRX458783 IBS458779:IBT458783 ILO458779:ILP458783 IVK458779:IVL458783 JFG458779:JFH458783 JPC458779:JPD458783 JYY458779:JYZ458783 KIU458779:KIV458783 KSQ458779:KSR458783 LCM458779:LCN458783 LMI458779:LMJ458783 LWE458779:LWF458783 MGA458779:MGB458783 MPW458779:MPX458783 MZS458779:MZT458783 NJO458779:NJP458783 NTK458779:NTL458783 ODG458779:ODH458783 ONC458779:OND458783 OWY458779:OWZ458783 PGU458779:PGV458783 PQQ458779:PQR458783 QAM458779:QAN458783 QKI458779:QKJ458783 QUE458779:QUF458783 REA458779:REB458783 RNW458779:RNX458783 RXS458779:RXT458783 SHO458779:SHP458783 SRK458779:SRL458783 TBG458779:TBH458783 TLC458779:TLD458783 TUY458779:TUZ458783 UEU458779:UEV458783 UOQ458779:UOR458783 UYM458779:UYN458783 VII458779:VIJ458783 VSE458779:VSF458783 WCA458779:WCB458783 WLW458779:WLX458783 WVS458779:WVT458783 K524315:L524319 JG524315:JH524319 TC524315:TD524319 ACY524315:ACZ524319 AMU524315:AMV524319 AWQ524315:AWR524319 BGM524315:BGN524319 BQI524315:BQJ524319 CAE524315:CAF524319 CKA524315:CKB524319 CTW524315:CTX524319 DDS524315:DDT524319 DNO524315:DNP524319 DXK524315:DXL524319 EHG524315:EHH524319 ERC524315:ERD524319 FAY524315:FAZ524319 FKU524315:FKV524319 FUQ524315:FUR524319 GEM524315:GEN524319 GOI524315:GOJ524319 GYE524315:GYF524319 HIA524315:HIB524319 HRW524315:HRX524319 IBS524315:IBT524319 ILO524315:ILP524319 IVK524315:IVL524319 JFG524315:JFH524319 JPC524315:JPD524319 JYY524315:JYZ524319 KIU524315:KIV524319 KSQ524315:KSR524319 LCM524315:LCN524319 LMI524315:LMJ524319 LWE524315:LWF524319 MGA524315:MGB524319 MPW524315:MPX524319 MZS524315:MZT524319 NJO524315:NJP524319 NTK524315:NTL524319 ODG524315:ODH524319 ONC524315:OND524319 OWY524315:OWZ524319 PGU524315:PGV524319 PQQ524315:PQR524319 QAM524315:QAN524319 QKI524315:QKJ524319 QUE524315:QUF524319 REA524315:REB524319 RNW524315:RNX524319 RXS524315:RXT524319 SHO524315:SHP524319 SRK524315:SRL524319 TBG524315:TBH524319 TLC524315:TLD524319 TUY524315:TUZ524319 UEU524315:UEV524319 UOQ524315:UOR524319 UYM524315:UYN524319 VII524315:VIJ524319 VSE524315:VSF524319 WCA524315:WCB524319 WLW524315:WLX524319 WVS524315:WVT524319 K589851:L589855 JG589851:JH589855 TC589851:TD589855 ACY589851:ACZ589855 AMU589851:AMV589855 AWQ589851:AWR589855 BGM589851:BGN589855 BQI589851:BQJ589855 CAE589851:CAF589855 CKA589851:CKB589855 CTW589851:CTX589855 DDS589851:DDT589855 DNO589851:DNP589855 DXK589851:DXL589855 EHG589851:EHH589855 ERC589851:ERD589855 FAY589851:FAZ589855 FKU589851:FKV589855 FUQ589851:FUR589855 GEM589851:GEN589855 GOI589851:GOJ589855 GYE589851:GYF589855 HIA589851:HIB589855 HRW589851:HRX589855 IBS589851:IBT589855 ILO589851:ILP589855 IVK589851:IVL589855 JFG589851:JFH589855 JPC589851:JPD589855 JYY589851:JYZ589855 KIU589851:KIV589855 KSQ589851:KSR589855 LCM589851:LCN589855 LMI589851:LMJ589855 LWE589851:LWF589855 MGA589851:MGB589855 MPW589851:MPX589855 MZS589851:MZT589855 NJO589851:NJP589855 NTK589851:NTL589855 ODG589851:ODH589855 ONC589851:OND589855 OWY589851:OWZ589855 PGU589851:PGV589855 PQQ589851:PQR589855 QAM589851:QAN589855 QKI589851:QKJ589855 QUE589851:QUF589855 REA589851:REB589855 RNW589851:RNX589855 RXS589851:RXT589855 SHO589851:SHP589855 SRK589851:SRL589855 TBG589851:TBH589855 TLC589851:TLD589855 TUY589851:TUZ589855 UEU589851:UEV589855 UOQ589851:UOR589855 UYM589851:UYN589855 VII589851:VIJ589855 VSE589851:VSF589855 WCA589851:WCB589855 WLW589851:WLX589855 WVS589851:WVT589855 K655387:L655391 JG655387:JH655391 TC655387:TD655391 ACY655387:ACZ655391 AMU655387:AMV655391 AWQ655387:AWR655391 BGM655387:BGN655391 BQI655387:BQJ655391 CAE655387:CAF655391 CKA655387:CKB655391 CTW655387:CTX655391 DDS655387:DDT655391 DNO655387:DNP655391 DXK655387:DXL655391 EHG655387:EHH655391 ERC655387:ERD655391 FAY655387:FAZ655391 FKU655387:FKV655391 FUQ655387:FUR655391 GEM655387:GEN655391 GOI655387:GOJ655391 GYE655387:GYF655391 HIA655387:HIB655391 HRW655387:HRX655391 IBS655387:IBT655391 ILO655387:ILP655391 IVK655387:IVL655391 JFG655387:JFH655391 JPC655387:JPD655391 JYY655387:JYZ655391 KIU655387:KIV655391 KSQ655387:KSR655391 LCM655387:LCN655391 LMI655387:LMJ655391 LWE655387:LWF655391 MGA655387:MGB655391 MPW655387:MPX655391 MZS655387:MZT655391 NJO655387:NJP655391 NTK655387:NTL655391 ODG655387:ODH655391 ONC655387:OND655391 OWY655387:OWZ655391 PGU655387:PGV655391 PQQ655387:PQR655391 QAM655387:QAN655391 QKI655387:QKJ655391 QUE655387:QUF655391 REA655387:REB655391 RNW655387:RNX655391 RXS655387:RXT655391 SHO655387:SHP655391 SRK655387:SRL655391 TBG655387:TBH655391 TLC655387:TLD655391 TUY655387:TUZ655391 UEU655387:UEV655391 UOQ655387:UOR655391 UYM655387:UYN655391 VII655387:VIJ655391 VSE655387:VSF655391 WCA655387:WCB655391 WLW655387:WLX655391 WVS655387:WVT655391 K720923:L720927 JG720923:JH720927 TC720923:TD720927 ACY720923:ACZ720927 AMU720923:AMV720927 AWQ720923:AWR720927 BGM720923:BGN720927 BQI720923:BQJ720927 CAE720923:CAF720927 CKA720923:CKB720927 CTW720923:CTX720927 DDS720923:DDT720927 DNO720923:DNP720927 DXK720923:DXL720927 EHG720923:EHH720927 ERC720923:ERD720927 FAY720923:FAZ720927 FKU720923:FKV720927 FUQ720923:FUR720927 GEM720923:GEN720927 GOI720923:GOJ720927 GYE720923:GYF720927 HIA720923:HIB720927 HRW720923:HRX720927 IBS720923:IBT720927 ILO720923:ILP720927 IVK720923:IVL720927 JFG720923:JFH720927 JPC720923:JPD720927 JYY720923:JYZ720927 KIU720923:KIV720927 KSQ720923:KSR720927 LCM720923:LCN720927 LMI720923:LMJ720927 LWE720923:LWF720927 MGA720923:MGB720927 MPW720923:MPX720927 MZS720923:MZT720927 NJO720923:NJP720927 NTK720923:NTL720927 ODG720923:ODH720927 ONC720923:OND720927 OWY720923:OWZ720927 PGU720923:PGV720927 PQQ720923:PQR720927 QAM720923:QAN720927 QKI720923:QKJ720927 QUE720923:QUF720927 REA720923:REB720927 RNW720923:RNX720927 RXS720923:RXT720927 SHO720923:SHP720927 SRK720923:SRL720927 TBG720923:TBH720927 TLC720923:TLD720927 TUY720923:TUZ720927 UEU720923:UEV720927 UOQ720923:UOR720927 UYM720923:UYN720927 VII720923:VIJ720927 VSE720923:VSF720927 WCA720923:WCB720927 WLW720923:WLX720927 WVS720923:WVT720927 K786459:L786463 JG786459:JH786463 TC786459:TD786463 ACY786459:ACZ786463 AMU786459:AMV786463 AWQ786459:AWR786463 BGM786459:BGN786463 BQI786459:BQJ786463 CAE786459:CAF786463 CKA786459:CKB786463 CTW786459:CTX786463 DDS786459:DDT786463 DNO786459:DNP786463 DXK786459:DXL786463 EHG786459:EHH786463 ERC786459:ERD786463 FAY786459:FAZ786463 FKU786459:FKV786463 FUQ786459:FUR786463 GEM786459:GEN786463 GOI786459:GOJ786463 GYE786459:GYF786463 HIA786459:HIB786463 HRW786459:HRX786463 IBS786459:IBT786463 ILO786459:ILP786463 IVK786459:IVL786463 JFG786459:JFH786463 JPC786459:JPD786463 JYY786459:JYZ786463 KIU786459:KIV786463 KSQ786459:KSR786463 LCM786459:LCN786463 LMI786459:LMJ786463 LWE786459:LWF786463 MGA786459:MGB786463 MPW786459:MPX786463 MZS786459:MZT786463 NJO786459:NJP786463 NTK786459:NTL786463 ODG786459:ODH786463 ONC786459:OND786463 OWY786459:OWZ786463 PGU786459:PGV786463 PQQ786459:PQR786463 QAM786459:QAN786463 QKI786459:QKJ786463 QUE786459:QUF786463 REA786459:REB786463 RNW786459:RNX786463 RXS786459:RXT786463 SHO786459:SHP786463 SRK786459:SRL786463 TBG786459:TBH786463 TLC786459:TLD786463 TUY786459:TUZ786463 UEU786459:UEV786463 UOQ786459:UOR786463 UYM786459:UYN786463 VII786459:VIJ786463 VSE786459:VSF786463 WCA786459:WCB786463 WLW786459:WLX786463 WVS786459:WVT786463 K851995:L851999 JG851995:JH851999 TC851995:TD851999 ACY851995:ACZ851999 AMU851995:AMV851999 AWQ851995:AWR851999 BGM851995:BGN851999 BQI851995:BQJ851999 CAE851995:CAF851999 CKA851995:CKB851999 CTW851995:CTX851999 DDS851995:DDT851999 DNO851995:DNP851999 DXK851995:DXL851999 EHG851995:EHH851999 ERC851995:ERD851999 FAY851995:FAZ851999 FKU851995:FKV851999 FUQ851995:FUR851999 GEM851995:GEN851999 GOI851995:GOJ851999 GYE851995:GYF851999 HIA851995:HIB851999 HRW851995:HRX851999 IBS851995:IBT851999 ILO851995:ILP851999 IVK851995:IVL851999 JFG851995:JFH851999 JPC851995:JPD851999 JYY851995:JYZ851999 KIU851995:KIV851999 KSQ851995:KSR851999 LCM851995:LCN851999 LMI851995:LMJ851999 LWE851995:LWF851999 MGA851995:MGB851999 MPW851995:MPX851999 MZS851995:MZT851999 NJO851995:NJP851999 NTK851995:NTL851999 ODG851995:ODH851999 ONC851995:OND851999 OWY851995:OWZ851999 PGU851995:PGV851999 PQQ851995:PQR851999 QAM851995:QAN851999 QKI851995:QKJ851999 QUE851995:QUF851999 REA851995:REB851999 RNW851995:RNX851999 RXS851995:RXT851999 SHO851995:SHP851999 SRK851995:SRL851999 TBG851995:TBH851999 TLC851995:TLD851999 TUY851995:TUZ851999 UEU851995:UEV851999 UOQ851995:UOR851999 UYM851995:UYN851999 VII851995:VIJ851999 VSE851995:VSF851999 WCA851995:WCB851999 WLW851995:WLX851999 WVS851995:WVT851999 K917531:L917535 JG917531:JH917535 TC917531:TD917535 ACY917531:ACZ917535 AMU917531:AMV917535 AWQ917531:AWR917535 BGM917531:BGN917535 BQI917531:BQJ917535 CAE917531:CAF917535 CKA917531:CKB917535 CTW917531:CTX917535 DDS917531:DDT917535 DNO917531:DNP917535 DXK917531:DXL917535 EHG917531:EHH917535 ERC917531:ERD917535 FAY917531:FAZ917535 FKU917531:FKV917535 FUQ917531:FUR917535 GEM917531:GEN917535 GOI917531:GOJ917535 GYE917531:GYF917535 HIA917531:HIB917535 HRW917531:HRX917535 IBS917531:IBT917535 ILO917531:ILP917535 IVK917531:IVL917535 JFG917531:JFH917535 JPC917531:JPD917535 JYY917531:JYZ917535 KIU917531:KIV917535 KSQ917531:KSR917535 LCM917531:LCN917535 LMI917531:LMJ917535 LWE917531:LWF917535 MGA917531:MGB917535 MPW917531:MPX917535 MZS917531:MZT917535 NJO917531:NJP917535 NTK917531:NTL917535 ODG917531:ODH917535 ONC917531:OND917535 OWY917531:OWZ917535 PGU917531:PGV917535 PQQ917531:PQR917535 QAM917531:QAN917535 QKI917531:QKJ917535 QUE917531:QUF917535 REA917531:REB917535 RNW917531:RNX917535 RXS917531:RXT917535 SHO917531:SHP917535 SRK917531:SRL917535 TBG917531:TBH917535 TLC917531:TLD917535 TUY917531:TUZ917535 UEU917531:UEV917535 UOQ917531:UOR917535 UYM917531:UYN917535 VII917531:VIJ917535 VSE917531:VSF917535 WCA917531:WCB917535 WLW917531:WLX917535 WVS917531:WVT917535 K983067:L983071 JG983067:JH983071 TC983067:TD983071 ACY983067:ACZ983071 AMU983067:AMV983071 AWQ983067:AWR983071 BGM983067:BGN983071 BQI983067:BQJ983071 CAE983067:CAF983071 CKA983067:CKB983071 CTW983067:CTX983071 DDS983067:DDT983071 DNO983067:DNP983071 DXK983067:DXL983071 EHG983067:EHH983071 ERC983067:ERD983071 FAY983067:FAZ983071 FKU983067:FKV983071 FUQ983067:FUR983071 GEM983067:GEN983071 GOI983067:GOJ983071 GYE983067:GYF983071 HIA983067:HIB983071 HRW983067:HRX983071 IBS983067:IBT983071 ILO983067:ILP983071 IVK983067:IVL983071 JFG983067:JFH983071 JPC983067:JPD983071 JYY983067:JYZ983071 KIU983067:KIV983071 KSQ983067:KSR983071 LCM983067:LCN983071 LMI983067:LMJ983071 LWE983067:LWF983071 MGA983067:MGB983071 MPW983067:MPX983071 MZS983067:MZT983071 NJO983067:NJP983071 NTK983067:NTL983071 ODG983067:ODH983071 ONC983067:OND983071 OWY983067:OWZ983071 PGU983067:PGV983071 PQQ983067:PQR983071 QAM983067:QAN983071 QKI983067:QKJ983071 QUE983067:QUF983071 REA983067:REB983071 RNW983067:RNX983071 RXS983067:RXT983071 SHO983067:SHP983071 SRK983067:SRL983071 TBG983067:TBH983071 TLC983067:TLD983071 TUY983067:TUZ983071 UEU983067:UEV983071 UOQ983067:UOR983071 UYM983067:UYN983071 VII983067:VIJ983071 VSE983067:VSF983071 WCA983067:WCB983071 WLW983067:WLX983071 WVS983067:WVT983071 K35:L35 JG35:JH35 TC35:TD35 ACY35:ACZ35 AMU35:AMV35 AWQ35:AWR35 BGM35:BGN35 BQI35:BQJ35 CAE35:CAF35 CKA35:CKB35 CTW35:CTX35 DDS35:DDT35 DNO35:DNP35 DXK35:DXL35 EHG35:EHH35 ERC35:ERD35 FAY35:FAZ35 FKU35:FKV35 FUQ35:FUR35 GEM35:GEN35 GOI35:GOJ35 GYE35:GYF35 HIA35:HIB35 HRW35:HRX35 IBS35:IBT35 ILO35:ILP35 IVK35:IVL35 JFG35:JFH35 JPC35:JPD35 JYY35:JYZ35 KIU35:KIV35 KSQ35:KSR35 LCM35:LCN35 LMI35:LMJ35 LWE35:LWF35 MGA35:MGB35 MPW35:MPX35 MZS35:MZT35 NJO35:NJP35 NTK35:NTL35 ODG35:ODH35 ONC35:OND35 OWY35:OWZ35 PGU35:PGV35 PQQ35:PQR35 QAM35:QAN35 QKI35:QKJ35 QUE35:QUF35 REA35:REB35 RNW35:RNX35 RXS35:RXT35 SHO35:SHP35 SRK35:SRL35 TBG35:TBH35 TLC35:TLD35 TUY35:TUZ35 UEU35:UEV35 UOQ35:UOR35 UYM35:UYN35 VII35:VIJ35 VSE35:VSF35 WCA35:WCB35 WLW35:WLX35 WVS35:WVT35 K65571:L65571 JG65571:JH65571 TC65571:TD65571 ACY65571:ACZ65571 AMU65571:AMV65571 AWQ65571:AWR65571 BGM65571:BGN65571 BQI65571:BQJ65571 CAE65571:CAF65571 CKA65571:CKB65571 CTW65571:CTX65571 DDS65571:DDT65571 DNO65571:DNP65571 DXK65571:DXL65571 EHG65571:EHH65571 ERC65571:ERD65571 FAY65571:FAZ65571 FKU65571:FKV65571 FUQ65571:FUR65571 GEM65571:GEN65571 GOI65571:GOJ65571 GYE65571:GYF65571 HIA65571:HIB65571 HRW65571:HRX65571 IBS65571:IBT65571 ILO65571:ILP65571 IVK65571:IVL65571 JFG65571:JFH65571 JPC65571:JPD65571 JYY65571:JYZ65571 KIU65571:KIV65571 KSQ65571:KSR65571 LCM65571:LCN65571 LMI65571:LMJ65571 LWE65571:LWF65571 MGA65571:MGB65571 MPW65571:MPX65571 MZS65571:MZT65571 NJO65571:NJP65571 NTK65571:NTL65571 ODG65571:ODH65571 ONC65571:OND65571 OWY65571:OWZ65571 PGU65571:PGV65571 PQQ65571:PQR65571 QAM65571:QAN65571 QKI65571:QKJ65571 QUE65571:QUF65571 REA65571:REB65571 RNW65571:RNX65571 RXS65571:RXT65571 SHO65571:SHP65571 SRK65571:SRL65571 TBG65571:TBH65571 TLC65571:TLD65571 TUY65571:TUZ65571 UEU65571:UEV65571 UOQ65571:UOR65571 UYM65571:UYN65571 VII65571:VIJ65571 VSE65571:VSF65571 WCA65571:WCB65571 WLW65571:WLX65571 WVS65571:WVT65571 K131107:L131107 JG131107:JH131107 TC131107:TD131107 ACY131107:ACZ131107 AMU131107:AMV131107 AWQ131107:AWR131107 BGM131107:BGN131107 BQI131107:BQJ131107 CAE131107:CAF131107 CKA131107:CKB131107 CTW131107:CTX131107 DDS131107:DDT131107 DNO131107:DNP131107 DXK131107:DXL131107 EHG131107:EHH131107 ERC131107:ERD131107 FAY131107:FAZ131107 FKU131107:FKV131107 FUQ131107:FUR131107 GEM131107:GEN131107 GOI131107:GOJ131107 GYE131107:GYF131107 HIA131107:HIB131107 HRW131107:HRX131107 IBS131107:IBT131107 ILO131107:ILP131107 IVK131107:IVL131107 JFG131107:JFH131107 JPC131107:JPD131107 JYY131107:JYZ131107 KIU131107:KIV131107 KSQ131107:KSR131107 LCM131107:LCN131107 LMI131107:LMJ131107 LWE131107:LWF131107 MGA131107:MGB131107 MPW131107:MPX131107 MZS131107:MZT131107 NJO131107:NJP131107 NTK131107:NTL131107 ODG131107:ODH131107 ONC131107:OND131107 OWY131107:OWZ131107 PGU131107:PGV131107 PQQ131107:PQR131107 QAM131107:QAN131107 QKI131107:QKJ131107 QUE131107:QUF131107 REA131107:REB131107 RNW131107:RNX131107 RXS131107:RXT131107 SHO131107:SHP131107 SRK131107:SRL131107 TBG131107:TBH131107 TLC131107:TLD131107 TUY131107:TUZ131107 UEU131107:UEV131107 UOQ131107:UOR131107 UYM131107:UYN131107 VII131107:VIJ131107 VSE131107:VSF131107 WCA131107:WCB131107 WLW131107:WLX131107 WVS131107:WVT131107 K196643:L196643 JG196643:JH196643 TC196643:TD196643 ACY196643:ACZ196643 AMU196643:AMV196643 AWQ196643:AWR196643 BGM196643:BGN196643 BQI196643:BQJ196643 CAE196643:CAF196643 CKA196643:CKB196643 CTW196643:CTX196643 DDS196643:DDT196643 DNO196643:DNP196643 DXK196643:DXL196643 EHG196643:EHH196643 ERC196643:ERD196643 FAY196643:FAZ196643 FKU196643:FKV196643 FUQ196643:FUR196643 GEM196643:GEN196643 GOI196643:GOJ196643 GYE196643:GYF196643 HIA196643:HIB196643 HRW196643:HRX196643 IBS196643:IBT196643 ILO196643:ILP196643 IVK196643:IVL196643 JFG196643:JFH196643 JPC196643:JPD196643 JYY196643:JYZ196643 KIU196643:KIV196643 KSQ196643:KSR196643 LCM196643:LCN196643 LMI196643:LMJ196643 LWE196643:LWF196643 MGA196643:MGB196643 MPW196643:MPX196643 MZS196643:MZT196643 NJO196643:NJP196643 NTK196643:NTL196643 ODG196643:ODH196643 ONC196643:OND196643 OWY196643:OWZ196643 PGU196643:PGV196643 PQQ196643:PQR196643 QAM196643:QAN196643 QKI196643:QKJ196643 QUE196643:QUF196643 REA196643:REB196643 RNW196643:RNX196643 RXS196643:RXT196643 SHO196643:SHP196643 SRK196643:SRL196643 TBG196643:TBH196643 TLC196643:TLD196643 TUY196643:TUZ196643 UEU196643:UEV196643 UOQ196643:UOR196643 UYM196643:UYN196643 VII196643:VIJ196643 VSE196643:VSF196643 WCA196643:WCB196643 WLW196643:WLX196643 WVS196643:WVT196643 K262179:L262179 JG262179:JH262179 TC262179:TD262179 ACY262179:ACZ262179 AMU262179:AMV262179 AWQ262179:AWR262179 BGM262179:BGN262179 BQI262179:BQJ262179 CAE262179:CAF262179 CKA262179:CKB262179 CTW262179:CTX262179 DDS262179:DDT262179 DNO262179:DNP262179 DXK262179:DXL262179 EHG262179:EHH262179 ERC262179:ERD262179 FAY262179:FAZ262179 FKU262179:FKV262179 FUQ262179:FUR262179 GEM262179:GEN262179 GOI262179:GOJ262179 GYE262179:GYF262179 HIA262179:HIB262179 HRW262179:HRX262179 IBS262179:IBT262179 ILO262179:ILP262179 IVK262179:IVL262179 JFG262179:JFH262179 JPC262179:JPD262179 JYY262179:JYZ262179 KIU262179:KIV262179 KSQ262179:KSR262179 LCM262179:LCN262179 LMI262179:LMJ262179 LWE262179:LWF262179 MGA262179:MGB262179 MPW262179:MPX262179 MZS262179:MZT262179 NJO262179:NJP262179 NTK262179:NTL262179 ODG262179:ODH262179 ONC262179:OND262179 OWY262179:OWZ262179 PGU262179:PGV262179 PQQ262179:PQR262179 QAM262179:QAN262179 QKI262179:QKJ262179 QUE262179:QUF262179 REA262179:REB262179 RNW262179:RNX262179 RXS262179:RXT262179 SHO262179:SHP262179 SRK262179:SRL262179 TBG262179:TBH262179 TLC262179:TLD262179 TUY262179:TUZ262179 UEU262179:UEV262179 UOQ262179:UOR262179 UYM262179:UYN262179 VII262179:VIJ262179 VSE262179:VSF262179 WCA262179:WCB262179 WLW262179:WLX262179 WVS262179:WVT262179 K327715:L327715 JG327715:JH327715 TC327715:TD327715 ACY327715:ACZ327715 AMU327715:AMV327715 AWQ327715:AWR327715 BGM327715:BGN327715 BQI327715:BQJ327715 CAE327715:CAF327715 CKA327715:CKB327715 CTW327715:CTX327715 DDS327715:DDT327715 DNO327715:DNP327715 DXK327715:DXL327715 EHG327715:EHH327715 ERC327715:ERD327715 FAY327715:FAZ327715 FKU327715:FKV327715 FUQ327715:FUR327715 GEM327715:GEN327715 GOI327715:GOJ327715 GYE327715:GYF327715 HIA327715:HIB327715 HRW327715:HRX327715 IBS327715:IBT327715 ILO327715:ILP327715 IVK327715:IVL327715 JFG327715:JFH327715 JPC327715:JPD327715 JYY327715:JYZ327715 KIU327715:KIV327715 KSQ327715:KSR327715 LCM327715:LCN327715 LMI327715:LMJ327715 LWE327715:LWF327715 MGA327715:MGB327715 MPW327715:MPX327715 MZS327715:MZT327715 NJO327715:NJP327715 NTK327715:NTL327715 ODG327715:ODH327715 ONC327715:OND327715 OWY327715:OWZ327715 PGU327715:PGV327715 PQQ327715:PQR327715 QAM327715:QAN327715 QKI327715:QKJ327715 QUE327715:QUF327715 REA327715:REB327715 RNW327715:RNX327715 RXS327715:RXT327715 SHO327715:SHP327715 SRK327715:SRL327715 TBG327715:TBH327715 TLC327715:TLD327715 TUY327715:TUZ327715 UEU327715:UEV327715 UOQ327715:UOR327715 UYM327715:UYN327715 VII327715:VIJ327715 VSE327715:VSF327715 WCA327715:WCB327715 WLW327715:WLX327715 WVS327715:WVT327715 K393251:L393251 JG393251:JH393251 TC393251:TD393251 ACY393251:ACZ393251 AMU393251:AMV393251 AWQ393251:AWR393251 BGM393251:BGN393251 BQI393251:BQJ393251 CAE393251:CAF393251 CKA393251:CKB393251 CTW393251:CTX393251 DDS393251:DDT393251 DNO393251:DNP393251 DXK393251:DXL393251 EHG393251:EHH393251 ERC393251:ERD393251 FAY393251:FAZ393251 FKU393251:FKV393251 FUQ393251:FUR393251 GEM393251:GEN393251 GOI393251:GOJ393251 GYE393251:GYF393251 HIA393251:HIB393251 HRW393251:HRX393251 IBS393251:IBT393251 ILO393251:ILP393251 IVK393251:IVL393251 JFG393251:JFH393251 JPC393251:JPD393251 JYY393251:JYZ393251 KIU393251:KIV393251 KSQ393251:KSR393251 LCM393251:LCN393251 LMI393251:LMJ393251 LWE393251:LWF393251 MGA393251:MGB393251 MPW393251:MPX393251 MZS393251:MZT393251 NJO393251:NJP393251 NTK393251:NTL393251 ODG393251:ODH393251 ONC393251:OND393251 OWY393251:OWZ393251 PGU393251:PGV393251 PQQ393251:PQR393251 QAM393251:QAN393251 QKI393251:QKJ393251 QUE393251:QUF393251 REA393251:REB393251 RNW393251:RNX393251 RXS393251:RXT393251 SHO393251:SHP393251 SRK393251:SRL393251 TBG393251:TBH393251 TLC393251:TLD393251 TUY393251:TUZ393251 UEU393251:UEV393251 UOQ393251:UOR393251 UYM393251:UYN393251 VII393251:VIJ393251 VSE393251:VSF393251 WCA393251:WCB393251 WLW393251:WLX393251 WVS393251:WVT393251 K458787:L458787 JG458787:JH458787 TC458787:TD458787 ACY458787:ACZ458787 AMU458787:AMV458787 AWQ458787:AWR458787 BGM458787:BGN458787 BQI458787:BQJ458787 CAE458787:CAF458787 CKA458787:CKB458787 CTW458787:CTX458787 DDS458787:DDT458787 DNO458787:DNP458787 DXK458787:DXL458787 EHG458787:EHH458787 ERC458787:ERD458787 FAY458787:FAZ458787 FKU458787:FKV458787 FUQ458787:FUR458787 GEM458787:GEN458787 GOI458787:GOJ458787 GYE458787:GYF458787 HIA458787:HIB458787 HRW458787:HRX458787 IBS458787:IBT458787 ILO458787:ILP458787 IVK458787:IVL458787 JFG458787:JFH458787 JPC458787:JPD458787 JYY458787:JYZ458787 KIU458787:KIV458787 KSQ458787:KSR458787 LCM458787:LCN458787 LMI458787:LMJ458787 LWE458787:LWF458787 MGA458787:MGB458787 MPW458787:MPX458787 MZS458787:MZT458787 NJO458787:NJP458787 NTK458787:NTL458787 ODG458787:ODH458787 ONC458787:OND458787 OWY458787:OWZ458787 PGU458787:PGV458787 PQQ458787:PQR458787 QAM458787:QAN458787 QKI458787:QKJ458787 QUE458787:QUF458787 REA458787:REB458787 RNW458787:RNX458787 RXS458787:RXT458787 SHO458787:SHP458787 SRK458787:SRL458787 TBG458787:TBH458787 TLC458787:TLD458787 TUY458787:TUZ458787 UEU458787:UEV458787 UOQ458787:UOR458787 UYM458787:UYN458787 VII458787:VIJ458787 VSE458787:VSF458787 WCA458787:WCB458787 WLW458787:WLX458787 WVS458787:WVT458787 K524323:L524323 JG524323:JH524323 TC524323:TD524323 ACY524323:ACZ524323 AMU524323:AMV524323 AWQ524323:AWR524323 BGM524323:BGN524323 BQI524323:BQJ524323 CAE524323:CAF524323 CKA524323:CKB524323 CTW524323:CTX524323 DDS524323:DDT524323 DNO524323:DNP524323 DXK524323:DXL524323 EHG524323:EHH524323 ERC524323:ERD524323 FAY524323:FAZ524323 FKU524323:FKV524323 FUQ524323:FUR524323 GEM524323:GEN524323 GOI524323:GOJ524323 GYE524323:GYF524323 HIA524323:HIB524323 HRW524323:HRX524323 IBS524323:IBT524323 ILO524323:ILP524323 IVK524323:IVL524323 JFG524323:JFH524323 JPC524323:JPD524323 JYY524323:JYZ524323 KIU524323:KIV524323 KSQ524323:KSR524323 LCM524323:LCN524323 LMI524323:LMJ524323 LWE524323:LWF524323 MGA524323:MGB524323 MPW524323:MPX524323 MZS524323:MZT524323 NJO524323:NJP524323 NTK524323:NTL524323 ODG524323:ODH524323 ONC524323:OND524323 OWY524323:OWZ524323 PGU524323:PGV524323 PQQ524323:PQR524323 QAM524323:QAN524323 QKI524323:QKJ524323 QUE524323:QUF524323 REA524323:REB524323 RNW524323:RNX524323 RXS524323:RXT524323 SHO524323:SHP524323 SRK524323:SRL524323 TBG524323:TBH524323 TLC524323:TLD524323 TUY524323:TUZ524323 UEU524323:UEV524323 UOQ524323:UOR524323 UYM524323:UYN524323 VII524323:VIJ524323 VSE524323:VSF524323 WCA524323:WCB524323 WLW524323:WLX524323 WVS524323:WVT524323 K589859:L589859 JG589859:JH589859 TC589859:TD589859 ACY589859:ACZ589859 AMU589859:AMV589859 AWQ589859:AWR589859 BGM589859:BGN589859 BQI589859:BQJ589859 CAE589859:CAF589859 CKA589859:CKB589859 CTW589859:CTX589859 DDS589859:DDT589859 DNO589859:DNP589859 DXK589859:DXL589859 EHG589859:EHH589859 ERC589859:ERD589859 FAY589859:FAZ589859 FKU589859:FKV589859 FUQ589859:FUR589859 GEM589859:GEN589859 GOI589859:GOJ589859 GYE589859:GYF589859 HIA589859:HIB589859 HRW589859:HRX589859 IBS589859:IBT589859 ILO589859:ILP589859 IVK589859:IVL589859 JFG589859:JFH589859 JPC589859:JPD589859 JYY589859:JYZ589859 KIU589859:KIV589859 KSQ589859:KSR589859 LCM589859:LCN589859 LMI589859:LMJ589859 LWE589859:LWF589859 MGA589859:MGB589859 MPW589859:MPX589859 MZS589859:MZT589859 NJO589859:NJP589859 NTK589859:NTL589859 ODG589859:ODH589859 ONC589859:OND589859 OWY589859:OWZ589859 PGU589859:PGV589859 PQQ589859:PQR589859 QAM589859:QAN589859 QKI589859:QKJ589859 QUE589859:QUF589859 REA589859:REB589859 RNW589859:RNX589859 RXS589859:RXT589859 SHO589859:SHP589859 SRK589859:SRL589859 TBG589859:TBH589859 TLC589859:TLD589859 TUY589859:TUZ589859 UEU589859:UEV589859 UOQ589859:UOR589859 UYM589859:UYN589859 VII589859:VIJ589859 VSE589859:VSF589859 WCA589859:WCB589859 WLW589859:WLX589859 WVS589859:WVT589859 K655395:L655395 JG655395:JH655395 TC655395:TD655395 ACY655395:ACZ655395 AMU655395:AMV655395 AWQ655395:AWR655395 BGM655395:BGN655395 BQI655395:BQJ655395 CAE655395:CAF655395 CKA655395:CKB655395 CTW655395:CTX655395 DDS655395:DDT655395 DNO655395:DNP655395 DXK655395:DXL655395 EHG655395:EHH655395 ERC655395:ERD655395 FAY655395:FAZ655395 FKU655395:FKV655395 FUQ655395:FUR655395 GEM655395:GEN655395 GOI655395:GOJ655395 GYE655395:GYF655395 HIA655395:HIB655395 HRW655395:HRX655395 IBS655395:IBT655395 ILO655395:ILP655395 IVK655395:IVL655395 JFG655395:JFH655395 JPC655395:JPD655395 JYY655395:JYZ655395 KIU655395:KIV655395 KSQ655395:KSR655395 LCM655395:LCN655395 LMI655395:LMJ655395 LWE655395:LWF655395 MGA655395:MGB655395 MPW655395:MPX655395 MZS655395:MZT655395 NJO655395:NJP655395 NTK655395:NTL655395 ODG655395:ODH655395 ONC655395:OND655395 OWY655395:OWZ655395 PGU655395:PGV655395 PQQ655395:PQR655395 QAM655395:QAN655395 QKI655395:QKJ655395 QUE655395:QUF655395 REA655395:REB655395 RNW655395:RNX655395 RXS655395:RXT655395 SHO655395:SHP655395 SRK655395:SRL655395 TBG655395:TBH655395 TLC655395:TLD655395 TUY655395:TUZ655395 UEU655395:UEV655395 UOQ655395:UOR655395 UYM655395:UYN655395 VII655395:VIJ655395 VSE655395:VSF655395 WCA655395:WCB655395 WLW655395:WLX655395 WVS655395:WVT655395 K720931:L720931 JG720931:JH720931 TC720931:TD720931 ACY720931:ACZ720931 AMU720931:AMV720931 AWQ720931:AWR720931 BGM720931:BGN720931 BQI720931:BQJ720931 CAE720931:CAF720931 CKA720931:CKB720931 CTW720931:CTX720931 DDS720931:DDT720931 DNO720931:DNP720931 DXK720931:DXL720931 EHG720931:EHH720931 ERC720931:ERD720931 FAY720931:FAZ720931 FKU720931:FKV720931 FUQ720931:FUR720931 GEM720931:GEN720931 GOI720931:GOJ720931 GYE720931:GYF720931 HIA720931:HIB720931 HRW720931:HRX720931 IBS720931:IBT720931 ILO720931:ILP720931 IVK720931:IVL720931 JFG720931:JFH720931 JPC720931:JPD720931 JYY720931:JYZ720931 KIU720931:KIV720931 KSQ720931:KSR720931 LCM720931:LCN720931 LMI720931:LMJ720931 LWE720931:LWF720931 MGA720931:MGB720931 MPW720931:MPX720931 MZS720931:MZT720931 NJO720931:NJP720931 NTK720931:NTL720931 ODG720931:ODH720931 ONC720931:OND720931 OWY720931:OWZ720931 PGU720931:PGV720931 PQQ720931:PQR720931 QAM720931:QAN720931 QKI720931:QKJ720931 QUE720931:QUF720931 REA720931:REB720931 RNW720931:RNX720931 RXS720931:RXT720931 SHO720931:SHP720931 SRK720931:SRL720931 TBG720931:TBH720931 TLC720931:TLD720931 TUY720931:TUZ720931 UEU720931:UEV720931 UOQ720931:UOR720931 UYM720931:UYN720931 VII720931:VIJ720931 VSE720931:VSF720931 WCA720931:WCB720931 WLW720931:WLX720931 WVS720931:WVT720931 K786467:L786467 JG786467:JH786467 TC786467:TD786467 ACY786467:ACZ786467 AMU786467:AMV786467 AWQ786467:AWR786467 BGM786467:BGN786467 BQI786467:BQJ786467 CAE786467:CAF786467 CKA786467:CKB786467 CTW786467:CTX786467 DDS786467:DDT786467 DNO786467:DNP786467 DXK786467:DXL786467 EHG786467:EHH786467 ERC786467:ERD786467 FAY786467:FAZ786467 FKU786467:FKV786467 FUQ786467:FUR786467 GEM786467:GEN786467 GOI786467:GOJ786467 GYE786467:GYF786467 HIA786467:HIB786467 HRW786467:HRX786467 IBS786467:IBT786467 ILO786467:ILP786467 IVK786467:IVL786467 JFG786467:JFH786467 JPC786467:JPD786467 JYY786467:JYZ786467 KIU786467:KIV786467 KSQ786467:KSR786467 LCM786467:LCN786467 LMI786467:LMJ786467 LWE786467:LWF786467 MGA786467:MGB786467 MPW786467:MPX786467 MZS786467:MZT786467 NJO786467:NJP786467 NTK786467:NTL786467 ODG786467:ODH786467 ONC786467:OND786467 OWY786467:OWZ786467 PGU786467:PGV786467 PQQ786467:PQR786467 QAM786467:QAN786467 QKI786467:QKJ786467 QUE786467:QUF786467 REA786467:REB786467 RNW786467:RNX786467 RXS786467:RXT786467 SHO786467:SHP786467 SRK786467:SRL786467 TBG786467:TBH786467 TLC786467:TLD786467 TUY786467:TUZ786467 UEU786467:UEV786467 UOQ786467:UOR786467 UYM786467:UYN786467 VII786467:VIJ786467 VSE786467:VSF786467 WCA786467:WCB786467 WLW786467:WLX786467 WVS786467:WVT786467 K852003:L852003 JG852003:JH852003 TC852003:TD852003 ACY852003:ACZ852003 AMU852003:AMV852003 AWQ852003:AWR852003 BGM852003:BGN852003 BQI852003:BQJ852003 CAE852003:CAF852003 CKA852003:CKB852003 CTW852003:CTX852003 DDS852003:DDT852003 DNO852003:DNP852003 DXK852003:DXL852003 EHG852003:EHH852003 ERC852003:ERD852003 FAY852003:FAZ852003 FKU852003:FKV852003 FUQ852003:FUR852003 GEM852003:GEN852003 GOI852003:GOJ852003 GYE852003:GYF852003 HIA852003:HIB852003 HRW852003:HRX852003 IBS852003:IBT852003 ILO852003:ILP852003 IVK852003:IVL852003 JFG852003:JFH852003 JPC852003:JPD852003 JYY852003:JYZ852003 KIU852003:KIV852003 KSQ852003:KSR852003 LCM852003:LCN852003 LMI852003:LMJ852003 LWE852003:LWF852003 MGA852003:MGB852003 MPW852003:MPX852003 MZS852003:MZT852003 NJO852003:NJP852003 NTK852003:NTL852003 ODG852003:ODH852003 ONC852003:OND852003 OWY852003:OWZ852003 PGU852003:PGV852003 PQQ852003:PQR852003 QAM852003:QAN852003 QKI852003:QKJ852003 QUE852003:QUF852003 REA852003:REB852003 RNW852003:RNX852003 RXS852003:RXT852003 SHO852003:SHP852003 SRK852003:SRL852003 TBG852003:TBH852003 TLC852003:TLD852003 TUY852003:TUZ852003 UEU852003:UEV852003 UOQ852003:UOR852003 UYM852003:UYN852003 VII852003:VIJ852003 VSE852003:VSF852003 WCA852003:WCB852003 WLW852003:WLX852003 WVS852003:WVT852003 K917539:L917539 JG917539:JH917539 TC917539:TD917539 ACY917539:ACZ917539 AMU917539:AMV917539 AWQ917539:AWR917539 BGM917539:BGN917539 BQI917539:BQJ917539 CAE917539:CAF917539 CKA917539:CKB917539 CTW917539:CTX917539 DDS917539:DDT917539 DNO917539:DNP917539 DXK917539:DXL917539 EHG917539:EHH917539 ERC917539:ERD917539 FAY917539:FAZ917539 FKU917539:FKV917539 FUQ917539:FUR917539 GEM917539:GEN917539 GOI917539:GOJ917539 GYE917539:GYF917539 HIA917539:HIB917539 HRW917539:HRX917539 IBS917539:IBT917539 ILO917539:ILP917539 IVK917539:IVL917539 JFG917539:JFH917539 JPC917539:JPD917539 JYY917539:JYZ917539 KIU917539:KIV917539 KSQ917539:KSR917539 LCM917539:LCN917539 LMI917539:LMJ917539 LWE917539:LWF917539 MGA917539:MGB917539 MPW917539:MPX917539 MZS917539:MZT917539 NJO917539:NJP917539 NTK917539:NTL917539 ODG917539:ODH917539 ONC917539:OND917539 OWY917539:OWZ917539 PGU917539:PGV917539 PQQ917539:PQR917539 QAM917539:QAN917539 QKI917539:QKJ917539 QUE917539:QUF917539 REA917539:REB917539 RNW917539:RNX917539 RXS917539:RXT917539 SHO917539:SHP917539 SRK917539:SRL917539 TBG917539:TBH917539 TLC917539:TLD917539 TUY917539:TUZ917539 UEU917539:UEV917539 UOQ917539:UOR917539 UYM917539:UYN917539 VII917539:VIJ917539 VSE917539:VSF917539 WCA917539:WCB917539 WLW917539:WLX917539 WVS917539:WVT917539 K983075:L983075 JG983075:JH983075 TC983075:TD983075 ACY983075:ACZ983075 AMU983075:AMV983075 AWQ983075:AWR983075 BGM983075:BGN983075 BQI983075:BQJ983075 CAE983075:CAF983075 CKA983075:CKB983075 CTW983075:CTX983075 DDS983075:DDT983075 DNO983075:DNP983075 DXK983075:DXL983075 EHG983075:EHH983075 ERC983075:ERD983075 FAY983075:FAZ983075 FKU983075:FKV983075 FUQ983075:FUR983075 GEM983075:GEN983075 GOI983075:GOJ983075 GYE983075:GYF983075 HIA983075:HIB983075 HRW983075:HRX983075 IBS983075:IBT983075 ILO983075:ILP983075 IVK983075:IVL983075 JFG983075:JFH983075 JPC983075:JPD983075 JYY983075:JYZ983075 KIU983075:KIV983075 KSQ983075:KSR983075 LCM983075:LCN983075 LMI983075:LMJ983075 LWE983075:LWF983075 MGA983075:MGB983075 MPW983075:MPX983075 MZS983075:MZT983075 NJO983075:NJP983075 NTK983075:NTL983075 ODG983075:ODH983075 ONC983075:OND983075 OWY983075:OWZ983075 PGU983075:PGV983075 PQQ983075:PQR983075 QAM983075:QAN983075 QKI983075:QKJ983075 QUE983075:QUF983075 REA983075:REB983075 RNW983075:RNX983075 RXS983075:RXT983075 SHO983075:SHP983075 SRK983075:SRL983075 TBG983075:TBH983075 TLC983075:TLD983075 TUY983075:TUZ983075 UEU983075:UEV983075 UOQ983075:UOR983075 UYM983075:UYN983075 VII983075:VIJ983075 VSE983075:VSF983075 WCA983075:WCB983075 WLW983075:WLX983075 WVS983075:WVT983075 L36:L40 JH36:JH40 TD36:TD40 ACZ36:ACZ40 AMV36:AMV40 AWR36:AWR40 BGN36:BGN40 BQJ36:BQJ40 CAF36:CAF40 CKB36:CKB40 CTX36:CTX40 DDT36:DDT40 DNP36:DNP40 DXL36:DXL40 EHH36:EHH40 ERD36:ERD40 FAZ36:FAZ40 FKV36:FKV40 FUR36:FUR40 GEN36:GEN40 GOJ36:GOJ40 GYF36:GYF40 HIB36:HIB40 HRX36:HRX40 IBT36:IBT40 ILP36:ILP40 IVL36:IVL40 JFH36:JFH40 JPD36:JPD40 JYZ36:JYZ40 KIV36:KIV40 KSR36:KSR40 LCN36:LCN40 LMJ36:LMJ40 LWF36:LWF40 MGB36:MGB40 MPX36:MPX40 MZT36:MZT40 NJP36:NJP40 NTL36:NTL40 ODH36:ODH40 OND36:OND40 OWZ36:OWZ40 PGV36:PGV40 PQR36:PQR40 QAN36:QAN40 QKJ36:QKJ40 QUF36:QUF40 REB36:REB40 RNX36:RNX40 RXT36:RXT40 SHP36:SHP40 SRL36:SRL40 TBH36:TBH40 TLD36:TLD40 TUZ36:TUZ40 UEV36:UEV40 UOR36:UOR40 UYN36:UYN40 VIJ36:VIJ40 VSF36:VSF40 WCB36:WCB40 WLX36:WLX40 WVT36:WVT40 L65572:L65576 JH65572:JH65576 TD65572:TD65576 ACZ65572:ACZ65576 AMV65572:AMV65576 AWR65572:AWR65576 BGN65572:BGN65576 BQJ65572:BQJ65576 CAF65572:CAF65576 CKB65572:CKB65576 CTX65572:CTX65576 DDT65572:DDT65576 DNP65572:DNP65576 DXL65572:DXL65576 EHH65572:EHH65576 ERD65572:ERD65576 FAZ65572:FAZ65576 FKV65572:FKV65576 FUR65572:FUR65576 GEN65572:GEN65576 GOJ65572:GOJ65576 GYF65572:GYF65576 HIB65572:HIB65576 HRX65572:HRX65576 IBT65572:IBT65576 ILP65572:ILP65576 IVL65572:IVL65576 JFH65572:JFH65576 JPD65572:JPD65576 JYZ65572:JYZ65576 KIV65572:KIV65576 KSR65572:KSR65576 LCN65572:LCN65576 LMJ65572:LMJ65576 LWF65572:LWF65576 MGB65572:MGB65576 MPX65572:MPX65576 MZT65572:MZT65576 NJP65572:NJP65576 NTL65572:NTL65576 ODH65572:ODH65576 OND65572:OND65576 OWZ65572:OWZ65576 PGV65572:PGV65576 PQR65572:PQR65576 QAN65572:QAN65576 QKJ65572:QKJ65576 QUF65572:QUF65576 REB65572:REB65576 RNX65572:RNX65576 RXT65572:RXT65576 SHP65572:SHP65576 SRL65572:SRL65576 TBH65572:TBH65576 TLD65572:TLD65576 TUZ65572:TUZ65576 UEV65572:UEV65576 UOR65572:UOR65576 UYN65572:UYN65576 VIJ65572:VIJ65576 VSF65572:VSF65576 WCB65572:WCB65576 WLX65572:WLX65576 WVT65572:WVT65576 L131108:L131112 JH131108:JH131112 TD131108:TD131112 ACZ131108:ACZ131112 AMV131108:AMV131112 AWR131108:AWR131112 BGN131108:BGN131112 BQJ131108:BQJ131112 CAF131108:CAF131112 CKB131108:CKB131112 CTX131108:CTX131112 DDT131108:DDT131112 DNP131108:DNP131112 DXL131108:DXL131112 EHH131108:EHH131112 ERD131108:ERD131112 FAZ131108:FAZ131112 FKV131108:FKV131112 FUR131108:FUR131112 GEN131108:GEN131112 GOJ131108:GOJ131112 GYF131108:GYF131112 HIB131108:HIB131112 HRX131108:HRX131112 IBT131108:IBT131112 ILP131108:ILP131112 IVL131108:IVL131112 JFH131108:JFH131112 JPD131108:JPD131112 JYZ131108:JYZ131112 KIV131108:KIV131112 KSR131108:KSR131112 LCN131108:LCN131112 LMJ131108:LMJ131112 LWF131108:LWF131112 MGB131108:MGB131112 MPX131108:MPX131112 MZT131108:MZT131112 NJP131108:NJP131112 NTL131108:NTL131112 ODH131108:ODH131112 OND131108:OND131112 OWZ131108:OWZ131112 PGV131108:PGV131112 PQR131108:PQR131112 QAN131108:QAN131112 QKJ131108:QKJ131112 QUF131108:QUF131112 REB131108:REB131112 RNX131108:RNX131112 RXT131108:RXT131112 SHP131108:SHP131112 SRL131108:SRL131112 TBH131108:TBH131112 TLD131108:TLD131112 TUZ131108:TUZ131112 UEV131108:UEV131112 UOR131108:UOR131112 UYN131108:UYN131112 VIJ131108:VIJ131112 VSF131108:VSF131112 WCB131108:WCB131112 WLX131108:WLX131112 WVT131108:WVT131112 L196644:L196648 JH196644:JH196648 TD196644:TD196648 ACZ196644:ACZ196648 AMV196644:AMV196648 AWR196644:AWR196648 BGN196644:BGN196648 BQJ196644:BQJ196648 CAF196644:CAF196648 CKB196644:CKB196648 CTX196644:CTX196648 DDT196644:DDT196648 DNP196644:DNP196648 DXL196644:DXL196648 EHH196644:EHH196648 ERD196644:ERD196648 FAZ196644:FAZ196648 FKV196644:FKV196648 FUR196644:FUR196648 GEN196644:GEN196648 GOJ196644:GOJ196648 GYF196644:GYF196648 HIB196644:HIB196648 HRX196644:HRX196648 IBT196644:IBT196648 ILP196644:ILP196648 IVL196644:IVL196648 JFH196644:JFH196648 JPD196644:JPD196648 JYZ196644:JYZ196648 KIV196644:KIV196648 KSR196644:KSR196648 LCN196644:LCN196648 LMJ196644:LMJ196648 LWF196644:LWF196648 MGB196644:MGB196648 MPX196644:MPX196648 MZT196644:MZT196648 NJP196644:NJP196648 NTL196644:NTL196648 ODH196644:ODH196648 OND196644:OND196648 OWZ196644:OWZ196648 PGV196644:PGV196648 PQR196644:PQR196648 QAN196644:QAN196648 QKJ196644:QKJ196648 QUF196644:QUF196648 REB196644:REB196648 RNX196644:RNX196648 RXT196644:RXT196648 SHP196644:SHP196648 SRL196644:SRL196648 TBH196644:TBH196648 TLD196644:TLD196648 TUZ196644:TUZ196648 UEV196644:UEV196648 UOR196644:UOR196648 UYN196644:UYN196648 VIJ196644:VIJ196648 VSF196644:VSF196648 WCB196644:WCB196648 WLX196644:WLX196648 WVT196644:WVT196648 L262180:L262184 JH262180:JH262184 TD262180:TD262184 ACZ262180:ACZ262184 AMV262180:AMV262184 AWR262180:AWR262184 BGN262180:BGN262184 BQJ262180:BQJ262184 CAF262180:CAF262184 CKB262180:CKB262184 CTX262180:CTX262184 DDT262180:DDT262184 DNP262180:DNP262184 DXL262180:DXL262184 EHH262180:EHH262184 ERD262180:ERD262184 FAZ262180:FAZ262184 FKV262180:FKV262184 FUR262180:FUR262184 GEN262180:GEN262184 GOJ262180:GOJ262184 GYF262180:GYF262184 HIB262180:HIB262184 HRX262180:HRX262184 IBT262180:IBT262184 ILP262180:ILP262184 IVL262180:IVL262184 JFH262180:JFH262184 JPD262180:JPD262184 JYZ262180:JYZ262184 KIV262180:KIV262184 KSR262180:KSR262184 LCN262180:LCN262184 LMJ262180:LMJ262184 LWF262180:LWF262184 MGB262180:MGB262184 MPX262180:MPX262184 MZT262180:MZT262184 NJP262180:NJP262184 NTL262180:NTL262184 ODH262180:ODH262184 OND262180:OND262184 OWZ262180:OWZ262184 PGV262180:PGV262184 PQR262180:PQR262184 QAN262180:QAN262184 QKJ262180:QKJ262184 QUF262180:QUF262184 REB262180:REB262184 RNX262180:RNX262184 RXT262180:RXT262184 SHP262180:SHP262184 SRL262180:SRL262184 TBH262180:TBH262184 TLD262180:TLD262184 TUZ262180:TUZ262184 UEV262180:UEV262184 UOR262180:UOR262184 UYN262180:UYN262184 VIJ262180:VIJ262184 VSF262180:VSF262184 WCB262180:WCB262184 WLX262180:WLX262184 WVT262180:WVT262184 L327716:L327720 JH327716:JH327720 TD327716:TD327720 ACZ327716:ACZ327720 AMV327716:AMV327720 AWR327716:AWR327720 BGN327716:BGN327720 BQJ327716:BQJ327720 CAF327716:CAF327720 CKB327716:CKB327720 CTX327716:CTX327720 DDT327716:DDT327720 DNP327716:DNP327720 DXL327716:DXL327720 EHH327716:EHH327720 ERD327716:ERD327720 FAZ327716:FAZ327720 FKV327716:FKV327720 FUR327716:FUR327720 GEN327716:GEN327720 GOJ327716:GOJ327720 GYF327716:GYF327720 HIB327716:HIB327720 HRX327716:HRX327720 IBT327716:IBT327720 ILP327716:ILP327720 IVL327716:IVL327720 JFH327716:JFH327720 JPD327716:JPD327720 JYZ327716:JYZ327720 KIV327716:KIV327720 KSR327716:KSR327720 LCN327716:LCN327720 LMJ327716:LMJ327720 LWF327716:LWF327720 MGB327716:MGB327720 MPX327716:MPX327720 MZT327716:MZT327720 NJP327716:NJP327720 NTL327716:NTL327720 ODH327716:ODH327720 OND327716:OND327720 OWZ327716:OWZ327720 PGV327716:PGV327720 PQR327716:PQR327720 QAN327716:QAN327720 QKJ327716:QKJ327720 QUF327716:QUF327720 REB327716:REB327720 RNX327716:RNX327720 RXT327716:RXT327720 SHP327716:SHP327720 SRL327716:SRL327720 TBH327716:TBH327720 TLD327716:TLD327720 TUZ327716:TUZ327720 UEV327716:UEV327720 UOR327716:UOR327720 UYN327716:UYN327720 VIJ327716:VIJ327720 VSF327716:VSF327720 WCB327716:WCB327720 WLX327716:WLX327720 WVT327716:WVT327720 L393252:L393256 JH393252:JH393256 TD393252:TD393256 ACZ393252:ACZ393256 AMV393252:AMV393256 AWR393252:AWR393256 BGN393252:BGN393256 BQJ393252:BQJ393256 CAF393252:CAF393256 CKB393252:CKB393256 CTX393252:CTX393256 DDT393252:DDT393256 DNP393252:DNP393256 DXL393252:DXL393256 EHH393252:EHH393256 ERD393252:ERD393256 FAZ393252:FAZ393256 FKV393252:FKV393256 FUR393252:FUR393256 GEN393252:GEN393256 GOJ393252:GOJ393256 GYF393252:GYF393256 HIB393252:HIB393256 HRX393252:HRX393256 IBT393252:IBT393256 ILP393252:ILP393256 IVL393252:IVL393256 JFH393252:JFH393256 JPD393252:JPD393256 JYZ393252:JYZ393256 KIV393252:KIV393256 KSR393252:KSR393256 LCN393252:LCN393256 LMJ393252:LMJ393256 LWF393252:LWF393256 MGB393252:MGB393256 MPX393252:MPX393256 MZT393252:MZT393256 NJP393252:NJP393256 NTL393252:NTL393256 ODH393252:ODH393256 OND393252:OND393256 OWZ393252:OWZ393256 PGV393252:PGV393256 PQR393252:PQR393256 QAN393252:QAN393256 QKJ393252:QKJ393256 QUF393252:QUF393256 REB393252:REB393256 RNX393252:RNX393256 RXT393252:RXT393256 SHP393252:SHP393256 SRL393252:SRL393256 TBH393252:TBH393256 TLD393252:TLD393256 TUZ393252:TUZ393256 UEV393252:UEV393256 UOR393252:UOR393256 UYN393252:UYN393256 VIJ393252:VIJ393256 VSF393252:VSF393256 WCB393252:WCB393256 WLX393252:WLX393256 WVT393252:WVT393256 L458788:L458792 JH458788:JH458792 TD458788:TD458792 ACZ458788:ACZ458792 AMV458788:AMV458792 AWR458788:AWR458792 BGN458788:BGN458792 BQJ458788:BQJ458792 CAF458788:CAF458792 CKB458788:CKB458792 CTX458788:CTX458792 DDT458788:DDT458792 DNP458788:DNP458792 DXL458788:DXL458792 EHH458788:EHH458792 ERD458788:ERD458792 FAZ458788:FAZ458792 FKV458788:FKV458792 FUR458788:FUR458792 GEN458788:GEN458792 GOJ458788:GOJ458792 GYF458788:GYF458792 HIB458788:HIB458792 HRX458788:HRX458792 IBT458788:IBT458792 ILP458788:ILP458792 IVL458788:IVL458792 JFH458788:JFH458792 JPD458788:JPD458792 JYZ458788:JYZ458792 KIV458788:KIV458792 KSR458788:KSR458792 LCN458788:LCN458792 LMJ458788:LMJ458792 LWF458788:LWF458792 MGB458788:MGB458792 MPX458788:MPX458792 MZT458788:MZT458792 NJP458788:NJP458792 NTL458788:NTL458792 ODH458788:ODH458792 OND458788:OND458792 OWZ458788:OWZ458792 PGV458788:PGV458792 PQR458788:PQR458792 QAN458788:QAN458792 QKJ458788:QKJ458792 QUF458788:QUF458792 REB458788:REB458792 RNX458788:RNX458792 RXT458788:RXT458792 SHP458788:SHP458792 SRL458788:SRL458792 TBH458788:TBH458792 TLD458788:TLD458792 TUZ458788:TUZ458792 UEV458788:UEV458792 UOR458788:UOR458792 UYN458788:UYN458792 VIJ458788:VIJ458792 VSF458788:VSF458792 WCB458788:WCB458792 WLX458788:WLX458792 WVT458788:WVT458792 L524324:L524328 JH524324:JH524328 TD524324:TD524328 ACZ524324:ACZ524328 AMV524324:AMV524328 AWR524324:AWR524328 BGN524324:BGN524328 BQJ524324:BQJ524328 CAF524324:CAF524328 CKB524324:CKB524328 CTX524324:CTX524328 DDT524324:DDT524328 DNP524324:DNP524328 DXL524324:DXL524328 EHH524324:EHH524328 ERD524324:ERD524328 FAZ524324:FAZ524328 FKV524324:FKV524328 FUR524324:FUR524328 GEN524324:GEN524328 GOJ524324:GOJ524328 GYF524324:GYF524328 HIB524324:HIB524328 HRX524324:HRX524328 IBT524324:IBT524328 ILP524324:ILP524328 IVL524324:IVL524328 JFH524324:JFH524328 JPD524324:JPD524328 JYZ524324:JYZ524328 KIV524324:KIV524328 KSR524324:KSR524328 LCN524324:LCN524328 LMJ524324:LMJ524328 LWF524324:LWF524328 MGB524324:MGB524328 MPX524324:MPX524328 MZT524324:MZT524328 NJP524324:NJP524328 NTL524324:NTL524328 ODH524324:ODH524328 OND524324:OND524328 OWZ524324:OWZ524328 PGV524324:PGV524328 PQR524324:PQR524328 QAN524324:QAN524328 QKJ524324:QKJ524328 QUF524324:QUF524328 REB524324:REB524328 RNX524324:RNX524328 RXT524324:RXT524328 SHP524324:SHP524328 SRL524324:SRL524328 TBH524324:TBH524328 TLD524324:TLD524328 TUZ524324:TUZ524328 UEV524324:UEV524328 UOR524324:UOR524328 UYN524324:UYN524328 VIJ524324:VIJ524328 VSF524324:VSF524328 WCB524324:WCB524328 WLX524324:WLX524328 WVT524324:WVT524328 L589860:L589864 JH589860:JH589864 TD589860:TD589864 ACZ589860:ACZ589864 AMV589860:AMV589864 AWR589860:AWR589864 BGN589860:BGN589864 BQJ589860:BQJ589864 CAF589860:CAF589864 CKB589860:CKB589864 CTX589860:CTX589864 DDT589860:DDT589864 DNP589860:DNP589864 DXL589860:DXL589864 EHH589860:EHH589864 ERD589860:ERD589864 FAZ589860:FAZ589864 FKV589860:FKV589864 FUR589860:FUR589864 GEN589860:GEN589864 GOJ589860:GOJ589864 GYF589860:GYF589864 HIB589860:HIB589864 HRX589860:HRX589864 IBT589860:IBT589864 ILP589860:ILP589864 IVL589860:IVL589864 JFH589860:JFH589864 JPD589860:JPD589864 JYZ589860:JYZ589864 KIV589860:KIV589864 KSR589860:KSR589864 LCN589860:LCN589864 LMJ589860:LMJ589864 LWF589860:LWF589864 MGB589860:MGB589864 MPX589860:MPX589864 MZT589860:MZT589864 NJP589860:NJP589864 NTL589860:NTL589864 ODH589860:ODH589864 OND589860:OND589864 OWZ589860:OWZ589864 PGV589860:PGV589864 PQR589860:PQR589864 QAN589860:QAN589864 QKJ589860:QKJ589864 QUF589860:QUF589864 REB589860:REB589864 RNX589860:RNX589864 RXT589860:RXT589864 SHP589860:SHP589864 SRL589860:SRL589864 TBH589860:TBH589864 TLD589860:TLD589864 TUZ589860:TUZ589864 UEV589860:UEV589864 UOR589860:UOR589864 UYN589860:UYN589864 VIJ589860:VIJ589864 VSF589860:VSF589864 WCB589860:WCB589864 WLX589860:WLX589864 WVT589860:WVT589864 L655396:L655400 JH655396:JH655400 TD655396:TD655400 ACZ655396:ACZ655400 AMV655396:AMV655400 AWR655396:AWR655400 BGN655396:BGN655400 BQJ655396:BQJ655400 CAF655396:CAF655400 CKB655396:CKB655400 CTX655396:CTX655400 DDT655396:DDT655400 DNP655396:DNP655400 DXL655396:DXL655400 EHH655396:EHH655400 ERD655396:ERD655400 FAZ655396:FAZ655400 FKV655396:FKV655400 FUR655396:FUR655400 GEN655396:GEN655400 GOJ655396:GOJ655400 GYF655396:GYF655400 HIB655396:HIB655400 HRX655396:HRX655400 IBT655396:IBT655400 ILP655396:ILP655400 IVL655396:IVL655400 JFH655396:JFH655400 JPD655396:JPD655400 JYZ655396:JYZ655400 KIV655396:KIV655400 KSR655396:KSR655400 LCN655396:LCN655400 LMJ655396:LMJ655400 LWF655396:LWF655400 MGB655396:MGB655400 MPX655396:MPX655400 MZT655396:MZT655400 NJP655396:NJP655400 NTL655396:NTL655400 ODH655396:ODH655400 OND655396:OND655400 OWZ655396:OWZ655400 PGV655396:PGV655400 PQR655396:PQR655400 QAN655396:QAN655400 QKJ655396:QKJ655400 QUF655396:QUF655400 REB655396:REB655400 RNX655396:RNX655400 RXT655396:RXT655400 SHP655396:SHP655400 SRL655396:SRL655400 TBH655396:TBH655400 TLD655396:TLD655400 TUZ655396:TUZ655400 UEV655396:UEV655400 UOR655396:UOR655400 UYN655396:UYN655400 VIJ655396:VIJ655400 VSF655396:VSF655400 WCB655396:WCB655400 WLX655396:WLX655400 WVT655396:WVT655400 L720932:L720936 JH720932:JH720936 TD720932:TD720936 ACZ720932:ACZ720936 AMV720932:AMV720936 AWR720932:AWR720936 BGN720932:BGN720936 BQJ720932:BQJ720936 CAF720932:CAF720936 CKB720932:CKB720936 CTX720932:CTX720936 DDT720932:DDT720936 DNP720932:DNP720936 DXL720932:DXL720936 EHH720932:EHH720936 ERD720932:ERD720936 FAZ720932:FAZ720936 FKV720932:FKV720936 FUR720932:FUR720936 GEN720932:GEN720936 GOJ720932:GOJ720936 GYF720932:GYF720936 HIB720932:HIB720936 HRX720932:HRX720936 IBT720932:IBT720936 ILP720932:ILP720936 IVL720932:IVL720936 JFH720932:JFH720936 JPD720932:JPD720936 JYZ720932:JYZ720936 KIV720932:KIV720936 KSR720932:KSR720936 LCN720932:LCN720936 LMJ720932:LMJ720936 LWF720932:LWF720936 MGB720932:MGB720936 MPX720932:MPX720936 MZT720932:MZT720936 NJP720932:NJP720936 NTL720932:NTL720936 ODH720932:ODH720936 OND720932:OND720936 OWZ720932:OWZ720936 PGV720932:PGV720936 PQR720932:PQR720936 QAN720932:QAN720936 QKJ720932:QKJ720936 QUF720932:QUF720936 REB720932:REB720936 RNX720932:RNX720936 RXT720932:RXT720936 SHP720932:SHP720936 SRL720932:SRL720936 TBH720932:TBH720936 TLD720932:TLD720936 TUZ720932:TUZ720936 UEV720932:UEV720936 UOR720932:UOR720936 UYN720932:UYN720936 VIJ720932:VIJ720936 VSF720932:VSF720936 WCB720932:WCB720936 WLX720932:WLX720936 WVT720932:WVT720936 L786468:L786472 JH786468:JH786472 TD786468:TD786472 ACZ786468:ACZ786472 AMV786468:AMV786472 AWR786468:AWR786472 BGN786468:BGN786472 BQJ786468:BQJ786472 CAF786468:CAF786472 CKB786468:CKB786472 CTX786468:CTX786472 DDT786468:DDT786472 DNP786468:DNP786472 DXL786468:DXL786472 EHH786468:EHH786472 ERD786468:ERD786472 FAZ786468:FAZ786472 FKV786468:FKV786472 FUR786468:FUR786472 GEN786468:GEN786472 GOJ786468:GOJ786472 GYF786468:GYF786472 HIB786468:HIB786472 HRX786468:HRX786472 IBT786468:IBT786472 ILP786468:ILP786472 IVL786468:IVL786472 JFH786468:JFH786472 JPD786468:JPD786472 JYZ786468:JYZ786472 KIV786468:KIV786472 KSR786468:KSR786472 LCN786468:LCN786472 LMJ786468:LMJ786472 LWF786468:LWF786472 MGB786468:MGB786472 MPX786468:MPX786472 MZT786468:MZT786472 NJP786468:NJP786472 NTL786468:NTL786472 ODH786468:ODH786472 OND786468:OND786472 OWZ786468:OWZ786472 PGV786468:PGV786472 PQR786468:PQR786472 QAN786468:QAN786472 QKJ786468:QKJ786472 QUF786468:QUF786472 REB786468:REB786472 RNX786468:RNX786472 RXT786468:RXT786472 SHP786468:SHP786472 SRL786468:SRL786472 TBH786468:TBH786472 TLD786468:TLD786472 TUZ786468:TUZ786472 UEV786468:UEV786472 UOR786468:UOR786472 UYN786468:UYN786472 VIJ786468:VIJ786472 VSF786468:VSF786472 WCB786468:WCB786472 WLX786468:WLX786472 WVT786468:WVT786472 L852004:L852008 JH852004:JH852008 TD852004:TD852008 ACZ852004:ACZ852008 AMV852004:AMV852008 AWR852004:AWR852008 BGN852004:BGN852008 BQJ852004:BQJ852008 CAF852004:CAF852008 CKB852004:CKB852008 CTX852004:CTX852008 DDT852004:DDT852008 DNP852004:DNP852008 DXL852004:DXL852008 EHH852004:EHH852008 ERD852004:ERD852008 FAZ852004:FAZ852008 FKV852004:FKV852008 FUR852004:FUR852008 GEN852004:GEN852008 GOJ852004:GOJ852008 GYF852004:GYF852008 HIB852004:HIB852008 HRX852004:HRX852008 IBT852004:IBT852008 ILP852004:ILP852008 IVL852004:IVL852008 JFH852004:JFH852008 JPD852004:JPD852008 JYZ852004:JYZ852008 KIV852004:KIV852008 KSR852004:KSR852008 LCN852004:LCN852008 LMJ852004:LMJ852008 LWF852004:LWF852008 MGB852004:MGB852008 MPX852004:MPX852008 MZT852004:MZT852008 NJP852004:NJP852008 NTL852004:NTL852008 ODH852004:ODH852008 OND852004:OND852008 OWZ852004:OWZ852008 PGV852004:PGV852008 PQR852004:PQR852008 QAN852004:QAN852008 QKJ852004:QKJ852008 QUF852004:QUF852008 REB852004:REB852008 RNX852004:RNX852008 RXT852004:RXT852008 SHP852004:SHP852008 SRL852004:SRL852008 TBH852004:TBH852008 TLD852004:TLD852008 TUZ852004:TUZ852008 UEV852004:UEV852008 UOR852004:UOR852008 UYN852004:UYN852008 VIJ852004:VIJ852008 VSF852004:VSF852008 WCB852004:WCB852008 WLX852004:WLX852008 WVT852004:WVT852008 L917540:L917544 JH917540:JH917544 TD917540:TD917544 ACZ917540:ACZ917544 AMV917540:AMV917544 AWR917540:AWR917544 BGN917540:BGN917544 BQJ917540:BQJ917544 CAF917540:CAF917544 CKB917540:CKB917544 CTX917540:CTX917544 DDT917540:DDT917544 DNP917540:DNP917544 DXL917540:DXL917544 EHH917540:EHH917544 ERD917540:ERD917544 FAZ917540:FAZ917544 FKV917540:FKV917544 FUR917540:FUR917544 GEN917540:GEN917544 GOJ917540:GOJ917544 GYF917540:GYF917544 HIB917540:HIB917544 HRX917540:HRX917544 IBT917540:IBT917544 ILP917540:ILP917544 IVL917540:IVL917544 JFH917540:JFH917544 JPD917540:JPD917544 JYZ917540:JYZ917544 KIV917540:KIV917544 KSR917540:KSR917544 LCN917540:LCN917544 LMJ917540:LMJ917544 LWF917540:LWF917544 MGB917540:MGB917544 MPX917540:MPX917544 MZT917540:MZT917544 NJP917540:NJP917544 NTL917540:NTL917544 ODH917540:ODH917544 OND917540:OND917544 OWZ917540:OWZ917544 PGV917540:PGV917544 PQR917540:PQR917544 QAN917540:QAN917544 QKJ917540:QKJ917544 QUF917540:QUF917544 REB917540:REB917544 RNX917540:RNX917544 RXT917540:RXT917544 SHP917540:SHP917544 SRL917540:SRL917544 TBH917540:TBH917544 TLD917540:TLD917544 TUZ917540:TUZ917544 UEV917540:UEV917544 UOR917540:UOR917544 UYN917540:UYN917544 VIJ917540:VIJ917544 VSF917540:VSF917544 WCB917540:WCB917544 WLX917540:WLX917544 WVT917540:WVT917544 L983076:L983080 JH983076:JH983080 TD983076:TD983080 ACZ983076:ACZ983080 AMV983076:AMV983080 AWR983076:AWR983080 BGN983076:BGN983080 BQJ983076:BQJ983080 CAF983076:CAF983080 CKB983076:CKB983080 CTX983076:CTX983080 DDT983076:DDT983080 DNP983076:DNP983080 DXL983076:DXL983080 EHH983076:EHH983080 ERD983076:ERD983080 FAZ983076:FAZ983080 FKV983076:FKV983080 FUR983076:FUR983080 GEN983076:GEN983080 GOJ983076:GOJ983080 GYF983076:GYF983080 HIB983076:HIB983080 HRX983076:HRX983080 IBT983076:IBT983080 ILP983076:ILP983080 IVL983076:IVL983080 JFH983076:JFH983080 JPD983076:JPD983080 JYZ983076:JYZ983080 KIV983076:KIV983080 KSR983076:KSR983080 LCN983076:LCN983080 LMJ983076:LMJ983080 LWF983076:LWF983080 MGB983076:MGB983080 MPX983076:MPX983080 MZT983076:MZT983080 NJP983076:NJP983080 NTL983076:NTL983080 ODH983076:ODH983080 OND983076:OND983080 OWZ983076:OWZ983080 PGV983076:PGV983080 PQR983076:PQR983080 QAN983076:QAN983080 QKJ983076:QKJ983080 QUF983076:QUF983080 REB983076:REB983080 RNX983076:RNX983080 RXT983076:RXT983080 SHP983076:SHP983080 SRL983076:SRL983080 TBH983076:TBH983080 TLD983076:TLD983080 TUZ983076:TUZ983080 UEV983076:UEV983080 UOR983076:UOR983080 UYN983076:UYN983080 VIJ983076:VIJ983080 VSF983076:VSF983080 WCB983076:WCB983080 WLX983076:WLX983080 WVT983076:WVT983080 K33:L33 JG33:JH33 TC33:TD33 ACY33:ACZ33 AMU33:AMV33 AWQ33:AWR33 BGM33:BGN33 BQI33:BQJ33 CAE33:CAF33 CKA33:CKB33 CTW33:CTX33 DDS33:DDT33 DNO33:DNP33 DXK33:DXL33 EHG33:EHH33 ERC33:ERD33 FAY33:FAZ33 FKU33:FKV33 FUQ33:FUR33 GEM33:GEN33 GOI33:GOJ33 GYE33:GYF33 HIA33:HIB33 HRW33:HRX33 IBS33:IBT33 ILO33:ILP33 IVK33:IVL33 JFG33:JFH33 JPC33:JPD33 JYY33:JYZ33 KIU33:KIV33 KSQ33:KSR33 LCM33:LCN33 LMI33:LMJ33 LWE33:LWF33 MGA33:MGB33 MPW33:MPX33 MZS33:MZT33 NJO33:NJP33 NTK33:NTL33 ODG33:ODH33 ONC33:OND33 OWY33:OWZ33 PGU33:PGV33 PQQ33:PQR33 QAM33:QAN33 QKI33:QKJ33 QUE33:QUF33 REA33:REB33 RNW33:RNX33 RXS33:RXT33 SHO33:SHP33 SRK33:SRL33 TBG33:TBH33 TLC33:TLD33 TUY33:TUZ33 UEU33:UEV33 UOQ33:UOR33 UYM33:UYN33 VII33:VIJ33 VSE33:VSF33 WCA33:WCB33 WLW33:WLX33 WVS33:WVT33 K65569:L65569 JG65569:JH65569 TC65569:TD65569 ACY65569:ACZ65569 AMU65569:AMV65569 AWQ65569:AWR65569 BGM65569:BGN65569 BQI65569:BQJ65569 CAE65569:CAF65569 CKA65569:CKB65569 CTW65569:CTX65569 DDS65569:DDT65569 DNO65569:DNP65569 DXK65569:DXL65569 EHG65569:EHH65569 ERC65569:ERD65569 FAY65569:FAZ65569 FKU65569:FKV65569 FUQ65569:FUR65569 GEM65569:GEN65569 GOI65569:GOJ65569 GYE65569:GYF65569 HIA65569:HIB65569 HRW65569:HRX65569 IBS65569:IBT65569 ILO65569:ILP65569 IVK65569:IVL65569 JFG65569:JFH65569 JPC65569:JPD65569 JYY65569:JYZ65569 KIU65569:KIV65569 KSQ65569:KSR65569 LCM65569:LCN65569 LMI65569:LMJ65569 LWE65569:LWF65569 MGA65569:MGB65569 MPW65569:MPX65569 MZS65569:MZT65569 NJO65569:NJP65569 NTK65569:NTL65569 ODG65569:ODH65569 ONC65569:OND65569 OWY65569:OWZ65569 PGU65569:PGV65569 PQQ65569:PQR65569 QAM65569:QAN65569 QKI65569:QKJ65569 QUE65569:QUF65569 REA65569:REB65569 RNW65569:RNX65569 RXS65569:RXT65569 SHO65569:SHP65569 SRK65569:SRL65569 TBG65569:TBH65569 TLC65569:TLD65569 TUY65569:TUZ65569 UEU65569:UEV65569 UOQ65569:UOR65569 UYM65569:UYN65569 VII65569:VIJ65569 VSE65569:VSF65569 WCA65569:WCB65569 WLW65569:WLX65569 WVS65569:WVT65569 K131105:L131105 JG131105:JH131105 TC131105:TD131105 ACY131105:ACZ131105 AMU131105:AMV131105 AWQ131105:AWR131105 BGM131105:BGN131105 BQI131105:BQJ131105 CAE131105:CAF131105 CKA131105:CKB131105 CTW131105:CTX131105 DDS131105:DDT131105 DNO131105:DNP131105 DXK131105:DXL131105 EHG131105:EHH131105 ERC131105:ERD131105 FAY131105:FAZ131105 FKU131105:FKV131105 FUQ131105:FUR131105 GEM131105:GEN131105 GOI131105:GOJ131105 GYE131105:GYF131105 HIA131105:HIB131105 HRW131105:HRX131105 IBS131105:IBT131105 ILO131105:ILP131105 IVK131105:IVL131105 JFG131105:JFH131105 JPC131105:JPD131105 JYY131105:JYZ131105 KIU131105:KIV131105 KSQ131105:KSR131105 LCM131105:LCN131105 LMI131105:LMJ131105 LWE131105:LWF131105 MGA131105:MGB131105 MPW131105:MPX131105 MZS131105:MZT131105 NJO131105:NJP131105 NTK131105:NTL131105 ODG131105:ODH131105 ONC131105:OND131105 OWY131105:OWZ131105 PGU131105:PGV131105 PQQ131105:PQR131105 QAM131105:QAN131105 QKI131105:QKJ131105 QUE131105:QUF131105 REA131105:REB131105 RNW131105:RNX131105 RXS131105:RXT131105 SHO131105:SHP131105 SRK131105:SRL131105 TBG131105:TBH131105 TLC131105:TLD131105 TUY131105:TUZ131105 UEU131105:UEV131105 UOQ131105:UOR131105 UYM131105:UYN131105 VII131105:VIJ131105 VSE131105:VSF131105 WCA131105:WCB131105 WLW131105:WLX131105 WVS131105:WVT131105 K196641:L196641 JG196641:JH196641 TC196641:TD196641 ACY196641:ACZ196641 AMU196641:AMV196641 AWQ196641:AWR196641 BGM196641:BGN196641 BQI196641:BQJ196641 CAE196641:CAF196641 CKA196641:CKB196641 CTW196641:CTX196641 DDS196641:DDT196641 DNO196641:DNP196641 DXK196641:DXL196641 EHG196641:EHH196641 ERC196641:ERD196641 FAY196641:FAZ196641 FKU196641:FKV196641 FUQ196641:FUR196641 GEM196641:GEN196641 GOI196641:GOJ196641 GYE196641:GYF196641 HIA196641:HIB196641 HRW196641:HRX196641 IBS196641:IBT196641 ILO196641:ILP196641 IVK196641:IVL196641 JFG196641:JFH196641 JPC196641:JPD196641 JYY196641:JYZ196641 KIU196641:KIV196641 KSQ196641:KSR196641 LCM196641:LCN196641 LMI196641:LMJ196641 LWE196641:LWF196641 MGA196641:MGB196641 MPW196641:MPX196641 MZS196641:MZT196641 NJO196641:NJP196641 NTK196641:NTL196641 ODG196641:ODH196641 ONC196641:OND196641 OWY196641:OWZ196641 PGU196641:PGV196641 PQQ196641:PQR196641 QAM196641:QAN196641 QKI196641:QKJ196641 QUE196641:QUF196641 REA196641:REB196641 RNW196641:RNX196641 RXS196641:RXT196641 SHO196641:SHP196641 SRK196641:SRL196641 TBG196641:TBH196641 TLC196641:TLD196641 TUY196641:TUZ196641 UEU196641:UEV196641 UOQ196641:UOR196641 UYM196641:UYN196641 VII196641:VIJ196641 VSE196641:VSF196641 WCA196641:WCB196641 WLW196641:WLX196641 WVS196641:WVT196641 K262177:L262177 JG262177:JH262177 TC262177:TD262177 ACY262177:ACZ262177 AMU262177:AMV262177 AWQ262177:AWR262177 BGM262177:BGN262177 BQI262177:BQJ262177 CAE262177:CAF262177 CKA262177:CKB262177 CTW262177:CTX262177 DDS262177:DDT262177 DNO262177:DNP262177 DXK262177:DXL262177 EHG262177:EHH262177 ERC262177:ERD262177 FAY262177:FAZ262177 FKU262177:FKV262177 FUQ262177:FUR262177 GEM262177:GEN262177 GOI262177:GOJ262177 GYE262177:GYF262177 HIA262177:HIB262177 HRW262177:HRX262177 IBS262177:IBT262177 ILO262177:ILP262177 IVK262177:IVL262177 JFG262177:JFH262177 JPC262177:JPD262177 JYY262177:JYZ262177 KIU262177:KIV262177 KSQ262177:KSR262177 LCM262177:LCN262177 LMI262177:LMJ262177 LWE262177:LWF262177 MGA262177:MGB262177 MPW262177:MPX262177 MZS262177:MZT262177 NJO262177:NJP262177 NTK262177:NTL262177 ODG262177:ODH262177 ONC262177:OND262177 OWY262177:OWZ262177 PGU262177:PGV262177 PQQ262177:PQR262177 QAM262177:QAN262177 QKI262177:QKJ262177 QUE262177:QUF262177 REA262177:REB262177 RNW262177:RNX262177 RXS262177:RXT262177 SHO262177:SHP262177 SRK262177:SRL262177 TBG262177:TBH262177 TLC262177:TLD262177 TUY262177:TUZ262177 UEU262177:UEV262177 UOQ262177:UOR262177 UYM262177:UYN262177 VII262177:VIJ262177 VSE262177:VSF262177 WCA262177:WCB262177 WLW262177:WLX262177 WVS262177:WVT262177 K327713:L327713 JG327713:JH327713 TC327713:TD327713 ACY327713:ACZ327713 AMU327713:AMV327713 AWQ327713:AWR327713 BGM327713:BGN327713 BQI327713:BQJ327713 CAE327713:CAF327713 CKA327713:CKB327713 CTW327713:CTX327713 DDS327713:DDT327713 DNO327713:DNP327713 DXK327713:DXL327713 EHG327713:EHH327713 ERC327713:ERD327713 FAY327713:FAZ327713 FKU327713:FKV327713 FUQ327713:FUR327713 GEM327713:GEN327713 GOI327713:GOJ327713 GYE327713:GYF327713 HIA327713:HIB327713 HRW327713:HRX327713 IBS327713:IBT327713 ILO327713:ILP327713 IVK327713:IVL327713 JFG327713:JFH327713 JPC327713:JPD327713 JYY327713:JYZ327713 KIU327713:KIV327713 KSQ327713:KSR327713 LCM327713:LCN327713 LMI327713:LMJ327713 LWE327713:LWF327713 MGA327713:MGB327713 MPW327713:MPX327713 MZS327713:MZT327713 NJO327713:NJP327713 NTK327713:NTL327713 ODG327713:ODH327713 ONC327713:OND327713 OWY327713:OWZ327713 PGU327713:PGV327713 PQQ327713:PQR327713 QAM327713:QAN327713 QKI327713:QKJ327713 QUE327713:QUF327713 REA327713:REB327713 RNW327713:RNX327713 RXS327713:RXT327713 SHO327713:SHP327713 SRK327713:SRL327713 TBG327713:TBH327713 TLC327713:TLD327713 TUY327713:TUZ327713 UEU327713:UEV327713 UOQ327713:UOR327713 UYM327713:UYN327713 VII327713:VIJ327713 VSE327713:VSF327713 WCA327713:WCB327713 WLW327713:WLX327713 WVS327713:WVT327713 K393249:L393249 JG393249:JH393249 TC393249:TD393249 ACY393249:ACZ393249 AMU393249:AMV393249 AWQ393249:AWR393249 BGM393249:BGN393249 BQI393249:BQJ393249 CAE393249:CAF393249 CKA393249:CKB393249 CTW393249:CTX393249 DDS393249:DDT393249 DNO393249:DNP393249 DXK393249:DXL393249 EHG393249:EHH393249 ERC393249:ERD393249 FAY393249:FAZ393249 FKU393249:FKV393249 FUQ393249:FUR393249 GEM393249:GEN393249 GOI393249:GOJ393249 GYE393249:GYF393249 HIA393249:HIB393249 HRW393249:HRX393249 IBS393249:IBT393249 ILO393249:ILP393249 IVK393249:IVL393249 JFG393249:JFH393249 JPC393249:JPD393249 JYY393249:JYZ393249 KIU393249:KIV393249 KSQ393249:KSR393249 LCM393249:LCN393249 LMI393249:LMJ393249 LWE393249:LWF393249 MGA393249:MGB393249 MPW393249:MPX393249 MZS393249:MZT393249 NJO393249:NJP393249 NTK393249:NTL393249 ODG393249:ODH393249 ONC393249:OND393249 OWY393249:OWZ393249 PGU393249:PGV393249 PQQ393249:PQR393249 QAM393249:QAN393249 QKI393249:QKJ393249 QUE393249:QUF393249 REA393249:REB393249 RNW393249:RNX393249 RXS393249:RXT393249 SHO393249:SHP393249 SRK393249:SRL393249 TBG393249:TBH393249 TLC393249:TLD393249 TUY393249:TUZ393249 UEU393249:UEV393249 UOQ393249:UOR393249 UYM393249:UYN393249 VII393249:VIJ393249 VSE393249:VSF393249 WCA393249:WCB393249 WLW393249:WLX393249 WVS393249:WVT393249 K458785:L458785 JG458785:JH458785 TC458785:TD458785 ACY458785:ACZ458785 AMU458785:AMV458785 AWQ458785:AWR458785 BGM458785:BGN458785 BQI458785:BQJ458785 CAE458785:CAF458785 CKA458785:CKB458785 CTW458785:CTX458785 DDS458785:DDT458785 DNO458785:DNP458785 DXK458785:DXL458785 EHG458785:EHH458785 ERC458785:ERD458785 FAY458785:FAZ458785 FKU458785:FKV458785 FUQ458785:FUR458785 GEM458785:GEN458785 GOI458785:GOJ458785 GYE458785:GYF458785 HIA458785:HIB458785 HRW458785:HRX458785 IBS458785:IBT458785 ILO458785:ILP458785 IVK458785:IVL458785 JFG458785:JFH458785 JPC458785:JPD458785 JYY458785:JYZ458785 KIU458785:KIV458785 KSQ458785:KSR458785 LCM458785:LCN458785 LMI458785:LMJ458785 LWE458785:LWF458785 MGA458785:MGB458785 MPW458785:MPX458785 MZS458785:MZT458785 NJO458785:NJP458785 NTK458785:NTL458785 ODG458785:ODH458785 ONC458785:OND458785 OWY458785:OWZ458785 PGU458785:PGV458785 PQQ458785:PQR458785 QAM458785:QAN458785 QKI458785:QKJ458785 QUE458785:QUF458785 REA458785:REB458785 RNW458785:RNX458785 RXS458785:RXT458785 SHO458785:SHP458785 SRK458785:SRL458785 TBG458785:TBH458785 TLC458785:TLD458785 TUY458785:TUZ458785 UEU458785:UEV458785 UOQ458785:UOR458785 UYM458785:UYN458785 VII458785:VIJ458785 VSE458785:VSF458785 WCA458785:WCB458785 WLW458785:WLX458785 WVS458785:WVT458785 K524321:L524321 JG524321:JH524321 TC524321:TD524321 ACY524321:ACZ524321 AMU524321:AMV524321 AWQ524321:AWR524321 BGM524321:BGN524321 BQI524321:BQJ524321 CAE524321:CAF524321 CKA524321:CKB524321 CTW524321:CTX524321 DDS524321:DDT524321 DNO524321:DNP524321 DXK524321:DXL524321 EHG524321:EHH524321 ERC524321:ERD524321 FAY524321:FAZ524321 FKU524321:FKV524321 FUQ524321:FUR524321 GEM524321:GEN524321 GOI524321:GOJ524321 GYE524321:GYF524321 HIA524321:HIB524321 HRW524321:HRX524321 IBS524321:IBT524321 ILO524321:ILP524321 IVK524321:IVL524321 JFG524321:JFH524321 JPC524321:JPD524321 JYY524321:JYZ524321 KIU524321:KIV524321 KSQ524321:KSR524321 LCM524321:LCN524321 LMI524321:LMJ524321 LWE524321:LWF524321 MGA524321:MGB524321 MPW524321:MPX524321 MZS524321:MZT524321 NJO524321:NJP524321 NTK524321:NTL524321 ODG524321:ODH524321 ONC524321:OND524321 OWY524321:OWZ524321 PGU524321:PGV524321 PQQ524321:PQR524321 QAM524321:QAN524321 QKI524321:QKJ524321 QUE524321:QUF524321 REA524321:REB524321 RNW524321:RNX524321 RXS524321:RXT524321 SHO524321:SHP524321 SRK524321:SRL524321 TBG524321:TBH524321 TLC524321:TLD524321 TUY524321:TUZ524321 UEU524321:UEV524321 UOQ524321:UOR524321 UYM524321:UYN524321 VII524321:VIJ524321 VSE524321:VSF524321 WCA524321:WCB524321 WLW524321:WLX524321 WVS524321:WVT524321 K589857:L589857 JG589857:JH589857 TC589857:TD589857 ACY589857:ACZ589857 AMU589857:AMV589857 AWQ589857:AWR589857 BGM589857:BGN589857 BQI589857:BQJ589857 CAE589857:CAF589857 CKA589857:CKB589857 CTW589857:CTX589857 DDS589857:DDT589857 DNO589857:DNP589857 DXK589857:DXL589857 EHG589857:EHH589857 ERC589857:ERD589857 FAY589857:FAZ589857 FKU589857:FKV589857 FUQ589857:FUR589857 GEM589857:GEN589857 GOI589857:GOJ589857 GYE589857:GYF589857 HIA589857:HIB589857 HRW589857:HRX589857 IBS589857:IBT589857 ILO589857:ILP589857 IVK589857:IVL589857 JFG589857:JFH589857 JPC589857:JPD589857 JYY589857:JYZ589857 KIU589857:KIV589857 KSQ589857:KSR589857 LCM589857:LCN589857 LMI589857:LMJ589857 LWE589857:LWF589857 MGA589857:MGB589857 MPW589857:MPX589857 MZS589857:MZT589857 NJO589857:NJP589857 NTK589857:NTL589857 ODG589857:ODH589857 ONC589857:OND589857 OWY589857:OWZ589857 PGU589857:PGV589857 PQQ589857:PQR589857 QAM589857:QAN589857 QKI589857:QKJ589857 QUE589857:QUF589857 REA589857:REB589857 RNW589857:RNX589857 RXS589857:RXT589857 SHO589857:SHP589857 SRK589857:SRL589857 TBG589857:TBH589857 TLC589857:TLD589857 TUY589857:TUZ589857 UEU589857:UEV589857 UOQ589857:UOR589857 UYM589857:UYN589857 VII589857:VIJ589857 VSE589857:VSF589857 WCA589857:WCB589857 WLW589857:WLX589857 WVS589857:WVT589857 K655393:L655393 JG655393:JH655393 TC655393:TD655393 ACY655393:ACZ655393 AMU655393:AMV655393 AWQ655393:AWR655393 BGM655393:BGN655393 BQI655393:BQJ655393 CAE655393:CAF655393 CKA655393:CKB655393 CTW655393:CTX655393 DDS655393:DDT655393 DNO655393:DNP655393 DXK655393:DXL655393 EHG655393:EHH655393 ERC655393:ERD655393 FAY655393:FAZ655393 FKU655393:FKV655393 FUQ655393:FUR655393 GEM655393:GEN655393 GOI655393:GOJ655393 GYE655393:GYF655393 HIA655393:HIB655393 HRW655393:HRX655393 IBS655393:IBT655393 ILO655393:ILP655393 IVK655393:IVL655393 JFG655393:JFH655393 JPC655393:JPD655393 JYY655393:JYZ655393 KIU655393:KIV655393 KSQ655393:KSR655393 LCM655393:LCN655393 LMI655393:LMJ655393 LWE655393:LWF655393 MGA655393:MGB655393 MPW655393:MPX655393 MZS655393:MZT655393 NJO655393:NJP655393 NTK655393:NTL655393 ODG655393:ODH655393 ONC655393:OND655393 OWY655393:OWZ655393 PGU655393:PGV655393 PQQ655393:PQR655393 QAM655393:QAN655393 QKI655393:QKJ655393 QUE655393:QUF655393 REA655393:REB655393 RNW655393:RNX655393 RXS655393:RXT655393 SHO655393:SHP655393 SRK655393:SRL655393 TBG655393:TBH655393 TLC655393:TLD655393 TUY655393:TUZ655393 UEU655393:UEV655393 UOQ655393:UOR655393 UYM655393:UYN655393 VII655393:VIJ655393 VSE655393:VSF655393 WCA655393:WCB655393 WLW655393:WLX655393 WVS655393:WVT655393 K720929:L720929 JG720929:JH720929 TC720929:TD720929 ACY720929:ACZ720929 AMU720929:AMV720929 AWQ720929:AWR720929 BGM720929:BGN720929 BQI720929:BQJ720929 CAE720929:CAF720929 CKA720929:CKB720929 CTW720929:CTX720929 DDS720929:DDT720929 DNO720929:DNP720929 DXK720929:DXL720929 EHG720929:EHH720929 ERC720929:ERD720929 FAY720929:FAZ720929 FKU720929:FKV720929 FUQ720929:FUR720929 GEM720929:GEN720929 GOI720929:GOJ720929 GYE720929:GYF720929 HIA720929:HIB720929 HRW720929:HRX720929 IBS720929:IBT720929 ILO720929:ILP720929 IVK720929:IVL720929 JFG720929:JFH720929 JPC720929:JPD720929 JYY720929:JYZ720929 KIU720929:KIV720929 KSQ720929:KSR720929 LCM720929:LCN720929 LMI720929:LMJ720929 LWE720929:LWF720929 MGA720929:MGB720929 MPW720929:MPX720929 MZS720929:MZT720929 NJO720929:NJP720929 NTK720929:NTL720929 ODG720929:ODH720929 ONC720929:OND720929 OWY720929:OWZ720929 PGU720929:PGV720929 PQQ720929:PQR720929 QAM720929:QAN720929 QKI720929:QKJ720929 QUE720929:QUF720929 REA720929:REB720929 RNW720929:RNX720929 RXS720929:RXT720929 SHO720929:SHP720929 SRK720929:SRL720929 TBG720929:TBH720929 TLC720929:TLD720929 TUY720929:TUZ720929 UEU720929:UEV720929 UOQ720929:UOR720929 UYM720929:UYN720929 VII720929:VIJ720929 VSE720929:VSF720929 WCA720929:WCB720929 WLW720929:WLX720929 WVS720929:WVT720929 K786465:L786465 JG786465:JH786465 TC786465:TD786465 ACY786465:ACZ786465 AMU786465:AMV786465 AWQ786465:AWR786465 BGM786465:BGN786465 BQI786465:BQJ786465 CAE786465:CAF786465 CKA786465:CKB786465 CTW786465:CTX786465 DDS786465:DDT786465 DNO786465:DNP786465 DXK786465:DXL786465 EHG786465:EHH786465 ERC786465:ERD786465 FAY786465:FAZ786465 FKU786465:FKV786465 FUQ786465:FUR786465 GEM786465:GEN786465 GOI786465:GOJ786465 GYE786465:GYF786465 HIA786465:HIB786465 HRW786465:HRX786465 IBS786465:IBT786465 ILO786465:ILP786465 IVK786465:IVL786465 JFG786465:JFH786465 JPC786465:JPD786465 JYY786465:JYZ786465 KIU786465:KIV786465 KSQ786465:KSR786465 LCM786465:LCN786465 LMI786465:LMJ786465 LWE786465:LWF786465 MGA786465:MGB786465 MPW786465:MPX786465 MZS786465:MZT786465 NJO786465:NJP786465 NTK786465:NTL786465 ODG786465:ODH786465 ONC786465:OND786465 OWY786465:OWZ786465 PGU786465:PGV786465 PQQ786465:PQR786465 QAM786465:QAN786465 QKI786465:QKJ786465 QUE786465:QUF786465 REA786465:REB786465 RNW786465:RNX786465 RXS786465:RXT786465 SHO786465:SHP786465 SRK786465:SRL786465 TBG786465:TBH786465 TLC786465:TLD786465 TUY786465:TUZ786465 UEU786465:UEV786465 UOQ786465:UOR786465 UYM786465:UYN786465 VII786465:VIJ786465 VSE786465:VSF786465 WCA786465:WCB786465 WLW786465:WLX786465 WVS786465:WVT786465 K852001:L852001 JG852001:JH852001 TC852001:TD852001 ACY852001:ACZ852001 AMU852001:AMV852001 AWQ852001:AWR852001 BGM852001:BGN852001 BQI852001:BQJ852001 CAE852001:CAF852001 CKA852001:CKB852001 CTW852001:CTX852001 DDS852001:DDT852001 DNO852001:DNP852001 DXK852001:DXL852001 EHG852001:EHH852001 ERC852001:ERD852001 FAY852001:FAZ852001 FKU852001:FKV852001 FUQ852001:FUR852001 GEM852001:GEN852001 GOI852001:GOJ852001 GYE852001:GYF852001 HIA852001:HIB852001 HRW852001:HRX852001 IBS852001:IBT852001 ILO852001:ILP852001 IVK852001:IVL852001 JFG852001:JFH852001 JPC852001:JPD852001 JYY852001:JYZ852001 KIU852001:KIV852001 KSQ852001:KSR852001 LCM852001:LCN852001 LMI852001:LMJ852001 LWE852001:LWF852001 MGA852001:MGB852001 MPW852001:MPX852001 MZS852001:MZT852001 NJO852001:NJP852001 NTK852001:NTL852001 ODG852001:ODH852001 ONC852001:OND852001 OWY852001:OWZ852001 PGU852001:PGV852001 PQQ852001:PQR852001 QAM852001:QAN852001 QKI852001:QKJ852001 QUE852001:QUF852001 REA852001:REB852001 RNW852001:RNX852001 RXS852001:RXT852001 SHO852001:SHP852001 SRK852001:SRL852001 TBG852001:TBH852001 TLC852001:TLD852001 TUY852001:TUZ852001 UEU852001:UEV852001 UOQ852001:UOR852001 UYM852001:UYN852001 VII852001:VIJ852001 VSE852001:VSF852001 WCA852001:WCB852001 WLW852001:WLX852001 WVS852001:WVT852001 K917537:L917537 JG917537:JH917537 TC917537:TD917537 ACY917537:ACZ917537 AMU917537:AMV917537 AWQ917537:AWR917537 BGM917537:BGN917537 BQI917537:BQJ917537 CAE917537:CAF917537 CKA917537:CKB917537 CTW917537:CTX917537 DDS917537:DDT917537 DNO917537:DNP917537 DXK917537:DXL917537 EHG917537:EHH917537 ERC917537:ERD917537 FAY917537:FAZ917537 FKU917537:FKV917537 FUQ917537:FUR917537 GEM917537:GEN917537 GOI917537:GOJ917537 GYE917537:GYF917537 HIA917537:HIB917537 HRW917537:HRX917537 IBS917537:IBT917537 ILO917537:ILP917537 IVK917537:IVL917537 JFG917537:JFH917537 JPC917537:JPD917537 JYY917537:JYZ917537 KIU917537:KIV917537 KSQ917537:KSR917537 LCM917537:LCN917537 LMI917537:LMJ917537 LWE917537:LWF917537 MGA917537:MGB917537 MPW917537:MPX917537 MZS917537:MZT917537 NJO917537:NJP917537 NTK917537:NTL917537 ODG917537:ODH917537 ONC917537:OND917537 OWY917537:OWZ917537 PGU917537:PGV917537 PQQ917537:PQR917537 QAM917537:QAN917537 QKI917537:QKJ917537 QUE917537:QUF917537 REA917537:REB917537 RNW917537:RNX917537 RXS917537:RXT917537 SHO917537:SHP917537 SRK917537:SRL917537 TBG917537:TBH917537 TLC917537:TLD917537 TUY917537:TUZ917537 UEU917537:UEV917537 UOQ917537:UOR917537 UYM917537:UYN917537 VII917537:VIJ917537 VSE917537:VSF917537 WCA917537:WCB917537 WLW917537:WLX917537 WVS917537:WVT917537 K983073:L983073 JG983073:JH983073 TC983073:TD983073 ACY983073:ACZ983073 AMU983073:AMV983073 AWQ983073:AWR983073 BGM983073:BGN983073 BQI983073:BQJ983073 CAE983073:CAF983073 CKA983073:CKB983073 CTW983073:CTX983073 DDS983073:DDT983073 DNO983073:DNP983073 DXK983073:DXL983073 EHG983073:EHH983073 ERC983073:ERD983073 FAY983073:FAZ983073 FKU983073:FKV983073 FUQ983073:FUR983073 GEM983073:GEN983073 GOI983073:GOJ983073 GYE983073:GYF983073 HIA983073:HIB983073 HRW983073:HRX983073 IBS983073:IBT983073 ILO983073:ILP983073 IVK983073:IVL983073 JFG983073:JFH983073 JPC983073:JPD983073 JYY983073:JYZ983073 KIU983073:KIV983073 KSQ983073:KSR983073 LCM983073:LCN983073 LMI983073:LMJ983073 LWE983073:LWF983073 MGA983073:MGB983073 MPW983073:MPX983073 MZS983073:MZT983073 NJO983073:NJP983073 NTK983073:NTL983073 ODG983073:ODH983073 ONC983073:OND983073 OWY983073:OWZ983073 PGU983073:PGV983073 PQQ983073:PQR983073 QAM983073:QAN983073 QKI983073:QKJ983073 QUE983073:QUF983073 REA983073:REB983073 RNW983073:RNX983073 RXS983073:RXT983073 SHO983073:SHP983073 SRK983073:SRL983073 TBG983073:TBH983073 TLC983073:TLD983073 TUY983073:TUZ983073 UEU983073:UEV983073 UOQ983073:UOR983073 UYM983073:UYN983073 VII983073:VIJ983073 VSE983073:VSF983073 WCA983073:WCB983073 WLW983073:WLX983073 WVS983073:WVT983073">
      <formula1>"Yes,No,NA"</formula1>
    </dataValidation>
    <dataValidation type="list" allowBlank="1" showInputMessage="1" showErrorMessage="1" sqref="WVS983077:WVS983080 JG37:JG40 TC37:TC40 ACY37:ACY40 AMU37:AMU40 AWQ37:AWQ40 BGM37:BGM40 BQI37:BQI40 CAE37:CAE40 CKA37:CKA40 CTW37:CTW40 DDS37:DDS40 DNO37:DNO40 DXK37:DXK40 EHG37:EHG40 ERC37:ERC40 FAY37:FAY40 FKU37:FKU40 FUQ37:FUQ40 GEM37:GEM40 GOI37:GOI40 GYE37:GYE40 HIA37:HIA40 HRW37:HRW40 IBS37:IBS40 ILO37:ILO40 IVK37:IVK40 JFG37:JFG40 JPC37:JPC40 JYY37:JYY40 KIU37:KIU40 KSQ37:KSQ40 LCM37:LCM40 LMI37:LMI40 LWE37:LWE40 MGA37:MGA40 MPW37:MPW40 MZS37:MZS40 NJO37:NJO40 NTK37:NTK40 ODG37:ODG40 ONC37:ONC40 OWY37:OWY40 PGU37:PGU40 PQQ37:PQQ40 QAM37:QAM40 QKI37:QKI40 QUE37:QUE40 REA37:REA40 RNW37:RNW40 RXS37:RXS40 SHO37:SHO40 SRK37:SRK40 TBG37:TBG40 TLC37:TLC40 TUY37:TUY40 UEU37:UEU40 UOQ37:UOQ40 UYM37:UYM40 VII37:VII40 VSE37:VSE40 WCA37:WCA40 WLW37:WLW40 WVS37:WVS40 K65573:K65576 JG65573:JG65576 TC65573:TC65576 ACY65573:ACY65576 AMU65573:AMU65576 AWQ65573:AWQ65576 BGM65573:BGM65576 BQI65573:BQI65576 CAE65573:CAE65576 CKA65573:CKA65576 CTW65573:CTW65576 DDS65573:DDS65576 DNO65573:DNO65576 DXK65573:DXK65576 EHG65573:EHG65576 ERC65573:ERC65576 FAY65573:FAY65576 FKU65573:FKU65576 FUQ65573:FUQ65576 GEM65573:GEM65576 GOI65573:GOI65576 GYE65573:GYE65576 HIA65573:HIA65576 HRW65573:HRW65576 IBS65573:IBS65576 ILO65573:ILO65576 IVK65573:IVK65576 JFG65573:JFG65576 JPC65573:JPC65576 JYY65573:JYY65576 KIU65573:KIU65576 KSQ65573:KSQ65576 LCM65573:LCM65576 LMI65573:LMI65576 LWE65573:LWE65576 MGA65573:MGA65576 MPW65573:MPW65576 MZS65573:MZS65576 NJO65573:NJO65576 NTK65573:NTK65576 ODG65573:ODG65576 ONC65573:ONC65576 OWY65573:OWY65576 PGU65573:PGU65576 PQQ65573:PQQ65576 QAM65573:QAM65576 QKI65573:QKI65576 QUE65573:QUE65576 REA65573:REA65576 RNW65573:RNW65576 RXS65573:RXS65576 SHO65573:SHO65576 SRK65573:SRK65576 TBG65573:TBG65576 TLC65573:TLC65576 TUY65573:TUY65576 UEU65573:UEU65576 UOQ65573:UOQ65576 UYM65573:UYM65576 VII65573:VII65576 VSE65573:VSE65576 WCA65573:WCA65576 WLW65573:WLW65576 WVS65573:WVS65576 K131109:K131112 JG131109:JG131112 TC131109:TC131112 ACY131109:ACY131112 AMU131109:AMU131112 AWQ131109:AWQ131112 BGM131109:BGM131112 BQI131109:BQI131112 CAE131109:CAE131112 CKA131109:CKA131112 CTW131109:CTW131112 DDS131109:DDS131112 DNO131109:DNO131112 DXK131109:DXK131112 EHG131109:EHG131112 ERC131109:ERC131112 FAY131109:FAY131112 FKU131109:FKU131112 FUQ131109:FUQ131112 GEM131109:GEM131112 GOI131109:GOI131112 GYE131109:GYE131112 HIA131109:HIA131112 HRW131109:HRW131112 IBS131109:IBS131112 ILO131109:ILO131112 IVK131109:IVK131112 JFG131109:JFG131112 JPC131109:JPC131112 JYY131109:JYY131112 KIU131109:KIU131112 KSQ131109:KSQ131112 LCM131109:LCM131112 LMI131109:LMI131112 LWE131109:LWE131112 MGA131109:MGA131112 MPW131109:MPW131112 MZS131109:MZS131112 NJO131109:NJO131112 NTK131109:NTK131112 ODG131109:ODG131112 ONC131109:ONC131112 OWY131109:OWY131112 PGU131109:PGU131112 PQQ131109:PQQ131112 QAM131109:QAM131112 QKI131109:QKI131112 QUE131109:QUE131112 REA131109:REA131112 RNW131109:RNW131112 RXS131109:RXS131112 SHO131109:SHO131112 SRK131109:SRK131112 TBG131109:TBG131112 TLC131109:TLC131112 TUY131109:TUY131112 UEU131109:UEU131112 UOQ131109:UOQ131112 UYM131109:UYM131112 VII131109:VII131112 VSE131109:VSE131112 WCA131109:WCA131112 WLW131109:WLW131112 WVS131109:WVS131112 K196645:K196648 JG196645:JG196648 TC196645:TC196648 ACY196645:ACY196648 AMU196645:AMU196648 AWQ196645:AWQ196648 BGM196645:BGM196648 BQI196645:BQI196648 CAE196645:CAE196648 CKA196645:CKA196648 CTW196645:CTW196648 DDS196645:DDS196648 DNO196645:DNO196648 DXK196645:DXK196648 EHG196645:EHG196648 ERC196645:ERC196648 FAY196645:FAY196648 FKU196645:FKU196648 FUQ196645:FUQ196648 GEM196645:GEM196648 GOI196645:GOI196648 GYE196645:GYE196648 HIA196645:HIA196648 HRW196645:HRW196648 IBS196645:IBS196648 ILO196645:ILO196648 IVK196645:IVK196648 JFG196645:JFG196648 JPC196645:JPC196648 JYY196645:JYY196648 KIU196645:KIU196648 KSQ196645:KSQ196648 LCM196645:LCM196648 LMI196645:LMI196648 LWE196645:LWE196648 MGA196645:MGA196648 MPW196645:MPW196648 MZS196645:MZS196648 NJO196645:NJO196648 NTK196645:NTK196648 ODG196645:ODG196648 ONC196645:ONC196648 OWY196645:OWY196648 PGU196645:PGU196648 PQQ196645:PQQ196648 QAM196645:QAM196648 QKI196645:QKI196648 QUE196645:QUE196648 REA196645:REA196648 RNW196645:RNW196648 RXS196645:RXS196648 SHO196645:SHO196648 SRK196645:SRK196648 TBG196645:TBG196648 TLC196645:TLC196648 TUY196645:TUY196648 UEU196645:UEU196648 UOQ196645:UOQ196648 UYM196645:UYM196648 VII196645:VII196648 VSE196645:VSE196648 WCA196645:WCA196648 WLW196645:WLW196648 WVS196645:WVS196648 K262181:K262184 JG262181:JG262184 TC262181:TC262184 ACY262181:ACY262184 AMU262181:AMU262184 AWQ262181:AWQ262184 BGM262181:BGM262184 BQI262181:BQI262184 CAE262181:CAE262184 CKA262181:CKA262184 CTW262181:CTW262184 DDS262181:DDS262184 DNO262181:DNO262184 DXK262181:DXK262184 EHG262181:EHG262184 ERC262181:ERC262184 FAY262181:FAY262184 FKU262181:FKU262184 FUQ262181:FUQ262184 GEM262181:GEM262184 GOI262181:GOI262184 GYE262181:GYE262184 HIA262181:HIA262184 HRW262181:HRW262184 IBS262181:IBS262184 ILO262181:ILO262184 IVK262181:IVK262184 JFG262181:JFG262184 JPC262181:JPC262184 JYY262181:JYY262184 KIU262181:KIU262184 KSQ262181:KSQ262184 LCM262181:LCM262184 LMI262181:LMI262184 LWE262181:LWE262184 MGA262181:MGA262184 MPW262181:MPW262184 MZS262181:MZS262184 NJO262181:NJO262184 NTK262181:NTK262184 ODG262181:ODG262184 ONC262181:ONC262184 OWY262181:OWY262184 PGU262181:PGU262184 PQQ262181:PQQ262184 QAM262181:QAM262184 QKI262181:QKI262184 QUE262181:QUE262184 REA262181:REA262184 RNW262181:RNW262184 RXS262181:RXS262184 SHO262181:SHO262184 SRK262181:SRK262184 TBG262181:TBG262184 TLC262181:TLC262184 TUY262181:TUY262184 UEU262181:UEU262184 UOQ262181:UOQ262184 UYM262181:UYM262184 VII262181:VII262184 VSE262181:VSE262184 WCA262181:WCA262184 WLW262181:WLW262184 WVS262181:WVS262184 K327717:K327720 JG327717:JG327720 TC327717:TC327720 ACY327717:ACY327720 AMU327717:AMU327720 AWQ327717:AWQ327720 BGM327717:BGM327720 BQI327717:BQI327720 CAE327717:CAE327720 CKA327717:CKA327720 CTW327717:CTW327720 DDS327717:DDS327720 DNO327717:DNO327720 DXK327717:DXK327720 EHG327717:EHG327720 ERC327717:ERC327720 FAY327717:FAY327720 FKU327717:FKU327720 FUQ327717:FUQ327720 GEM327717:GEM327720 GOI327717:GOI327720 GYE327717:GYE327720 HIA327717:HIA327720 HRW327717:HRW327720 IBS327717:IBS327720 ILO327717:ILO327720 IVK327717:IVK327720 JFG327717:JFG327720 JPC327717:JPC327720 JYY327717:JYY327720 KIU327717:KIU327720 KSQ327717:KSQ327720 LCM327717:LCM327720 LMI327717:LMI327720 LWE327717:LWE327720 MGA327717:MGA327720 MPW327717:MPW327720 MZS327717:MZS327720 NJO327717:NJO327720 NTK327717:NTK327720 ODG327717:ODG327720 ONC327717:ONC327720 OWY327717:OWY327720 PGU327717:PGU327720 PQQ327717:PQQ327720 QAM327717:QAM327720 QKI327717:QKI327720 QUE327717:QUE327720 REA327717:REA327720 RNW327717:RNW327720 RXS327717:RXS327720 SHO327717:SHO327720 SRK327717:SRK327720 TBG327717:TBG327720 TLC327717:TLC327720 TUY327717:TUY327720 UEU327717:UEU327720 UOQ327717:UOQ327720 UYM327717:UYM327720 VII327717:VII327720 VSE327717:VSE327720 WCA327717:WCA327720 WLW327717:WLW327720 WVS327717:WVS327720 K393253:K393256 JG393253:JG393256 TC393253:TC393256 ACY393253:ACY393256 AMU393253:AMU393256 AWQ393253:AWQ393256 BGM393253:BGM393256 BQI393253:BQI393256 CAE393253:CAE393256 CKA393253:CKA393256 CTW393253:CTW393256 DDS393253:DDS393256 DNO393253:DNO393256 DXK393253:DXK393256 EHG393253:EHG393256 ERC393253:ERC393256 FAY393253:FAY393256 FKU393253:FKU393256 FUQ393253:FUQ393256 GEM393253:GEM393256 GOI393253:GOI393256 GYE393253:GYE393256 HIA393253:HIA393256 HRW393253:HRW393256 IBS393253:IBS393256 ILO393253:ILO393256 IVK393253:IVK393256 JFG393253:JFG393256 JPC393253:JPC393256 JYY393253:JYY393256 KIU393253:KIU393256 KSQ393253:KSQ393256 LCM393253:LCM393256 LMI393253:LMI393256 LWE393253:LWE393256 MGA393253:MGA393256 MPW393253:MPW393256 MZS393253:MZS393256 NJO393253:NJO393256 NTK393253:NTK393256 ODG393253:ODG393256 ONC393253:ONC393256 OWY393253:OWY393256 PGU393253:PGU393256 PQQ393253:PQQ393256 QAM393253:QAM393256 QKI393253:QKI393256 QUE393253:QUE393256 REA393253:REA393256 RNW393253:RNW393256 RXS393253:RXS393256 SHO393253:SHO393256 SRK393253:SRK393256 TBG393253:TBG393256 TLC393253:TLC393256 TUY393253:TUY393256 UEU393253:UEU393256 UOQ393253:UOQ393256 UYM393253:UYM393256 VII393253:VII393256 VSE393253:VSE393256 WCA393253:WCA393256 WLW393253:WLW393256 WVS393253:WVS393256 K458789:K458792 JG458789:JG458792 TC458789:TC458792 ACY458789:ACY458792 AMU458789:AMU458792 AWQ458789:AWQ458792 BGM458789:BGM458792 BQI458789:BQI458792 CAE458789:CAE458792 CKA458789:CKA458792 CTW458789:CTW458792 DDS458789:DDS458792 DNO458789:DNO458792 DXK458789:DXK458792 EHG458789:EHG458792 ERC458789:ERC458792 FAY458789:FAY458792 FKU458789:FKU458792 FUQ458789:FUQ458792 GEM458789:GEM458792 GOI458789:GOI458792 GYE458789:GYE458792 HIA458789:HIA458792 HRW458789:HRW458792 IBS458789:IBS458792 ILO458789:ILO458792 IVK458789:IVK458792 JFG458789:JFG458792 JPC458789:JPC458792 JYY458789:JYY458792 KIU458789:KIU458792 KSQ458789:KSQ458792 LCM458789:LCM458792 LMI458789:LMI458792 LWE458789:LWE458792 MGA458789:MGA458792 MPW458789:MPW458792 MZS458789:MZS458792 NJO458789:NJO458792 NTK458789:NTK458792 ODG458789:ODG458792 ONC458789:ONC458792 OWY458789:OWY458792 PGU458789:PGU458792 PQQ458789:PQQ458792 QAM458789:QAM458792 QKI458789:QKI458792 QUE458789:QUE458792 REA458789:REA458792 RNW458789:RNW458792 RXS458789:RXS458792 SHO458789:SHO458792 SRK458789:SRK458792 TBG458789:TBG458792 TLC458789:TLC458792 TUY458789:TUY458792 UEU458789:UEU458792 UOQ458789:UOQ458792 UYM458789:UYM458792 VII458789:VII458792 VSE458789:VSE458792 WCA458789:WCA458792 WLW458789:WLW458792 WVS458789:WVS458792 K524325:K524328 JG524325:JG524328 TC524325:TC524328 ACY524325:ACY524328 AMU524325:AMU524328 AWQ524325:AWQ524328 BGM524325:BGM524328 BQI524325:BQI524328 CAE524325:CAE524328 CKA524325:CKA524328 CTW524325:CTW524328 DDS524325:DDS524328 DNO524325:DNO524328 DXK524325:DXK524328 EHG524325:EHG524328 ERC524325:ERC524328 FAY524325:FAY524328 FKU524325:FKU524328 FUQ524325:FUQ524328 GEM524325:GEM524328 GOI524325:GOI524328 GYE524325:GYE524328 HIA524325:HIA524328 HRW524325:HRW524328 IBS524325:IBS524328 ILO524325:ILO524328 IVK524325:IVK524328 JFG524325:JFG524328 JPC524325:JPC524328 JYY524325:JYY524328 KIU524325:KIU524328 KSQ524325:KSQ524328 LCM524325:LCM524328 LMI524325:LMI524328 LWE524325:LWE524328 MGA524325:MGA524328 MPW524325:MPW524328 MZS524325:MZS524328 NJO524325:NJO524328 NTK524325:NTK524328 ODG524325:ODG524328 ONC524325:ONC524328 OWY524325:OWY524328 PGU524325:PGU524328 PQQ524325:PQQ524328 QAM524325:QAM524328 QKI524325:QKI524328 QUE524325:QUE524328 REA524325:REA524328 RNW524325:RNW524328 RXS524325:RXS524328 SHO524325:SHO524328 SRK524325:SRK524328 TBG524325:TBG524328 TLC524325:TLC524328 TUY524325:TUY524328 UEU524325:UEU524328 UOQ524325:UOQ524328 UYM524325:UYM524328 VII524325:VII524328 VSE524325:VSE524328 WCA524325:WCA524328 WLW524325:WLW524328 WVS524325:WVS524328 K589861:K589864 JG589861:JG589864 TC589861:TC589864 ACY589861:ACY589864 AMU589861:AMU589864 AWQ589861:AWQ589864 BGM589861:BGM589864 BQI589861:BQI589864 CAE589861:CAE589864 CKA589861:CKA589864 CTW589861:CTW589864 DDS589861:DDS589864 DNO589861:DNO589864 DXK589861:DXK589864 EHG589861:EHG589864 ERC589861:ERC589864 FAY589861:FAY589864 FKU589861:FKU589864 FUQ589861:FUQ589864 GEM589861:GEM589864 GOI589861:GOI589864 GYE589861:GYE589864 HIA589861:HIA589864 HRW589861:HRW589864 IBS589861:IBS589864 ILO589861:ILO589864 IVK589861:IVK589864 JFG589861:JFG589864 JPC589861:JPC589864 JYY589861:JYY589864 KIU589861:KIU589864 KSQ589861:KSQ589864 LCM589861:LCM589864 LMI589861:LMI589864 LWE589861:LWE589864 MGA589861:MGA589864 MPW589861:MPW589864 MZS589861:MZS589864 NJO589861:NJO589864 NTK589861:NTK589864 ODG589861:ODG589864 ONC589861:ONC589864 OWY589861:OWY589864 PGU589861:PGU589864 PQQ589861:PQQ589864 QAM589861:QAM589864 QKI589861:QKI589864 QUE589861:QUE589864 REA589861:REA589864 RNW589861:RNW589864 RXS589861:RXS589864 SHO589861:SHO589864 SRK589861:SRK589864 TBG589861:TBG589864 TLC589861:TLC589864 TUY589861:TUY589864 UEU589861:UEU589864 UOQ589861:UOQ589864 UYM589861:UYM589864 VII589861:VII589864 VSE589861:VSE589864 WCA589861:WCA589864 WLW589861:WLW589864 WVS589861:WVS589864 K655397:K655400 JG655397:JG655400 TC655397:TC655400 ACY655397:ACY655400 AMU655397:AMU655400 AWQ655397:AWQ655400 BGM655397:BGM655400 BQI655397:BQI655400 CAE655397:CAE655400 CKA655397:CKA655400 CTW655397:CTW655400 DDS655397:DDS655400 DNO655397:DNO655400 DXK655397:DXK655400 EHG655397:EHG655400 ERC655397:ERC655400 FAY655397:FAY655400 FKU655397:FKU655400 FUQ655397:FUQ655400 GEM655397:GEM655400 GOI655397:GOI655400 GYE655397:GYE655400 HIA655397:HIA655400 HRW655397:HRW655400 IBS655397:IBS655400 ILO655397:ILO655400 IVK655397:IVK655400 JFG655397:JFG655400 JPC655397:JPC655400 JYY655397:JYY655400 KIU655397:KIU655400 KSQ655397:KSQ655400 LCM655397:LCM655400 LMI655397:LMI655400 LWE655397:LWE655400 MGA655397:MGA655400 MPW655397:MPW655400 MZS655397:MZS655400 NJO655397:NJO655400 NTK655397:NTK655400 ODG655397:ODG655400 ONC655397:ONC655400 OWY655397:OWY655400 PGU655397:PGU655400 PQQ655397:PQQ655400 QAM655397:QAM655400 QKI655397:QKI655400 QUE655397:QUE655400 REA655397:REA655400 RNW655397:RNW655400 RXS655397:RXS655400 SHO655397:SHO655400 SRK655397:SRK655400 TBG655397:TBG655400 TLC655397:TLC655400 TUY655397:TUY655400 UEU655397:UEU655400 UOQ655397:UOQ655400 UYM655397:UYM655400 VII655397:VII655400 VSE655397:VSE655400 WCA655397:WCA655400 WLW655397:WLW655400 WVS655397:WVS655400 K720933:K720936 JG720933:JG720936 TC720933:TC720936 ACY720933:ACY720936 AMU720933:AMU720936 AWQ720933:AWQ720936 BGM720933:BGM720936 BQI720933:BQI720936 CAE720933:CAE720936 CKA720933:CKA720936 CTW720933:CTW720936 DDS720933:DDS720936 DNO720933:DNO720936 DXK720933:DXK720936 EHG720933:EHG720936 ERC720933:ERC720936 FAY720933:FAY720936 FKU720933:FKU720936 FUQ720933:FUQ720936 GEM720933:GEM720936 GOI720933:GOI720936 GYE720933:GYE720936 HIA720933:HIA720936 HRW720933:HRW720936 IBS720933:IBS720936 ILO720933:ILO720936 IVK720933:IVK720936 JFG720933:JFG720936 JPC720933:JPC720936 JYY720933:JYY720936 KIU720933:KIU720936 KSQ720933:KSQ720936 LCM720933:LCM720936 LMI720933:LMI720936 LWE720933:LWE720936 MGA720933:MGA720936 MPW720933:MPW720936 MZS720933:MZS720936 NJO720933:NJO720936 NTK720933:NTK720936 ODG720933:ODG720936 ONC720933:ONC720936 OWY720933:OWY720936 PGU720933:PGU720936 PQQ720933:PQQ720936 QAM720933:QAM720936 QKI720933:QKI720936 QUE720933:QUE720936 REA720933:REA720936 RNW720933:RNW720936 RXS720933:RXS720936 SHO720933:SHO720936 SRK720933:SRK720936 TBG720933:TBG720936 TLC720933:TLC720936 TUY720933:TUY720936 UEU720933:UEU720936 UOQ720933:UOQ720936 UYM720933:UYM720936 VII720933:VII720936 VSE720933:VSE720936 WCA720933:WCA720936 WLW720933:WLW720936 WVS720933:WVS720936 K786469:K786472 JG786469:JG786472 TC786469:TC786472 ACY786469:ACY786472 AMU786469:AMU786472 AWQ786469:AWQ786472 BGM786469:BGM786472 BQI786469:BQI786472 CAE786469:CAE786472 CKA786469:CKA786472 CTW786469:CTW786472 DDS786469:DDS786472 DNO786469:DNO786472 DXK786469:DXK786472 EHG786469:EHG786472 ERC786469:ERC786472 FAY786469:FAY786472 FKU786469:FKU786472 FUQ786469:FUQ786472 GEM786469:GEM786472 GOI786469:GOI786472 GYE786469:GYE786472 HIA786469:HIA786472 HRW786469:HRW786472 IBS786469:IBS786472 ILO786469:ILO786472 IVK786469:IVK786472 JFG786469:JFG786472 JPC786469:JPC786472 JYY786469:JYY786472 KIU786469:KIU786472 KSQ786469:KSQ786472 LCM786469:LCM786472 LMI786469:LMI786472 LWE786469:LWE786472 MGA786469:MGA786472 MPW786469:MPW786472 MZS786469:MZS786472 NJO786469:NJO786472 NTK786469:NTK786472 ODG786469:ODG786472 ONC786469:ONC786472 OWY786469:OWY786472 PGU786469:PGU786472 PQQ786469:PQQ786472 QAM786469:QAM786472 QKI786469:QKI786472 QUE786469:QUE786472 REA786469:REA786472 RNW786469:RNW786472 RXS786469:RXS786472 SHO786469:SHO786472 SRK786469:SRK786472 TBG786469:TBG786472 TLC786469:TLC786472 TUY786469:TUY786472 UEU786469:UEU786472 UOQ786469:UOQ786472 UYM786469:UYM786472 VII786469:VII786472 VSE786469:VSE786472 WCA786469:WCA786472 WLW786469:WLW786472 WVS786469:WVS786472 K852005:K852008 JG852005:JG852008 TC852005:TC852008 ACY852005:ACY852008 AMU852005:AMU852008 AWQ852005:AWQ852008 BGM852005:BGM852008 BQI852005:BQI852008 CAE852005:CAE852008 CKA852005:CKA852008 CTW852005:CTW852008 DDS852005:DDS852008 DNO852005:DNO852008 DXK852005:DXK852008 EHG852005:EHG852008 ERC852005:ERC852008 FAY852005:FAY852008 FKU852005:FKU852008 FUQ852005:FUQ852008 GEM852005:GEM852008 GOI852005:GOI852008 GYE852005:GYE852008 HIA852005:HIA852008 HRW852005:HRW852008 IBS852005:IBS852008 ILO852005:ILO852008 IVK852005:IVK852008 JFG852005:JFG852008 JPC852005:JPC852008 JYY852005:JYY852008 KIU852005:KIU852008 KSQ852005:KSQ852008 LCM852005:LCM852008 LMI852005:LMI852008 LWE852005:LWE852008 MGA852005:MGA852008 MPW852005:MPW852008 MZS852005:MZS852008 NJO852005:NJO852008 NTK852005:NTK852008 ODG852005:ODG852008 ONC852005:ONC852008 OWY852005:OWY852008 PGU852005:PGU852008 PQQ852005:PQQ852008 QAM852005:QAM852008 QKI852005:QKI852008 QUE852005:QUE852008 REA852005:REA852008 RNW852005:RNW852008 RXS852005:RXS852008 SHO852005:SHO852008 SRK852005:SRK852008 TBG852005:TBG852008 TLC852005:TLC852008 TUY852005:TUY852008 UEU852005:UEU852008 UOQ852005:UOQ852008 UYM852005:UYM852008 VII852005:VII852008 VSE852005:VSE852008 WCA852005:WCA852008 WLW852005:WLW852008 WVS852005:WVS852008 K917541:K917544 JG917541:JG917544 TC917541:TC917544 ACY917541:ACY917544 AMU917541:AMU917544 AWQ917541:AWQ917544 BGM917541:BGM917544 BQI917541:BQI917544 CAE917541:CAE917544 CKA917541:CKA917544 CTW917541:CTW917544 DDS917541:DDS917544 DNO917541:DNO917544 DXK917541:DXK917544 EHG917541:EHG917544 ERC917541:ERC917544 FAY917541:FAY917544 FKU917541:FKU917544 FUQ917541:FUQ917544 GEM917541:GEM917544 GOI917541:GOI917544 GYE917541:GYE917544 HIA917541:HIA917544 HRW917541:HRW917544 IBS917541:IBS917544 ILO917541:ILO917544 IVK917541:IVK917544 JFG917541:JFG917544 JPC917541:JPC917544 JYY917541:JYY917544 KIU917541:KIU917544 KSQ917541:KSQ917544 LCM917541:LCM917544 LMI917541:LMI917544 LWE917541:LWE917544 MGA917541:MGA917544 MPW917541:MPW917544 MZS917541:MZS917544 NJO917541:NJO917544 NTK917541:NTK917544 ODG917541:ODG917544 ONC917541:ONC917544 OWY917541:OWY917544 PGU917541:PGU917544 PQQ917541:PQQ917544 QAM917541:QAM917544 QKI917541:QKI917544 QUE917541:QUE917544 REA917541:REA917544 RNW917541:RNW917544 RXS917541:RXS917544 SHO917541:SHO917544 SRK917541:SRK917544 TBG917541:TBG917544 TLC917541:TLC917544 TUY917541:TUY917544 UEU917541:UEU917544 UOQ917541:UOQ917544 UYM917541:UYM917544 VII917541:VII917544 VSE917541:VSE917544 WCA917541:WCA917544 WLW917541:WLW917544 WVS917541:WVS917544 K983077:K983080 JG983077:JG983080 TC983077:TC983080 ACY983077:ACY983080 AMU983077:AMU983080 AWQ983077:AWQ983080 BGM983077:BGM983080 BQI983077:BQI983080 CAE983077:CAE983080 CKA983077:CKA983080 CTW983077:CTW983080 DDS983077:DDS983080 DNO983077:DNO983080 DXK983077:DXK983080 EHG983077:EHG983080 ERC983077:ERC983080 FAY983077:FAY983080 FKU983077:FKU983080 FUQ983077:FUQ983080 GEM983077:GEM983080 GOI983077:GOI983080 GYE983077:GYE983080 HIA983077:HIA983080 HRW983077:HRW983080 IBS983077:IBS983080 ILO983077:ILO983080 IVK983077:IVK983080 JFG983077:JFG983080 JPC983077:JPC983080 JYY983077:JYY983080 KIU983077:KIU983080 KSQ983077:KSQ983080 LCM983077:LCM983080 LMI983077:LMI983080 LWE983077:LWE983080 MGA983077:MGA983080 MPW983077:MPW983080 MZS983077:MZS983080 NJO983077:NJO983080 NTK983077:NTK983080 ODG983077:ODG983080 ONC983077:ONC983080 OWY983077:OWY983080 PGU983077:PGU983080 PQQ983077:PQQ983080 QAM983077:QAM983080 QKI983077:QKI983080 QUE983077:QUE983080 REA983077:REA983080 RNW983077:RNW983080 RXS983077:RXS983080 SHO983077:SHO983080 SRK983077:SRK983080 TBG983077:TBG983080 TLC983077:TLC983080 TUY983077:TUY983080 UEU983077:UEU983080 UOQ983077:UOQ983080 UYM983077:UYM983080 VII983077:VII983080 VSE983077:VSE983080 WCA983077:WCA983080 WLW983077:WLW983080">
      <formula1>$Q$44:$Q$47</formula1>
    </dataValidation>
    <dataValidation type="list" allowBlank="1" showInputMessage="1" showErrorMessage="1" sqref="G27:I31 E27:E31">
      <formula1>YN</formula1>
    </dataValidation>
  </dataValidations>
  <hyperlinks>
    <hyperlink ref="A1" location="'Table Of Contents'!A1" display="TOC"/>
  </hyperlinks>
  <pageMargins left="0.25" right="0.25" top="0.75" bottom="0.75" header="0.3" footer="0.3"/>
  <pageSetup scale="47" orientation="portrait" r:id="rId1"/>
  <headerFooter alignWithMargins="0"/>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9FF99"/>
  </sheetPr>
  <dimension ref="A1:BW179"/>
  <sheetViews>
    <sheetView showGridLines="0" view="pageBreakPreview" zoomScaleNormal="75" zoomScaleSheetLayoutView="100" workbookViewId="0">
      <selection activeCell="B1" sqref="B1"/>
    </sheetView>
  </sheetViews>
  <sheetFormatPr defaultRowHeight="12.75"/>
  <cols>
    <col min="1" max="1" width="9.140625" style="1313"/>
    <col min="2" max="2" width="20" style="953" customWidth="1"/>
    <col min="3" max="3" width="17.28515625" style="953" customWidth="1"/>
    <col min="4" max="5" width="22.7109375" style="953" customWidth="1"/>
    <col min="6" max="6" width="30.7109375" style="953" customWidth="1"/>
    <col min="7" max="7" width="10.7109375" style="953" customWidth="1"/>
    <col min="8" max="8" width="5.7109375" style="953" customWidth="1"/>
    <col min="9" max="9" width="11" style="953" customWidth="1"/>
    <col min="10" max="10" width="33.85546875" style="953" customWidth="1"/>
    <col min="11" max="13" width="9" style="1439" customWidth="1"/>
    <col min="14" max="14" width="9" style="1439" hidden="1" customWidth="1"/>
    <col min="15" max="15" width="9" style="1439" customWidth="1"/>
    <col min="16" max="27" width="9.140625" style="1439"/>
    <col min="28" max="257" width="9.140625" style="953"/>
    <col min="258" max="258" width="20" style="953" customWidth="1"/>
    <col min="259" max="259" width="17.28515625" style="953" customWidth="1"/>
    <col min="260" max="261" width="22.7109375" style="953" customWidth="1"/>
    <col min="262" max="262" width="30.7109375" style="953" customWidth="1"/>
    <col min="263" max="263" width="10.7109375" style="953" customWidth="1"/>
    <col min="264" max="264" width="5.7109375" style="953" customWidth="1"/>
    <col min="265" max="265" width="11" style="953" customWidth="1"/>
    <col min="266" max="266" width="33.85546875" style="953" customWidth="1"/>
    <col min="267" max="269" width="9" style="953" customWidth="1"/>
    <col min="270" max="270" width="0" style="953" hidden="1" customWidth="1"/>
    <col min="271" max="271" width="9" style="953" customWidth="1"/>
    <col min="272" max="513" width="9.140625" style="953"/>
    <col min="514" max="514" width="20" style="953" customWidth="1"/>
    <col min="515" max="515" width="17.28515625" style="953" customWidth="1"/>
    <col min="516" max="517" width="22.7109375" style="953" customWidth="1"/>
    <col min="518" max="518" width="30.7109375" style="953" customWidth="1"/>
    <col min="519" max="519" width="10.7109375" style="953" customWidth="1"/>
    <col min="520" max="520" width="5.7109375" style="953" customWidth="1"/>
    <col min="521" max="521" width="11" style="953" customWidth="1"/>
    <col min="522" max="522" width="33.85546875" style="953" customWidth="1"/>
    <col min="523" max="525" width="9" style="953" customWidth="1"/>
    <col min="526" max="526" width="0" style="953" hidden="1" customWidth="1"/>
    <col min="527" max="527" width="9" style="953" customWidth="1"/>
    <col min="528" max="769" width="9.140625" style="953"/>
    <col min="770" max="770" width="20" style="953" customWidth="1"/>
    <col min="771" max="771" width="17.28515625" style="953" customWidth="1"/>
    <col min="772" max="773" width="22.7109375" style="953" customWidth="1"/>
    <col min="774" max="774" width="30.7109375" style="953" customWidth="1"/>
    <col min="775" max="775" width="10.7109375" style="953" customWidth="1"/>
    <col min="776" max="776" width="5.7109375" style="953" customWidth="1"/>
    <col min="777" max="777" width="11" style="953" customWidth="1"/>
    <col min="778" max="778" width="33.85546875" style="953" customWidth="1"/>
    <col min="779" max="781" width="9" style="953" customWidth="1"/>
    <col min="782" max="782" width="0" style="953" hidden="1" customWidth="1"/>
    <col min="783" max="783" width="9" style="953" customWidth="1"/>
    <col min="784" max="1025" width="9.140625" style="953"/>
    <col min="1026" max="1026" width="20" style="953" customWidth="1"/>
    <col min="1027" max="1027" width="17.28515625" style="953" customWidth="1"/>
    <col min="1028" max="1029" width="22.7109375" style="953" customWidth="1"/>
    <col min="1030" max="1030" width="30.7109375" style="953" customWidth="1"/>
    <col min="1031" max="1031" width="10.7109375" style="953" customWidth="1"/>
    <col min="1032" max="1032" width="5.7109375" style="953" customWidth="1"/>
    <col min="1033" max="1033" width="11" style="953" customWidth="1"/>
    <col min="1034" max="1034" width="33.85546875" style="953" customWidth="1"/>
    <col min="1035" max="1037" width="9" style="953" customWidth="1"/>
    <col min="1038" max="1038" width="0" style="953" hidden="1" customWidth="1"/>
    <col min="1039" max="1039" width="9" style="953" customWidth="1"/>
    <col min="1040" max="1281" width="9.140625" style="953"/>
    <col min="1282" max="1282" width="20" style="953" customWidth="1"/>
    <col min="1283" max="1283" width="17.28515625" style="953" customWidth="1"/>
    <col min="1284" max="1285" width="22.7109375" style="953" customWidth="1"/>
    <col min="1286" max="1286" width="30.7109375" style="953" customWidth="1"/>
    <col min="1287" max="1287" width="10.7109375" style="953" customWidth="1"/>
    <col min="1288" max="1288" width="5.7109375" style="953" customWidth="1"/>
    <col min="1289" max="1289" width="11" style="953" customWidth="1"/>
    <col min="1290" max="1290" width="33.85546875" style="953" customWidth="1"/>
    <col min="1291" max="1293" width="9" style="953" customWidth="1"/>
    <col min="1294" max="1294" width="0" style="953" hidden="1" customWidth="1"/>
    <col min="1295" max="1295" width="9" style="953" customWidth="1"/>
    <col min="1296" max="1537" width="9.140625" style="953"/>
    <col min="1538" max="1538" width="20" style="953" customWidth="1"/>
    <col min="1539" max="1539" width="17.28515625" style="953" customWidth="1"/>
    <col min="1540" max="1541" width="22.7109375" style="953" customWidth="1"/>
    <col min="1542" max="1542" width="30.7109375" style="953" customWidth="1"/>
    <col min="1543" max="1543" width="10.7109375" style="953" customWidth="1"/>
    <col min="1544" max="1544" width="5.7109375" style="953" customWidth="1"/>
    <col min="1545" max="1545" width="11" style="953" customWidth="1"/>
    <col min="1546" max="1546" width="33.85546875" style="953" customWidth="1"/>
    <col min="1547" max="1549" width="9" style="953" customWidth="1"/>
    <col min="1550" max="1550" width="0" style="953" hidden="1" customWidth="1"/>
    <col min="1551" max="1551" width="9" style="953" customWidth="1"/>
    <col min="1552" max="1793" width="9.140625" style="953"/>
    <col min="1794" max="1794" width="20" style="953" customWidth="1"/>
    <col min="1795" max="1795" width="17.28515625" style="953" customWidth="1"/>
    <col min="1796" max="1797" width="22.7109375" style="953" customWidth="1"/>
    <col min="1798" max="1798" width="30.7109375" style="953" customWidth="1"/>
    <col min="1799" max="1799" width="10.7109375" style="953" customWidth="1"/>
    <col min="1800" max="1800" width="5.7109375" style="953" customWidth="1"/>
    <col min="1801" max="1801" width="11" style="953" customWidth="1"/>
    <col min="1802" max="1802" width="33.85546875" style="953" customWidth="1"/>
    <col min="1803" max="1805" width="9" style="953" customWidth="1"/>
    <col min="1806" max="1806" width="0" style="953" hidden="1" customWidth="1"/>
    <col min="1807" max="1807" width="9" style="953" customWidth="1"/>
    <col min="1808" max="2049" width="9.140625" style="953"/>
    <col min="2050" max="2050" width="20" style="953" customWidth="1"/>
    <col min="2051" max="2051" width="17.28515625" style="953" customWidth="1"/>
    <col min="2052" max="2053" width="22.7109375" style="953" customWidth="1"/>
    <col min="2054" max="2054" width="30.7109375" style="953" customWidth="1"/>
    <col min="2055" max="2055" width="10.7109375" style="953" customWidth="1"/>
    <col min="2056" max="2056" width="5.7109375" style="953" customWidth="1"/>
    <col min="2057" max="2057" width="11" style="953" customWidth="1"/>
    <col min="2058" max="2058" width="33.85546875" style="953" customWidth="1"/>
    <col min="2059" max="2061" width="9" style="953" customWidth="1"/>
    <col min="2062" max="2062" width="0" style="953" hidden="1" customWidth="1"/>
    <col min="2063" max="2063" width="9" style="953" customWidth="1"/>
    <col min="2064" max="2305" width="9.140625" style="953"/>
    <col min="2306" max="2306" width="20" style="953" customWidth="1"/>
    <col min="2307" max="2307" width="17.28515625" style="953" customWidth="1"/>
    <col min="2308" max="2309" width="22.7109375" style="953" customWidth="1"/>
    <col min="2310" max="2310" width="30.7109375" style="953" customWidth="1"/>
    <col min="2311" max="2311" width="10.7109375" style="953" customWidth="1"/>
    <col min="2312" max="2312" width="5.7109375" style="953" customWidth="1"/>
    <col min="2313" max="2313" width="11" style="953" customWidth="1"/>
    <col min="2314" max="2314" width="33.85546875" style="953" customWidth="1"/>
    <col min="2315" max="2317" width="9" style="953" customWidth="1"/>
    <col min="2318" max="2318" width="0" style="953" hidden="1" customWidth="1"/>
    <col min="2319" max="2319" width="9" style="953" customWidth="1"/>
    <col min="2320" max="2561" width="9.140625" style="953"/>
    <col min="2562" max="2562" width="20" style="953" customWidth="1"/>
    <col min="2563" max="2563" width="17.28515625" style="953" customWidth="1"/>
    <col min="2564" max="2565" width="22.7109375" style="953" customWidth="1"/>
    <col min="2566" max="2566" width="30.7109375" style="953" customWidth="1"/>
    <col min="2567" max="2567" width="10.7109375" style="953" customWidth="1"/>
    <col min="2568" max="2568" width="5.7109375" style="953" customWidth="1"/>
    <col min="2569" max="2569" width="11" style="953" customWidth="1"/>
    <col min="2570" max="2570" width="33.85546875" style="953" customWidth="1"/>
    <col min="2571" max="2573" width="9" style="953" customWidth="1"/>
    <col min="2574" max="2574" width="0" style="953" hidden="1" customWidth="1"/>
    <col min="2575" max="2575" width="9" style="953" customWidth="1"/>
    <col min="2576" max="2817" width="9.140625" style="953"/>
    <col min="2818" max="2818" width="20" style="953" customWidth="1"/>
    <col min="2819" max="2819" width="17.28515625" style="953" customWidth="1"/>
    <col min="2820" max="2821" width="22.7109375" style="953" customWidth="1"/>
    <col min="2822" max="2822" width="30.7109375" style="953" customWidth="1"/>
    <col min="2823" max="2823" width="10.7109375" style="953" customWidth="1"/>
    <col min="2824" max="2824" width="5.7109375" style="953" customWidth="1"/>
    <col min="2825" max="2825" width="11" style="953" customWidth="1"/>
    <col min="2826" max="2826" width="33.85546875" style="953" customWidth="1"/>
    <col min="2827" max="2829" width="9" style="953" customWidth="1"/>
    <col min="2830" max="2830" width="0" style="953" hidden="1" customWidth="1"/>
    <col min="2831" max="2831" width="9" style="953" customWidth="1"/>
    <col min="2832" max="3073" width="9.140625" style="953"/>
    <col min="3074" max="3074" width="20" style="953" customWidth="1"/>
    <col min="3075" max="3075" width="17.28515625" style="953" customWidth="1"/>
    <col min="3076" max="3077" width="22.7109375" style="953" customWidth="1"/>
    <col min="3078" max="3078" width="30.7109375" style="953" customWidth="1"/>
    <col min="3079" max="3079" width="10.7109375" style="953" customWidth="1"/>
    <col min="3080" max="3080" width="5.7109375" style="953" customWidth="1"/>
    <col min="3081" max="3081" width="11" style="953" customWidth="1"/>
    <col min="3082" max="3082" width="33.85546875" style="953" customWidth="1"/>
    <col min="3083" max="3085" width="9" style="953" customWidth="1"/>
    <col min="3086" max="3086" width="0" style="953" hidden="1" customWidth="1"/>
    <col min="3087" max="3087" width="9" style="953" customWidth="1"/>
    <col min="3088" max="3329" width="9.140625" style="953"/>
    <col min="3330" max="3330" width="20" style="953" customWidth="1"/>
    <col min="3331" max="3331" width="17.28515625" style="953" customWidth="1"/>
    <col min="3332" max="3333" width="22.7109375" style="953" customWidth="1"/>
    <col min="3334" max="3334" width="30.7109375" style="953" customWidth="1"/>
    <col min="3335" max="3335" width="10.7109375" style="953" customWidth="1"/>
    <col min="3336" max="3336" width="5.7109375" style="953" customWidth="1"/>
    <col min="3337" max="3337" width="11" style="953" customWidth="1"/>
    <col min="3338" max="3338" width="33.85546875" style="953" customWidth="1"/>
    <col min="3339" max="3341" width="9" style="953" customWidth="1"/>
    <col min="3342" max="3342" width="0" style="953" hidden="1" customWidth="1"/>
    <col min="3343" max="3343" width="9" style="953" customWidth="1"/>
    <col min="3344" max="3585" width="9.140625" style="953"/>
    <col min="3586" max="3586" width="20" style="953" customWidth="1"/>
    <col min="3587" max="3587" width="17.28515625" style="953" customWidth="1"/>
    <col min="3588" max="3589" width="22.7109375" style="953" customWidth="1"/>
    <col min="3590" max="3590" width="30.7109375" style="953" customWidth="1"/>
    <col min="3591" max="3591" width="10.7109375" style="953" customWidth="1"/>
    <col min="3592" max="3592" width="5.7109375" style="953" customWidth="1"/>
    <col min="3593" max="3593" width="11" style="953" customWidth="1"/>
    <col min="3594" max="3594" width="33.85546875" style="953" customWidth="1"/>
    <col min="3595" max="3597" width="9" style="953" customWidth="1"/>
    <col min="3598" max="3598" width="0" style="953" hidden="1" customWidth="1"/>
    <col min="3599" max="3599" width="9" style="953" customWidth="1"/>
    <col min="3600" max="3841" width="9.140625" style="953"/>
    <col min="3842" max="3842" width="20" style="953" customWidth="1"/>
    <col min="3843" max="3843" width="17.28515625" style="953" customWidth="1"/>
    <col min="3844" max="3845" width="22.7109375" style="953" customWidth="1"/>
    <col min="3846" max="3846" width="30.7109375" style="953" customWidth="1"/>
    <col min="3847" max="3847" width="10.7109375" style="953" customWidth="1"/>
    <col min="3848" max="3848" width="5.7109375" style="953" customWidth="1"/>
    <col min="3849" max="3849" width="11" style="953" customWidth="1"/>
    <col min="3850" max="3850" width="33.85546875" style="953" customWidth="1"/>
    <col min="3851" max="3853" width="9" style="953" customWidth="1"/>
    <col min="3854" max="3854" width="0" style="953" hidden="1" customWidth="1"/>
    <col min="3855" max="3855" width="9" style="953" customWidth="1"/>
    <col min="3856" max="4097" width="9.140625" style="953"/>
    <col min="4098" max="4098" width="20" style="953" customWidth="1"/>
    <col min="4099" max="4099" width="17.28515625" style="953" customWidth="1"/>
    <col min="4100" max="4101" width="22.7109375" style="953" customWidth="1"/>
    <col min="4102" max="4102" width="30.7109375" style="953" customWidth="1"/>
    <col min="4103" max="4103" width="10.7109375" style="953" customWidth="1"/>
    <col min="4104" max="4104" width="5.7109375" style="953" customWidth="1"/>
    <col min="4105" max="4105" width="11" style="953" customWidth="1"/>
    <col min="4106" max="4106" width="33.85546875" style="953" customWidth="1"/>
    <col min="4107" max="4109" width="9" style="953" customWidth="1"/>
    <col min="4110" max="4110" width="0" style="953" hidden="1" customWidth="1"/>
    <col min="4111" max="4111" width="9" style="953" customWidth="1"/>
    <col min="4112" max="4353" width="9.140625" style="953"/>
    <col min="4354" max="4354" width="20" style="953" customWidth="1"/>
    <col min="4355" max="4355" width="17.28515625" style="953" customWidth="1"/>
    <col min="4356" max="4357" width="22.7109375" style="953" customWidth="1"/>
    <col min="4358" max="4358" width="30.7109375" style="953" customWidth="1"/>
    <col min="4359" max="4359" width="10.7109375" style="953" customWidth="1"/>
    <col min="4360" max="4360" width="5.7109375" style="953" customWidth="1"/>
    <col min="4361" max="4361" width="11" style="953" customWidth="1"/>
    <col min="4362" max="4362" width="33.85546875" style="953" customWidth="1"/>
    <col min="4363" max="4365" width="9" style="953" customWidth="1"/>
    <col min="4366" max="4366" width="0" style="953" hidden="1" customWidth="1"/>
    <col min="4367" max="4367" width="9" style="953" customWidth="1"/>
    <col min="4368" max="4609" width="9.140625" style="953"/>
    <col min="4610" max="4610" width="20" style="953" customWidth="1"/>
    <col min="4611" max="4611" width="17.28515625" style="953" customWidth="1"/>
    <col min="4612" max="4613" width="22.7109375" style="953" customWidth="1"/>
    <col min="4614" max="4614" width="30.7109375" style="953" customWidth="1"/>
    <col min="4615" max="4615" width="10.7109375" style="953" customWidth="1"/>
    <col min="4616" max="4616" width="5.7109375" style="953" customWidth="1"/>
    <col min="4617" max="4617" width="11" style="953" customWidth="1"/>
    <col min="4618" max="4618" width="33.85546875" style="953" customWidth="1"/>
    <col min="4619" max="4621" width="9" style="953" customWidth="1"/>
    <col min="4622" max="4622" width="0" style="953" hidden="1" customWidth="1"/>
    <col min="4623" max="4623" width="9" style="953" customWidth="1"/>
    <col min="4624" max="4865" width="9.140625" style="953"/>
    <col min="4866" max="4866" width="20" style="953" customWidth="1"/>
    <col min="4867" max="4867" width="17.28515625" style="953" customWidth="1"/>
    <col min="4868" max="4869" width="22.7109375" style="953" customWidth="1"/>
    <col min="4870" max="4870" width="30.7109375" style="953" customWidth="1"/>
    <col min="4871" max="4871" width="10.7109375" style="953" customWidth="1"/>
    <col min="4872" max="4872" width="5.7109375" style="953" customWidth="1"/>
    <col min="4873" max="4873" width="11" style="953" customWidth="1"/>
    <col min="4874" max="4874" width="33.85546875" style="953" customWidth="1"/>
    <col min="4875" max="4877" width="9" style="953" customWidth="1"/>
    <col min="4878" max="4878" width="0" style="953" hidden="1" customWidth="1"/>
    <col min="4879" max="4879" width="9" style="953" customWidth="1"/>
    <col min="4880" max="5121" width="9.140625" style="953"/>
    <col min="5122" max="5122" width="20" style="953" customWidth="1"/>
    <col min="5123" max="5123" width="17.28515625" style="953" customWidth="1"/>
    <col min="5124" max="5125" width="22.7109375" style="953" customWidth="1"/>
    <col min="5126" max="5126" width="30.7109375" style="953" customWidth="1"/>
    <col min="5127" max="5127" width="10.7109375" style="953" customWidth="1"/>
    <col min="5128" max="5128" width="5.7109375" style="953" customWidth="1"/>
    <col min="5129" max="5129" width="11" style="953" customWidth="1"/>
    <col min="5130" max="5130" width="33.85546875" style="953" customWidth="1"/>
    <col min="5131" max="5133" width="9" style="953" customWidth="1"/>
    <col min="5134" max="5134" width="0" style="953" hidden="1" customWidth="1"/>
    <col min="5135" max="5135" width="9" style="953" customWidth="1"/>
    <col min="5136" max="5377" width="9.140625" style="953"/>
    <col min="5378" max="5378" width="20" style="953" customWidth="1"/>
    <col min="5379" max="5379" width="17.28515625" style="953" customWidth="1"/>
    <col min="5380" max="5381" width="22.7109375" style="953" customWidth="1"/>
    <col min="5382" max="5382" width="30.7109375" style="953" customWidth="1"/>
    <col min="5383" max="5383" width="10.7109375" style="953" customWidth="1"/>
    <col min="5384" max="5384" width="5.7109375" style="953" customWidth="1"/>
    <col min="5385" max="5385" width="11" style="953" customWidth="1"/>
    <col min="5386" max="5386" width="33.85546875" style="953" customWidth="1"/>
    <col min="5387" max="5389" width="9" style="953" customWidth="1"/>
    <col min="5390" max="5390" width="0" style="953" hidden="1" customWidth="1"/>
    <col min="5391" max="5391" width="9" style="953" customWidth="1"/>
    <col min="5392" max="5633" width="9.140625" style="953"/>
    <col min="5634" max="5634" width="20" style="953" customWidth="1"/>
    <col min="5635" max="5635" width="17.28515625" style="953" customWidth="1"/>
    <col min="5636" max="5637" width="22.7109375" style="953" customWidth="1"/>
    <col min="5638" max="5638" width="30.7109375" style="953" customWidth="1"/>
    <col min="5639" max="5639" width="10.7109375" style="953" customWidth="1"/>
    <col min="5640" max="5640" width="5.7109375" style="953" customWidth="1"/>
    <col min="5641" max="5641" width="11" style="953" customWidth="1"/>
    <col min="5642" max="5642" width="33.85546875" style="953" customWidth="1"/>
    <col min="5643" max="5645" width="9" style="953" customWidth="1"/>
    <col min="5646" max="5646" width="0" style="953" hidden="1" customWidth="1"/>
    <col min="5647" max="5647" width="9" style="953" customWidth="1"/>
    <col min="5648" max="5889" width="9.140625" style="953"/>
    <col min="5890" max="5890" width="20" style="953" customWidth="1"/>
    <col min="5891" max="5891" width="17.28515625" style="953" customWidth="1"/>
    <col min="5892" max="5893" width="22.7109375" style="953" customWidth="1"/>
    <col min="5894" max="5894" width="30.7109375" style="953" customWidth="1"/>
    <col min="5895" max="5895" width="10.7109375" style="953" customWidth="1"/>
    <col min="5896" max="5896" width="5.7109375" style="953" customWidth="1"/>
    <col min="5897" max="5897" width="11" style="953" customWidth="1"/>
    <col min="5898" max="5898" width="33.85546875" style="953" customWidth="1"/>
    <col min="5899" max="5901" width="9" style="953" customWidth="1"/>
    <col min="5902" max="5902" width="0" style="953" hidden="1" customWidth="1"/>
    <col min="5903" max="5903" width="9" style="953" customWidth="1"/>
    <col min="5904" max="6145" width="9.140625" style="953"/>
    <col min="6146" max="6146" width="20" style="953" customWidth="1"/>
    <col min="6147" max="6147" width="17.28515625" style="953" customWidth="1"/>
    <col min="6148" max="6149" width="22.7109375" style="953" customWidth="1"/>
    <col min="6150" max="6150" width="30.7109375" style="953" customWidth="1"/>
    <col min="6151" max="6151" width="10.7109375" style="953" customWidth="1"/>
    <col min="6152" max="6152" width="5.7109375" style="953" customWidth="1"/>
    <col min="6153" max="6153" width="11" style="953" customWidth="1"/>
    <col min="6154" max="6154" width="33.85546875" style="953" customWidth="1"/>
    <col min="6155" max="6157" width="9" style="953" customWidth="1"/>
    <col min="6158" max="6158" width="0" style="953" hidden="1" customWidth="1"/>
    <col min="6159" max="6159" width="9" style="953" customWidth="1"/>
    <col min="6160" max="6401" width="9.140625" style="953"/>
    <col min="6402" max="6402" width="20" style="953" customWidth="1"/>
    <col min="6403" max="6403" width="17.28515625" style="953" customWidth="1"/>
    <col min="6404" max="6405" width="22.7109375" style="953" customWidth="1"/>
    <col min="6406" max="6406" width="30.7109375" style="953" customWidth="1"/>
    <col min="6407" max="6407" width="10.7109375" style="953" customWidth="1"/>
    <col min="6408" max="6408" width="5.7109375" style="953" customWidth="1"/>
    <col min="6409" max="6409" width="11" style="953" customWidth="1"/>
    <col min="6410" max="6410" width="33.85546875" style="953" customWidth="1"/>
    <col min="6411" max="6413" width="9" style="953" customWidth="1"/>
    <col min="6414" max="6414" width="0" style="953" hidden="1" customWidth="1"/>
    <col min="6415" max="6415" width="9" style="953" customWidth="1"/>
    <col min="6416" max="6657" width="9.140625" style="953"/>
    <col min="6658" max="6658" width="20" style="953" customWidth="1"/>
    <col min="6659" max="6659" width="17.28515625" style="953" customWidth="1"/>
    <col min="6660" max="6661" width="22.7109375" style="953" customWidth="1"/>
    <col min="6662" max="6662" width="30.7109375" style="953" customWidth="1"/>
    <col min="6663" max="6663" width="10.7109375" style="953" customWidth="1"/>
    <col min="6664" max="6664" width="5.7109375" style="953" customWidth="1"/>
    <col min="6665" max="6665" width="11" style="953" customWidth="1"/>
    <col min="6666" max="6666" width="33.85546875" style="953" customWidth="1"/>
    <col min="6667" max="6669" width="9" style="953" customWidth="1"/>
    <col min="6670" max="6670" width="0" style="953" hidden="1" customWidth="1"/>
    <col min="6671" max="6671" width="9" style="953" customWidth="1"/>
    <col min="6672" max="6913" width="9.140625" style="953"/>
    <col min="6914" max="6914" width="20" style="953" customWidth="1"/>
    <col min="6915" max="6915" width="17.28515625" style="953" customWidth="1"/>
    <col min="6916" max="6917" width="22.7109375" style="953" customWidth="1"/>
    <col min="6918" max="6918" width="30.7109375" style="953" customWidth="1"/>
    <col min="6919" max="6919" width="10.7109375" style="953" customWidth="1"/>
    <col min="6920" max="6920" width="5.7109375" style="953" customWidth="1"/>
    <col min="6921" max="6921" width="11" style="953" customWidth="1"/>
    <col min="6922" max="6922" width="33.85546875" style="953" customWidth="1"/>
    <col min="6923" max="6925" width="9" style="953" customWidth="1"/>
    <col min="6926" max="6926" width="0" style="953" hidden="1" customWidth="1"/>
    <col min="6927" max="6927" width="9" style="953" customWidth="1"/>
    <col min="6928" max="7169" width="9.140625" style="953"/>
    <col min="7170" max="7170" width="20" style="953" customWidth="1"/>
    <col min="7171" max="7171" width="17.28515625" style="953" customWidth="1"/>
    <col min="7172" max="7173" width="22.7109375" style="953" customWidth="1"/>
    <col min="7174" max="7174" width="30.7109375" style="953" customWidth="1"/>
    <col min="7175" max="7175" width="10.7109375" style="953" customWidth="1"/>
    <col min="7176" max="7176" width="5.7109375" style="953" customWidth="1"/>
    <col min="7177" max="7177" width="11" style="953" customWidth="1"/>
    <col min="7178" max="7178" width="33.85546875" style="953" customWidth="1"/>
    <col min="7179" max="7181" width="9" style="953" customWidth="1"/>
    <col min="7182" max="7182" width="0" style="953" hidden="1" customWidth="1"/>
    <col min="7183" max="7183" width="9" style="953" customWidth="1"/>
    <col min="7184" max="7425" width="9.140625" style="953"/>
    <col min="7426" max="7426" width="20" style="953" customWidth="1"/>
    <col min="7427" max="7427" width="17.28515625" style="953" customWidth="1"/>
    <col min="7428" max="7429" width="22.7109375" style="953" customWidth="1"/>
    <col min="7430" max="7430" width="30.7109375" style="953" customWidth="1"/>
    <col min="7431" max="7431" width="10.7109375" style="953" customWidth="1"/>
    <col min="7432" max="7432" width="5.7109375" style="953" customWidth="1"/>
    <col min="7433" max="7433" width="11" style="953" customWidth="1"/>
    <col min="7434" max="7434" width="33.85546875" style="953" customWidth="1"/>
    <col min="7435" max="7437" width="9" style="953" customWidth="1"/>
    <col min="7438" max="7438" width="0" style="953" hidden="1" customWidth="1"/>
    <col min="7439" max="7439" width="9" style="953" customWidth="1"/>
    <col min="7440" max="7681" width="9.140625" style="953"/>
    <col min="7682" max="7682" width="20" style="953" customWidth="1"/>
    <col min="7683" max="7683" width="17.28515625" style="953" customWidth="1"/>
    <col min="7684" max="7685" width="22.7109375" style="953" customWidth="1"/>
    <col min="7686" max="7686" width="30.7109375" style="953" customWidth="1"/>
    <col min="7687" max="7687" width="10.7109375" style="953" customWidth="1"/>
    <col min="7688" max="7688" width="5.7109375" style="953" customWidth="1"/>
    <col min="7689" max="7689" width="11" style="953" customWidth="1"/>
    <col min="7690" max="7690" width="33.85546875" style="953" customWidth="1"/>
    <col min="7691" max="7693" width="9" style="953" customWidth="1"/>
    <col min="7694" max="7694" width="0" style="953" hidden="1" customWidth="1"/>
    <col min="7695" max="7695" width="9" style="953" customWidth="1"/>
    <col min="7696" max="7937" width="9.140625" style="953"/>
    <col min="7938" max="7938" width="20" style="953" customWidth="1"/>
    <col min="7939" max="7939" width="17.28515625" style="953" customWidth="1"/>
    <col min="7940" max="7941" width="22.7109375" style="953" customWidth="1"/>
    <col min="7942" max="7942" width="30.7109375" style="953" customWidth="1"/>
    <col min="7943" max="7943" width="10.7109375" style="953" customWidth="1"/>
    <col min="7944" max="7944" width="5.7109375" style="953" customWidth="1"/>
    <col min="7945" max="7945" width="11" style="953" customWidth="1"/>
    <col min="7946" max="7946" width="33.85546875" style="953" customWidth="1"/>
    <col min="7947" max="7949" width="9" style="953" customWidth="1"/>
    <col min="7950" max="7950" width="0" style="953" hidden="1" customWidth="1"/>
    <col min="7951" max="7951" width="9" style="953" customWidth="1"/>
    <col min="7952" max="8193" width="9.140625" style="953"/>
    <col min="8194" max="8194" width="20" style="953" customWidth="1"/>
    <col min="8195" max="8195" width="17.28515625" style="953" customWidth="1"/>
    <col min="8196" max="8197" width="22.7109375" style="953" customWidth="1"/>
    <col min="8198" max="8198" width="30.7109375" style="953" customWidth="1"/>
    <col min="8199" max="8199" width="10.7109375" style="953" customWidth="1"/>
    <col min="8200" max="8200" width="5.7109375" style="953" customWidth="1"/>
    <col min="8201" max="8201" width="11" style="953" customWidth="1"/>
    <col min="8202" max="8202" width="33.85546875" style="953" customWidth="1"/>
    <col min="8203" max="8205" width="9" style="953" customWidth="1"/>
    <col min="8206" max="8206" width="0" style="953" hidden="1" customWidth="1"/>
    <col min="8207" max="8207" width="9" style="953" customWidth="1"/>
    <col min="8208" max="8449" width="9.140625" style="953"/>
    <col min="8450" max="8450" width="20" style="953" customWidth="1"/>
    <col min="8451" max="8451" width="17.28515625" style="953" customWidth="1"/>
    <col min="8452" max="8453" width="22.7109375" style="953" customWidth="1"/>
    <col min="8454" max="8454" width="30.7109375" style="953" customWidth="1"/>
    <col min="8455" max="8455" width="10.7109375" style="953" customWidth="1"/>
    <col min="8456" max="8456" width="5.7109375" style="953" customWidth="1"/>
    <col min="8457" max="8457" width="11" style="953" customWidth="1"/>
    <col min="8458" max="8458" width="33.85546875" style="953" customWidth="1"/>
    <col min="8459" max="8461" width="9" style="953" customWidth="1"/>
    <col min="8462" max="8462" width="0" style="953" hidden="1" customWidth="1"/>
    <col min="8463" max="8463" width="9" style="953" customWidth="1"/>
    <col min="8464" max="8705" width="9.140625" style="953"/>
    <col min="8706" max="8706" width="20" style="953" customWidth="1"/>
    <col min="8707" max="8707" width="17.28515625" style="953" customWidth="1"/>
    <col min="8708" max="8709" width="22.7109375" style="953" customWidth="1"/>
    <col min="8710" max="8710" width="30.7109375" style="953" customWidth="1"/>
    <col min="8711" max="8711" width="10.7109375" style="953" customWidth="1"/>
    <col min="8712" max="8712" width="5.7109375" style="953" customWidth="1"/>
    <col min="8713" max="8713" width="11" style="953" customWidth="1"/>
    <col min="8714" max="8714" width="33.85546875" style="953" customWidth="1"/>
    <col min="8715" max="8717" width="9" style="953" customWidth="1"/>
    <col min="8718" max="8718" width="0" style="953" hidden="1" customWidth="1"/>
    <col min="8719" max="8719" width="9" style="953" customWidth="1"/>
    <col min="8720" max="8961" width="9.140625" style="953"/>
    <col min="8962" max="8962" width="20" style="953" customWidth="1"/>
    <col min="8963" max="8963" width="17.28515625" style="953" customWidth="1"/>
    <col min="8964" max="8965" width="22.7109375" style="953" customWidth="1"/>
    <col min="8966" max="8966" width="30.7109375" style="953" customWidth="1"/>
    <col min="8967" max="8967" width="10.7109375" style="953" customWidth="1"/>
    <col min="8968" max="8968" width="5.7109375" style="953" customWidth="1"/>
    <col min="8969" max="8969" width="11" style="953" customWidth="1"/>
    <col min="8970" max="8970" width="33.85546875" style="953" customWidth="1"/>
    <col min="8971" max="8973" width="9" style="953" customWidth="1"/>
    <col min="8974" max="8974" width="0" style="953" hidden="1" customWidth="1"/>
    <col min="8975" max="8975" width="9" style="953" customWidth="1"/>
    <col min="8976" max="9217" width="9.140625" style="953"/>
    <col min="9218" max="9218" width="20" style="953" customWidth="1"/>
    <col min="9219" max="9219" width="17.28515625" style="953" customWidth="1"/>
    <col min="9220" max="9221" width="22.7109375" style="953" customWidth="1"/>
    <col min="9222" max="9222" width="30.7109375" style="953" customWidth="1"/>
    <col min="9223" max="9223" width="10.7109375" style="953" customWidth="1"/>
    <col min="9224" max="9224" width="5.7109375" style="953" customWidth="1"/>
    <col min="9225" max="9225" width="11" style="953" customWidth="1"/>
    <col min="9226" max="9226" width="33.85546875" style="953" customWidth="1"/>
    <col min="9227" max="9229" width="9" style="953" customWidth="1"/>
    <col min="9230" max="9230" width="0" style="953" hidden="1" customWidth="1"/>
    <col min="9231" max="9231" width="9" style="953" customWidth="1"/>
    <col min="9232" max="9473" width="9.140625" style="953"/>
    <col min="9474" max="9474" width="20" style="953" customWidth="1"/>
    <col min="9475" max="9475" width="17.28515625" style="953" customWidth="1"/>
    <col min="9476" max="9477" width="22.7109375" style="953" customWidth="1"/>
    <col min="9478" max="9478" width="30.7109375" style="953" customWidth="1"/>
    <col min="9479" max="9479" width="10.7109375" style="953" customWidth="1"/>
    <col min="9480" max="9480" width="5.7109375" style="953" customWidth="1"/>
    <col min="9481" max="9481" width="11" style="953" customWidth="1"/>
    <col min="9482" max="9482" width="33.85546875" style="953" customWidth="1"/>
    <col min="9483" max="9485" width="9" style="953" customWidth="1"/>
    <col min="9486" max="9486" width="0" style="953" hidden="1" customWidth="1"/>
    <col min="9487" max="9487" width="9" style="953" customWidth="1"/>
    <col min="9488" max="9729" width="9.140625" style="953"/>
    <col min="9730" max="9730" width="20" style="953" customWidth="1"/>
    <col min="9731" max="9731" width="17.28515625" style="953" customWidth="1"/>
    <col min="9732" max="9733" width="22.7109375" style="953" customWidth="1"/>
    <col min="9734" max="9734" width="30.7109375" style="953" customWidth="1"/>
    <col min="9735" max="9735" width="10.7109375" style="953" customWidth="1"/>
    <col min="9736" max="9736" width="5.7109375" style="953" customWidth="1"/>
    <col min="9737" max="9737" width="11" style="953" customWidth="1"/>
    <col min="9738" max="9738" width="33.85546875" style="953" customWidth="1"/>
    <col min="9739" max="9741" width="9" style="953" customWidth="1"/>
    <col min="9742" max="9742" width="0" style="953" hidden="1" customWidth="1"/>
    <col min="9743" max="9743" width="9" style="953" customWidth="1"/>
    <col min="9744" max="9985" width="9.140625" style="953"/>
    <col min="9986" max="9986" width="20" style="953" customWidth="1"/>
    <col min="9987" max="9987" width="17.28515625" style="953" customWidth="1"/>
    <col min="9988" max="9989" width="22.7109375" style="953" customWidth="1"/>
    <col min="9990" max="9990" width="30.7109375" style="953" customWidth="1"/>
    <col min="9991" max="9991" width="10.7109375" style="953" customWidth="1"/>
    <col min="9992" max="9992" width="5.7109375" style="953" customWidth="1"/>
    <col min="9993" max="9993" width="11" style="953" customWidth="1"/>
    <col min="9994" max="9994" width="33.85546875" style="953" customWidth="1"/>
    <col min="9995" max="9997" width="9" style="953" customWidth="1"/>
    <col min="9998" max="9998" width="0" style="953" hidden="1" customWidth="1"/>
    <col min="9999" max="9999" width="9" style="953" customWidth="1"/>
    <col min="10000" max="10241" width="9.140625" style="953"/>
    <col min="10242" max="10242" width="20" style="953" customWidth="1"/>
    <col min="10243" max="10243" width="17.28515625" style="953" customWidth="1"/>
    <col min="10244" max="10245" width="22.7109375" style="953" customWidth="1"/>
    <col min="10246" max="10246" width="30.7109375" style="953" customWidth="1"/>
    <col min="10247" max="10247" width="10.7109375" style="953" customWidth="1"/>
    <col min="10248" max="10248" width="5.7109375" style="953" customWidth="1"/>
    <col min="10249" max="10249" width="11" style="953" customWidth="1"/>
    <col min="10250" max="10250" width="33.85546875" style="953" customWidth="1"/>
    <col min="10251" max="10253" width="9" style="953" customWidth="1"/>
    <col min="10254" max="10254" width="0" style="953" hidden="1" customWidth="1"/>
    <col min="10255" max="10255" width="9" style="953" customWidth="1"/>
    <col min="10256" max="10497" width="9.140625" style="953"/>
    <col min="10498" max="10498" width="20" style="953" customWidth="1"/>
    <col min="10499" max="10499" width="17.28515625" style="953" customWidth="1"/>
    <col min="10500" max="10501" width="22.7109375" style="953" customWidth="1"/>
    <col min="10502" max="10502" width="30.7109375" style="953" customWidth="1"/>
    <col min="10503" max="10503" width="10.7109375" style="953" customWidth="1"/>
    <col min="10504" max="10504" width="5.7109375" style="953" customWidth="1"/>
    <col min="10505" max="10505" width="11" style="953" customWidth="1"/>
    <col min="10506" max="10506" width="33.85546875" style="953" customWidth="1"/>
    <col min="10507" max="10509" width="9" style="953" customWidth="1"/>
    <col min="10510" max="10510" width="0" style="953" hidden="1" customWidth="1"/>
    <col min="10511" max="10511" width="9" style="953" customWidth="1"/>
    <col min="10512" max="10753" width="9.140625" style="953"/>
    <col min="10754" max="10754" width="20" style="953" customWidth="1"/>
    <col min="10755" max="10755" width="17.28515625" style="953" customWidth="1"/>
    <col min="10756" max="10757" width="22.7109375" style="953" customWidth="1"/>
    <col min="10758" max="10758" width="30.7109375" style="953" customWidth="1"/>
    <col min="10759" max="10759" width="10.7109375" style="953" customWidth="1"/>
    <col min="10760" max="10760" width="5.7109375" style="953" customWidth="1"/>
    <col min="10761" max="10761" width="11" style="953" customWidth="1"/>
    <col min="10762" max="10762" width="33.85546875" style="953" customWidth="1"/>
    <col min="10763" max="10765" width="9" style="953" customWidth="1"/>
    <col min="10766" max="10766" width="0" style="953" hidden="1" customWidth="1"/>
    <col min="10767" max="10767" width="9" style="953" customWidth="1"/>
    <col min="10768" max="11009" width="9.140625" style="953"/>
    <col min="11010" max="11010" width="20" style="953" customWidth="1"/>
    <col min="11011" max="11011" width="17.28515625" style="953" customWidth="1"/>
    <col min="11012" max="11013" width="22.7109375" style="953" customWidth="1"/>
    <col min="11014" max="11014" width="30.7109375" style="953" customWidth="1"/>
    <col min="11015" max="11015" width="10.7109375" style="953" customWidth="1"/>
    <col min="11016" max="11016" width="5.7109375" style="953" customWidth="1"/>
    <col min="11017" max="11017" width="11" style="953" customWidth="1"/>
    <col min="11018" max="11018" width="33.85546875" style="953" customWidth="1"/>
    <col min="11019" max="11021" width="9" style="953" customWidth="1"/>
    <col min="11022" max="11022" width="0" style="953" hidden="1" customWidth="1"/>
    <col min="11023" max="11023" width="9" style="953" customWidth="1"/>
    <col min="11024" max="11265" width="9.140625" style="953"/>
    <col min="11266" max="11266" width="20" style="953" customWidth="1"/>
    <col min="11267" max="11267" width="17.28515625" style="953" customWidth="1"/>
    <col min="11268" max="11269" width="22.7109375" style="953" customWidth="1"/>
    <col min="11270" max="11270" width="30.7109375" style="953" customWidth="1"/>
    <col min="11271" max="11271" width="10.7109375" style="953" customWidth="1"/>
    <col min="11272" max="11272" width="5.7109375" style="953" customWidth="1"/>
    <col min="11273" max="11273" width="11" style="953" customWidth="1"/>
    <col min="11274" max="11274" width="33.85546875" style="953" customWidth="1"/>
    <col min="11275" max="11277" width="9" style="953" customWidth="1"/>
    <col min="11278" max="11278" width="0" style="953" hidden="1" customWidth="1"/>
    <col min="11279" max="11279" width="9" style="953" customWidth="1"/>
    <col min="11280" max="11521" width="9.140625" style="953"/>
    <col min="11522" max="11522" width="20" style="953" customWidth="1"/>
    <col min="11523" max="11523" width="17.28515625" style="953" customWidth="1"/>
    <col min="11524" max="11525" width="22.7109375" style="953" customWidth="1"/>
    <col min="11526" max="11526" width="30.7109375" style="953" customWidth="1"/>
    <col min="11527" max="11527" width="10.7109375" style="953" customWidth="1"/>
    <col min="11528" max="11528" width="5.7109375" style="953" customWidth="1"/>
    <col min="11529" max="11529" width="11" style="953" customWidth="1"/>
    <col min="11530" max="11530" width="33.85546875" style="953" customWidth="1"/>
    <col min="11531" max="11533" width="9" style="953" customWidth="1"/>
    <col min="11534" max="11534" width="0" style="953" hidden="1" customWidth="1"/>
    <col min="11535" max="11535" width="9" style="953" customWidth="1"/>
    <col min="11536" max="11777" width="9.140625" style="953"/>
    <col min="11778" max="11778" width="20" style="953" customWidth="1"/>
    <col min="11779" max="11779" width="17.28515625" style="953" customWidth="1"/>
    <col min="11780" max="11781" width="22.7109375" style="953" customWidth="1"/>
    <col min="11782" max="11782" width="30.7109375" style="953" customWidth="1"/>
    <col min="11783" max="11783" width="10.7109375" style="953" customWidth="1"/>
    <col min="11784" max="11784" width="5.7109375" style="953" customWidth="1"/>
    <col min="11785" max="11785" width="11" style="953" customWidth="1"/>
    <col min="11786" max="11786" width="33.85546875" style="953" customWidth="1"/>
    <col min="11787" max="11789" width="9" style="953" customWidth="1"/>
    <col min="11790" max="11790" width="0" style="953" hidden="1" customWidth="1"/>
    <col min="11791" max="11791" width="9" style="953" customWidth="1"/>
    <col min="11792" max="12033" width="9.140625" style="953"/>
    <col min="12034" max="12034" width="20" style="953" customWidth="1"/>
    <col min="12035" max="12035" width="17.28515625" style="953" customWidth="1"/>
    <col min="12036" max="12037" width="22.7109375" style="953" customWidth="1"/>
    <col min="12038" max="12038" width="30.7109375" style="953" customWidth="1"/>
    <col min="12039" max="12039" width="10.7109375" style="953" customWidth="1"/>
    <col min="12040" max="12040" width="5.7109375" style="953" customWidth="1"/>
    <col min="12041" max="12041" width="11" style="953" customWidth="1"/>
    <col min="12042" max="12042" width="33.85546875" style="953" customWidth="1"/>
    <col min="12043" max="12045" width="9" style="953" customWidth="1"/>
    <col min="12046" max="12046" width="0" style="953" hidden="1" customWidth="1"/>
    <col min="12047" max="12047" width="9" style="953" customWidth="1"/>
    <col min="12048" max="12289" width="9.140625" style="953"/>
    <col min="12290" max="12290" width="20" style="953" customWidth="1"/>
    <col min="12291" max="12291" width="17.28515625" style="953" customWidth="1"/>
    <col min="12292" max="12293" width="22.7109375" style="953" customWidth="1"/>
    <col min="12294" max="12294" width="30.7109375" style="953" customWidth="1"/>
    <col min="12295" max="12295" width="10.7109375" style="953" customWidth="1"/>
    <col min="12296" max="12296" width="5.7109375" style="953" customWidth="1"/>
    <col min="12297" max="12297" width="11" style="953" customWidth="1"/>
    <col min="12298" max="12298" width="33.85546875" style="953" customWidth="1"/>
    <col min="12299" max="12301" width="9" style="953" customWidth="1"/>
    <col min="12302" max="12302" width="0" style="953" hidden="1" customWidth="1"/>
    <col min="12303" max="12303" width="9" style="953" customWidth="1"/>
    <col min="12304" max="12545" width="9.140625" style="953"/>
    <col min="12546" max="12546" width="20" style="953" customWidth="1"/>
    <col min="12547" max="12547" width="17.28515625" style="953" customWidth="1"/>
    <col min="12548" max="12549" width="22.7109375" style="953" customWidth="1"/>
    <col min="12550" max="12550" width="30.7109375" style="953" customWidth="1"/>
    <col min="12551" max="12551" width="10.7109375" style="953" customWidth="1"/>
    <col min="12552" max="12552" width="5.7109375" style="953" customWidth="1"/>
    <col min="12553" max="12553" width="11" style="953" customWidth="1"/>
    <col min="12554" max="12554" width="33.85546875" style="953" customWidth="1"/>
    <col min="12555" max="12557" width="9" style="953" customWidth="1"/>
    <col min="12558" max="12558" width="0" style="953" hidden="1" customWidth="1"/>
    <col min="12559" max="12559" width="9" style="953" customWidth="1"/>
    <col min="12560" max="12801" width="9.140625" style="953"/>
    <col min="12802" max="12802" width="20" style="953" customWidth="1"/>
    <col min="12803" max="12803" width="17.28515625" style="953" customWidth="1"/>
    <col min="12804" max="12805" width="22.7109375" style="953" customWidth="1"/>
    <col min="12806" max="12806" width="30.7109375" style="953" customWidth="1"/>
    <col min="12807" max="12807" width="10.7109375" style="953" customWidth="1"/>
    <col min="12808" max="12808" width="5.7109375" style="953" customWidth="1"/>
    <col min="12809" max="12809" width="11" style="953" customWidth="1"/>
    <col min="12810" max="12810" width="33.85546875" style="953" customWidth="1"/>
    <col min="12811" max="12813" width="9" style="953" customWidth="1"/>
    <col min="12814" max="12814" width="0" style="953" hidden="1" customWidth="1"/>
    <col min="12815" max="12815" width="9" style="953" customWidth="1"/>
    <col min="12816" max="13057" width="9.140625" style="953"/>
    <col min="13058" max="13058" width="20" style="953" customWidth="1"/>
    <col min="13059" max="13059" width="17.28515625" style="953" customWidth="1"/>
    <col min="13060" max="13061" width="22.7109375" style="953" customWidth="1"/>
    <col min="13062" max="13062" width="30.7109375" style="953" customWidth="1"/>
    <col min="13063" max="13063" width="10.7109375" style="953" customWidth="1"/>
    <col min="13064" max="13064" width="5.7109375" style="953" customWidth="1"/>
    <col min="13065" max="13065" width="11" style="953" customWidth="1"/>
    <col min="13066" max="13066" width="33.85546875" style="953" customWidth="1"/>
    <col min="13067" max="13069" width="9" style="953" customWidth="1"/>
    <col min="13070" max="13070" width="0" style="953" hidden="1" customWidth="1"/>
    <col min="13071" max="13071" width="9" style="953" customWidth="1"/>
    <col min="13072" max="13313" width="9.140625" style="953"/>
    <col min="13314" max="13314" width="20" style="953" customWidth="1"/>
    <col min="13315" max="13315" width="17.28515625" style="953" customWidth="1"/>
    <col min="13316" max="13317" width="22.7109375" style="953" customWidth="1"/>
    <col min="13318" max="13318" width="30.7109375" style="953" customWidth="1"/>
    <col min="13319" max="13319" width="10.7109375" style="953" customWidth="1"/>
    <col min="13320" max="13320" width="5.7109375" style="953" customWidth="1"/>
    <col min="13321" max="13321" width="11" style="953" customWidth="1"/>
    <col min="13322" max="13322" width="33.85546875" style="953" customWidth="1"/>
    <col min="13323" max="13325" width="9" style="953" customWidth="1"/>
    <col min="13326" max="13326" width="0" style="953" hidden="1" customWidth="1"/>
    <col min="13327" max="13327" width="9" style="953" customWidth="1"/>
    <col min="13328" max="13569" width="9.140625" style="953"/>
    <col min="13570" max="13570" width="20" style="953" customWidth="1"/>
    <col min="13571" max="13571" width="17.28515625" style="953" customWidth="1"/>
    <col min="13572" max="13573" width="22.7109375" style="953" customWidth="1"/>
    <col min="13574" max="13574" width="30.7109375" style="953" customWidth="1"/>
    <col min="13575" max="13575" width="10.7109375" style="953" customWidth="1"/>
    <col min="13576" max="13576" width="5.7109375" style="953" customWidth="1"/>
    <col min="13577" max="13577" width="11" style="953" customWidth="1"/>
    <col min="13578" max="13578" width="33.85546875" style="953" customWidth="1"/>
    <col min="13579" max="13581" width="9" style="953" customWidth="1"/>
    <col min="13582" max="13582" width="0" style="953" hidden="1" customWidth="1"/>
    <col min="13583" max="13583" width="9" style="953" customWidth="1"/>
    <col min="13584" max="13825" width="9.140625" style="953"/>
    <col min="13826" max="13826" width="20" style="953" customWidth="1"/>
    <col min="13827" max="13827" width="17.28515625" style="953" customWidth="1"/>
    <col min="13828" max="13829" width="22.7109375" style="953" customWidth="1"/>
    <col min="13830" max="13830" width="30.7109375" style="953" customWidth="1"/>
    <col min="13831" max="13831" width="10.7109375" style="953" customWidth="1"/>
    <col min="13832" max="13832" width="5.7109375" style="953" customWidth="1"/>
    <col min="13833" max="13833" width="11" style="953" customWidth="1"/>
    <col min="13834" max="13834" width="33.85546875" style="953" customWidth="1"/>
    <col min="13835" max="13837" width="9" style="953" customWidth="1"/>
    <col min="13838" max="13838" width="0" style="953" hidden="1" customWidth="1"/>
    <col min="13839" max="13839" width="9" style="953" customWidth="1"/>
    <col min="13840" max="14081" width="9.140625" style="953"/>
    <col min="14082" max="14082" width="20" style="953" customWidth="1"/>
    <col min="14083" max="14083" width="17.28515625" style="953" customWidth="1"/>
    <col min="14084" max="14085" width="22.7109375" style="953" customWidth="1"/>
    <col min="14086" max="14086" width="30.7109375" style="953" customWidth="1"/>
    <col min="14087" max="14087" width="10.7109375" style="953" customWidth="1"/>
    <col min="14088" max="14088" width="5.7109375" style="953" customWidth="1"/>
    <col min="14089" max="14089" width="11" style="953" customWidth="1"/>
    <col min="14090" max="14090" width="33.85546875" style="953" customWidth="1"/>
    <col min="14091" max="14093" width="9" style="953" customWidth="1"/>
    <col min="14094" max="14094" width="0" style="953" hidden="1" customWidth="1"/>
    <col min="14095" max="14095" width="9" style="953" customWidth="1"/>
    <col min="14096" max="14337" width="9.140625" style="953"/>
    <col min="14338" max="14338" width="20" style="953" customWidth="1"/>
    <col min="14339" max="14339" width="17.28515625" style="953" customWidth="1"/>
    <col min="14340" max="14341" width="22.7109375" style="953" customWidth="1"/>
    <col min="14342" max="14342" width="30.7109375" style="953" customWidth="1"/>
    <col min="14343" max="14343" width="10.7109375" style="953" customWidth="1"/>
    <col min="14344" max="14344" width="5.7109375" style="953" customWidth="1"/>
    <col min="14345" max="14345" width="11" style="953" customWidth="1"/>
    <col min="14346" max="14346" width="33.85546875" style="953" customWidth="1"/>
    <col min="14347" max="14349" width="9" style="953" customWidth="1"/>
    <col min="14350" max="14350" width="0" style="953" hidden="1" customWidth="1"/>
    <col min="14351" max="14351" width="9" style="953" customWidth="1"/>
    <col min="14352" max="14593" width="9.140625" style="953"/>
    <col min="14594" max="14594" width="20" style="953" customWidth="1"/>
    <col min="14595" max="14595" width="17.28515625" style="953" customWidth="1"/>
    <col min="14596" max="14597" width="22.7109375" style="953" customWidth="1"/>
    <col min="14598" max="14598" width="30.7109375" style="953" customWidth="1"/>
    <col min="14599" max="14599" width="10.7109375" style="953" customWidth="1"/>
    <col min="14600" max="14600" width="5.7109375" style="953" customWidth="1"/>
    <col min="14601" max="14601" width="11" style="953" customWidth="1"/>
    <col min="14602" max="14602" width="33.85546875" style="953" customWidth="1"/>
    <col min="14603" max="14605" width="9" style="953" customWidth="1"/>
    <col min="14606" max="14606" width="0" style="953" hidden="1" customWidth="1"/>
    <col min="14607" max="14607" width="9" style="953" customWidth="1"/>
    <col min="14608" max="14849" width="9.140625" style="953"/>
    <col min="14850" max="14850" width="20" style="953" customWidth="1"/>
    <col min="14851" max="14851" width="17.28515625" style="953" customWidth="1"/>
    <col min="14852" max="14853" width="22.7109375" style="953" customWidth="1"/>
    <col min="14854" max="14854" width="30.7109375" style="953" customWidth="1"/>
    <col min="14855" max="14855" width="10.7109375" style="953" customWidth="1"/>
    <col min="14856" max="14856" width="5.7109375" style="953" customWidth="1"/>
    <col min="14857" max="14857" width="11" style="953" customWidth="1"/>
    <col min="14858" max="14858" width="33.85546875" style="953" customWidth="1"/>
    <col min="14859" max="14861" width="9" style="953" customWidth="1"/>
    <col min="14862" max="14862" width="0" style="953" hidden="1" customWidth="1"/>
    <col min="14863" max="14863" width="9" style="953" customWidth="1"/>
    <col min="14864" max="15105" width="9.140625" style="953"/>
    <col min="15106" max="15106" width="20" style="953" customWidth="1"/>
    <col min="15107" max="15107" width="17.28515625" style="953" customWidth="1"/>
    <col min="15108" max="15109" width="22.7109375" style="953" customWidth="1"/>
    <col min="15110" max="15110" width="30.7109375" style="953" customWidth="1"/>
    <col min="15111" max="15111" width="10.7109375" style="953" customWidth="1"/>
    <col min="15112" max="15112" width="5.7109375" style="953" customWidth="1"/>
    <col min="15113" max="15113" width="11" style="953" customWidth="1"/>
    <col min="15114" max="15114" width="33.85546875" style="953" customWidth="1"/>
    <col min="15115" max="15117" width="9" style="953" customWidth="1"/>
    <col min="15118" max="15118" width="0" style="953" hidden="1" customWidth="1"/>
    <col min="15119" max="15119" width="9" style="953" customWidth="1"/>
    <col min="15120" max="15361" width="9.140625" style="953"/>
    <col min="15362" max="15362" width="20" style="953" customWidth="1"/>
    <col min="15363" max="15363" width="17.28515625" style="953" customWidth="1"/>
    <col min="15364" max="15365" width="22.7109375" style="953" customWidth="1"/>
    <col min="15366" max="15366" width="30.7109375" style="953" customWidth="1"/>
    <col min="15367" max="15367" width="10.7109375" style="953" customWidth="1"/>
    <col min="15368" max="15368" width="5.7109375" style="953" customWidth="1"/>
    <col min="15369" max="15369" width="11" style="953" customWidth="1"/>
    <col min="15370" max="15370" width="33.85546875" style="953" customWidth="1"/>
    <col min="15371" max="15373" width="9" style="953" customWidth="1"/>
    <col min="15374" max="15374" width="0" style="953" hidden="1" customWidth="1"/>
    <col min="15375" max="15375" width="9" style="953" customWidth="1"/>
    <col min="15376" max="15617" width="9.140625" style="953"/>
    <col min="15618" max="15618" width="20" style="953" customWidth="1"/>
    <col min="15619" max="15619" width="17.28515625" style="953" customWidth="1"/>
    <col min="15620" max="15621" width="22.7109375" style="953" customWidth="1"/>
    <col min="15622" max="15622" width="30.7109375" style="953" customWidth="1"/>
    <col min="15623" max="15623" width="10.7109375" style="953" customWidth="1"/>
    <col min="15624" max="15624" width="5.7109375" style="953" customWidth="1"/>
    <col min="15625" max="15625" width="11" style="953" customWidth="1"/>
    <col min="15626" max="15626" width="33.85546875" style="953" customWidth="1"/>
    <col min="15627" max="15629" width="9" style="953" customWidth="1"/>
    <col min="15630" max="15630" width="0" style="953" hidden="1" customWidth="1"/>
    <col min="15631" max="15631" width="9" style="953" customWidth="1"/>
    <col min="15632" max="15873" width="9.140625" style="953"/>
    <col min="15874" max="15874" width="20" style="953" customWidth="1"/>
    <col min="15875" max="15875" width="17.28515625" style="953" customWidth="1"/>
    <col min="15876" max="15877" width="22.7109375" style="953" customWidth="1"/>
    <col min="15878" max="15878" width="30.7109375" style="953" customWidth="1"/>
    <col min="15879" max="15879" width="10.7109375" style="953" customWidth="1"/>
    <col min="15880" max="15880" width="5.7109375" style="953" customWidth="1"/>
    <col min="15881" max="15881" width="11" style="953" customWidth="1"/>
    <col min="15882" max="15882" width="33.85546875" style="953" customWidth="1"/>
    <col min="15883" max="15885" width="9" style="953" customWidth="1"/>
    <col min="15886" max="15886" width="0" style="953" hidden="1" customWidth="1"/>
    <col min="15887" max="15887" width="9" style="953" customWidth="1"/>
    <col min="15888" max="16129" width="9.140625" style="953"/>
    <col min="16130" max="16130" width="20" style="953" customWidth="1"/>
    <col min="16131" max="16131" width="17.28515625" style="953" customWidth="1"/>
    <col min="16132" max="16133" width="22.7109375" style="953" customWidth="1"/>
    <col min="16134" max="16134" width="30.7109375" style="953" customWidth="1"/>
    <col min="16135" max="16135" width="10.7109375" style="953" customWidth="1"/>
    <col min="16136" max="16136" width="5.7109375" style="953" customWidth="1"/>
    <col min="16137" max="16137" width="11" style="953" customWidth="1"/>
    <col min="16138" max="16138" width="33.85546875" style="953" customWidth="1"/>
    <col min="16139" max="16141" width="9" style="953" customWidth="1"/>
    <col min="16142" max="16142" width="0" style="953" hidden="1" customWidth="1"/>
    <col min="16143" max="16143" width="9" style="953" customWidth="1"/>
    <col min="16144" max="16384" width="9.140625" style="953"/>
  </cols>
  <sheetData>
    <row r="1" spans="1:75" ht="26.25" customHeight="1">
      <c r="A1" s="1437" t="s">
        <v>1597</v>
      </c>
      <c r="B1" s="1438" t="s">
        <v>1598</v>
      </c>
      <c r="C1" s="1439"/>
      <c r="D1" s="1439"/>
      <c r="E1" s="1439"/>
      <c r="F1" s="1441"/>
      <c r="G1" s="1439"/>
      <c r="H1" s="1439"/>
      <c r="I1" s="1439"/>
      <c r="J1" s="1439"/>
      <c r="K1" s="953"/>
      <c r="L1" s="953"/>
      <c r="M1" s="953"/>
      <c r="N1" s="953"/>
      <c r="O1" s="953"/>
      <c r="P1" s="953"/>
      <c r="Q1" s="953"/>
      <c r="R1" s="953"/>
      <c r="S1" s="953"/>
      <c r="T1" s="953"/>
      <c r="U1" s="953"/>
      <c r="V1" s="953"/>
      <c r="W1" s="953"/>
      <c r="X1" s="953"/>
      <c r="Y1" s="953"/>
      <c r="Z1" s="953"/>
      <c r="AA1" s="953"/>
    </row>
    <row r="2" spans="1:75" ht="26.25" customHeight="1">
      <c r="A2" s="953"/>
      <c r="B2" s="1438" t="s">
        <v>1599</v>
      </c>
      <c r="C2" s="1439"/>
      <c r="D2" s="1439"/>
      <c r="E2" s="1439"/>
      <c r="F2" s="1441"/>
      <c r="G2" s="1439"/>
      <c r="H2" s="1439"/>
      <c r="I2" s="1439"/>
      <c r="J2" s="1439"/>
      <c r="K2" s="953"/>
      <c r="L2" s="953"/>
      <c r="M2" s="953"/>
      <c r="N2" s="953"/>
      <c r="O2" s="953"/>
      <c r="P2" s="953"/>
      <c r="Q2" s="953"/>
      <c r="R2" s="953"/>
      <c r="S2" s="953"/>
      <c r="T2" s="953"/>
      <c r="U2" s="953"/>
      <c r="V2" s="953"/>
      <c r="W2" s="953"/>
      <c r="X2" s="953"/>
      <c r="Y2" s="953"/>
      <c r="Z2" s="953"/>
      <c r="AA2" s="953"/>
    </row>
    <row r="3" spans="1:75" ht="26.25" customHeight="1">
      <c r="A3" s="953"/>
      <c r="B3" s="1440" t="s">
        <v>409</v>
      </c>
      <c r="C3" s="1440">
        <f>'Project Info'!$C$3</f>
        <v>0</v>
      </c>
      <c r="D3" s="1440"/>
      <c r="E3" s="1439"/>
      <c r="F3" s="1441"/>
      <c r="G3" s="1439"/>
      <c r="H3" s="1439"/>
      <c r="I3" s="1439"/>
      <c r="J3" s="1439"/>
      <c r="K3" s="953"/>
      <c r="L3" s="953"/>
      <c r="M3" s="953"/>
      <c r="N3" s="953"/>
      <c r="O3" s="953"/>
      <c r="P3" s="953"/>
      <c r="Q3" s="953"/>
      <c r="R3" s="953"/>
      <c r="S3" s="953"/>
      <c r="T3" s="953"/>
      <c r="U3" s="953"/>
      <c r="V3" s="953"/>
      <c r="W3" s="953"/>
      <c r="X3" s="953"/>
      <c r="Y3" s="953"/>
      <c r="Z3" s="953"/>
      <c r="AA3" s="953"/>
    </row>
    <row r="4" spans="1:75" ht="26.25" customHeight="1">
      <c r="B4" s="1439"/>
      <c r="C4" s="1440"/>
      <c r="D4" s="1440"/>
      <c r="E4" s="1439"/>
      <c r="F4" s="1441"/>
      <c r="G4" s="1439"/>
      <c r="H4" s="1439"/>
      <c r="I4" s="1439"/>
      <c r="J4" s="1439"/>
    </row>
    <row r="5" spans="1:75" s="1448" customFormat="1" ht="15.75">
      <c r="A5" s="1442"/>
      <c r="B5" s="1471" t="s">
        <v>1849</v>
      </c>
      <c r="C5" s="1592"/>
      <c r="D5" s="1592"/>
      <c r="E5" s="1593"/>
      <c r="F5" s="1594"/>
      <c r="G5" s="1594"/>
      <c r="H5" s="2628" t="s">
        <v>1601</v>
      </c>
      <c r="I5" s="2628"/>
      <c r="J5" s="1447" t="s">
        <v>1602</v>
      </c>
      <c r="K5" s="1475"/>
      <c r="L5" s="1475"/>
      <c r="M5" s="1475"/>
      <c r="N5" s="1475"/>
      <c r="O5" s="1475"/>
      <c r="P5" s="1475"/>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c r="BO5" s="1475"/>
      <c r="BP5" s="1475"/>
      <c r="BQ5" s="1475"/>
      <c r="BR5" s="1475"/>
      <c r="BS5" s="1475"/>
      <c r="BT5" s="1475"/>
      <c r="BU5" s="1475"/>
      <c r="BV5" s="1475"/>
      <c r="BW5" s="1475"/>
    </row>
    <row r="6" spans="1:75">
      <c r="B6" s="1449"/>
      <c r="C6" s="1449"/>
      <c r="D6" s="1449"/>
      <c r="E6" s="1449"/>
      <c r="F6" s="1449"/>
      <c r="G6" s="1449"/>
      <c r="H6" s="2636" t="s">
        <v>1603</v>
      </c>
      <c r="I6" s="2637"/>
      <c r="J6" s="1111"/>
    </row>
    <row r="7" spans="1:75">
      <c r="B7" s="1451" t="s">
        <v>1604</v>
      </c>
      <c r="C7" s="1449"/>
      <c r="D7" s="1449"/>
      <c r="E7" s="1449"/>
      <c r="F7" s="1449"/>
      <c r="G7" s="1449"/>
      <c r="H7" s="2624"/>
      <c r="I7" s="2624"/>
      <c r="J7" s="1111"/>
    </row>
    <row r="8" spans="1:75" ht="14.25" customHeight="1">
      <c r="B8" s="2585" t="s">
        <v>1850</v>
      </c>
      <c r="C8" s="2585"/>
      <c r="D8" s="2585"/>
      <c r="E8" s="2585"/>
      <c r="F8" s="2585"/>
      <c r="G8" s="1449"/>
      <c r="H8" s="2624"/>
      <c r="I8" s="2624"/>
      <c r="J8" s="1111"/>
    </row>
    <row r="9" spans="1:75" ht="14.25" customHeight="1">
      <c r="B9" s="2585" t="s">
        <v>1851</v>
      </c>
      <c r="C9" s="2585"/>
      <c r="D9" s="2585"/>
      <c r="E9" s="2585"/>
      <c r="F9" s="2585"/>
      <c r="G9" s="1449"/>
      <c r="H9" s="2605"/>
      <c r="I9" s="2605"/>
      <c r="J9" s="1449"/>
    </row>
    <row r="10" spans="1:75" ht="14.25" customHeight="1">
      <c r="B10" s="2585" t="s">
        <v>1852</v>
      </c>
      <c r="C10" s="2585"/>
      <c r="D10" s="2585"/>
      <c r="E10" s="2585"/>
      <c r="F10" s="2585"/>
      <c r="G10" s="1449"/>
      <c r="H10" s="2605"/>
      <c r="I10" s="2605"/>
      <c r="J10" s="1449"/>
    </row>
    <row r="11" spans="1:75">
      <c r="B11" s="1449"/>
      <c r="C11" s="1449"/>
      <c r="D11" s="1449"/>
      <c r="E11" s="1449"/>
      <c r="F11" s="1449"/>
      <c r="G11" s="1449"/>
      <c r="H11" s="1449"/>
      <c r="I11" s="1449"/>
      <c r="J11" s="1452"/>
    </row>
    <row r="12" spans="1:75">
      <c r="A12" s="1460"/>
      <c r="B12" s="1451" t="s">
        <v>1607</v>
      </c>
      <c r="C12" s="1449"/>
      <c r="D12" s="1449"/>
      <c r="E12" s="1449"/>
      <c r="F12" s="1449"/>
      <c r="G12" s="1449"/>
      <c r="H12" s="1449"/>
      <c r="I12" s="1449"/>
      <c r="J12" s="1452"/>
    </row>
    <row r="13" spans="1:75">
      <c r="A13" s="1166"/>
      <c r="B13" s="1595" t="s">
        <v>1853</v>
      </c>
      <c r="C13" s="1460"/>
      <c r="D13" s="1460"/>
      <c r="E13" s="1460"/>
      <c r="F13" s="1460"/>
      <c r="G13" s="1449"/>
      <c r="H13" s="1449"/>
      <c r="I13" s="1449"/>
      <c r="J13" s="1449"/>
    </row>
    <row r="14" spans="1:75">
      <c r="A14" s="1460"/>
      <c r="B14" s="1455" t="s">
        <v>1643</v>
      </c>
      <c r="C14" s="1449"/>
      <c r="D14" s="1449"/>
      <c r="E14" s="1449"/>
      <c r="F14" s="1449"/>
      <c r="G14" s="1449"/>
      <c r="H14" s="1449"/>
      <c r="I14" s="1449"/>
      <c r="J14" s="1449"/>
    </row>
    <row r="15" spans="1:75">
      <c r="A15" s="1460"/>
      <c r="B15" s="1449"/>
      <c r="C15" s="1449"/>
      <c r="D15" s="1449"/>
      <c r="E15" s="1449"/>
      <c r="F15" s="1449"/>
      <c r="G15" s="1449"/>
      <c r="H15" s="1449"/>
      <c r="I15" s="1449"/>
      <c r="J15" s="1449"/>
    </row>
    <row r="16" spans="1:75">
      <c r="A16" s="1460"/>
      <c r="B16" s="1454" t="s">
        <v>1611</v>
      </c>
      <c r="C16" s="1449"/>
      <c r="D16" s="1449"/>
      <c r="E16" s="1449"/>
      <c r="F16" s="1449"/>
      <c r="G16" s="1449"/>
      <c r="H16" s="1449"/>
      <c r="I16" s="1449"/>
      <c r="J16" s="1449"/>
    </row>
    <row r="17" spans="1:27">
      <c r="A17" s="1460"/>
      <c r="B17" s="1596" t="s">
        <v>1854</v>
      </c>
      <c r="C17" s="1449"/>
      <c r="D17" s="1449"/>
      <c r="E17" s="1449"/>
      <c r="F17" s="1449"/>
      <c r="G17" s="1449"/>
      <c r="H17" s="1449"/>
      <c r="I17" s="1449"/>
      <c r="J17" s="1449"/>
    </row>
    <row r="18" spans="1:27">
      <c r="A18" s="1460"/>
      <c r="B18" s="1596" t="s">
        <v>1855</v>
      </c>
      <c r="C18" s="1449"/>
      <c r="D18" s="1449"/>
      <c r="E18" s="1449"/>
      <c r="F18" s="1449"/>
      <c r="G18" s="1449"/>
      <c r="H18" s="1449"/>
      <c r="I18" s="1449"/>
      <c r="J18" s="1449"/>
    </row>
    <row r="19" spans="1:27">
      <c r="B19" s="1581"/>
      <c r="C19" s="1449"/>
      <c r="D19" s="1449"/>
      <c r="E19" s="1449"/>
      <c r="F19" s="1449"/>
      <c r="G19" s="1449"/>
      <c r="H19" s="1449"/>
      <c r="I19" s="1449"/>
      <c r="J19" s="1449"/>
    </row>
    <row r="20" spans="1:27" ht="76.5" customHeight="1">
      <c r="B20" s="1590" t="s">
        <v>1617</v>
      </c>
      <c r="C20" s="1459"/>
      <c r="D20" s="1459"/>
      <c r="E20" s="1459"/>
      <c r="F20" s="1597" t="s">
        <v>1626</v>
      </c>
      <c r="G20" s="1459" t="s">
        <v>1703</v>
      </c>
      <c r="H20" s="1465" t="s">
        <v>1628</v>
      </c>
      <c r="I20" s="1439"/>
      <c r="J20" s="1439"/>
      <c r="Z20" s="953"/>
      <c r="AA20" s="953"/>
    </row>
    <row r="21" spans="1:27" ht="72.75" customHeight="1">
      <c r="A21" s="953"/>
      <c r="B21" s="2575" t="s">
        <v>1856</v>
      </c>
      <c r="C21" s="2589"/>
      <c r="D21" s="2589"/>
      <c r="E21" s="2589"/>
      <c r="F21" s="1267"/>
      <c r="G21" s="1267"/>
      <c r="H21" s="1284"/>
      <c r="I21" s="1598"/>
      <c r="J21" s="1598"/>
      <c r="K21" s="1599"/>
      <c r="L21" s="1449"/>
      <c r="Z21" s="953"/>
      <c r="AA21" s="953"/>
    </row>
    <row r="22" spans="1:27" ht="80.25" customHeight="1">
      <c r="B22" s="1459" t="s">
        <v>1633</v>
      </c>
      <c r="C22" s="1459"/>
      <c r="D22" s="1459"/>
      <c r="E22" s="1459"/>
      <c r="F22" s="1600" t="s">
        <v>1626</v>
      </c>
      <c r="G22" s="1459" t="s">
        <v>1703</v>
      </c>
      <c r="H22" s="1465" t="s">
        <v>1628</v>
      </c>
      <c r="I22" s="1465" t="s">
        <v>1629</v>
      </c>
      <c r="J22" s="1459" t="s">
        <v>1857</v>
      </c>
    </row>
    <row r="23" spans="1:27" ht="160.5" customHeight="1">
      <c r="B23" s="2710" t="s">
        <v>1858</v>
      </c>
      <c r="C23" s="2711"/>
      <c r="D23" s="2699" t="str">
        <f>IF('Project Info'!C4='Project Info'!P32,'Mod Prescriptive Path Checklist'!C54,IF('Project Info'!C4='Project Info'!P33,#REF!,"&lt;Select compliance path on the 'Project Info' tab&gt;"))</f>
        <v>Garages shall not be heated for comfort or to prevent pipes from freezing.  Piping design and layout shall locate piping within conditioned spaces or grouped and properly insulated to prevent freezing. Heat tracing for freeze protection may not be used.</v>
      </c>
      <c r="E23" s="2712"/>
      <c r="F23" s="1267"/>
      <c r="G23" s="1267"/>
      <c r="H23" s="1284"/>
      <c r="I23" s="1278"/>
      <c r="J23" s="1278"/>
      <c r="K23" s="1601"/>
      <c r="L23" s="1449"/>
      <c r="M23" s="1602"/>
      <c r="N23" s="1449"/>
    </row>
    <row r="24" spans="1:27" ht="246.75" customHeight="1">
      <c r="B24" s="2710" t="s">
        <v>1859</v>
      </c>
      <c r="C24" s="2711"/>
      <c r="D24" s="2699" t="str">
        <f>IF('Project Info'!C4='Project Info'!P32,'Mod Prescriptive Path Checklist'!C55,IF('Project Info'!C4='Project Info'!P33,#REF!,"&lt;Select compliance path on the 'Project Info' tab&gt;"))</f>
        <v>Radiant heating, either wall or ceiling-mounted or within the garage floor (or sidewalks) may be used to prevent ice formation on the ground as a safety feature only and temperature-based controls  must comply with ASHRAE 90.1-2007 Section 6.4.3.8.</v>
      </c>
      <c r="E24" s="2712"/>
      <c r="F24" s="1267"/>
      <c r="G24" s="1267"/>
      <c r="H24" s="1284"/>
      <c r="I24" s="1278"/>
      <c r="J24" s="1278"/>
      <c r="K24" s="1601"/>
      <c r="L24" s="1449"/>
      <c r="M24" s="1602"/>
      <c r="N24" s="1449"/>
    </row>
    <row r="25" spans="1:27" ht="56.25" customHeight="1">
      <c r="B25" s="2575" t="s">
        <v>1860</v>
      </c>
      <c r="C25" s="2576"/>
      <c r="D25" s="2576"/>
      <c r="E25" s="2576"/>
      <c r="F25" s="1267"/>
      <c r="G25" s="1267"/>
      <c r="H25" s="1284"/>
      <c r="I25" s="1278"/>
      <c r="J25" s="1278"/>
      <c r="K25" s="1449"/>
      <c r="L25" s="1449"/>
      <c r="M25" s="1602"/>
      <c r="N25" s="1449"/>
    </row>
    <row r="26" spans="1:27" ht="43.5" customHeight="1">
      <c r="B26" s="2568" t="s">
        <v>1752</v>
      </c>
      <c r="C26" s="2569"/>
      <c r="D26" s="2569"/>
      <c r="E26" s="2569"/>
      <c r="F26" s="2569"/>
      <c r="G26" s="2569"/>
      <c r="H26" s="2569"/>
      <c r="I26" s="1278"/>
      <c r="J26" s="1278"/>
      <c r="K26" s="1603"/>
      <c r="L26" s="1449"/>
      <c r="M26" s="1449"/>
      <c r="N26" s="1449"/>
    </row>
    <row r="27" spans="1:27" ht="45" customHeight="1">
      <c r="B27" s="2568" t="s">
        <v>1861</v>
      </c>
      <c r="C27" s="2569"/>
      <c r="D27" s="2569"/>
      <c r="E27" s="2569"/>
      <c r="F27" s="2569"/>
      <c r="G27" s="2569"/>
      <c r="H27" s="2569"/>
      <c r="I27" s="1278"/>
      <c r="J27" s="1278"/>
      <c r="K27" s="1449"/>
      <c r="L27" s="1449"/>
      <c r="M27" s="1602"/>
      <c r="N27" s="1449"/>
    </row>
    <row r="28" spans="1:27">
      <c r="A28" s="953"/>
    </row>
    <row r="29" spans="1:27" ht="25.5">
      <c r="A29" s="953"/>
      <c r="C29" s="1468"/>
    </row>
    <row r="30" spans="1:27" ht="25.5">
      <c r="A30" s="953"/>
      <c r="C30" s="1468"/>
      <c r="N30" s="1497" t="s">
        <v>403</v>
      </c>
    </row>
    <row r="31" spans="1:27" ht="25.5">
      <c r="A31" s="953"/>
      <c r="C31" s="1468"/>
      <c r="N31" s="1497" t="s">
        <v>405</v>
      </c>
    </row>
    <row r="32" spans="1:27">
      <c r="N32" s="1497" t="s">
        <v>404</v>
      </c>
    </row>
    <row r="179" spans="2:2" ht="18">
      <c r="B179" s="1323"/>
    </row>
  </sheetData>
  <sheetProtection sheet="1" objects="1" scenarios="1" formatCells="0" formatColumns="0" formatRows="0" insertColumns="0" insertRows="0"/>
  <mergeCells count="17">
    <mergeCell ref="B9:F9"/>
    <mergeCell ref="H9:I9"/>
    <mergeCell ref="H5:I5"/>
    <mergeCell ref="H6:I6"/>
    <mergeCell ref="H7:I7"/>
    <mergeCell ref="B8:F8"/>
    <mergeCell ref="H8:I8"/>
    <mergeCell ref="B25:E25"/>
    <mergeCell ref="B26:H26"/>
    <mergeCell ref="B27:H27"/>
    <mergeCell ref="B10:F10"/>
    <mergeCell ref="H10:I10"/>
    <mergeCell ref="B21:E21"/>
    <mergeCell ref="B23:C23"/>
    <mergeCell ref="D23:E23"/>
    <mergeCell ref="B24:C24"/>
    <mergeCell ref="D24:E24"/>
  </mergeCells>
  <dataValidations count="2">
    <dataValidation type="list" allowBlank="1" showInputMessage="1" showErrorMessage="1" sqref="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I26:I27 JE26:JE27 TA26:TA27 ACW26:ACW27 AMS26:AMS27 AWO26:AWO27 BGK26:BGK27 BQG26:BQG27 CAC26:CAC27 CJY26:CJY27 CTU26:CTU27 DDQ26:DDQ27 DNM26:DNM27 DXI26:DXI27 EHE26:EHE27 ERA26:ERA27 FAW26:FAW27 FKS26:FKS27 FUO26:FUO27 GEK26:GEK27 GOG26:GOG27 GYC26:GYC27 HHY26:HHY27 HRU26:HRU27 IBQ26:IBQ27 ILM26:ILM27 IVI26:IVI27 JFE26:JFE27 JPA26:JPA27 JYW26:JYW27 KIS26:KIS27 KSO26:KSO27 LCK26:LCK27 LMG26:LMG27 LWC26:LWC27 MFY26:MFY27 MPU26:MPU27 MZQ26:MZQ27 NJM26:NJM27 NTI26:NTI27 ODE26:ODE27 ONA26:ONA27 OWW26:OWW27 PGS26:PGS27 PQO26:PQO27 QAK26:QAK27 QKG26:QKG27 QUC26:QUC27 RDY26:RDY27 RNU26:RNU27 RXQ26:RXQ27 SHM26:SHM27 SRI26:SRI27 TBE26:TBE27 TLA26:TLA27 TUW26:TUW27 UES26:UES27 UOO26:UOO27 UYK26:UYK27 VIG26:VIG27 VSC26:VSC27 WBY26:WBY27 WLU26:WLU27 WVQ26:WVQ27 I65562:I65563 JE65562:JE65563 TA65562:TA65563 ACW65562:ACW65563 AMS65562:AMS65563 AWO65562:AWO65563 BGK65562:BGK65563 BQG65562:BQG65563 CAC65562:CAC65563 CJY65562:CJY65563 CTU65562:CTU65563 DDQ65562:DDQ65563 DNM65562:DNM65563 DXI65562:DXI65563 EHE65562:EHE65563 ERA65562:ERA65563 FAW65562:FAW65563 FKS65562:FKS65563 FUO65562:FUO65563 GEK65562:GEK65563 GOG65562:GOG65563 GYC65562:GYC65563 HHY65562:HHY65563 HRU65562:HRU65563 IBQ65562:IBQ65563 ILM65562:ILM65563 IVI65562:IVI65563 JFE65562:JFE65563 JPA65562:JPA65563 JYW65562:JYW65563 KIS65562:KIS65563 KSO65562:KSO65563 LCK65562:LCK65563 LMG65562:LMG65563 LWC65562:LWC65563 MFY65562:MFY65563 MPU65562:MPU65563 MZQ65562:MZQ65563 NJM65562:NJM65563 NTI65562:NTI65563 ODE65562:ODE65563 ONA65562:ONA65563 OWW65562:OWW65563 PGS65562:PGS65563 PQO65562:PQO65563 QAK65562:QAK65563 QKG65562:QKG65563 QUC65562:QUC65563 RDY65562:RDY65563 RNU65562:RNU65563 RXQ65562:RXQ65563 SHM65562:SHM65563 SRI65562:SRI65563 TBE65562:TBE65563 TLA65562:TLA65563 TUW65562:TUW65563 UES65562:UES65563 UOO65562:UOO65563 UYK65562:UYK65563 VIG65562:VIG65563 VSC65562:VSC65563 WBY65562:WBY65563 WLU65562:WLU65563 WVQ65562:WVQ65563 I131098:I131099 JE131098:JE131099 TA131098:TA131099 ACW131098:ACW131099 AMS131098:AMS131099 AWO131098:AWO131099 BGK131098:BGK131099 BQG131098:BQG131099 CAC131098:CAC131099 CJY131098:CJY131099 CTU131098:CTU131099 DDQ131098:DDQ131099 DNM131098:DNM131099 DXI131098:DXI131099 EHE131098:EHE131099 ERA131098:ERA131099 FAW131098:FAW131099 FKS131098:FKS131099 FUO131098:FUO131099 GEK131098:GEK131099 GOG131098:GOG131099 GYC131098:GYC131099 HHY131098:HHY131099 HRU131098:HRU131099 IBQ131098:IBQ131099 ILM131098:ILM131099 IVI131098:IVI131099 JFE131098:JFE131099 JPA131098:JPA131099 JYW131098:JYW131099 KIS131098:KIS131099 KSO131098:KSO131099 LCK131098:LCK131099 LMG131098:LMG131099 LWC131098:LWC131099 MFY131098:MFY131099 MPU131098:MPU131099 MZQ131098:MZQ131099 NJM131098:NJM131099 NTI131098:NTI131099 ODE131098:ODE131099 ONA131098:ONA131099 OWW131098:OWW131099 PGS131098:PGS131099 PQO131098:PQO131099 QAK131098:QAK131099 QKG131098:QKG131099 QUC131098:QUC131099 RDY131098:RDY131099 RNU131098:RNU131099 RXQ131098:RXQ131099 SHM131098:SHM131099 SRI131098:SRI131099 TBE131098:TBE131099 TLA131098:TLA131099 TUW131098:TUW131099 UES131098:UES131099 UOO131098:UOO131099 UYK131098:UYK131099 VIG131098:VIG131099 VSC131098:VSC131099 WBY131098:WBY131099 WLU131098:WLU131099 WVQ131098:WVQ131099 I196634:I196635 JE196634:JE196635 TA196634:TA196635 ACW196634:ACW196635 AMS196634:AMS196635 AWO196634:AWO196635 BGK196634:BGK196635 BQG196634:BQG196635 CAC196634:CAC196635 CJY196634:CJY196635 CTU196634:CTU196635 DDQ196634:DDQ196635 DNM196634:DNM196635 DXI196634:DXI196635 EHE196634:EHE196635 ERA196634:ERA196635 FAW196634:FAW196635 FKS196634:FKS196635 FUO196634:FUO196635 GEK196634:GEK196635 GOG196634:GOG196635 GYC196634:GYC196635 HHY196634:HHY196635 HRU196634:HRU196635 IBQ196634:IBQ196635 ILM196634:ILM196635 IVI196634:IVI196635 JFE196634:JFE196635 JPA196634:JPA196635 JYW196634:JYW196635 KIS196634:KIS196635 KSO196634:KSO196635 LCK196634:LCK196635 LMG196634:LMG196635 LWC196634:LWC196635 MFY196634:MFY196635 MPU196634:MPU196635 MZQ196634:MZQ196635 NJM196634:NJM196635 NTI196634:NTI196635 ODE196634:ODE196635 ONA196634:ONA196635 OWW196634:OWW196635 PGS196634:PGS196635 PQO196634:PQO196635 QAK196634:QAK196635 QKG196634:QKG196635 QUC196634:QUC196635 RDY196634:RDY196635 RNU196634:RNU196635 RXQ196634:RXQ196635 SHM196634:SHM196635 SRI196634:SRI196635 TBE196634:TBE196635 TLA196634:TLA196635 TUW196634:TUW196635 UES196634:UES196635 UOO196634:UOO196635 UYK196634:UYK196635 VIG196634:VIG196635 VSC196634:VSC196635 WBY196634:WBY196635 WLU196634:WLU196635 WVQ196634:WVQ196635 I262170:I262171 JE262170:JE262171 TA262170:TA262171 ACW262170:ACW262171 AMS262170:AMS262171 AWO262170:AWO262171 BGK262170:BGK262171 BQG262170:BQG262171 CAC262170:CAC262171 CJY262170:CJY262171 CTU262170:CTU262171 DDQ262170:DDQ262171 DNM262170:DNM262171 DXI262170:DXI262171 EHE262170:EHE262171 ERA262170:ERA262171 FAW262170:FAW262171 FKS262170:FKS262171 FUO262170:FUO262171 GEK262170:GEK262171 GOG262170:GOG262171 GYC262170:GYC262171 HHY262170:HHY262171 HRU262170:HRU262171 IBQ262170:IBQ262171 ILM262170:ILM262171 IVI262170:IVI262171 JFE262170:JFE262171 JPA262170:JPA262171 JYW262170:JYW262171 KIS262170:KIS262171 KSO262170:KSO262171 LCK262170:LCK262171 LMG262170:LMG262171 LWC262170:LWC262171 MFY262170:MFY262171 MPU262170:MPU262171 MZQ262170:MZQ262171 NJM262170:NJM262171 NTI262170:NTI262171 ODE262170:ODE262171 ONA262170:ONA262171 OWW262170:OWW262171 PGS262170:PGS262171 PQO262170:PQO262171 QAK262170:QAK262171 QKG262170:QKG262171 QUC262170:QUC262171 RDY262170:RDY262171 RNU262170:RNU262171 RXQ262170:RXQ262171 SHM262170:SHM262171 SRI262170:SRI262171 TBE262170:TBE262171 TLA262170:TLA262171 TUW262170:TUW262171 UES262170:UES262171 UOO262170:UOO262171 UYK262170:UYK262171 VIG262170:VIG262171 VSC262170:VSC262171 WBY262170:WBY262171 WLU262170:WLU262171 WVQ262170:WVQ262171 I327706:I327707 JE327706:JE327707 TA327706:TA327707 ACW327706:ACW327707 AMS327706:AMS327707 AWO327706:AWO327707 BGK327706:BGK327707 BQG327706:BQG327707 CAC327706:CAC327707 CJY327706:CJY327707 CTU327706:CTU327707 DDQ327706:DDQ327707 DNM327706:DNM327707 DXI327706:DXI327707 EHE327706:EHE327707 ERA327706:ERA327707 FAW327706:FAW327707 FKS327706:FKS327707 FUO327706:FUO327707 GEK327706:GEK327707 GOG327706:GOG327707 GYC327706:GYC327707 HHY327706:HHY327707 HRU327706:HRU327707 IBQ327706:IBQ327707 ILM327706:ILM327707 IVI327706:IVI327707 JFE327706:JFE327707 JPA327706:JPA327707 JYW327706:JYW327707 KIS327706:KIS327707 KSO327706:KSO327707 LCK327706:LCK327707 LMG327706:LMG327707 LWC327706:LWC327707 MFY327706:MFY327707 MPU327706:MPU327707 MZQ327706:MZQ327707 NJM327706:NJM327707 NTI327706:NTI327707 ODE327706:ODE327707 ONA327706:ONA327707 OWW327706:OWW327707 PGS327706:PGS327707 PQO327706:PQO327707 QAK327706:QAK327707 QKG327706:QKG327707 QUC327706:QUC327707 RDY327706:RDY327707 RNU327706:RNU327707 RXQ327706:RXQ327707 SHM327706:SHM327707 SRI327706:SRI327707 TBE327706:TBE327707 TLA327706:TLA327707 TUW327706:TUW327707 UES327706:UES327707 UOO327706:UOO327707 UYK327706:UYK327707 VIG327706:VIG327707 VSC327706:VSC327707 WBY327706:WBY327707 WLU327706:WLU327707 WVQ327706:WVQ327707 I393242:I393243 JE393242:JE393243 TA393242:TA393243 ACW393242:ACW393243 AMS393242:AMS393243 AWO393242:AWO393243 BGK393242:BGK393243 BQG393242:BQG393243 CAC393242:CAC393243 CJY393242:CJY393243 CTU393242:CTU393243 DDQ393242:DDQ393243 DNM393242:DNM393243 DXI393242:DXI393243 EHE393242:EHE393243 ERA393242:ERA393243 FAW393242:FAW393243 FKS393242:FKS393243 FUO393242:FUO393243 GEK393242:GEK393243 GOG393242:GOG393243 GYC393242:GYC393243 HHY393242:HHY393243 HRU393242:HRU393243 IBQ393242:IBQ393243 ILM393242:ILM393243 IVI393242:IVI393243 JFE393242:JFE393243 JPA393242:JPA393243 JYW393242:JYW393243 KIS393242:KIS393243 KSO393242:KSO393243 LCK393242:LCK393243 LMG393242:LMG393243 LWC393242:LWC393243 MFY393242:MFY393243 MPU393242:MPU393243 MZQ393242:MZQ393243 NJM393242:NJM393243 NTI393242:NTI393243 ODE393242:ODE393243 ONA393242:ONA393243 OWW393242:OWW393243 PGS393242:PGS393243 PQO393242:PQO393243 QAK393242:QAK393243 QKG393242:QKG393243 QUC393242:QUC393243 RDY393242:RDY393243 RNU393242:RNU393243 RXQ393242:RXQ393243 SHM393242:SHM393243 SRI393242:SRI393243 TBE393242:TBE393243 TLA393242:TLA393243 TUW393242:TUW393243 UES393242:UES393243 UOO393242:UOO393243 UYK393242:UYK393243 VIG393242:VIG393243 VSC393242:VSC393243 WBY393242:WBY393243 WLU393242:WLU393243 WVQ393242:WVQ393243 I458778:I458779 JE458778:JE458779 TA458778:TA458779 ACW458778:ACW458779 AMS458778:AMS458779 AWO458778:AWO458779 BGK458778:BGK458779 BQG458778:BQG458779 CAC458778:CAC458779 CJY458778:CJY458779 CTU458778:CTU458779 DDQ458778:DDQ458779 DNM458778:DNM458779 DXI458778:DXI458779 EHE458778:EHE458779 ERA458778:ERA458779 FAW458778:FAW458779 FKS458778:FKS458779 FUO458778:FUO458779 GEK458778:GEK458779 GOG458778:GOG458779 GYC458778:GYC458779 HHY458778:HHY458779 HRU458778:HRU458779 IBQ458778:IBQ458779 ILM458778:ILM458779 IVI458778:IVI458779 JFE458778:JFE458779 JPA458778:JPA458779 JYW458778:JYW458779 KIS458778:KIS458779 KSO458778:KSO458779 LCK458778:LCK458779 LMG458778:LMG458779 LWC458778:LWC458779 MFY458778:MFY458779 MPU458778:MPU458779 MZQ458778:MZQ458779 NJM458778:NJM458779 NTI458778:NTI458779 ODE458778:ODE458779 ONA458778:ONA458779 OWW458778:OWW458779 PGS458778:PGS458779 PQO458778:PQO458779 QAK458778:QAK458779 QKG458778:QKG458779 QUC458778:QUC458779 RDY458778:RDY458779 RNU458778:RNU458779 RXQ458778:RXQ458779 SHM458778:SHM458779 SRI458778:SRI458779 TBE458778:TBE458779 TLA458778:TLA458779 TUW458778:TUW458779 UES458778:UES458779 UOO458778:UOO458779 UYK458778:UYK458779 VIG458778:VIG458779 VSC458778:VSC458779 WBY458778:WBY458779 WLU458778:WLU458779 WVQ458778:WVQ458779 I524314:I524315 JE524314:JE524315 TA524314:TA524315 ACW524314:ACW524315 AMS524314:AMS524315 AWO524314:AWO524315 BGK524314:BGK524315 BQG524314:BQG524315 CAC524314:CAC524315 CJY524314:CJY524315 CTU524314:CTU524315 DDQ524314:DDQ524315 DNM524314:DNM524315 DXI524314:DXI524315 EHE524314:EHE524315 ERA524314:ERA524315 FAW524314:FAW524315 FKS524314:FKS524315 FUO524314:FUO524315 GEK524314:GEK524315 GOG524314:GOG524315 GYC524314:GYC524315 HHY524314:HHY524315 HRU524314:HRU524315 IBQ524314:IBQ524315 ILM524314:ILM524315 IVI524314:IVI524315 JFE524314:JFE524315 JPA524314:JPA524315 JYW524314:JYW524315 KIS524314:KIS524315 KSO524314:KSO524315 LCK524314:LCK524315 LMG524314:LMG524315 LWC524314:LWC524315 MFY524314:MFY524315 MPU524314:MPU524315 MZQ524314:MZQ524315 NJM524314:NJM524315 NTI524314:NTI524315 ODE524314:ODE524315 ONA524314:ONA524315 OWW524314:OWW524315 PGS524314:PGS524315 PQO524314:PQO524315 QAK524314:QAK524315 QKG524314:QKG524315 QUC524314:QUC524315 RDY524314:RDY524315 RNU524314:RNU524315 RXQ524314:RXQ524315 SHM524314:SHM524315 SRI524314:SRI524315 TBE524314:TBE524315 TLA524314:TLA524315 TUW524314:TUW524315 UES524314:UES524315 UOO524314:UOO524315 UYK524314:UYK524315 VIG524314:VIG524315 VSC524314:VSC524315 WBY524314:WBY524315 WLU524314:WLU524315 WVQ524314:WVQ524315 I589850:I589851 JE589850:JE589851 TA589850:TA589851 ACW589850:ACW589851 AMS589850:AMS589851 AWO589850:AWO589851 BGK589850:BGK589851 BQG589850:BQG589851 CAC589850:CAC589851 CJY589850:CJY589851 CTU589850:CTU589851 DDQ589850:DDQ589851 DNM589850:DNM589851 DXI589850:DXI589851 EHE589850:EHE589851 ERA589850:ERA589851 FAW589850:FAW589851 FKS589850:FKS589851 FUO589850:FUO589851 GEK589850:GEK589851 GOG589850:GOG589851 GYC589850:GYC589851 HHY589850:HHY589851 HRU589850:HRU589851 IBQ589850:IBQ589851 ILM589850:ILM589851 IVI589850:IVI589851 JFE589850:JFE589851 JPA589850:JPA589851 JYW589850:JYW589851 KIS589850:KIS589851 KSO589850:KSO589851 LCK589850:LCK589851 LMG589850:LMG589851 LWC589850:LWC589851 MFY589850:MFY589851 MPU589850:MPU589851 MZQ589850:MZQ589851 NJM589850:NJM589851 NTI589850:NTI589851 ODE589850:ODE589851 ONA589850:ONA589851 OWW589850:OWW589851 PGS589850:PGS589851 PQO589850:PQO589851 QAK589850:QAK589851 QKG589850:QKG589851 QUC589850:QUC589851 RDY589850:RDY589851 RNU589850:RNU589851 RXQ589850:RXQ589851 SHM589850:SHM589851 SRI589850:SRI589851 TBE589850:TBE589851 TLA589850:TLA589851 TUW589850:TUW589851 UES589850:UES589851 UOO589850:UOO589851 UYK589850:UYK589851 VIG589850:VIG589851 VSC589850:VSC589851 WBY589850:WBY589851 WLU589850:WLU589851 WVQ589850:WVQ589851 I655386:I655387 JE655386:JE655387 TA655386:TA655387 ACW655386:ACW655387 AMS655386:AMS655387 AWO655386:AWO655387 BGK655386:BGK655387 BQG655386:BQG655387 CAC655386:CAC655387 CJY655386:CJY655387 CTU655386:CTU655387 DDQ655386:DDQ655387 DNM655386:DNM655387 DXI655386:DXI655387 EHE655386:EHE655387 ERA655386:ERA655387 FAW655386:FAW655387 FKS655386:FKS655387 FUO655386:FUO655387 GEK655386:GEK655387 GOG655386:GOG655387 GYC655386:GYC655387 HHY655386:HHY655387 HRU655386:HRU655387 IBQ655386:IBQ655387 ILM655386:ILM655387 IVI655386:IVI655387 JFE655386:JFE655387 JPA655386:JPA655387 JYW655386:JYW655387 KIS655386:KIS655387 KSO655386:KSO655387 LCK655386:LCK655387 LMG655386:LMG655387 LWC655386:LWC655387 MFY655386:MFY655387 MPU655386:MPU655387 MZQ655386:MZQ655387 NJM655386:NJM655387 NTI655386:NTI655387 ODE655386:ODE655387 ONA655386:ONA655387 OWW655386:OWW655387 PGS655386:PGS655387 PQO655386:PQO655387 QAK655386:QAK655387 QKG655386:QKG655387 QUC655386:QUC655387 RDY655386:RDY655387 RNU655386:RNU655387 RXQ655386:RXQ655387 SHM655386:SHM655387 SRI655386:SRI655387 TBE655386:TBE655387 TLA655386:TLA655387 TUW655386:TUW655387 UES655386:UES655387 UOO655386:UOO655387 UYK655386:UYK655387 VIG655386:VIG655387 VSC655386:VSC655387 WBY655386:WBY655387 WLU655386:WLU655387 WVQ655386:WVQ655387 I720922:I720923 JE720922:JE720923 TA720922:TA720923 ACW720922:ACW720923 AMS720922:AMS720923 AWO720922:AWO720923 BGK720922:BGK720923 BQG720922:BQG720923 CAC720922:CAC720923 CJY720922:CJY720923 CTU720922:CTU720923 DDQ720922:DDQ720923 DNM720922:DNM720923 DXI720922:DXI720923 EHE720922:EHE720923 ERA720922:ERA720923 FAW720922:FAW720923 FKS720922:FKS720923 FUO720922:FUO720923 GEK720922:GEK720923 GOG720922:GOG720923 GYC720922:GYC720923 HHY720922:HHY720923 HRU720922:HRU720923 IBQ720922:IBQ720923 ILM720922:ILM720923 IVI720922:IVI720923 JFE720922:JFE720923 JPA720922:JPA720923 JYW720922:JYW720923 KIS720922:KIS720923 KSO720922:KSO720923 LCK720922:LCK720923 LMG720922:LMG720923 LWC720922:LWC720923 MFY720922:MFY720923 MPU720922:MPU720923 MZQ720922:MZQ720923 NJM720922:NJM720923 NTI720922:NTI720923 ODE720922:ODE720923 ONA720922:ONA720923 OWW720922:OWW720923 PGS720922:PGS720923 PQO720922:PQO720923 QAK720922:QAK720923 QKG720922:QKG720923 QUC720922:QUC720923 RDY720922:RDY720923 RNU720922:RNU720923 RXQ720922:RXQ720923 SHM720922:SHM720923 SRI720922:SRI720923 TBE720922:TBE720923 TLA720922:TLA720923 TUW720922:TUW720923 UES720922:UES720923 UOO720922:UOO720923 UYK720922:UYK720923 VIG720922:VIG720923 VSC720922:VSC720923 WBY720922:WBY720923 WLU720922:WLU720923 WVQ720922:WVQ720923 I786458:I786459 JE786458:JE786459 TA786458:TA786459 ACW786458:ACW786459 AMS786458:AMS786459 AWO786458:AWO786459 BGK786458:BGK786459 BQG786458:BQG786459 CAC786458:CAC786459 CJY786458:CJY786459 CTU786458:CTU786459 DDQ786458:DDQ786459 DNM786458:DNM786459 DXI786458:DXI786459 EHE786458:EHE786459 ERA786458:ERA786459 FAW786458:FAW786459 FKS786458:FKS786459 FUO786458:FUO786459 GEK786458:GEK786459 GOG786458:GOG786459 GYC786458:GYC786459 HHY786458:HHY786459 HRU786458:HRU786459 IBQ786458:IBQ786459 ILM786458:ILM786459 IVI786458:IVI786459 JFE786458:JFE786459 JPA786458:JPA786459 JYW786458:JYW786459 KIS786458:KIS786459 KSO786458:KSO786459 LCK786458:LCK786459 LMG786458:LMG786459 LWC786458:LWC786459 MFY786458:MFY786459 MPU786458:MPU786459 MZQ786458:MZQ786459 NJM786458:NJM786459 NTI786458:NTI786459 ODE786458:ODE786459 ONA786458:ONA786459 OWW786458:OWW786459 PGS786458:PGS786459 PQO786458:PQO786459 QAK786458:QAK786459 QKG786458:QKG786459 QUC786458:QUC786459 RDY786458:RDY786459 RNU786458:RNU786459 RXQ786458:RXQ786459 SHM786458:SHM786459 SRI786458:SRI786459 TBE786458:TBE786459 TLA786458:TLA786459 TUW786458:TUW786459 UES786458:UES786459 UOO786458:UOO786459 UYK786458:UYK786459 VIG786458:VIG786459 VSC786458:VSC786459 WBY786458:WBY786459 WLU786458:WLU786459 WVQ786458:WVQ786459 I851994:I851995 JE851994:JE851995 TA851994:TA851995 ACW851994:ACW851995 AMS851994:AMS851995 AWO851994:AWO851995 BGK851994:BGK851995 BQG851994:BQG851995 CAC851994:CAC851995 CJY851994:CJY851995 CTU851994:CTU851995 DDQ851994:DDQ851995 DNM851994:DNM851995 DXI851994:DXI851995 EHE851994:EHE851995 ERA851994:ERA851995 FAW851994:FAW851995 FKS851994:FKS851995 FUO851994:FUO851995 GEK851994:GEK851995 GOG851994:GOG851995 GYC851994:GYC851995 HHY851994:HHY851995 HRU851994:HRU851995 IBQ851994:IBQ851995 ILM851994:ILM851995 IVI851994:IVI851995 JFE851994:JFE851995 JPA851994:JPA851995 JYW851994:JYW851995 KIS851994:KIS851995 KSO851994:KSO851995 LCK851994:LCK851995 LMG851994:LMG851995 LWC851994:LWC851995 MFY851994:MFY851995 MPU851994:MPU851995 MZQ851994:MZQ851995 NJM851994:NJM851995 NTI851994:NTI851995 ODE851994:ODE851995 ONA851994:ONA851995 OWW851994:OWW851995 PGS851994:PGS851995 PQO851994:PQO851995 QAK851994:QAK851995 QKG851994:QKG851995 QUC851994:QUC851995 RDY851994:RDY851995 RNU851994:RNU851995 RXQ851994:RXQ851995 SHM851994:SHM851995 SRI851994:SRI851995 TBE851994:TBE851995 TLA851994:TLA851995 TUW851994:TUW851995 UES851994:UES851995 UOO851994:UOO851995 UYK851994:UYK851995 VIG851994:VIG851995 VSC851994:VSC851995 WBY851994:WBY851995 WLU851994:WLU851995 WVQ851994:WVQ851995 I917530:I917531 JE917530:JE917531 TA917530:TA917531 ACW917530:ACW917531 AMS917530:AMS917531 AWO917530:AWO917531 BGK917530:BGK917531 BQG917530:BQG917531 CAC917530:CAC917531 CJY917530:CJY917531 CTU917530:CTU917531 DDQ917530:DDQ917531 DNM917530:DNM917531 DXI917530:DXI917531 EHE917530:EHE917531 ERA917530:ERA917531 FAW917530:FAW917531 FKS917530:FKS917531 FUO917530:FUO917531 GEK917530:GEK917531 GOG917530:GOG917531 GYC917530:GYC917531 HHY917530:HHY917531 HRU917530:HRU917531 IBQ917530:IBQ917531 ILM917530:ILM917531 IVI917530:IVI917531 JFE917530:JFE917531 JPA917530:JPA917531 JYW917530:JYW917531 KIS917530:KIS917531 KSO917530:KSO917531 LCK917530:LCK917531 LMG917530:LMG917531 LWC917530:LWC917531 MFY917530:MFY917531 MPU917530:MPU917531 MZQ917530:MZQ917531 NJM917530:NJM917531 NTI917530:NTI917531 ODE917530:ODE917531 ONA917530:ONA917531 OWW917530:OWW917531 PGS917530:PGS917531 PQO917530:PQO917531 QAK917530:QAK917531 QKG917530:QKG917531 QUC917530:QUC917531 RDY917530:RDY917531 RNU917530:RNU917531 RXQ917530:RXQ917531 SHM917530:SHM917531 SRI917530:SRI917531 TBE917530:TBE917531 TLA917530:TLA917531 TUW917530:TUW917531 UES917530:UES917531 UOO917530:UOO917531 UYK917530:UYK917531 VIG917530:VIG917531 VSC917530:VSC917531 WBY917530:WBY917531 WLU917530:WLU917531 WVQ917530:WVQ917531 I983066:I983067 JE983066:JE983067 TA983066:TA983067 ACW983066:ACW983067 AMS983066:AMS983067 AWO983066:AWO983067 BGK983066:BGK983067 BQG983066:BQG983067 CAC983066:CAC983067 CJY983066:CJY983067 CTU983066:CTU983067 DDQ983066:DDQ983067 DNM983066:DNM983067 DXI983066:DXI983067 EHE983066:EHE983067 ERA983066:ERA983067 FAW983066:FAW983067 FKS983066:FKS983067 FUO983066:FUO983067 GEK983066:GEK983067 GOG983066:GOG983067 GYC983066:GYC983067 HHY983066:HHY983067 HRU983066:HRU983067 IBQ983066:IBQ983067 ILM983066:ILM983067 IVI983066:IVI983067 JFE983066:JFE983067 JPA983066:JPA983067 JYW983066:JYW983067 KIS983066:KIS983067 KSO983066:KSO983067 LCK983066:LCK983067 LMG983066:LMG983067 LWC983066:LWC983067 MFY983066:MFY983067 MPU983066:MPU983067 MZQ983066:MZQ983067 NJM983066:NJM983067 NTI983066:NTI983067 ODE983066:ODE983067 ONA983066:ONA983067 OWW983066:OWW983067 PGS983066:PGS983067 PQO983066:PQO983067 QAK983066:QAK983067 QKG983066:QKG983067 QUC983066:QUC983067 RDY983066:RDY983067 RNU983066:RNU983067 RXQ983066:RXQ983067 SHM983066:SHM983067 SRI983066:SRI983067 TBE983066:TBE983067 TLA983066:TLA983067 TUW983066:TUW983067 UES983066:UES983067 UOO983066:UOO983067 UYK983066:UYK983067 VIG983066:VIG983067 VSC983066:VSC983067 WBY983066:WBY983067 WLU983066:WLU983067 WVQ983066:WVQ983067 H23:I25 JD23:JE25 SZ23:TA25 ACV23:ACW25 AMR23:AMS25 AWN23:AWO25 BGJ23:BGK25 BQF23:BQG25 CAB23:CAC25 CJX23:CJY25 CTT23:CTU25 DDP23:DDQ25 DNL23:DNM25 DXH23:DXI25 EHD23:EHE25 EQZ23:ERA25 FAV23:FAW25 FKR23:FKS25 FUN23:FUO25 GEJ23:GEK25 GOF23:GOG25 GYB23:GYC25 HHX23:HHY25 HRT23:HRU25 IBP23:IBQ25 ILL23:ILM25 IVH23:IVI25 JFD23:JFE25 JOZ23:JPA25 JYV23:JYW25 KIR23:KIS25 KSN23:KSO25 LCJ23:LCK25 LMF23:LMG25 LWB23:LWC25 MFX23:MFY25 MPT23:MPU25 MZP23:MZQ25 NJL23:NJM25 NTH23:NTI25 ODD23:ODE25 OMZ23:ONA25 OWV23:OWW25 PGR23:PGS25 PQN23:PQO25 QAJ23:QAK25 QKF23:QKG25 QUB23:QUC25 RDX23:RDY25 RNT23:RNU25 RXP23:RXQ25 SHL23:SHM25 SRH23:SRI25 TBD23:TBE25 TKZ23:TLA25 TUV23:TUW25 UER23:UES25 UON23:UOO25 UYJ23:UYK25 VIF23:VIG25 VSB23:VSC25 WBX23:WBY25 WLT23:WLU25 WVP23:WVQ25 H65559:I65561 JD65559:JE65561 SZ65559:TA65561 ACV65559:ACW65561 AMR65559:AMS65561 AWN65559:AWO65561 BGJ65559:BGK65561 BQF65559:BQG65561 CAB65559:CAC65561 CJX65559:CJY65561 CTT65559:CTU65561 DDP65559:DDQ65561 DNL65559:DNM65561 DXH65559:DXI65561 EHD65559:EHE65561 EQZ65559:ERA65561 FAV65559:FAW65561 FKR65559:FKS65561 FUN65559:FUO65561 GEJ65559:GEK65561 GOF65559:GOG65561 GYB65559:GYC65561 HHX65559:HHY65561 HRT65559:HRU65561 IBP65559:IBQ65561 ILL65559:ILM65561 IVH65559:IVI65561 JFD65559:JFE65561 JOZ65559:JPA65561 JYV65559:JYW65561 KIR65559:KIS65561 KSN65559:KSO65561 LCJ65559:LCK65561 LMF65559:LMG65561 LWB65559:LWC65561 MFX65559:MFY65561 MPT65559:MPU65561 MZP65559:MZQ65561 NJL65559:NJM65561 NTH65559:NTI65561 ODD65559:ODE65561 OMZ65559:ONA65561 OWV65559:OWW65561 PGR65559:PGS65561 PQN65559:PQO65561 QAJ65559:QAK65561 QKF65559:QKG65561 QUB65559:QUC65561 RDX65559:RDY65561 RNT65559:RNU65561 RXP65559:RXQ65561 SHL65559:SHM65561 SRH65559:SRI65561 TBD65559:TBE65561 TKZ65559:TLA65561 TUV65559:TUW65561 UER65559:UES65561 UON65559:UOO65561 UYJ65559:UYK65561 VIF65559:VIG65561 VSB65559:VSC65561 WBX65559:WBY65561 WLT65559:WLU65561 WVP65559:WVQ65561 H131095:I131097 JD131095:JE131097 SZ131095:TA131097 ACV131095:ACW131097 AMR131095:AMS131097 AWN131095:AWO131097 BGJ131095:BGK131097 BQF131095:BQG131097 CAB131095:CAC131097 CJX131095:CJY131097 CTT131095:CTU131097 DDP131095:DDQ131097 DNL131095:DNM131097 DXH131095:DXI131097 EHD131095:EHE131097 EQZ131095:ERA131097 FAV131095:FAW131097 FKR131095:FKS131097 FUN131095:FUO131097 GEJ131095:GEK131097 GOF131095:GOG131097 GYB131095:GYC131097 HHX131095:HHY131097 HRT131095:HRU131097 IBP131095:IBQ131097 ILL131095:ILM131097 IVH131095:IVI131097 JFD131095:JFE131097 JOZ131095:JPA131097 JYV131095:JYW131097 KIR131095:KIS131097 KSN131095:KSO131097 LCJ131095:LCK131097 LMF131095:LMG131097 LWB131095:LWC131097 MFX131095:MFY131097 MPT131095:MPU131097 MZP131095:MZQ131097 NJL131095:NJM131097 NTH131095:NTI131097 ODD131095:ODE131097 OMZ131095:ONA131097 OWV131095:OWW131097 PGR131095:PGS131097 PQN131095:PQO131097 QAJ131095:QAK131097 QKF131095:QKG131097 QUB131095:QUC131097 RDX131095:RDY131097 RNT131095:RNU131097 RXP131095:RXQ131097 SHL131095:SHM131097 SRH131095:SRI131097 TBD131095:TBE131097 TKZ131095:TLA131097 TUV131095:TUW131097 UER131095:UES131097 UON131095:UOO131097 UYJ131095:UYK131097 VIF131095:VIG131097 VSB131095:VSC131097 WBX131095:WBY131097 WLT131095:WLU131097 WVP131095:WVQ131097 H196631:I196633 JD196631:JE196633 SZ196631:TA196633 ACV196631:ACW196633 AMR196631:AMS196633 AWN196631:AWO196633 BGJ196631:BGK196633 BQF196631:BQG196633 CAB196631:CAC196633 CJX196631:CJY196633 CTT196631:CTU196633 DDP196631:DDQ196633 DNL196631:DNM196633 DXH196631:DXI196633 EHD196631:EHE196633 EQZ196631:ERA196633 FAV196631:FAW196633 FKR196631:FKS196633 FUN196631:FUO196633 GEJ196631:GEK196633 GOF196631:GOG196633 GYB196631:GYC196633 HHX196631:HHY196633 HRT196631:HRU196633 IBP196631:IBQ196633 ILL196631:ILM196633 IVH196631:IVI196633 JFD196631:JFE196633 JOZ196631:JPA196633 JYV196631:JYW196633 KIR196631:KIS196633 KSN196631:KSO196633 LCJ196631:LCK196633 LMF196631:LMG196633 LWB196631:LWC196633 MFX196631:MFY196633 MPT196631:MPU196633 MZP196631:MZQ196633 NJL196631:NJM196633 NTH196631:NTI196633 ODD196631:ODE196633 OMZ196631:ONA196633 OWV196631:OWW196633 PGR196631:PGS196633 PQN196631:PQO196633 QAJ196631:QAK196633 QKF196631:QKG196633 QUB196631:QUC196633 RDX196631:RDY196633 RNT196631:RNU196633 RXP196631:RXQ196633 SHL196631:SHM196633 SRH196631:SRI196633 TBD196631:TBE196633 TKZ196631:TLA196633 TUV196631:TUW196633 UER196631:UES196633 UON196631:UOO196633 UYJ196631:UYK196633 VIF196631:VIG196633 VSB196631:VSC196633 WBX196631:WBY196633 WLT196631:WLU196633 WVP196631:WVQ196633 H262167:I262169 JD262167:JE262169 SZ262167:TA262169 ACV262167:ACW262169 AMR262167:AMS262169 AWN262167:AWO262169 BGJ262167:BGK262169 BQF262167:BQG262169 CAB262167:CAC262169 CJX262167:CJY262169 CTT262167:CTU262169 DDP262167:DDQ262169 DNL262167:DNM262169 DXH262167:DXI262169 EHD262167:EHE262169 EQZ262167:ERA262169 FAV262167:FAW262169 FKR262167:FKS262169 FUN262167:FUO262169 GEJ262167:GEK262169 GOF262167:GOG262169 GYB262167:GYC262169 HHX262167:HHY262169 HRT262167:HRU262169 IBP262167:IBQ262169 ILL262167:ILM262169 IVH262167:IVI262169 JFD262167:JFE262169 JOZ262167:JPA262169 JYV262167:JYW262169 KIR262167:KIS262169 KSN262167:KSO262169 LCJ262167:LCK262169 LMF262167:LMG262169 LWB262167:LWC262169 MFX262167:MFY262169 MPT262167:MPU262169 MZP262167:MZQ262169 NJL262167:NJM262169 NTH262167:NTI262169 ODD262167:ODE262169 OMZ262167:ONA262169 OWV262167:OWW262169 PGR262167:PGS262169 PQN262167:PQO262169 QAJ262167:QAK262169 QKF262167:QKG262169 QUB262167:QUC262169 RDX262167:RDY262169 RNT262167:RNU262169 RXP262167:RXQ262169 SHL262167:SHM262169 SRH262167:SRI262169 TBD262167:TBE262169 TKZ262167:TLA262169 TUV262167:TUW262169 UER262167:UES262169 UON262167:UOO262169 UYJ262167:UYK262169 VIF262167:VIG262169 VSB262167:VSC262169 WBX262167:WBY262169 WLT262167:WLU262169 WVP262167:WVQ262169 H327703:I327705 JD327703:JE327705 SZ327703:TA327705 ACV327703:ACW327705 AMR327703:AMS327705 AWN327703:AWO327705 BGJ327703:BGK327705 BQF327703:BQG327705 CAB327703:CAC327705 CJX327703:CJY327705 CTT327703:CTU327705 DDP327703:DDQ327705 DNL327703:DNM327705 DXH327703:DXI327705 EHD327703:EHE327705 EQZ327703:ERA327705 FAV327703:FAW327705 FKR327703:FKS327705 FUN327703:FUO327705 GEJ327703:GEK327705 GOF327703:GOG327705 GYB327703:GYC327705 HHX327703:HHY327705 HRT327703:HRU327705 IBP327703:IBQ327705 ILL327703:ILM327705 IVH327703:IVI327705 JFD327703:JFE327705 JOZ327703:JPA327705 JYV327703:JYW327705 KIR327703:KIS327705 KSN327703:KSO327705 LCJ327703:LCK327705 LMF327703:LMG327705 LWB327703:LWC327705 MFX327703:MFY327705 MPT327703:MPU327705 MZP327703:MZQ327705 NJL327703:NJM327705 NTH327703:NTI327705 ODD327703:ODE327705 OMZ327703:ONA327705 OWV327703:OWW327705 PGR327703:PGS327705 PQN327703:PQO327705 QAJ327703:QAK327705 QKF327703:QKG327705 QUB327703:QUC327705 RDX327703:RDY327705 RNT327703:RNU327705 RXP327703:RXQ327705 SHL327703:SHM327705 SRH327703:SRI327705 TBD327703:TBE327705 TKZ327703:TLA327705 TUV327703:TUW327705 UER327703:UES327705 UON327703:UOO327705 UYJ327703:UYK327705 VIF327703:VIG327705 VSB327703:VSC327705 WBX327703:WBY327705 WLT327703:WLU327705 WVP327703:WVQ327705 H393239:I393241 JD393239:JE393241 SZ393239:TA393241 ACV393239:ACW393241 AMR393239:AMS393241 AWN393239:AWO393241 BGJ393239:BGK393241 BQF393239:BQG393241 CAB393239:CAC393241 CJX393239:CJY393241 CTT393239:CTU393241 DDP393239:DDQ393241 DNL393239:DNM393241 DXH393239:DXI393241 EHD393239:EHE393241 EQZ393239:ERA393241 FAV393239:FAW393241 FKR393239:FKS393241 FUN393239:FUO393241 GEJ393239:GEK393241 GOF393239:GOG393241 GYB393239:GYC393241 HHX393239:HHY393241 HRT393239:HRU393241 IBP393239:IBQ393241 ILL393239:ILM393241 IVH393239:IVI393241 JFD393239:JFE393241 JOZ393239:JPA393241 JYV393239:JYW393241 KIR393239:KIS393241 KSN393239:KSO393241 LCJ393239:LCK393241 LMF393239:LMG393241 LWB393239:LWC393241 MFX393239:MFY393241 MPT393239:MPU393241 MZP393239:MZQ393241 NJL393239:NJM393241 NTH393239:NTI393241 ODD393239:ODE393241 OMZ393239:ONA393241 OWV393239:OWW393241 PGR393239:PGS393241 PQN393239:PQO393241 QAJ393239:QAK393241 QKF393239:QKG393241 QUB393239:QUC393241 RDX393239:RDY393241 RNT393239:RNU393241 RXP393239:RXQ393241 SHL393239:SHM393241 SRH393239:SRI393241 TBD393239:TBE393241 TKZ393239:TLA393241 TUV393239:TUW393241 UER393239:UES393241 UON393239:UOO393241 UYJ393239:UYK393241 VIF393239:VIG393241 VSB393239:VSC393241 WBX393239:WBY393241 WLT393239:WLU393241 WVP393239:WVQ393241 H458775:I458777 JD458775:JE458777 SZ458775:TA458777 ACV458775:ACW458777 AMR458775:AMS458777 AWN458775:AWO458777 BGJ458775:BGK458777 BQF458775:BQG458777 CAB458775:CAC458777 CJX458775:CJY458777 CTT458775:CTU458777 DDP458775:DDQ458777 DNL458775:DNM458777 DXH458775:DXI458777 EHD458775:EHE458777 EQZ458775:ERA458777 FAV458775:FAW458777 FKR458775:FKS458777 FUN458775:FUO458777 GEJ458775:GEK458777 GOF458775:GOG458777 GYB458775:GYC458777 HHX458775:HHY458777 HRT458775:HRU458777 IBP458775:IBQ458777 ILL458775:ILM458777 IVH458775:IVI458777 JFD458775:JFE458777 JOZ458775:JPA458777 JYV458775:JYW458777 KIR458775:KIS458777 KSN458775:KSO458777 LCJ458775:LCK458777 LMF458775:LMG458777 LWB458775:LWC458777 MFX458775:MFY458777 MPT458775:MPU458777 MZP458775:MZQ458777 NJL458775:NJM458777 NTH458775:NTI458777 ODD458775:ODE458777 OMZ458775:ONA458777 OWV458775:OWW458777 PGR458775:PGS458777 PQN458775:PQO458777 QAJ458775:QAK458777 QKF458775:QKG458777 QUB458775:QUC458777 RDX458775:RDY458777 RNT458775:RNU458777 RXP458775:RXQ458777 SHL458775:SHM458777 SRH458775:SRI458777 TBD458775:TBE458777 TKZ458775:TLA458777 TUV458775:TUW458777 UER458775:UES458777 UON458775:UOO458777 UYJ458775:UYK458777 VIF458775:VIG458777 VSB458775:VSC458777 WBX458775:WBY458777 WLT458775:WLU458777 WVP458775:WVQ458777 H524311:I524313 JD524311:JE524313 SZ524311:TA524313 ACV524311:ACW524313 AMR524311:AMS524313 AWN524311:AWO524313 BGJ524311:BGK524313 BQF524311:BQG524313 CAB524311:CAC524313 CJX524311:CJY524313 CTT524311:CTU524313 DDP524311:DDQ524313 DNL524311:DNM524313 DXH524311:DXI524313 EHD524311:EHE524313 EQZ524311:ERA524313 FAV524311:FAW524313 FKR524311:FKS524313 FUN524311:FUO524313 GEJ524311:GEK524313 GOF524311:GOG524313 GYB524311:GYC524313 HHX524311:HHY524313 HRT524311:HRU524313 IBP524311:IBQ524313 ILL524311:ILM524313 IVH524311:IVI524313 JFD524311:JFE524313 JOZ524311:JPA524313 JYV524311:JYW524313 KIR524311:KIS524313 KSN524311:KSO524313 LCJ524311:LCK524313 LMF524311:LMG524313 LWB524311:LWC524313 MFX524311:MFY524313 MPT524311:MPU524313 MZP524311:MZQ524313 NJL524311:NJM524313 NTH524311:NTI524313 ODD524311:ODE524313 OMZ524311:ONA524313 OWV524311:OWW524313 PGR524311:PGS524313 PQN524311:PQO524313 QAJ524311:QAK524313 QKF524311:QKG524313 QUB524311:QUC524313 RDX524311:RDY524313 RNT524311:RNU524313 RXP524311:RXQ524313 SHL524311:SHM524313 SRH524311:SRI524313 TBD524311:TBE524313 TKZ524311:TLA524313 TUV524311:TUW524313 UER524311:UES524313 UON524311:UOO524313 UYJ524311:UYK524313 VIF524311:VIG524313 VSB524311:VSC524313 WBX524311:WBY524313 WLT524311:WLU524313 WVP524311:WVQ524313 H589847:I589849 JD589847:JE589849 SZ589847:TA589849 ACV589847:ACW589849 AMR589847:AMS589849 AWN589847:AWO589849 BGJ589847:BGK589849 BQF589847:BQG589849 CAB589847:CAC589849 CJX589847:CJY589849 CTT589847:CTU589849 DDP589847:DDQ589849 DNL589847:DNM589849 DXH589847:DXI589849 EHD589847:EHE589849 EQZ589847:ERA589849 FAV589847:FAW589849 FKR589847:FKS589849 FUN589847:FUO589849 GEJ589847:GEK589849 GOF589847:GOG589849 GYB589847:GYC589849 HHX589847:HHY589849 HRT589847:HRU589849 IBP589847:IBQ589849 ILL589847:ILM589849 IVH589847:IVI589849 JFD589847:JFE589849 JOZ589847:JPA589849 JYV589847:JYW589849 KIR589847:KIS589849 KSN589847:KSO589849 LCJ589847:LCK589849 LMF589847:LMG589849 LWB589847:LWC589849 MFX589847:MFY589849 MPT589847:MPU589849 MZP589847:MZQ589849 NJL589847:NJM589849 NTH589847:NTI589849 ODD589847:ODE589849 OMZ589847:ONA589849 OWV589847:OWW589849 PGR589847:PGS589849 PQN589847:PQO589849 QAJ589847:QAK589849 QKF589847:QKG589849 QUB589847:QUC589849 RDX589847:RDY589849 RNT589847:RNU589849 RXP589847:RXQ589849 SHL589847:SHM589849 SRH589847:SRI589849 TBD589847:TBE589849 TKZ589847:TLA589849 TUV589847:TUW589849 UER589847:UES589849 UON589847:UOO589849 UYJ589847:UYK589849 VIF589847:VIG589849 VSB589847:VSC589849 WBX589847:WBY589849 WLT589847:WLU589849 WVP589847:WVQ589849 H655383:I655385 JD655383:JE655385 SZ655383:TA655385 ACV655383:ACW655385 AMR655383:AMS655385 AWN655383:AWO655385 BGJ655383:BGK655385 BQF655383:BQG655385 CAB655383:CAC655385 CJX655383:CJY655385 CTT655383:CTU655385 DDP655383:DDQ655385 DNL655383:DNM655385 DXH655383:DXI655385 EHD655383:EHE655385 EQZ655383:ERA655385 FAV655383:FAW655385 FKR655383:FKS655385 FUN655383:FUO655385 GEJ655383:GEK655385 GOF655383:GOG655385 GYB655383:GYC655385 HHX655383:HHY655385 HRT655383:HRU655385 IBP655383:IBQ655385 ILL655383:ILM655385 IVH655383:IVI655385 JFD655383:JFE655385 JOZ655383:JPA655385 JYV655383:JYW655385 KIR655383:KIS655385 KSN655383:KSO655385 LCJ655383:LCK655385 LMF655383:LMG655385 LWB655383:LWC655385 MFX655383:MFY655385 MPT655383:MPU655385 MZP655383:MZQ655385 NJL655383:NJM655385 NTH655383:NTI655385 ODD655383:ODE655385 OMZ655383:ONA655385 OWV655383:OWW655385 PGR655383:PGS655385 PQN655383:PQO655385 QAJ655383:QAK655385 QKF655383:QKG655385 QUB655383:QUC655385 RDX655383:RDY655385 RNT655383:RNU655385 RXP655383:RXQ655385 SHL655383:SHM655385 SRH655383:SRI655385 TBD655383:TBE655385 TKZ655383:TLA655385 TUV655383:TUW655385 UER655383:UES655385 UON655383:UOO655385 UYJ655383:UYK655385 VIF655383:VIG655385 VSB655383:VSC655385 WBX655383:WBY655385 WLT655383:WLU655385 WVP655383:WVQ655385 H720919:I720921 JD720919:JE720921 SZ720919:TA720921 ACV720919:ACW720921 AMR720919:AMS720921 AWN720919:AWO720921 BGJ720919:BGK720921 BQF720919:BQG720921 CAB720919:CAC720921 CJX720919:CJY720921 CTT720919:CTU720921 DDP720919:DDQ720921 DNL720919:DNM720921 DXH720919:DXI720921 EHD720919:EHE720921 EQZ720919:ERA720921 FAV720919:FAW720921 FKR720919:FKS720921 FUN720919:FUO720921 GEJ720919:GEK720921 GOF720919:GOG720921 GYB720919:GYC720921 HHX720919:HHY720921 HRT720919:HRU720921 IBP720919:IBQ720921 ILL720919:ILM720921 IVH720919:IVI720921 JFD720919:JFE720921 JOZ720919:JPA720921 JYV720919:JYW720921 KIR720919:KIS720921 KSN720919:KSO720921 LCJ720919:LCK720921 LMF720919:LMG720921 LWB720919:LWC720921 MFX720919:MFY720921 MPT720919:MPU720921 MZP720919:MZQ720921 NJL720919:NJM720921 NTH720919:NTI720921 ODD720919:ODE720921 OMZ720919:ONA720921 OWV720919:OWW720921 PGR720919:PGS720921 PQN720919:PQO720921 QAJ720919:QAK720921 QKF720919:QKG720921 QUB720919:QUC720921 RDX720919:RDY720921 RNT720919:RNU720921 RXP720919:RXQ720921 SHL720919:SHM720921 SRH720919:SRI720921 TBD720919:TBE720921 TKZ720919:TLA720921 TUV720919:TUW720921 UER720919:UES720921 UON720919:UOO720921 UYJ720919:UYK720921 VIF720919:VIG720921 VSB720919:VSC720921 WBX720919:WBY720921 WLT720919:WLU720921 WVP720919:WVQ720921 H786455:I786457 JD786455:JE786457 SZ786455:TA786457 ACV786455:ACW786457 AMR786455:AMS786457 AWN786455:AWO786457 BGJ786455:BGK786457 BQF786455:BQG786457 CAB786455:CAC786457 CJX786455:CJY786457 CTT786455:CTU786457 DDP786455:DDQ786457 DNL786455:DNM786457 DXH786455:DXI786457 EHD786455:EHE786457 EQZ786455:ERA786457 FAV786455:FAW786457 FKR786455:FKS786457 FUN786455:FUO786457 GEJ786455:GEK786457 GOF786455:GOG786457 GYB786455:GYC786457 HHX786455:HHY786457 HRT786455:HRU786457 IBP786455:IBQ786457 ILL786455:ILM786457 IVH786455:IVI786457 JFD786455:JFE786457 JOZ786455:JPA786457 JYV786455:JYW786457 KIR786455:KIS786457 KSN786455:KSO786457 LCJ786455:LCK786457 LMF786455:LMG786457 LWB786455:LWC786457 MFX786455:MFY786457 MPT786455:MPU786457 MZP786455:MZQ786457 NJL786455:NJM786457 NTH786455:NTI786457 ODD786455:ODE786457 OMZ786455:ONA786457 OWV786455:OWW786457 PGR786455:PGS786457 PQN786455:PQO786457 QAJ786455:QAK786457 QKF786455:QKG786457 QUB786455:QUC786457 RDX786455:RDY786457 RNT786455:RNU786457 RXP786455:RXQ786457 SHL786455:SHM786457 SRH786455:SRI786457 TBD786455:TBE786457 TKZ786455:TLA786457 TUV786455:TUW786457 UER786455:UES786457 UON786455:UOO786457 UYJ786455:UYK786457 VIF786455:VIG786457 VSB786455:VSC786457 WBX786455:WBY786457 WLT786455:WLU786457 WVP786455:WVQ786457 H851991:I851993 JD851991:JE851993 SZ851991:TA851993 ACV851991:ACW851993 AMR851991:AMS851993 AWN851991:AWO851993 BGJ851991:BGK851993 BQF851991:BQG851993 CAB851991:CAC851993 CJX851991:CJY851993 CTT851991:CTU851993 DDP851991:DDQ851993 DNL851991:DNM851993 DXH851991:DXI851993 EHD851991:EHE851993 EQZ851991:ERA851993 FAV851991:FAW851993 FKR851991:FKS851993 FUN851991:FUO851993 GEJ851991:GEK851993 GOF851991:GOG851993 GYB851991:GYC851993 HHX851991:HHY851993 HRT851991:HRU851993 IBP851991:IBQ851993 ILL851991:ILM851993 IVH851991:IVI851993 JFD851991:JFE851993 JOZ851991:JPA851993 JYV851991:JYW851993 KIR851991:KIS851993 KSN851991:KSO851993 LCJ851991:LCK851993 LMF851991:LMG851993 LWB851991:LWC851993 MFX851991:MFY851993 MPT851991:MPU851993 MZP851991:MZQ851993 NJL851991:NJM851993 NTH851991:NTI851993 ODD851991:ODE851993 OMZ851991:ONA851993 OWV851991:OWW851993 PGR851991:PGS851993 PQN851991:PQO851993 QAJ851991:QAK851993 QKF851991:QKG851993 QUB851991:QUC851993 RDX851991:RDY851993 RNT851991:RNU851993 RXP851991:RXQ851993 SHL851991:SHM851993 SRH851991:SRI851993 TBD851991:TBE851993 TKZ851991:TLA851993 TUV851991:TUW851993 UER851991:UES851993 UON851991:UOO851993 UYJ851991:UYK851993 VIF851991:VIG851993 VSB851991:VSC851993 WBX851991:WBY851993 WLT851991:WLU851993 WVP851991:WVQ851993 H917527:I917529 JD917527:JE917529 SZ917527:TA917529 ACV917527:ACW917529 AMR917527:AMS917529 AWN917527:AWO917529 BGJ917527:BGK917529 BQF917527:BQG917529 CAB917527:CAC917529 CJX917527:CJY917529 CTT917527:CTU917529 DDP917527:DDQ917529 DNL917527:DNM917529 DXH917527:DXI917529 EHD917527:EHE917529 EQZ917527:ERA917529 FAV917527:FAW917529 FKR917527:FKS917529 FUN917527:FUO917529 GEJ917527:GEK917529 GOF917527:GOG917529 GYB917527:GYC917529 HHX917527:HHY917529 HRT917527:HRU917529 IBP917527:IBQ917529 ILL917527:ILM917529 IVH917527:IVI917529 JFD917527:JFE917529 JOZ917527:JPA917529 JYV917527:JYW917529 KIR917527:KIS917529 KSN917527:KSO917529 LCJ917527:LCK917529 LMF917527:LMG917529 LWB917527:LWC917529 MFX917527:MFY917529 MPT917527:MPU917529 MZP917527:MZQ917529 NJL917527:NJM917529 NTH917527:NTI917529 ODD917527:ODE917529 OMZ917527:ONA917529 OWV917527:OWW917529 PGR917527:PGS917529 PQN917527:PQO917529 QAJ917527:QAK917529 QKF917527:QKG917529 QUB917527:QUC917529 RDX917527:RDY917529 RNT917527:RNU917529 RXP917527:RXQ917529 SHL917527:SHM917529 SRH917527:SRI917529 TBD917527:TBE917529 TKZ917527:TLA917529 TUV917527:TUW917529 UER917527:UES917529 UON917527:UOO917529 UYJ917527:UYK917529 VIF917527:VIG917529 VSB917527:VSC917529 WBX917527:WBY917529 WLT917527:WLU917529 WVP917527:WVQ917529 H983063:I983065 JD983063:JE983065 SZ983063:TA983065 ACV983063:ACW983065 AMR983063:AMS983065 AWN983063:AWO983065 BGJ983063:BGK983065 BQF983063:BQG983065 CAB983063:CAC983065 CJX983063:CJY983065 CTT983063:CTU983065 DDP983063:DDQ983065 DNL983063:DNM983065 DXH983063:DXI983065 EHD983063:EHE983065 EQZ983063:ERA983065 FAV983063:FAW983065 FKR983063:FKS983065 FUN983063:FUO983065 GEJ983063:GEK983065 GOF983063:GOG983065 GYB983063:GYC983065 HHX983063:HHY983065 HRT983063:HRU983065 IBP983063:IBQ983065 ILL983063:ILM983065 IVH983063:IVI983065 JFD983063:JFE983065 JOZ983063:JPA983065 JYV983063:JYW983065 KIR983063:KIS983065 KSN983063:KSO983065 LCJ983063:LCK983065 LMF983063:LMG983065 LWB983063:LWC983065 MFX983063:MFY983065 MPT983063:MPU983065 MZP983063:MZQ983065 NJL983063:NJM983065 NTH983063:NTI983065 ODD983063:ODE983065 OMZ983063:ONA983065 OWV983063:OWW983065 PGR983063:PGS983065 PQN983063:PQO983065 QAJ983063:QAK983065 QKF983063:QKG983065 QUB983063:QUC983065 RDX983063:RDY983065 RNT983063:RNU983065 RXP983063:RXQ983065 SHL983063:SHM983065 SRH983063:SRI983065 TBD983063:TBE983065 TKZ983063:TLA983065 TUV983063:TUW983065 UER983063:UES983065 UON983063:UOO983065 UYJ983063:UYK983065 VIF983063:VIG983065 VSB983063:VSC983065 WBX983063:WBY983065 WLT983063:WLU983065 WVP983063:WVQ983065">
      <formula1>"Yes,No,NA"</formula1>
    </dataValidation>
    <dataValidation type="list" allowBlank="1" showInputMessage="1" showErrorMessage="1" sqref="WVP98306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formula1>$N$29:$N$32</formula1>
    </dataValidation>
  </dataValidations>
  <hyperlinks>
    <hyperlink ref="A1" location="'Table Of Contents'!A1" display="TOC"/>
  </hyperlinks>
  <pageMargins left="0.25" right="0.25" top="0.75" bottom="0.75" header="0.3" footer="0.3"/>
  <pageSetup scale="47" orientation="portrait" r:id="rId1"/>
  <headerFooter alignWithMargins="0"/>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66FF33"/>
  </sheetPr>
  <dimension ref="A1:BT170"/>
  <sheetViews>
    <sheetView showGridLines="0" view="pageBreakPreview" zoomScaleNormal="75" zoomScaleSheetLayoutView="100" workbookViewId="0">
      <selection activeCell="B1" sqref="B1"/>
    </sheetView>
  </sheetViews>
  <sheetFormatPr defaultRowHeight="12.75"/>
  <cols>
    <col min="1" max="1" width="9.28515625" style="953" customWidth="1"/>
    <col min="2" max="2" width="20" style="953" customWidth="1"/>
    <col min="3" max="3" width="20.42578125" style="953" customWidth="1"/>
    <col min="4" max="4" width="20.28515625" style="953" customWidth="1"/>
    <col min="5" max="5" width="12.42578125" style="953" customWidth="1"/>
    <col min="6" max="6" width="13.140625" style="953" customWidth="1"/>
    <col min="7" max="7" width="10.140625" style="953" customWidth="1"/>
    <col min="8" max="8" width="7.7109375" style="953" customWidth="1"/>
    <col min="9" max="9" width="11" style="953" customWidth="1"/>
    <col min="10" max="10" width="14.5703125" style="953" customWidth="1"/>
    <col min="11" max="11" width="7.7109375" style="953" customWidth="1"/>
    <col min="12" max="12" width="11.42578125" style="953" customWidth="1"/>
    <col min="13" max="13" width="10.42578125" style="953" customWidth="1"/>
    <col min="14" max="14" width="5.7109375" style="953" customWidth="1"/>
    <col min="15" max="15" width="7" style="953" customWidth="1"/>
    <col min="16" max="16" width="29.140625" style="953" customWidth="1"/>
    <col min="17" max="21" width="9.140625" style="953"/>
    <col min="22" max="22" width="9.140625" style="953" hidden="1" customWidth="1"/>
    <col min="23" max="256" width="9.140625" style="953"/>
    <col min="257" max="257" width="9.28515625" style="953" customWidth="1"/>
    <col min="258" max="258" width="20" style="953" customWidth="1"/>
    <col min="259" max="259" width="20.42578125" style="953" customWidth="1"/>
    <col min="260" max="260" width="20.28515625" style="953" customWidth="1"/>
    <col min="261" max="261" width="12.42578125" style="953" customWidth="1"/>
    <col min="262" max="262" width="13.140625" style="953" customWidth="1"/>
    <col min="263" max="263" width="10.140625" style="953" customWidth="1"/>
    <col min="264" max="264" width="7.7109375" style="953" customWidth="1"/>
    <col min="265" max="265" width="11" style="953" customWidth="1"/>
    <col min="266" max="266" width="14.5703125" style="953" customWidth="1"/>
    <col min="267" max="267" width="7.7109375" style="953" customWidth="1"/>
    <col min="268" max="268" width="11.42578125" style="953" customWidth="1"/>
    <col min="269" max="269" width="10.42578125" style="953" customWidth="1"/>
    <col min="270" max="270" width="5.7109375" style="953" customWidth="1"/>
    <col min="271" max="271" width="7" style="953" customWidth="1"/>
    <col min="272" max="272" width="29.140625" style="953" customWidth="1"/>
    <col min="273" max="277" width="9.140625" style="953"/>
    <col min="278" max="278" width="0" style="953" hidden="1" customWidth="1"/>
    <col min="279" max="512" width="9.140625" style="953"/>
    <col min="513" max="513" width="9.28515625" style="953" customWidth="1"/>
    <col min="514" max="514" width="20" style="953" customWidth="1"/>
    <col min="515" max="515" width="20.42578125" style="953" customWidth="1"/>
    <col min="516" max="516" width="20.28515625" style="953" customWidth="1"/>
    <col min="517" max="517" width="12.42578125" style="953" customWidth="1"/>
    <col min="518" max="518" width="13.140625" style="953" customWidth="1"/>
    <col min="519" max="519" width="10.140625" style="953" customWidth="1"/>
    <col min="520" max="520" width="7.7109375" style="953" customWidth="1"/>
    <col min="521" max="521" width="11" style="953" customWidth="1"/>
    <col min="522" max="522" width="14.5703125" style="953" customWidth="1"/>
    <col min="523" max="523" width="7.7109375" style="953" customWidth="1"/>
    <col min="524" max="524" width="11.42578125" style="953" customWidth="1"/>
    <col min="525" max="525" width="10.42578125" style="953" customWidth="1"/>
    <col min="526" max="526" width="5.7109375" style="953" customWidth="1"/>
    <col min="527" max="527" width="7" style="953" customWidth="1"/>
    <col min="528" max="528" width="29.140625" style="953" customWidth="1"/>
    <col min="529" max="533" width="9.140625" style="953"/>
    <col min="534" max="534" width="0" style="953" hidden="1" customWidth="1"/>
    <col min="535" max="768" width="9.140625" style="953"/>
    <col min="769" max="769" width="9.28515625" style="953" customWidth="1"/>
    <col min="770" max="770" width="20" style="953" customWidth="1"/>
    <col min="771" max="771" width="20.42578125" style="953" customWidth="1"/>
    <col min="772" max="772" width="20.28515625" style="953" customWidth="1"/>
    <col min="773" max="773" width="12.42578125" style="953" customWidth="1"/>
    <col min="774" max="774" width="13.140625" style="953" customWidth="1"/>
    <col min="775" max="775" width="10.140625" style="953" customWidth="1"/>
    <col min="776" max="776" width="7.7109375" style="953" customWidth="1"/>
    <col min="777" max="777" width="11" style="953" customWidth="1"/>
    <col min="778" max="778" width="14.5703125" style="953" customWidth="1"/>
    <col min="779" max="779" width="7.7109375" style="953" customWidth="1"/>
    <col min="780" max="780" width="11.42578125" style="953" customWidth="1"/>
    <col min="781" max="781" width="10.42578125" style="953" customWidth="1"/>
    <col min="782" max="782" width="5.7109375" style="953" customWidth="1"/>
    <col min="783" max="783" width="7" style="953" customWidth="1"/>
    <col min="784" max="784" width="29.140625" style="953" customWidth="1"/>
    <col min="785" max="789" width="9.140625" style="953"/>
    <col min="790" max="790" width="0" style="953" hidden="1" customWidth="1"/>
    <col min="791" max="1024" width="9.140625" style="953"/>
    <col min="1025" max="1025" width="9.28515625" style="953" customWidth="1"/>
    <col min="1026" max="1026" width="20" style="953" customWidth="1"/>
    <col min="1027" max="1027" width="20.42578125" style="953" customWidth="1"/>
    <col min="1028" max="1028" width="20.28515625" style="953" customWidth="1"/>
    <col min="1029" max="1029" width="12.42578125" style="953" customWidth="1"/>
    <col min="1030" max="1030" width="13.140625" style="953" customWidth="1"/>
    <col min="1031" max="1031" width="10.140625" style="953" customWidth="1"/>
    <col min="1032" max="1032" width="7.7109375" style="953" customWidth="1"/>
    <col min="1033" max="1033" width="11" style="953" customWidth="1"/>
    <col min="1034" max="1034" width="14.5703125" style="953" customWidth="1"/>
    <col min="1035" max="1035" width="7.7109375" style="953" customWidth="1"/>
    <col min="1036" max="1036" width="11.42578125" style="953" customWidth="1"/>
    <col min="1037" max="1037" width="10.42578125" style="953" customWidth="1"/>
    <col min="1038" max="1038" width="5.7109375" style="953" customWidth="1"/>
    <col min="1039" max="1039" width="7" style="953" customWidth="1"/>
    <col min="1040" max="1040" width="29.140625" style="953" customWidth="1"/>
    <col min="1041" max="1045" width="9.140625" style="953"/>
    <col min="1046" max="1046" width="0" style="953" hidden="1" customWidth="1"/>
    <col min="1047" max="1280" width="9.140625" style="953"/>
    <col min="1281" max="1281" width="9.28515625" style="953" customWidth="1"/>
    <col min="1282" max="1282" width="20" style="953" customWidth="1"/>
    <col min="1283" max="1283" width="20.42578125" style="953" customWidth="1"/>
    <col min="1284" max="1284" width="20.28515625" style="953" customWidth="1"/>
    <col min="1285" max="1285" width="12.42578125" style="953" customWidth="1"/>
    <col min="1286" max="1286" width="13.140625" style="953" customWidth="1"/>
    <col min="1287" max="1287" width="10.140625" style="953" customWidth="1"/>
    <col min="1288" max="1288" width="7.7109375" style="953" customWidth="1"/>
    <col min="1289" max="1289" width="11" style="953" customWidth="1"/>
    <col min="1290" max="1290" width="14.5703125" style="953" customWidth="1"/>
    <col min="1291" max="1291" width="7.7109375" style="953" customWidth="1"/>
    <col min="1292" max="1292" width="11.42578125" style="953" customWidth="1"/>
    <col min="1293" max="1293" width="10.42578125" style="953" customWidth="1"/>
    <col min="1294" max="1294" width="5.7109375" style="953" customWidth="1"/>
    <col min="1295" max="1295" width="7" style="953" customWidth="1"/>
    <col min="1296" max="1296" width="29.140625" style="953" customWidth="1"/>
    <col min="1297" max="1301" width="9.140625" style="953"/>
    <col min="1302" max="1302" width="0" style="953" hidden="1" customWidth="1"/>
    <col min="1303" max="1536" width="9.140625" style="953"/>
    <col min="1537" max="1537" width="9.28515625" style="953" customWidth="1"/>
    <col min="1538" max="1538" width="20" style="953" customWidth="1"/>
    <col min="1539" max="1539" width="20.42578125" style="953" customWidth="1"/>
    <col min="1540" max="1540" width="20.28515625" style="953" customWidth="1"/>
    <col min="1541" max="1541" width="12.42578125" style="953" customWidth="1"/>
    <col min="1542" max="1542" width="13.140625" style="953" customWidth="1"/>
    <col min="1543" max="1543" width="10.140625" style="953" customWidth="1"/>
    <col min="1544" max="1544" width="7.7109375" style="953" customWidth="1"/>
    <col min="1545" max="1545" width="11" style="953" customWidth="1"/>
    <col min="1546" max="1546" width="14.5703125" style="953" customWidth="1"/>
    <col min="1547" max="1547" width="7.7109375" style="953" customWidth="1"/>
    <col min="1548" max="1548" width="11.42578125" style="953" customWidth="1"/>
    <col min="1549" max="1549" width="10.42578125" style="953" customWidth="1"/>
    <col min="1550" max="1550" width="5.7109375" style="953" customWidth="1"/>
    <col min="1551" max="1551" width="7" style="953" customWidth="1"/>
    <col min="1552" max="1552" width="29.140625" style="953" customWidth="1"/>
    <col min="1553" max="1557" width="9.140625" style="953"/>
    <col min="1558" max="1558" width="0" style="953" hidden="1" customWidth="1"/>
    <col min="1559" max="1792" width="9.140625" style="953"/>
    <col min="1793" max="1793" width="9.28515625" style="953" customWidth="1"/>
    <col min="1794" max="1794" width="20" style="953" customWidth="1"/>
    <col min="1795" max="1795" width="20.42578125" style="953" customWidth="1"/>
    <col min="1796" max="1796" width="20.28515625" style="953" customWidth="1"/>
    <col min="1797" max="1797" width="12.42578125" style="953" customWidth="1"/>
    <col min="1798" max="1798" width="13.140625" style="953" customWidth="1"/>
    <col min="1799" max="1799" width="10.140625" style="953" customWidth="1"/>
    <col min="1800" max="1800" width="7.7109375" style="953" customWidth="1"/>
    <col min="1801" max="1801" width="11" style="953" customWidth="1"/>
    <col min="1802" max="1802" width="14.5703125" style="953" customWidth="1"/>
    <col min="1803" max="1803" width="7.7109375" style="953" customWidth="1"/>
    <col min="1804" max="1804" width="11.42578125" style="953" customWidth="1"/>
    <col min="1805" max="1805" width="10.42578125" style="953" customWidth="1"/>
    <col min="1806" max="1806" width="5.7109375" style="953" customWidth="1"/>
    <col min="1807" max="1807" width="7" style="953" customWidth="1"/>
    <col min="1808" max="1808" width="29.140625" style="953" customWidth="1"/>
    <col min="1809" max="1813" width="9.140625" style="953"/>
    <col min="1814" max="1814" width="0" style="953" hidden="1" customWidth="1"/>
    <col min="1815" max="2048" width="9.140625" style="953"/>
    <col min="2049" max="2049" width="9.28515625" style="953" customWidth="1"/>
    <col min="2050" max="2050" width="20" style="953" customWidth="1"/>
    <col min="2051" max="2051" width="20.42578125" style="953" customWidth="1"/>
    <col min="2052" max="2052" width="20.28515625" style="953" customWidth="1"/>
    <col min="2053" max="2053" width="12.42578125" style="953" customWidth="1"/>
    <col min="2054" max="2054" width="13.140625" style="953" customWidth="1"/>
    <col min="2055" max="2055" width="10.140625" style="953" customWidth="1"/>
    <col min="2056" max="2056" width="7.7109375" style="953" customWidth="1"/>
    <col min="2057" max="2057" width="11" style="953" customWidth="1"/>
    <col min="2058" max="2058" width="14.5703125" style="953" customWidth="1"/>
    <col min="2059" max="2059" width="7.7109375" style="953" customWidth="1"/>
    <col min="2060" max="2060" width="11.42578125" style="953" customWidth="1"/>
    <col min="2061" max="2061" width="10.42578125" style="953" customWidth="1"/>
    <col min="2062" max="2062" width="5.7109375" style="953" customWidth="1"/>
    <col min="2063" max="2063" width="7" style="953" customWidth="1"/>
    <col min="2064" max="2064" width="29.140625" style="953" customWidth="1"/>
    <col min="2065" max="2069" width="9.140625" style="953"/>
    <col min="2070" max="2070" width="0" style="953" hidden="1" customWidth="1"/>
    <col min="2071" max="2304" width="9.140625" style="953"/>
    <col min="2305" max="2305" width="9.28515625" style="953" customWidth="1"/>
    <col min="2306" max="2306" width="20" style="953" customWidth="1"/>
    <col min="2307" max="2307" width="20.42578125" style="953" customWidth="1"/>
    <col min="2308" max="2308" width="20.28515625" style="953" customWidth="1"/>
    <col min="2309" max="2309" width="12.42578125" style="953" customWidth="1"/>
    <col min="2310" max="2310" width="13.140625" style="953" customWidth="1"/>
    <col min="2311" max="2311" width="10.140625" style="953" customWidth="1"/>
    <col min="2312" max="2312" width="7.7109375" style="953" customWidth="1"/>
    <col min="2313" max="2313" width="11" style="953" customWidth="1"/>
    <col min="2314" max="2314" width="14.5703125" style="953" customWidth="1"/>
    <col min="2315" max="2315" width="7.7109375" style="953" customWidth="1"/>
    <col min="2316" max="2316" width="11.42578125" style="953" customWidth="1"/>
    <col min="2317" max="2317" width="10.42578125" style="953" customWidth="1"/>
    <col min="2318" max="2318" width="5.7109375" style="953" customWidth="1"/>
    <col min="2319" max="2319" width="7" style="953" customWidth="1"/>
    <col min="2320" max="2320" width="29.140625" style="953" customWidth="1"/>
    <col min="2321" max="2325" width="9.140625" style="953"/>
    <col min="2326" max="2326" width="0" style="953" hidden="1" customWidth="1"/>
    <col min="2327" max="2560" width="9.140625" style="953"/>
    <col min="2561" max="2561" width="9.28515625" style="953" customWidth="1"/>
    <col min="2562" max="2562" width="20" style="953" customWidth="1"/>
    <col min="2563" max="2563" width="20.42578125" style="953" customWidth="1"/>
    <col min="2564" max="2564" width="20.28515625" style="953" customWidth="1"/>
    <col min="2565" max="2565" width="12.42578125" style="953" customWidth="1"/>
    <col min="2566" max="2566" width="13.140625" style="953" customWidth="1"/>
    <col min="2567" max="2567" width="10.140625" style="953" customWidth="1"/>
    <col min="2568" max="2568" width="7.7109375" style="953" customWidth="1"/>
    <col min="2569" max="2569" width="11" style="953" customWidth="1"/>
    <col min="2570" max="2570" width="14.5703125" style="953" customWidth="1"/>
    <col min="2571" max="2571" width="7.7109375" style="953" customWidth="1"/>
    <col min="2572" max="2572" width="11.42578125" style="953" customWidth="1"/>
    <col min="2573" max="2573" width="10.42578125" style="953" customWidth="1"/>
    <col min="2574" max="2574" width="5.7109375" style="953" customWidth="1"/>
    <col min="2575" max="2575" width="7" style="953" customWidth="1"/>
    <col min="2576" max="2576" width="29.140625" style="953" customWidth="1"/>
    <col min="2577" max="2581" width="9.140625" style="953"/>
    <col min="2582" max="2582" width="0" style="953" hidden="1" customWidth="1"/>
    <col min="2583" max="2816" width="9.140625" style="953"/>
    <col min="2817" max="2817" width="9.28515625" style="953" customWidth="1"/>
    <col min="2818" max="2818" width="20" style="953" customWidth="1"/>
    <col min="2819" max="2819" width="20.42578125" style="953" customWidth="1"/>
    <col min="2820" max="2820" width="20.28515625" style="953" customWidth="1"/>
    <col min="2821" max="2821" width="12.42578125" style="953" customWidth="1"/>
    <col min="2822" max="2822" width="13.140625" style="953" customWidth="1"/>
    <col min="2823" max="2823" width="10.140625" style="953" customWidth="1"/>
    <col min="2824" max="2824" width="7.7109375" style="953" customWidth="1"/>
    <col min="2825" max="2825" width="11" style="953" customWidth="1"/>
    <col min="2826" max="2826" width="14.5703125" style="953" customWidth="1"/>
    <col min="2827" max="2827" width="7.7109375" style="953" customWidth="1"/>
    <col min="2828" max="2828" width="11.42578125" style="953" customWidth="1"/>
    <col min="2829" max="2829" width="10.42578125" style="953" customWidth="1"/>
    <col min="2830" max="2830" width="5.7109375" style="953" customWidth="1"/>
    <col min="2831" max="2831" width="7" style="953" customWidth="1"/>
    <col min="2832" max="2832" width="29.140625" style="953" customWidth="1"/>
    <col min="2833" max="2837" width="9.140625" style="953"/>
    <col min="2838" max="2838" width="0" style="953" hidden="1" customWidth="1"/>
    <col min="2839" max="3072" width="9.140625" style="953"/>
    <col min="3073" max="3073" width="9.28515625" style="953" customWidth="1"/>
    <col min="3074" max="3074" width="20" style="953" customWidth="1"/>
    <col min="3075" max="3075" width="20.42578125" style="953" customWidth="1"/>
    <col min="3076" max="3076" width="20.28515625" style="953" customWidth="1"/>
    <col min="3077" max="3077" width="12.42578125" style="953" customWidth="1"/>
    <col min="3078" max="3078" width="13.140625" style="953" customWidth="1"/>
    <col min="3079" max="3079" width="10.140625" style="953" customWidth="1"/>
    <col min="3080" max="3080" width="7.7109375" style="953" customWidth="1"/>
    <col min="3081" max="3081" width="11" style="953" customWidth="1"/>
    <col min="3082" max="3082" width="14.5703125" style="953" customWidth="1"/>
    <col min="3083" max="3083" width="7.7109375" style="953" customWidth="1"/>
    <col min="3084" max="3084" width="11.42578125" style="953" customWidth="1"/>
    <col min="3085" max="3085" width="10.42578125" style="953" customWidth="1"/>
    <col min="3086" max="3086" width="5.7109375" style="953" customWidth="1"/>
    <col min="3087" max="3087" width="7" style="953" customWidth="1"/>
    <col min="3088" max="3088" width="29.140625" style="953" customWidth="1"/>
    <col min="3089" max="3093" width="9.140625" style="953"/>
    <col min="3094" max="3094" width="0" style="953" hidden="1" customWidth="1"/>
    <col min="3095" max="3328" width="9.140625" style="953"/>
    <col min="3329" max="3329" width="9.28515625" style="953" customWidth="1"/>
    <col min="3330" max="3330" width="20" style="953" customWidth="1"/>
    <col min="3331" max="3331" width="20.42578125" style="953" customWidth="1"/>
    <col min="3332" max="3332" width="20.28515625" style="953" customWidth="1"/>
    <col min="3333" max="3333" width="12.42578125" style="953" customWidth="1"/>
    <col min="3334" max="3334" width="13.140625" style="953" customWidth="1"/>
    <col min="3335" max="3335" width="10.140625" style="953" customWidth="1"/>
    <col min="3336" max="3336" width="7.7109375" style="953" customWidth="1"/>
    <col min="3337" max="3337" width="11" style="953" customWidth="1"/>
    <col min="3338" max="3338" width="14.5703125" style="953" customWidth="1"/>
    <col min="3339" max="3339" width="7.7109375" style="953" customWidth="1"/>
    <col min="3340" max="3340" width="11.42578125" style="953" customWidth="1"/>
    <col min="3341" max="3341" width="10.42578125" style="953" customWidth="1"/>
    <col min="3342" max="3342" width="5.7109375" style="953" customWidth="1"/>
    <col min="3343" max="3343" width="7" style="953" customWidth="1"/>
    <col min="3344" max="3344" width="29.140625" style="953" customWidth="1"/>
    <col min="3345" max="3349" width="9.140625" style="953"/>
    <col min="3350" max="3350" width="0" style="953" hidden="1" customWidth="1"/>
    <col min="3351" max="3584" width="9.140625" style="953"/>
    <col min="3585" max="3585" width="9.28515625" style="953" customWidth="1"/>
    <col min="3586" max="3586" width="20" style="953" customWidth="1"/>
    <col min="3587" max="3587" width="20.42578125" style="953" customWidth="1"/>
    <col min="3588" max="3588" width="20.28515625" style="953" customWidth="1"/>
    <col min="3589" max="3589" width="12.42578125" style="953" customWidth="1"/>
    <col min="3590" max="3590" width="13.140625" style="953" customWidth="1"/>
    <col min="3591" max="3591" width="10.140625" style="953" customWidth="1"/>
    <col min="3592" max="3592" width="7.7109375" style="953" customWidth="1"/>
    <col min="3593" max="3593" width="11" style="953" customWidth="1"/>
    <col min="3594" max="3594" width="14.5703125" style="953" customWidth="1"/>
    <col min="3595" max="3595" width="7.7109375" style="953" customWidth="1"/>
    <col min="3596" max="3596" width="11.42578125" style="953" customWidth="1"/>
    <col min="3597" max="3597" width="10.42578125" style="953" customWidth="1"/>
    <col min="3598" max="3598" width="5.7109375" style="953" customWidth="1"/>
    <col min="3599" max="3599" width="7" style="953" customWidth="1"/>
    <col min="3600" max="3600" width="29.140625" style="953" customWidth="1"/>
    <col min="3601" max="3605" width="9.140625" style="953"/>
    <col min="3606" max="3606" width="0" style="953" hidden="1" customWidth="1"/>
    <col min="3607" max="3840" width="9.140625" style="953"/>
    <col min="3841" max="3841" width="9.28515625" style="953" customWidth="1"/>
    <col min="3842" max="3842" width="20" style="953" customWidth="1"/>
    <col min="3843" max="3843" width="20.42578125" style="953" customWidth="1"/>
    <col min="3844" max="3844" width="20.28515625" style="953" customWidth="1"/>
    <col min="3845" max="3845" width="12.42578125" style="953" customWidth="1"/>
    <col min="3846" max="3846" width="13.140625" style="953" customWidth="1"/>
    <col min="3847" max="3847" width="10.140625" style="953" customWidth="1"/>
    <col min="3848" max="3848" width="7.7109375" style="953" customWidth="1"/>
    <col min="3849" max="3849" width="11" style="953" customWidth="1"/>
    <col min="3850" max="3850" width="14.5703125" style="953" customWidth="1"/>
    <col min="3851" max="3851" width="7.7109375" style="953" customWidth="1"/>
    <col min="3852" max="3852" width="11.42578125" style="953" customWidth="1"/>
    <col min="3853" max="3853" width="10.42578125" style="953" customWidth="1"/>
    <col min="3854" max="3854" width="5.7109375" style="953" customWidth="1"/>
    <col min="3855" max="3855" width="7" style="953" customWidth="1"/>
    <col min="3856" max="3856" width="29.140625" style="953" customWidth="1"/>
    <col min="3857" max="3861" width="9.140625" style="953"/>
    <col min="3862" max="3862" width="0" style="953" hidden="1" customWidth="1"/>
    <col min="3863" max="4096" width="9.140625" style="953"/>
    <col min="4097" max="4097" width="9.28515625" style="953" customWidth="1"/>
    <col min="4098" max="4098" width="20" style="953" customWidth="1"/>
    <col min="4099" max="4099" width="20.42578125" style="953" customWidth="1"/>
    <col min="4100" max="4100" width="20.28515625" style="953" customWidth="1"/>
    <col min="4101" max="4101" width="12.42578125" style="953" customWidth="1"/>
    <col min="4102" max="4102" width="13.140625" style="953" customWidth="1"/>
    <col min="4103" max="4103" width="10.140625" style="953" customWidth="1"/>
    <col min="4104" max="4104" width="7.7109375" style="953" customWidth="1"/>
    <col min="4105" max="4105" width="11" style="953" customWidth="1"/>
    <col min="4106" max="4106" width="14.5703125" style="953" customWidth="1"/>
    <col min="4107" max="4107" width="7.7109375" style="953" customWidth="1"/>
    <col min="4108" max="4108" width="11.42578125" style="953" customWidth="1"/>
    <col min="4109" max="4109" width="10.42578125" style="953" customWidth="1"/>
    <col min="4110" max="4110" width="5.7109375" style="953" customWidth="1"/>
    <col min="4111" max="4111" width="7" style="953" customWidth="1"/>
    <col min="4112" max="4112" width="29.140625" style="953" customWidth="1"/>
    <col min="4113" max="4117" width="9.140625" style="953"/>
    <col min="4118" max="4118" width="0" style="953" hidden="1" customWidth="1"/>
    <col min="4119" max="4352" width="9.140625" style="953"/>
    <col min="4353" max="4353" width="9.28515625" style="953" customWidth="1"/>
    <col min="4354" max="4354" width="20" style="953" customWidth="1"/>
    <col min="4355" max="4355" width="20.42578125" style="953" customWidth="1"/>
    <col min="4356" max="4356" width="20.28515625" style="953" customWidth="1"/>
    <col min="4357" max="4357" width="12.42578125" style="953" customWidth="1"/>
    <col min="4358" max="4358" width="13.140625" style="953" customWidth="1"/>
    <col min="4359" max="4359" width="10.140625" style="953" customWidth="1"/>
    <col min="4360" max="4360" width="7.7109375" style="953" customWidth="1"/>
    <col min="4361" max="4361" width="11" style="953" customWidth="1"/>
    <col min="4362" max="4362" width="14.5703125" style="953" customWidth="1"/>
    <col min="4363" max="4363" width="7.7109375" style="953" customWidth="1"/>
    <col min="4364" max="4364" width="11.42578125" style="953" customWidth="1"/>
    <col min="4365" max="4365" width="10.42578125" style="953" customWidth="1"/>
    <col min="4366" max="4366" width="5.7109375" style="953" customWidth="1"/>
    <col min="4367" max="4367" width="7" style="953" customWidth="1"/>
    <col min="4368" max="4368" width="29.140625" style="953" customWidth="1"/>
    <col min="4369" max="4373" width="9.140625" style="953"/>
    <col min="4374" max="4374" width="0" style="953" hidden="1" customWidth="1"/>
    <col min="4375" max="4608" width="9.140625" style="953"/>
    <col min="4609" max="4609" width="9.28515625" style="953" customWidth="1"/>
    <col min="4610" max="4610" width="20" style="953" customWidth="1"/>
    <col min="4611" max="4611" width="20.42578125" style="953" customWidth="1"/>
    <col min="4612" max="4612" width="20.28515625" style="953" customWidth="1"/>
    <col min="4613" max="4613" width="12.42578125" style="953" customWidth="1"/>
    <col min="4614" max="4614" width="13.140625" style="953" customWidth="1"/>
    <col min="4615" max="4615" width="10.140625" style="953" customWidth="1"/>
    <col min="4616" max="4616" width="7.7109375" style="953" customWidth="1"/>
    <col min="4617" max="4617" width="11" style="953" customWidth="1"/>
    <col min="4618" max="4618" width="14.5703125" style="953" customWidth="1"/>
    <col min="4619" max="4619" width="7.7109375" style="953" customWidth="1"/>
    <col min="4620" max="4620" width="11.42578125" style="953" customWidth="1"/>
    <col min="4621" max="4621" width="10.42578125" style="953" customWidth="1"/>
    <col min="4622" max="4622" width="5.7109375" style="953" customWidth="1"/>
    <col min="4623" max="4623" width="7" style="953" customWidth="1"/>
    <col min="4624" max="4624" width="29.140625" style="953" customWidth="1"/>
    <col min="4625" max="4629" width="9.140625" style="953"/>
    <col min="4630" max="4630" width="0" style="953" hidden="1" customWidth="1"/>
    <col min="4631" max="4864" width="9.140625" style="953"/>
    <col min="4865" max="4865" width="9.28515625" style="953" customWidth="1"/>
    <col min="4866" max="4866" width="20" style="953" customWidth="1"/>
    <col min="4867" max="4867" width="20.42578125" style="953" customWidth="1"/>
    <col min="4868" max="4868" width="20.28515625" style="953" customWidth="1"/>
    <col min="4869" max="4869" width="12.42578125" style="953" customWidth="1"/>
    <col min="4870" max="4870" width="13.140625" style="953" customWidth="1"/>
    <col min="4871" max="4871" width="10.140625" style="953" customWidth="1"/>
    <col min="4872" max="4872" width="7.7109375" style="953" customWidth="1"/>
    <col min="4873" max="4873" width="11" style="953" customWidth="1"/>
    <col min="4874" max="4874" width="14.5703125" style="953" customWidth="1"/>
    <col min="4875" max="4875" width="7.7109375" style="953" customWidth="1"/>
    <col min="4876" max="4876" width="11.42578125" style="953" customWidth="1"/>
    <col min="4877" max="4877" width="10.42578125" style="953" customWidth="1"/>
    <col min="4878" max="4878" width="5.7109375" style="953" customWidth="1"/>
    <col min="4879" max="4879" width="7" style="953" customWidth="1"/>
    <col min="4880" max="4880" width="29.140625" style="953" customWidth="1"/>
    <col min="4881" max="4885" width="9.140625" style="953"/>
    <col min="4886" max="4886" width="0" style="953" hidden="1" customWidth="1"/>
    <col min="4887" max="5120" width="9.140625" style="953"/>
    <col min="5121" max="5121" width="9.28515625" style="953" customWidth="1"/>
    <col min="5122" max="5122" width="20" style="953" customWidth="1"/>
    <col min="5123" max="5123" width="20.42578125" style="953" customWidth="1"/>
    <col min="5124" max="5124" width="20.28515625" style="953" customWidth="1"/>
    <col min="5125" max="5125" width="12.42578125" style="953" customWidth="1"/>
    <col min="5126" max="5126" width="13.140625" style="953" customWidth="1"/>
    <col min="5127" max="5127" width="10.140625" style="953" customWidth="1"/>
    <col min="5128" max="5128" width="7.7109375" style="953" customWidth="1"/>
    <col min="5129" max="5129" width="11" style="953" customWidth="1"/>
    <col min="5130" max="5130" width="14.5703125" style="953" customWidth="1"/>
    <col min="5131" max="5131" width="7.7109375" style="953" customWidth="1"/>
    <col min="5132" max="5132" width="11.42578125" style="953" customWidth="1"/>
    <col min="5133" max="5133" width="10.42578125" style="953" customWidth="1"/>
    <col min="5134" max="5134" width="5.7109375" style="953" customWidth="1"/>
    <col min="5135" max="5135" width="7" style="953" customWidth="1"/>
    <col min="5136" max="5136" width="29.140625" style="953" customWidth="1"/>
    <col min="5137" max="5141" width="9.140625" style="953"/>
    <col min="5142" max="5142" width="0" style="953" hidden="1" customWidth="1"/>
    <col min="5143" max="5376" width="9.140625" style="953"/>
    <col min="5377" max="5377" width="9.28515625" style="953" customWidth="1"/>
    <col min="5378" max="5378" width="20" style="953" customWidth="1"/>
    <col min="5379" max="5379" width="20.42578125" style="953" customWidth="1"/>
    <col min="5380" max="5380" width="20.28515625" style="953" customWidth="1"/>
    <col min="5381" max="5381" width="12.42578125" style="953" customWidth="1"/>
    <col min="5382" max="5382" width="13.140625" style="953" customWidth="1"/>
    <col min="5383" max="5383" width="10.140625" style="953" customWidth="1"/>
    <col min="5384" max="5384" width="7.7109375" style="953" customWidth="1"/>
    <col min="5385" max="5385" width="11" style="953" customWidth="1"/>
    <col min="5386" max="5386" width="14.5703125" style="953" customWidth="1"/>
    <col min="5387" max="5387" width="7.7109375" style="953" customWidth="1"/>
    <col min="5388" max="5388" width="11.42578125" style="953" customWidth="1"/>
    <col min="5389" max="5389" width="10.42578125" style="953" customWidth="1"/>
    <col min="5390" max="5390" width="5.7109375" style="953" customWidth="1"/>
    <col min="5391" max="5391" width="7" style="953" customWidth="1"/>
    <col min="5392" max="5392" width="29.140625" style="953" customWidth="1"/>
    <col min="5393" max="5397" width="9.140625" style="953"/>
    <col min="5398" max="5398" width="0" style="953" hidden="1" customWidth="1"/>
    <col min="5399" max="5632" width="9.140625" style="953"/>
    <col min="5633" max="5633" width="9.28515625" style="953" customWidth="1"/>
    <col min="5634" max="5634" width="20" style="953" customWidth="1"/>
    <col min="5635" max="5635" width="20.42578125" style="953" customWidth="1"/>
    <col min="5636" max="5636" width="20.28515625" style="953" customWidth="1"/>
    <col min="5637" max="5637" width="12.42578125" style="953" customWidth="1"/>
    <col min="5638" max="5638" width="13.140625" style="953" customWidth="1"/>
    <col min="5639" max="5639" width="10.140625" style="953" customWidth="1"/>
    <col min="5640" max="5640" width="7.7109375" style="953" customWidth="1"/>
    <col min="5641" max="5641" width="11" style="953" customWidth="1"/>
    <col min="5642" max="5642" width="14.5703125" style="953" customWidth="1"/>
    <col min="5643" max="5643" width="7.7109375" style="953" customWidth="1"/>
    <col min="5644" max="5644" width="11.42578125" style="953" customWidth="1"/>
    <col min="5645" max="5645" width="10.42578125" style="953" customWidth="1"/>
    <col min="5646" max="5646" width="5.7109375" style="953" customWidth="1"/>
    <col min="5647" max="5647" width="7" style="953" customWidth="1"/>
    <col min="5648" max="5648" width="29.140625" style="953" customWidth="1"/>
    <col min="5649" max="5653" width="9.140625" style="953"/>
    <col min="5654" max="5654" width="0" style="953" hidden="1" customWidth="1"/>
    <col min="5655" max="5888" width="9.140625" style="953"/>
    <col min="5889" max="5889" width="9.28515625" style="953" customWidth="1"/>
    <col min="5890" max="5890" width="20" style="953" customWidth="1"/>
    <col min="5891" max="5891" width="20.42578125" style="953" customWidth="1"/>
    <col min="5892" max="5892" width="20.28515625" style="953" customWidth="1"/>
    <col min="5893" max="5893" width="12.42578125" style="953" customWidth="1"/>
    <col min="5894" max="5894" width="13.140625" style="953" customWidth="1"/>
    <col min="5895" max="5895" width="10.140625" style="953" customWidth="1"/>
    <col min="5896" max="5896" width="7.7109375" style="953" customWidth="1"/>
    <col min="5897" max="5897" width="11" style="953" customWidth="1"/>
    <col min="5898" max="5898" width="14.5703125" style="953" customWidth="1"/>
    <col min="5899" max="5899" width="7.7109375" style="953" customWidth="1"/>
    <col min="5900" max="5900" width="11.42578125" style="953" customWidth="1"/>
    <col min="5901" max="5901" width="10.42578125" style="953" customWidth="1"/>
    <col min="5902" max="5902" width="5.7109375" style="953" customWidth="1"/>
    <col min="5903" max="5903" width="7" style="953" customWidth="1"/>
    <col min="5904" max="5904" width="29.140625" style="953" customWidth="1"/>
    <col min="5905" max="5909" width="9.140625" style="953"/>
    <col min="5910" max="5910" width="0" style="953" hidden="1" customWidth="1"/>
    <col min="5911" max="6144" width="9.140625" style="953"/>
    <col min="6145" max="6145" width="9.28515625" style="953" customWidth="1"/>
    <col min="6146" max="6146" width="20" style="953" customWidth="1"/>
    <col min="6147" max="6147" width="20.42578125" style="953" customWidth="1"/>
    <col min="6148" max="6148" width="20.28515625" style="953" customWidth="1"/>
    <col min="6149" max="6149" width="12.42578125" style="953" customWidth="1"/>
    <col min="6150" max="6150" width="13.140625" style="953" customWidth="1"/>
    <col min="6151" max="6151" width="10.140625" style="953" customWidth="1"/>
    <col min="6152" max="6152" width="7.7109375" style="953" customWidth="1"/>
    <col min="6153" max="6153" width="11" style="953" customWidth="1"/>
    <col min="6154" max="6154" width="14.5703125" style="953" customWidth="1"/>
    <col min="6155" max="6155" width="7.7109375" style="953" customWidth="1"/>
    <col min="6156" max="6156" width="11.42578125" style="953" customWidth="1"/>
    <col min="6157" max="6157" width="10.42578125" style="953" customWidth="1"/>
    <col min="6158" max="6158" width="5.7109375" style="953" customWidth="1"/>
    <col min="6159" max="6159" width="7" style="953" customWidth="1"/>
    <col min="6160" max="6160" width="29.140625" style="953" customWidth="1"/>
    <col min="6161" max="6165" width="9.140625" style="953"/>
    <col min="6166" max="6166" width="0" style="953" hidden="1" customWidth="1"/>
    <col min="6167" max="6400" width="9.140625" style="953"/>
    <col min="6401" max="6401" width="9.28515625" style="953" customWidth="1"/>
    <col min="6402" max="6402" width="20" style="953" customWidth="1"/>
    <col min="6403" max="6403" width="20.42578125" style="953" customWidth="1"/>
    <col min="6404" max="6404" width="20.28515625" style="953" customWidth="1"/>
    <col min="6405" max="6405" width="12.42578125" style="953" customWidth="1"/>
    <col min="6406" max="6406" width="13.140625" style="953" customWidth="1"/>
    <col min="6407" max="6407" width="10.140625" style="953" customWidth="1"/>
    <col min="6408" max="6408" width="7.7109375" style="953" customWidth="1"/>
    <col min="6409" max="6409" width="11" style="953" customWidth="1"/>
    <col min="6410" max="6410" width="14.5703125" style="953" customWidth="1"/>
    <col min="6411" max="6411" width="7.7109375" style="953" customWidth="1"/>
    <col min="6412" max="6412" width="11.42578125" style="953" customWidth="1"/>
    <col min="6413" max="6413" width="10.42578125" style="953" customWidth="1"/>
    <col min="6414" max="6414" width="5.7109375" style="953" customWidth="1"/>
    <col min="6415" max="6415" width="7" style="953" customWidth="1"/>
    <col min="6416" max="6416" width="29.140625" style="953" customWidth="1"/>
    <col min="6417" max="6421" width="9.140625" style="953"/>
    <col min="6422" max="6422" width="0" style="953" hidden="1" customWidth="1"/>
    <col min="6423" max="6656" width="9.140625" style="953"/>
    <col min="6657" max="6657" width="9.28515625" style="953" customWidth="1"/>
    <col min="6658" max="6658" width="20" style="953" customWidth="1"/>
    <col min="6659" max="6659" width="20.42578125" style="953" customWidth="1"/>
    <col min="6660" max="6660" width="20.28515625" style="953" customWidth="1"/>
    <col min="6661" max="6661" width="12.42578125" style="953" customWidth="1"/>
    <col min="6662" max="6662" width="13.140625" style="953" customWidth="1"/>
    <col min="6663" max="6663" width="10.140625" style="953" customWidth="1"/>
    <col min="6664" max="6664" width="7.7109375" style="953" customWidth="1"/>
    <col min="6665" max="6665" width="11" style="953" customWidth="1"/>
    <col min="6666" max="6666" width="14.5703125" style="953" customWidth="1"/>
    <col min="6667" max="6667" width="7.7109375" style="953" customWidth="1"/>
    <col min="6668" max="6668" width="11.42578125" style="953" customWidth="1"/>
    <col min="6669" max="6669" width="10.42578125" style="953" customWidth="1"/>
    <col min="6670" max="6670" width="5.7109375" style="953" customWidth="1"/>
    <col min="6671" max="6671" width="7" style="953" customWidth="1"/>
    <col min="6672" max="6672" width="29.140625" style="953" customWidth="1"/>
    <col min="6673" max="6677" width="9.140625" style="953"/>
    <col min="6678" max="6678" width="0" style="953" hidden="1" customWidth="1"/>
    <col min="6679" max="6912" width="9.140625" style="953"/>
    <col min="6913" max="6913" width="9.28515625" style="953" customWidth="1"/>
    <col min="6914" max="6914" width="20" style="953" customWidth="1"/>
    <col min="6915" max="6915" width="20.42578125" style="953" customWidth="1"/>
    <col min="6916" max="6916" width="20.28515625" style="953" customWidth="1"/>
    <col min="6917" max="6917" width="12.42578125" style="953" customWidth="1"/>
    <col min="6918" max="6918" width="13.140625" style="953" customWidth="1"/>
    <col min="6919" max="6919" width="10.140625" style="953" customWidth="1"/>
    <col min="6920" max="6920" width="7.7109375" style="953" customWidth="1"/>
    <col min="6921" max="6921" width="11" style="953" customWidth="1"/>
    <col min="6922" max="6922" width="14.5703125" style="953" customWidth="1"/>
    <col min="6923" max="6923" width="7.7109375" style="953" customWidth="1"/>
    <col min="6924" max="6924" width="11.42578125" style="953" customWidth="1"/>
    <col min="6925" max="6925" width="10.42578125" style="953" customWidth="1"/>
    <col min="6926" max="6926" width="5.7109375" style="953" customWidth="1"/>
    <col min="6927" max="6927" width="7" style="953" customWidth="1"/>
    <col min="6928" max="6928" width="29.140625" style="953" customWidth="1"/>
    <col min="6929" max="6933" width="9.140625" style="953"/>
    <col min="6934" max="6934" width="0" style="953" hidden="1" customWidth="1"/>
    <col min="6935" max="7168" width="9.140625" style="953"/>
    <col min="7169" max="7169" width="9.28515625" style="953" customWidth="1"/>
    <col min="7170" max="7170" width="20" style="953" customWidth="1"/>
    <col min="7171" max="7171" width="20.42578125" style="953" customWidth="1"/>
    <col min="7172" max="7172" width="20.28515625" style="953" customWidth="1"/>
    <col min="7173" max="7173" width="12.42578125" style="953" customWidth="1"/>
    <col min="7174" max="7174" width="13.140625" style="953" customWidth="1"/>
    <col min="7175" max="7175" width="10.140625" style="953" customWidth="1"/>
    <col min="7176" max="7176" width="7.7109375" style="953" customWidth="1"/>
    <col min="7177" max="7177" width="11" style="953" customWidth="1"/>
    <col min="7178" max="7178" width="14.5703125" style="953" customWidth="1"/>
    <col min="7179" max="7179" width="7.7109375" style="953" customWidth="1"/>
    <col min="7180" max="7180" width="11.42578125" style="953" customWidth="1"/>
    <col min="7181" max="7181" width="10.42578125" style="953" customWidth="1"/>
    <col min="7182" max="7182" width="5.7109375" style="953" customWidth="1"/>
    <col min="7183" max="7183" width="7" style="953" customWidth="1"/>
    <col min="7184" max="7184" width="29.140625" style="953" customWidth="1"/>
    <col min="7185" max="7189" width="9.140625" style="953"/>
    <col min="7190" max="7190" width="0" style="953" hidden="1" customWidth="1"/>
    <col min="7191" max="7424" width="9.140625" style="953"/>
    <col min="7425" max="7425" width="9.28515625" style="953" customWidth="1"/>
    <col min="7426" max="7426" width="20" style="953" customWidth="1"/>
    <col min="7427" max="7427" width="20.42578125" style="953" customWidth="1"/>
    <col min="7428" max="7428" width="20.28515625" style="953" customWidth="1"/>
    <col min="7429" max="7429" width="12.42578125" style="953" customWidth="1"/>
    <col min="7430" max="7430" width="13.140625" style="953" customWidth="1"/>
    <col min="7431" max="7431" width="10.140625" style="953" customWidth="1"/>
    <col min="7432" max="7432" width="7.7109375" style="953" customWidth="1"/>
    <col min="7433" max="7433" width="11" style="953" customWidth="1"/>
    <col min="7434" max="7434" width="14.5703125" style="953" customWidth="1"/>
    <col min="7435" max="7435" width="7.7109375" style="953" customWidth="1"/>
    <col min="7436" max="7436" width="11.42578125" style="953" customWidth="1"/>
    <col min="7437" max="7437" width="10.42578125" style="953" customWidth="1"/>
    <col min="7438" max="7438" width="5.7109375" style="953" customWidth="1"/>
    <col min="7439" max="7439" width="7" style="953" customWidth="1"/>
    <col min="7440" max="7440" width="29.140625" style="953" customWidth="1"/>
    <col min="7441" max="7445" width="9.140625" style="953"/>
    <col min="7446" max="7446" width="0" style="953" hidden="1" customWidth="1"/>
    <col min="7447" max="7680" width="9.140625" style="953"/>
    <col min="7681" max="7681" width="9.28515625" style="953" customWidth="1"/>
    <col min="7682" max="7682" width="20" style="953" customWidth="1"/>
    <col min="7683" max="7683" width="20.42578125" style="953" customWidth="1"/>
    <col min="7684" max="7684" width="20.28515625" style="953" customWidth="1"/>
    <col min="7685" max="7685" width="12.42578125" style="953" customWidth="1"/>
    <col min="7686" max="7686" width="13.140625" style="953" customWidth="1"/>
    <col min="7687" max="7687" width="10.140625" style="953" customWidth="1"/>
    <col min="7688" max="7688" width="7.7109375" style="953" customWidth="1"/>
    <col min="7689" max="7689" width="11" style="953" customWidth="1"/>
    <col min="7690" max="7690" width="14.5703125" style="953" customWidth="1"/>
    <col min="7691" max="7691" width="7.7109375" style="953" customWidth="1"/>
    <col min="7692" max="7692" width="11.42578125" style="953" customWidth="1"/>
    <col min="7693" max="7693" width="10.42578125" style="953" customWidth="1"/>
    <col min="7694" max="7694" width="5.7109375" style="953" customWidth="1"/>
    <col min="7695" max="7695" width="7" style="953" customWidth="1"/>
    <col min="7696" max="7696" width="29.140625" style="953" customWidth="1"/>
    <col min="7697" max="7701" width="9.140625" style="953"/>
    <col min="7702" max="7702" width="0" style="953" hidden="1" customWidth="1"/>
    <col min="7703" max="7936" width="9.140625" style="953"/>
    <col min="7937" max="7937" width="9.28515625" style="953" customWidth="1"/>
    <col min="7938" max="7938" width="20" style="953" customWidth="1"/>
    <col min="7939" max="7939" width="20.42578125" style="953" customWidth="1"/>
    <col min="7940" max="7940" width="20.28515625" style="953" customWidth="1"/>
    <col min="7941" max="7941" width="12.42578125" style="953" customWidth="1"/>
    <col min="7942" max="7942" width="13.140625" style="953" customWidth="1"/>
    <col min="7943" max="7943" width="10.140625" style="953" customWidth="1"/>
    <col min="7944" max="7944" width="7.7109375" style="953" customWidth="1"/>
    <col min="7945" max="7945" width="11" style="953" customWidth="1"/>
    <col min="7946" max="7946" width="14.5703125" style="953" customWidth="1"/>
    <col min="7947" max="7947" width="7.7109375" style="953" customWidth="1"/>
    <col min="7948" max="7948" width="11.42578125" style="953" customWidth="1"/>
    <col min="7949" max="7949" width="10.42578125" style="953" customWidth="1"/>
    <col min="7950" max="7950" width="5.7109375" style="953" customWidth="1"/>
    <col min="7951" max="7951" width="7" style="953" customWidth="1"/>
    <col min="7952" max="7952" width="29.140625" style="953" customWidth="1"/>
    <col min="7953" max="7957" width="9.140625" style="953"/>
    <col min="7958" max="7958" width="0" style="953" hidden="1" customWidth="1"/>
    <col min="7959" max="8192" width="9.140625" style="953"/>
    <col min="8193" max="8193" width="9.28515625" style="953" customWidth="1"/>
    <col min="8194" max="8194" width="20" style="953" customWidth="1"/>
    <col min="8195" max="8195" width="20.42578125" style="953" customWidth="1"/>
    <col min="8196" max="8196" width="20.28515625" style="953" customWidth="1"/>
    <col min="8197" max="8197" width="12.42578125" style="953" customWidth="1"/>
    <col min="8198" max="8198" width="13.140625" style="953" customWidth="1"/>
    <col min="8199" max="8199" width="10.140625" style="953" customWidth="1"/>
    <col min="8200" max="8200" width="7.7109375" style="953" customWidth="1"/>
    <col min="8201" max="8201" width="11" style="953" customWidth="1"/>
    <col min="8202" max="8202" width="14.5703125" style="953" customWidth="1"/>
    <col min="8203" max="8203" width="7.7109375" style="953" customWidth="1"/>
    <col min="8204" max="8204" width="11.42578125" style="953" customWidth="1"/>
    <col min="8205" max="8205" width="10.42578125" style="953" customWidth="1"/>
    <col min="8206" max="8206" width="5.7109375" style="953" customWidth="1"/>
    <col min="8207" max="8207" width="7" style="953" customWidth="1"/>
    <col min="8208" max="8208" width="29.140625" style="953" customWidth="1"/>
    <col min="8209" max="8213" width="9.140625" style="953"/>
    <col min="8214" max="8214" width="0" style="953" hidden="1" customWidth="1"/>
    <col min="8215" max="8448" width="9.140625" style="953"/>
    <col min="8449" max="8449" width="9.28515625" style="953" customWidth="1"/>
    <col min="8450" max="8450" width="20" style="953" customWidth="1"/>
    <col min="8451" max="8451" width="20.42578125" style="953" customWidth="1"/>
    <col min="8452" max="8452" width="20.28515625" style="953" customWidth="1"/>
    <col min="8453" max="8453" width="12.42578125" style="953" customWidth="1"/>
    <col min="8454" max="8454" width="13.140625" style="953" customWidth="1"/>
    <col min="8455" max="8455" width="10.140625" style="953" customWidth="1"/>
    <col min="8456" max="8456" width="7.7109375" style="953" customWidth="1"/>
    <col min="8457" max="8457" width="11" style="953" customWidth="1"/>
    <col min="8458" max="8458" width="14.5703125" style="953" customWidth="1"/>
    <col min="8459" max="8459" width="7.7109375" style="953" customWidth="1"/>
    <col min="8460" max="8460" width="11.42578125" style="953" customWidth="1"/>
    <col min="8461" max="8461" width="10.42578125" style="953" customWidth="1"/>
    <col min="8462" max="8462" width="5.7109375" style="953" customWidth="1"/>
    <col min="8463" max="8463" width="7" style="953" customWidth="1"/>
    <col min="8464" max="8464" width="29.140625" style="953" customWidth="1"/>
    <col min="8465" max="8469" width="9.140625" style="953"/>
    <col min="8470" max="8470" width="0" style="953" hidden="1" customWidth="1"/>
    <col min="8471" max="8704" width="9.140625" style="953"/>
    <col min="8705" max="8705" width="9.28515625" style="953" customWidth="1"/>
    <col min="8706" max="8706" width="20" style="953" customWidth="1"/>
    <col min="8707" max="8707" width="20.42578125" style="953" customWidth="1"/>
    <col min="8708" max="8708" width="20.28515625" style="953" customWidth="1"/>
    <col min="8709" max="8709" width="12.42578125" style="953" customWidth="1"/>
    <col min="8710" max="8710" width="13.140625" style="953" customWidth="1"/>
    <col min="8711" max="8711" width="10.140625" style="953" customWidth="1"/>
    <col min="8712" max="8712" width="7.7109375" style="953" customWidth="1"/>
    <col min="8713" max="8713" width="11" style="953" customWidth="1"/>
    <col min="8714" max="8714" width="14.5703125" style="953" customWidth="1"/>
    <col min="8715" max="8715" width="7.7109375" style="953" customWidth="1"/>
    <col min="8716" max="8716" width="11.42578125" style="953" customWidth="1"/>
    <col min="8717" max="8717" width="10.42578125" style="953" customWidth="1"/>
    <col min="8718" max="8718" width="5.7109375" style="953" customWidth="1"/>
    <col min="8719" max="8719" width="7" style="953" customWidth="1"/>
    <col min="8720" max="8720" width="29.140625" style="953" customWidth="1"/>
    <col min="8721" max="8725" width="9.140625" style="953"/>
    <col min="8726" max="8726" width="0" style="953" hidden="1" customWidth="1"/>
    <col min="8727" max="8960" width="9.140625" style="953"/>
    <col min="8961" max="8961" width="9.28515625" style="953" customWidth="1"/>
    <col min="8962" max="8962" width="20" style="953" customWidth="1"/>
    <col min="8963" max="8963" width="20.42578125" style="953" customWidth="1"/>
    <col min="8964" max="8964" width="20.28515625" style="953" customWidth="1"/>
    <col min="8965" max="8965" width="12.42578125" style="953" customWidth="1"/>
    <col min="8966" max="8966" width="13.140625" style="953" customWidth="1"/>
    <col min="8967" max="8967" width="10.140625" style="953" customWidth="1"/>
    <col min="8968" max="8968" width="7.7109375" style="953" customWidth="1"/>
    <col min="8969" max="8969" width="11" style="953" customWidth="1"/>
    <col min="8970" max="8970" width="14.5703125" style="953" customWidth="1"/>
    <col min="8971" max="8971" width="7.7109375" style="953" customWidth="1"/>
    <col min="8972" max="8972" width="11.42578125" style="953" customWidth="1"/>
    <col min="8973" max="8973" width="10.42578125" style="953" customWidth="1"/>
    <col min="8974" max="8974" width="5.7109375" style="953" customWidth="1"/>
    <col min="8975" max="8975" width="7" style="953" customWidth="1"/>
    <col min="8976" max="8976" width="29.140625" style="953" customWidth="1"/>
    <col min="8977" max="8981" width="9.140625" style="953"/>
    <col min="8982" max="8982" width="0" style="953" hidden="1" customWidth="1"/>
    <col min="8983" max="9216" width="9.140625" style="953"/>
    <col min="9217" max="9217" width="9.28515625" style="953" customWidth="1"/>
    <col min="9218" max="9218" width="20" style="953" customWidth="1"/>
    <col min="9219" max="9219" width="20.42578125" style="953" customWidth="1"/>
    <col min="9220" max="9220" width="20.28515625" style="953" customWidth="1"/>
    <col min="9221" max="9221" width="12.42578125" style="953" customWidth="1"/>
    <col min="9222" max="9222" width="13.140625" style="953" customWidth="1"/>
    <col min="9223" max="9223" width="10.140625" style="953" customWidth="1"/>
    <col min="9224" max="9224" width="7.7109375" style="953" customWidth="1"/>
    <col min="9225" max="9225" width="11" style="953" customWidth="1"/>
    <col min="9226" max="9226" width="14.5703125" style="953" customWidth="1"/>
    <col min="9227" max="9227" width="7.7109375" style="953" customWidth="1"/>
    <col min="9228" max="9228" width="11.42578125" style="953" customWidth="1"/>
    <col min="9229" max="9229" width="10.42578125" style="953" customWidth="1"/>
    <col min="9230" max="9230" width="5.7109375" style="953" customWidth="1"/>
    <col min="9231" max="9231" width="7" style="953" customWidth="1"/>
    <col min="9232" max="9232" width="29.140625" style="953" customWidth="1"/>
    <col min="9233" max="9237" width="9.140625" style="953"/>
    <col min="9238" max="9238" width="0" style="953" hidden="1" customWidth="1"/>
    <col min="9239" max="9472" width="9.140625" style="953"/>
    <col min="9473" max="9473" width="9.28515625" style="953" customWidth="1"/>
    <col min="9474" max="9474" width="20" style="953" customWidth="1"/>
    <col min="9475" max="9475" width="20.42578125" style="953" customWidth="1"/>
    <col min="9476" max="9476" width="20.28515625" style="953" customWidth="1"/>
    <col min="9477" max="9477" width="12.42578125" style="953" customWidth="1"/>
    <col min="9478" max="9478" width="13.140625" style="953" customWidth="1"/>
    <col min="9479" max="9479" width="10.140625" style="953" customWidth="1"/>
    <col min="9480" max="9480" width="7.7109375" style="953" customWidth="1"/>
    <col min="9481" max="9481" width="11" style="953" customWidth="1"/>
    <col min="9482" max="9482" width="14.5703125" style="953" customWidth="1"/>
    <col min="9483" max="9483" width="7.7109375" style="953" customWidth="1"/>
    <col min="9484" max="9484" width="11.42578125" style="953" customWidth="1"/>
    <col min="9485" max="9485" width="10.42578125" style="953" customWidth="1"/>
    <col min="9486" max="9486" width="5.7109375" style="953" customWidth="1"/>
    <col min="9487" max="9487" width="7" style="953" customWidth="1"/>
    <col min="9488" max="9488" width="29.140625" style="953" customWidth="1"/>
    <col min="9489" max="9493" width="9.140625" style="953"/>
    <col min="9494" max="9494" width="0" style="953" hidden="1" customWidth="1"/>
    <col min="9495" max="9728" width="9.140625" style="953"/>
    <col min="9729" max="9729" width="9.28515625" style="953" customWidth="1"/>
    <col min="9730" max="9730" width="20" style="953" customWidth="1"/>
    <col min="9731" max="9731" width="20.42578125" style="953" customWidth="1"/>
    <col min="9732" max="9732" width="20.28515625" style="953" customWidth="1"/>
    <col min="9733" max="9733" width="12.42578125" style="953" customWidth="1"/>
    <col min="9734" max="9734" width="13.140625" style="953" customWidth="1"/>
    <col min="9735" max="9735" width="10.140625" style="953" customWidth="1"/>
    <col min="9736" max="9736" width="7.7109375" style="953" customWidth="1"/>
    <col min="9737" max="9737" width="11" style="953" customWidth="1"/>
    <col min="9738" max="9738" width="14.5703125" style="953" customWidth="1"/>
    <col min="9739" max="9739" width="7.7109375" style="953" customWidth="1"/>
    <col min="9740" max="9740" width="11.42578125" style="953" customWidth="1"/>
    <col min="9741" max="9741" width="10.42578125" style="953" customWidth="1"/>
    <col min="9742" max="9742" width="5.7109375" style="953" customWidth="1"/>
    <col min="9743" max="9743" width="7" style="953" customWidth="1"/>
    <col min="9744" max="9744" width="29.140625" style="953" customWidth="1"/>
    <col min="9745" max="9749" width="9.140625" style="953"/>
    <col min="9750" max="9750" width="0" style="953" hidden="1" customWidth="1"/>
    <col min="9751" max="9984" width="9.140625" style="953"/>
    <col min="9985" max="9985" width="9.28515625" style="953" customWidth="1"/>
    <col min="9986" max="9986" width="20" style="953" customWidth="1"/>
    <col min="9987" max="9987" width="20.42578125" style="953" customWidth="1"/>
    <col min="9988" max="9988" width="20.28515625" style="953" customWidth="1"/>
    <col min="9989" max="9989" width="12.42578125" style="953" customWidth="1"/>
    <col min="9990" max="9990" width="13.140625" style="953" customWidth="1"/>
    <col min="9991" max="9991" width="10.140625" style="953" customWidth="1"/>
    <col min="9992" max="9992" width="7.7109375" style="953" customWidth="1"/>
    <col min="9993" max="9993" width="11" style="953" customWidth="1"/>
    <col min="9994" max="9994" width="14.5703125" style="953" customWidth="1"/>
    <col min="9995" max="9995" width="7.7109375" style="953" customWidth="1"/>
    <col min="9996" max="9996" width="11.42578125" style="953" customWidth="1"/>
    <col min="9997" max="9997" width="10.42578125" style="953" customWidth="1"/>
    <col min="9998" max="9998" width="5.7109375" style="953" customWidth="1"/>
    <col min="9999" max="9999" width="7" style="953" customWidth="1"/>
    <col min="10000" max="10000" width="29.140625" style="953" customWidth="1"/>
    <col min="10001" max="10005" width="9.140625" style="953"/>
    <col min="10006" max="10006" width="0" style="953" hidden="1" customWidth="1"/>
    <col min="10007" max="10240" width="9.140625" style="953"/>
    <col min="10241" max="10241" width="9.28515625" style="953" customWidth="1"/>
    <col min="10242" max="10242" width="20" style="953" customWidth="1"/>
    <col min="10243" max="10243" width="20.42578125" style="953" customWidth="1"/>
    <col min="10244" max="10244" width="20.28515625" style="953" customWidth="1"/>
    <col min="10245" max="10245" width="12.42578125" style="953" customWidth="1"/>
    <col min="10246" max="10246" width="13.140625" style="953" customWidth="1"/>
    <col min="10247" max="10247" width="10.140625" style="953" customWidth="1"/>
    <col min="10248" max="10248" width="7.7109375" style="953" customWidth="1"/>
    <col min="10249" max="10249" width="11" style="953" customWidth="1"/>
    <col min="10250" max="10250" width="14.5703125" style="953" customWidth="1"/>
    <col min="10251" max="10251" width="7.7109375" style="953" customWidth="1"/>
    <col min="10252" max="10252" width="11.42578125" style="953" customWidth="1"/>
    <col min="10253" max="10253" width="10.42578125" style="953" customWidth="1"/>
    <col min="10254" max="10254" width="5.7109375" style="953" customWidth="1"/>
    <col min="10255" max="10255" width="7" style="953" customWidth="1"/>
    <col min="10256" max="10256" width="29.140625" style="953" customWidth="1"/>
    <col min="10257" max="10261" width="9.140625" style="953"/>
    <col min="10262" max="10262" width="0" style="953" hidden="1" customWidth="1"/>
    <col min="10263" max="10496" width="9.140625" style="953"/>
    <col min="10497" max="10497" width="9.28515625" style="953" customWidth="1"/>
    <col min="10498" max="10498" width="20" style="953" customWidth="1"/>
    <col min="10499" max="10499" width="20.42578125" style="953" customWidth="1"/>
    <col min="10500" max="10500" width="20.28515625" style="953" customWidth="1"/>
    <col min="10501" max="10501" width="12.42578125" style="953" customWidth="1"/>
    <col min="10502" max="10502" width="13.140625" style="953" customWidth="1"/>
    <col min="10503" max="10503" width="10.140625" style="953" customWidth="1"/>
    <col min="10504" max="10504" width="7.7109375" style="953" customWidth="1"/>
    <col min="10505" max="10505" width="11" style="953" customWidth="1"/>
    <col min="10506" max="10506" width="14.5703125" style="953" customWidth="1"/>
    <col min="10507" max="10507" width="7.7109375" style="953" customWidth="1"/>
    <col min="10508" max="10508" width="11.42578125" style="953" customWidth="1"/>
    <col min="10509" max="10509" width="10.42578125" style="953" customWidth="1"/>
    <col min="10510" max="10510" width="5.7109375" style="953" customWidth="1"/>
    <col min="10511" max="10511" width="7" style="953" customWidth="1"/>
    <col min="10512" max="10512" width="29.140625" style="953" customWidth="1"/>
    <col min="10513" max="10517" width="9.140625" style="953"/>
    <col min="10518" max="10518" width="0" style="953" hidden="1" customWidth="1"/>
    <col min="10519" max="10752" width="9.140625" style="953"/>
    <col min="10753" max="10753" width="9.28515625" style="953" customWidth="1"/>
    <col min="10754" max="10754" width="20" style="953" customWidth="1"/>
    <col min="10755" max="10755" width="20.42578125" style="953" customWidth="1"/>
    <col min="10756" max="10756" width="20.28515625" style="953" customWidth="1"/>
    <col min="10757" max="10757" width="12.42578125" style="953" customWidth="1"/>
    <col min="10758" max="10758" width="13.140625" style="953" customWidth="1"/>
    <col min="10759" max="10759" width="10.140625" style="953" customWidth="1"/>
    <col min="10760" max="10760" width="7.7109375" style="953" customWidth="1"/>
    <col min="10761" max="10761" width="11" style="953" customWidth="1"/>
    <col min="10762" max="10762" width="14.5703125" style="953" customWidth="1"/>
    <col min="10763" max="10763" width="7.7109375" style="953" customWidth="1"/>
    <col min="10764" max="10764" width="11.42578125" style="953" customWidth="1"/>
    <col min="10765" max="10765" width="10.42578125" style="953" customWidth="1"/>
    <col min="10766" max="10766" width="5.7109375" style="953" customWidth="1"/>
    <col min="10767" max="10767" width="7" style="953" customWidth="1"/>
    <col min="10768" max="10768" width="29.140625" style="953" customWidth="1"/>
    <col min="10769" max="10773" width="9.140625" style="953"/>
    <col min="10774" max="10774" width="0" style="953" hidden="1" customWidth="1"/>
    <col min="10775" max="11008" width="9.140625" style="953"/>
    <col min="11009" max="11009" width="9.28515625" style="953" customWidth="1"/>
    <col min="11010" max="11010" width="20" style="953" customWidth="1"/>
    <col min="11011" max="11011" width="20.42578125" style="953" customWidth="1"/>
    <col min="11012" max="11012" width="20.28515625" style="953" customWidth="1"/>
    <col min="11013" max="11013" width="12.42578125" style="953" customWidth="1"/>
    <col min="11014" max="11014" width="13.140625" style="953" customWidth="1"/>
    <col min="11015" max="11015" width="10.140625" style="953" customWidth="1"/>
    <col min="11016" max="11016" width="7.7109375" style="953" customWidth="1"/>
    <col min="11017" max="11017" width="11" style="953" customWidth="1"/>
    <col min="11018" max="11018" width="14.5703125" style="953" customWidth="1"/>
    <col min="11019" max="11019" width="7.7109375" style="953" customWidth="1"/>
    <col min="11020" max="11020" width="11.42578125" style="953" customWidth="1"/>
    <col min="11021" max="11021" width="10.42578125" style="953" customWidth="1"/>
    <col min="11022" max="11022" width="5.7109375" style="953" customWidth="1"/>
    <col min="11023" max="11023" width="7" style="953" customWidth="1"/>
    <col min="11024" max="11024" width="29.140625" style="953" customWidth="1"/>
    <col min="11025" max="11029" width="9.140625" style="953"/>
    <col min="11030" max="11030" width="0" style="953" hidden="1" customWidth="1"/>
    <col min="11031" max="11264" width="9.140625" style="953"/>
    <col min="11265" max="11265" width="9.28515625" style="953" customWidth="1"/>
    <col min="11266" max="11266" width="20" style="953" customWidth="1"/>
    <col min="11267" max="11267" width="20.42578125" style="953" customWidth="1"/>
    <col min="11268" max="11268" width="20.28515625" style="953" customWidth="1"/>
    <col min="11269" max="11269" width="12.42578125" style="953" customWidth="1"/>
    <col min="11270" max="11270" width="13.140625" style="953" customWidth="1"/>
    <col min="11271" max="11271" width="10.140625" style="953" customWidth="1"/>
    <col min="11272" max="11272" width="7.7109375" style="953" customWidth="1"/>
    <col min="11273" max="11273" width="11" style="953" customWidth="1"/>
    <col min="11274" max="11274" width="14.5703125" style="953" customWidth="1"/>
    <col min="11275" max="11275" width="7.7109375" style="953" customWidth="1"/>
    <col min="11276" max="11276" width="11.42578125" style="953" customWidth="1"/>
    <col min="11277" max="11277" width="10.42578125" style="953" customWidth="1"/>
    <col min="11278" max="11278" width="5.7109375" style="953" customWidth="1"/>
    <col min="11279" max="11279" width="7" style="953" customWidth="1"/>
    <col min="11280" max="11280" width="29.140625" style="953" customWidth="1"/>
    <col min="11281" max="11285" width="9.140625" style="953"/>
    <col min="11286" max="11286" width="0" style="953" hidden="1" customWidth="1"/>
    <col min="11287" max="11520" width="9.140625" style="953"/>
    <col min="11521" max="11521" width="9.28515625" style="953" customWidth="1"/>
    <col min="11522" max="11522" width="20" style="953" customWidth="1"/>
    <col min="11523" max="11523" width="20.42578125" style="953" customWidth="1"/>
    <col min="11524" max="11524" width="20.28515625" style="953" customWidth="1"/>
    <col min="11525" max="11525" width="12.42578125" style="953" customWidth="1"/>
    <col min="11526" max="11526" width="13.140625" style="953" customWidth="1"/>
    <col min="11527" max="11527" width="10.140625" style="953" customWidth="1"/>
    <col min="11528" max="11528" width="7.7109375" style="953" customWidth="1"/>
    <col min="11529" max="11529" width="11" style="953" customWidth="1"/>
    <col min="11530" max="11530" width="14.5703125" style="953" customWidth="1"/>
    <col min="11531" max="11531" width="7.7109375" style="953" customWidth="1"/>
    <col min="11532" max="11532" width="11.42578125" style="953" customWidth="1"/>
    <col min="11533" max="11533" width="10.42578125" style="953" customWidth="1"/>
    <col min="11534" max="11534" width="5.7109375" style="953" customWidth="1"/>
    <col min="11535" max="11535" width="7" style="953" customWidth="1"/>
    <col min="11536" max="11536" width="29.140625" style="953" customWidth="1"/>
    <col min="11537" max="11541" width="9.140625" style="953"/>
    <col min="11542" max="11542" width="0" style="953" hidden="1" customWidth="1"/>
    <col min="11543" max="11776" width="9.140625" style="953"/>
    <col min="11777" max="11777" width="9.28515625" style="953" customWidth="1"/>
    <col min="11778" max="11778" width="20" style="953" customWidth="1"/>
    <col min="11779" max="11779" width="20.42578125" style="953" customWidth="1"/>
    <col min="11780" max="11780" width="20.28515625" style="953" customWidth="1"/>
    <col min="11781" max="11781" width="12.42578125" style="953" customWidth="1"/>
    <col min="11782" max="11782" width="13.140625" style="953" customWidth="1"/>
    <col min="11783" max="11783" width="10.140625" style="953" customWidth="1"/>
    <col min="11784" max="11784" width="7.7109375" style="953" customWidth="1"/>
    <col min="11785" max="11785" width="11" style="953" customWidth="1"/>
    <col min="11786" max="11786" width="14.5703125" style="953" customWidth="1"/>
    <col min="11787" max="11787" width="7.7109375" style="953" customWidth="1"/>
    <col min="11788" max="11788" width="11.42578125" style="953" customWidth="1"/>
    <col min="11789" max="11789" width="10.42578125" style="953" customWidth="1"/>
    <col min="11790" max="11790" width="5.7109375" style="953" customWidth="1"/>
    <col min="11791" max="11791" width="7" style="953" customWidth="1"/>
    <col min="11792" max="11792" width="29.140625" style="953" customWidth="1"/>
    <col min="11793" max="11797" width="9.140625" style="953"/>
    <col min="11798" max="11798" width="0" style="953" hidden="1" customWidth="1"/>
    <col min="11799" max="12032" width="9.140625" style="953"/>
    <col min="12033" max="12033" width="9.28515625" style="953" customWidth="1"/>
    <col min="12034" max="12034" width="20" style="953" customWidth="1"/>
    <col min="12035" max="12035" width="20.42578125" style="953" customWidth="1"/>
    <col min="12036" max="12036" width="20.28515625" style="953" customWidth="1"/>
    <col min="12037" max="12037" width="12.42578125" style="953" customWidth="1"/>
    <col min="12038" max="12038" width="13.140625" style="953" customWidth="1"/>
    <col min="12039" max="12039" width="10.140625" style="953" customWidth="1"/>
    <col min="12040" max="12040" width="7.7109375" style="953" customWidth="1"/>
    <col min="12041" max="12041" width="11" style="953" customWidth="1"/>
    <col min="12042" max="12042" width="14.5703125" style="953" customWidth="1"/>
    <col min="12043" max="12043" width="7.7109375" style="953" customWidth="1"/>
    <col min="12044" max="12044" width="11.42578125" style="953" customWidth="1"/>
    <col min="12045" max="12045" width="10.42578125" style="953" customWidth="1"/>
    <col min="12046" max="12046" width="5.7109375" style="953" customWidth="1"/>
    <col min="12047" max="12047" width="7" style="953" customWidth="1"/>
    <col min="12048" max="12048" width="29.140625" style="953" customWidth="1"/>
    <col min="12049" max="12053" width="9.140625" style="953"/>
    <col min="12054" max="12054" width="0" style="953" hidden="1" customWidth="1"/>
    <col min="12055" max="12288" width="9.140625" style="953"/>
    <col min="12289" max="12289" width="9.28515625" style="953" customWidth="1"/>
    <col min="12290" max="12290" width="20" style="953" customWidth="1"/>
    <col min="12291" max="12291" width="20.42578125" style="953" customWidth="1"/>
    <col min="12292" max="12292" width="20.28515625" style="953" customWidth="1"/>
    <col min="12293" max="12293" width="12.42578125" style="953" customWidth="1"/>
    <col min="12294" max="12294" width="13.140625" style="953" customWidth="1"/>
    <col min="12295" max="12295" width="10.140625" style="953" customWidth="1"/>
    <col min="12296" max="12296" width="7.7109375" style="953" customWidth="1"/>
    <col min="12297" max="12297" width="11" style="953" customWidth="1"/>
    <col min="12298" max="12298" width="14.5703125" style="953" customWidth="1"/>
    <col min="12299" max="12299" width="7.7109375" style="953" customWidth="1"/>
    <col min="12300" max="12300" width="11.42578125" style="953" customWidth="1"/>
    <col min="12301" max="12301" width="10.42578125" style="953" customWidth="1"/>
    <col min="12302" max="12302" width="5.7109375" style="953" customWidth="1"/>
    <col min="12303" max="12303" width="7" style="953" customWidth="1"/>
    <col min="12304" max="12304" width="29.140625" style="953" customWidth="1"/>
    <col min="12305" max="12309" width="9.140625" style="953"/>
    <col min="12310" max="12310" width="0" style="953" hidden="1" customWidth="1"/>
    <col min="12311" max="12544" width="9.140625" style="953"/>
    <col min="12545" max="12545" width="9.28515625" style="953" customWidth="1"/>
    <col min="12546" max="12546" width="20" style="953" customWidth="1"/>
    <col min="12547" max="12547" width="20.42578125" style="953" customWidth="1"/>
    <col min="12548" max="12548" width="20.28515625" style="953" customWidth="1"/>
    <col min="12549" max="12549" width="12.42578125" style="953" customWidth="1"/>
    <col min="12550" max="12550" width="13.140625" style="953" customWidth="1"/>
    <col min="12551" max="12551" width="10.140625" style="953" customWidth="1"/>
    <col min="12552" max="12552" width="7.7109375" style="953" customWidth="1"/>
    <col min="12553" max="12553" width="11" style="953" customWidth="1"/>
    <col min="12554" max="12554" width="14.5703125" style="953" customWidth="1"/>
    <col min="12555" max="12555" width="7.7109375" style="953" customWidth="1"/>
    <col min="12556" max="12556" width="11.42578125" style="953" customWidth="1"/>
    <col min="12557" max="12557" width="10.42578125" style="953" customWidth="1"/>
    <col min="12558" max="12558" width="5.7109375" style="953" customWidth="1"/>
    <col min="12559" max="12559" width="7" style="953" customWidth="1"/>
    <col min="12560" max="12560" width="29.140625" style="953" customWidth="1"/>
    <col min="12561" max="12565" width="9.140625" style="953"/>
    <col min="12566" max="12566" width="0" style="953" hidden="1" customWidth="1"/>
    <col min="12567" max="12800" width="9.140625" style="953"/>
    <col min="12801" max="12801" width="9.28515625" style="953" customWidth="1"/>
    <col min="12802" max="12802" width="20" style="953" customWidth="1"/>
    <col min="12803" max="12803" width="20.42578125" style="953" customWidth="1"/>
    <col min="12804" max="12804" width="20.28515625" style="953" customWidth="1"/>
    <col min="12805" max="12805" width="12.42578125" style="953" customWidth="1"/>
    <col min="12806" max="12806" width="13.140625" style="953" customWidth="1"/>
    <col min="12807" max="12807" width="10.140625" style="953" customWidth="1"/>
    <col min="12808" max="12808" width="7.7109375" style="953" customWidth="1"/>
    <col min="12809" max="12809" width="11" style="953" customWidth="1"/>
    <col min="12810" max="12810" width="14.5703125" style="953" customWidth="1"/>
    <col min="12811" max="12811" width="7.7109375" style="953" customWidth="1"/>
    <col min="12812" max="12812" width="11.42578125" style="953" customWidth="1"/>
    <col min="12813" max="12813" width="10.42578125" style="953" customWidth="1"/>
    <col min="12814" max="12814" width="5.7109375" style="953" customWidth="1"/>
    <col min="12815" max="12815" width="7" style="953" customWidth="1"/>
    <col min="12816" max="12816" width="29.140625" style="953" customWidth="1"/>
    <col min="12817" max="12821" width="9.140625" style="953"/>
    <col min="12822" max="12822" width="0" style="953" hidden="1" customWidth="1"/>
    <col min="12823" max="13056" width="9.140625" style="953"/>
    <col min="13057" max="13057" width="9.28515625" style="953" customWidth="1"/>
    <col min="13058" max="13058" width="20" style="953" customWidth="1"/>
    <col min="13059" max="13059" width="20.42578125" style="953" customWidth="1"/>
    <col min="13060" max="13060" width="20.28515625" style="953" customWidth="1"/>
    <col min="13061" max="13061" width="12.42578125" style="953" customWidth="1"/>
    <col min="13062" max="13062" width="13.140625" style="953" customWidth="1"/>
    <col min="13063" max="13063" width="10.140625" style="953" customWidth="1"/>
    <col min="13064" max="13064" width="7.7109375" style="953" customWidth="1"/>
    <col min="13065" max="13065" width="11" style="953" customWidth="1"/>
    <col min="13066" max="13066" width="14.5703125" style="953" customWidth="1"/>
    <col min="13067" max="13067" width="7.7109375" style="953" customWidth="1"/>
    <col min="13068" max="13068" width="11.42578125" style="953" customWidth="1"/>
    <col min="13069" max="13069" width="10.42578125" style="953" customWidth="1"/>
    <col min="13070" max="13070" width="5.7109375" style="953" customWidth="1"/>
    <col min="13071" max="13071" width="7" style="953" customWidth="1"/>
    <col min="13072" max="13072" width="29.140625" style="953" customWidth="1"/>
    <col min="13073" max="13077" width="9.140625" style="953"/>
    <col min="13078" max="13078" width="0" style="953" hidden="1" customWidth="1"/>
    <col min="13079" max="13312" width="9.140625" style="953"/>
    <col min="13313" max="13313" width="9.28515625" style="953" customWidth="1"/>
    <col min="13314" max="13314" width="20" style="953" customWidth="1"/>
    <col min="13315" max="13315" width="20.42578125" style="953" customWidth="1"/>
    <col min="13316" max="13316" width="20.28515625" style="953" customWidth="1"/>
    <col min="13317" max="13317" width="12.42578125" style="953" customWidth="1"/>
    <col min="13318" max="13318" width="13.140625" style="953" customWidth="1"/>
    <col min="13319" max="13319" width="10.140625" style="953" customWidth="1"/>
    <col min="13320" max="13320" width="7.7109375" style="953" customWidth="1"/>
    <col min="13321" max="13321" width="11" style="953" customWidth="1"/>
    <col min="13322" max="13322" width="14.5703125" style="953" customWidth="1"/>
    <col min="13323" max="13323" width="7.7109375" style="953" customWidth="1"/>
    <col min="13324" max="13324" width="11.42578125" style="953" customWidth="1"/>
    <col min="13325" max="13325" width="10.42578125" style="953" customWidth="1"/>
    <col min="13326" max="13326" width="5.7109375" style="953" customWidth="1"/>
    <col min="13327" max="13327" width="7" style="953" customWidth="1"/>
    <col min="13328" max="13328" width="29.140625" style="953" customWidth="1"/>
    <col min="13329" max="13333" width="9.140625" style="953"/>
    <col min="13334" max="13334" width="0" style="953" hidden="1" customWidth="1"/>
    <col min="13335" max="13568" width="9.140625" style="953"/>
    <col min="13569" max="13569" width="9.28515625" style="953" customWidth="1"/>
    <col min="13570" max="13570" width="20" style="953" customWidth="1"/>
    <col min="13571" max="13571" width="20.42578125" style="953" customWidth="1"/>
    <col min="13572" max="13572" width="20.28515625" style="953" customWidth="1"/>
    <col min="13573" max="13573" width="12.42578125" style="953" customWidth="1"/>
    <col min="13574" max="13574" width="13.140625" style="953" customWidth="1"/>
    <col min="13575" max="13575" width="10.140625" style="953" customWidth="1"/>
    <col min="13576" max="13576" width="7.7109375" style="953" customWidth="1"/>
    <col min="13577" max="13577" width="11" style="953" customWidth="1"/>
    <col min="13578" max="13578" width="14.5703125" style="953" customWidth="1"/>
    <col min="13579" max="13579" width="7.7109375" style="953" customWidth="1"/>
    <col min="13580" max="13580" width="11.42578125" style="953" customWidth="1"/>
    <col min="13581" max="13581" width="10.42578125" style="953" customWidth="1"/>
    <col min="13582" max="13582" width="5.7109375" style="953" customWidth="1"/>
    <col min="13583" max="13583" width="7" style="953" customWidth="1"/>
    <col min="13584" max="13584" width="29.140625" style="953" customWidth="1"/>
    <col min="13585" max="13589" width="9.140625" style="953"/>
    <col min="13590" max="13590" width="0" style="953" hidden="1" customWidth="1"/>
    <col min="13591" max="13824" width="9.140625" style="953"/>
    <col min="13825" max="13825" width="9.28515625" style="953" customWidth="1"/>
    <col min="13826" max="13826" width="20" style="953" customWidth="1"/>
    <col min="13827" max="13827" width="20.42578125" style="953" customWidth="1"/>
    <col min="13828" max="13828" width="20.28515625" style="953" customWidth="1"/>
    <col min="13829" max="13829" width="12.42578125" style="953" customWidth="1"/>
    <col min="13830" max="13830" width="13.140625" style="953" customWidth="1"/>
    <col min="13831" max="13831" width="10.140625" style="953" customWidth="1"/>
    <col min="13832" max="13832" width="7.7109375" style="953" customWidth="1"/>
    <col min="13833" max="13833" width="11" style="953" customWidth="1"/>
    <col min="13834" max="13834" width="14.5703125" style="953" customWidth="1"/>
    <col min="13835" max="13835" width="7.7109375" style="953" customWidth="1"/>
    <col min="13836" max="13836" width="11.42578125" style="953" customWidth="1"/>
    <col min="13837" max="13837" width="10.42578125" style="953" customWidth="1"/>
    <col min="13838" max="13838" width="5.7109375" style="953" customWidth="1"/>
    <col min="13839" max="13839" width="7" style="953" customWidth="1"/>
    <col min="13840" max="13840" width="29.140625" style="953" customWidth="1"/>
    <col min="13841" max="13845" width="9.140625" style="953"/>
    <col min="13846" max="13846" width="0" style="953" hidden="1" customWidth="1"/>
    <col min="13847" max="14080" width="9.140625" style="953"/>
    <col min="14081" max="14081" width="9.28515625" style="953" customWidth="1"/>
    <col min="14082" max="14082" width="20" style="953" customWidth="1"/>
    <col min="14083" max="14083" width="20.42578125" style="953" customWidth="1"/>
    <col min="14084" max="14084" width="20.28515625" style="953" customWidth="1"/>
    <col min="14085" max="14085" width="12.42578125" style="953" customWidth="1"/>
    <col min="14086" max="14086" width="13.140625" style="953" customWidth="1"/>
    <col min="14087" max="14087" width="10.140625" style="953" customWidth="1"/>
    <col min="14088" max="14088" width="7.7109375" style="953" customWidth="1"/>
    <col min="14089" max="14089" width="11" style="953" customWidth="1"/>
    <col min="14090" max="14090" width="14.5703125" style="953" customWidth="1"/>
    <col min="14091" max="14091" width="7.7109375" style="953" customWidth="1"/>
    <col min="14092" max="14092" width="11.42578125" style="953" customWidth="1"/>
    <col min="14093" max="14093" width="10.42578125" style="953" customWidth="1"/>
    <col min="14094" max="14094" width="5.7109375" style="953" customWidth="1"/>
    <col min="14095" max="14095" width="7" style="953" customWidth="1"/>
    <col min="14096" max="14096" width="29.140625" style="953" customWidth="1"/>
    <col min="14097" max="14101" width="9.140625" style="953"/>
    <col min="14102" max="14102" width="0" style="953" hidden="1" customWidth="1"/>
    <col min="14103" max="14336" width="9.140625" style="953"/>
    <col min="14337" max="14337" width="9.28515625" style="953" customWidth="1"/>
    <col min="14338" max="14338" width="20" style="953" customWidth="1"/>
    <col min="14339" max="14339" width="20.42578125" style="953" customWidth="1"/>
    <col min="14340" max="14340" width="20.28515625" style="953" customWidth="1"/>
    <col min="14341" max="14341" width="12.42578125" style="953" customWidth="1"/>
    <col min="14342" max="14342" width="13.140625" style="953" customWidth="1"/>
    <col min="14343" max="14343" width="10.140625" style="953" customWidth="1"/>
    <col min="14344" max="14344" width="7.7109375" style="953" customWidth="1"/>
    <col min="14345" max="14345" width="11" style="953" customWidth="1"/>
    <col min="14346" max="14346" width="14.5703125" style="953" customWidth="1"/>
    <col min="14347" max="14347" width="7.7109375" style="953" customWidth="1"/>
    <col min="14348" max="14348" width="11.42578125" style="953" customWidth="1"/>
    <col min="14349" max="14349" width="10.42578125" style="953" customWidth="1"/>
    <col min="14350" max="14350" width="5.7109375" style="953" customWidth="1"/>
    <col min="14351" max="14351" width="7" style="953" customWidth="1"/>
    <col min="14352" max="14352" width="29.140625" style="953" customWidth="1"/>
    <col min="14353" max="14357" width="9.140625" style="953"/>
    <col min="14358" max="14358" width="0" style="953" hidden="1" customWidth="1"/>
    <col min="14359" max="14592" width="9.140625" style="953"/>
    <col min="14593" max="14593" width="9.28515625" style="953" customWidth="1"/>
    <col min="14594" max="14594" width="20" style="953" customWidth="1"/>
    <col min="14595" max="14595" width="20.42578125" style="953" customWidth="1"/>
    <col min="14596" max="14596" width="20.28515625" style="953" customWidth="1"/>
    <col min="14597" max="14597" width="12.42578125" style="953" customWidth="1"/>
    <col min="14598" max="14598" width="13.140625" style="953" customWidth="1"/>
    <col min="14599" max="14599" width="10.140625" style="953" customWidth="1"/>
    <col min="14600" max="14600" width="7.7109375" style="953" customWidth="1"/>
    <col min="14601" max="14601" width="11" style="953" customWidth="1"/>
    <col min="14602" max="14602" width="14.5703125" style="953" customWidth="1"/>
    <col min="14603" max="14603" width="7.7109375" style="953" customWidth="1"/>
    <col min="14604" max="14604" width="11.42578125" style="953" customWidth="1"/>
    <col min="14605" max="14605" width="10.42578125" style="953" customWidth="1"/>
    <col min="14606" max="14606" width="5.7109375" style="953" customWidth="1"/>
    <col min="14607" max="14607" width="7" style="953" customWidth="1"/>
    <col min="14608" max="14608" width="29.140625" style="953" customWidth="1"/>
    <col min="14609" max="14613" width="9.140625" style="953"/>
    <col min="14614" max="14614" width="0" style="953" hidden="1" customWidth="1"/>
    <col min="14615" max="14848" width="9.140625" style="953"/>
    <col min="14849" max="14849" width="9.28515625" style="953" customWidth="1"/>
    <col min="14850" max="14850" width="20" style="953" customWidth="1"/>
    <col min="14851" max="14851" width="20.42578125" style="953" customWidth="1"/>
    <col min="14852" max="14852" width="20.28515625" style="953" customWidth="1"/>
    <col min="14853" max="14853" width="12.42578125" style="953" customWidth="1"/>
    <col min="14854" max="14854" width="13.140625" style="953" customWidth="1"/>
    <col min="14855" max="14855" width="10.140625" style="953" customWidth="1"/>
    <col min="14856" max="14856" width="7.7109375" style="953" customWidth="1"/>
    <col min="14857" max="14857" width="11" style="953" customWidth="1"/>
    <col min="14858" max="14858" width="14.5703125" style="953" customWidth="1"/>
    <col min="14859" max="14859" width="7.7109375" style="953" customWidth="1"/>
    <col min="14860" max="14860" width="11.42578125" style="953" customWidth="1"/>
    <col min="14861" max="14861" width="10.42578125" style="953" customWidth="1"/>
    <col min="14862" max="14862" width="5.7109375" style="953" customWidth="1"/>
    <col min="14863" max="14863" width="7" style="953" customWidth="1"/>
    <col min="14864" max="14864" width="29.140625" style="953" customWidth="1"/>
    <col min="14865" max="14869" width="9.140625" style="953"/>
    <col min="14870" max="14870" width="0" style="953" hidden="1" customWidth="1"/>
    <col min="14871" max="15104" width="9.140625" style="953"/>
    <col min="15105" max="15105" width="9.28515625" style="953" customWidth="1"/>
    <col min="15106" max="15106" width="20" style="953" customWidth="1"/>
    <col min="15107" max="15107" width="20.42578125" style="953" customWidth="1"/>
    <col min="15108" max="15108" width="20.28515625" style="953" customWidth="1"/>
    <col min="15109" max="15109" width="12.42578125" style="953" customWidth="1"/>
    <col min="15110" max="15110" width="13.140625" style="953" customWidth="1"/>
    <col min="15111" max="15111" width="10.140625" style="953" customWidth="1"/>
    <col min="15112" max="15112" width="7.7109375" style="953" customWidth="1"/>
    <col min="15113" max="15113" width="11" style="953" customWidth="1"/>
    <col min="15114" max="15114" width="14.5703125" style="953" customWidth="1"/>
    <col min="15115" max="15115" width="7.7109375" style="953" customWidth="1"/>
    <col min="15116" max="15116" width="11.42578125" style="953" customWidth="1"/>
    <col min="15117" max="15117" width="10.42578125" style="953" customWidth="1"/>
    <col min="15118" max="15118" width="5.7109375" style="953" customWidth="1"/>
    <col min="15119" max="15119" width="7" style="953" customWidth="1"/>
    <col min="15120" max="15120" width="29.140625" style="953" customWidth="1"/>
    <col min="15121" max="15125" width="9.140625" style="953"/>
    <col min="15126" max="15126" width="0" style="953" hidden="1" customWidth="1"/>
    <col min="15127" max="15360" width="9.140625" style="953"/>
    <col min="15361" max="15361" width="9.28515625" style="953" customWidth="1"/>
    <col min="15362" max="15362" width="20" style="953" customWidth="1"/>
    <col min="15363" max="15363" width="20.42578125" style="953" customWidth="1"/>
    <col min="15364" max="15364" width="20.28515625" style="953" customWidth="1"/>
    <col min="15365" max="15365" width="12.42578125" style="953" customWidth="1"/>
    <col min="15366" max="15366" width="13.140625" style="953" customWidth="1"/>
    <col min="15367" max="15367" width="10.140625" style="953" customWidth="1"/>
    <col min="15368" max="15368" width="7.7109375" style="953" customWidth="1"/>
    <col min="15369" max="15369" width="11" style="953" customWidth="1"/>
    <col min="15370" max="15370" width="14.5703125" style="953" customWidth="1"/>
    <col min="15371" max="15371" width="7.7109375" style="953" customWidth="1"/>
    <col min="15372" max="15372" width="11.42578125" style="953" customWidth="1"/>
    <col min="15373" max="15373" width="10.42578125" style="953" customWidth="1"/>
    <col min="15374" max="15374" width="5.7109375" style="953" customWidth="1"/>
    <col min="15375" max="15375" width="7" style="953" customWidth="1"/>
    <col min="15376" max="15376" width="29.140625" style="953" customWidth="1"/>
    <col min="15377" max="15381" width="9.140625" style="953"/>
    <col min="15382" max="15382" width="0" style="953" hidden="1" customWidth="1"/>
    <col min="15383" max="15616" width="9.140625" style="953"/>
    <col min="15617" max="15617" width="9.28515625" style="953" customWidth="1"/>
    <col min="15618" max="15618" width="20" style="953" customWidth="1"/>
    <col min="15619" max="15619" width="20.42578125" style="953" customWidth="1"/>
    <col min="15620" max="15620" width="20.28515625" style="953" customWidth="1"/>
    <col min="15621" max="15621" width="12.42578125" style="953" customWidth="1"/>
    <col min="15622" max="15622" width="13.140625" style="953" customWidth="1"/>
    <col min="15623" max="15623" width="10.140625" style="953" customWidth="1"/>
    <col min="15624" max="15624" width="7.7109375" style="953" customWidth="1"/>
    <col min="15625" max="15625" width="11" style="953" customWidth="1"/>
    <col min="15626" max="15626" width="14.5703125" style="953" customWidth="1"/>
    <col min="15627" max="15627" width="7.7109375" style="953" customWidth="1"/>
    <col min="15628" max="15628" width="11.42578125" style="953" customWidth="1"/>
    <col min="15629" max="15629" width="10.42578125" style="953" customWidth="1"/>
    <col min="15630" max="15630" width="5.7109375" style="953" customWidth="1"/>
    <col min="15631" max="15631" width="7" style="953" customWidth="1"/>
    <col min="15632" max="15632" width="29.140625" style="953" customWidth="1"/>
    <col min="15633" max="15637" width="9.140625" style="953"/>
    <col min="15638" max="15638" width="0" style="953" hidden="1" customWidth="1"/>
    <col min="15639" max="15872" width="9.140625" style="953"/>
    <col min="15873" max="15873" width="9.28515625" style="953" customWidth="1"/>
    <col min="15874" max="15874" width="20" style="953" customWidth="1"/>
    <col min="15875" max="15875" width="20.42578125" style="953" customWidth="1"/>
    <col min="15876" max="15876" width="20.28515625" style="953" customWidth="1"/>
    <col min="15877" max="15877" width="12.42578125" style="953" customWidth="1"/>
    <col min="15878" max="15878" width="13.140625" style="953" customWidth="1"/>
    <col min="15879" max="15879" width="10.140625" style="953" customWidth="1"/>
    <col min="15880" max="15880" width="7.7109375" style="953" customWidth="1"/>
    <col min="15881" max="15881" width="11" style="953" customWidth="1"/>
    <col min="15882" max="15882" width="14.5703125" style="953" customWidth="1"/>
    <col min="15883" max="15883" width="7.7109375" style="953" customWidth="1"/>
    <col min="15884" max="15884" width="11.42578125" style="953" customWidth="1"/>
    <col min="15885" max="15885" width="10.42578125" style="953" customWidth="1"/>
    <col min="15886" max="15886" width="5.7109375" style="953" customWidth="1"/>
    <col min="15887" max="15887" width="7" style="953" customWidth="1"/>
    <col min="15888" max="15888" width="29.140625" style="953" customWidth="1"/>
    <col min="15889" max="15893" width="9.140625" style="953"/>
    <col min="15894" max="15894" width="0" style="953" hidden="1" customWidth="1"/>
    <col min="15895" max="16128" width="9.140625" style="953"/>
    <col min="16129" max="16129" width="9.28515625" style="953" customWidth="1"/>
    <col min="16130" max="16130" width="20" style="953" customWidth="1"/>
    <col min="16131" max="16131" width="20.42578125" style="953" customWidth="1"/>
    <col min="16132" max="16132" width="20.28515625" style="953" customWidth="1"/>
    <col min="16133" max="16133" width="12.42578125" style="953" customWidth="1"/>
    <col min="16134" max="16134" width="13.140625" style="953" customWidth="1"/>
    <col min="16135" max="16135" width="10.140625" style="953" customWidth="1"/>
    <col min="16136" max="16136" width="7.7109375" style="953" customWidth="1"/>
    <col min="16137" max="16137" width="11" style="953" customWidth="1"/>
    <col min="16138" max="16138" width="14.5703125" style="953" customWidth="1"/>
    <col min="16139" max="16139" width="7.7109375" style="953" customWidth="1"/>
    <col min="16140" max="16140" width="11.42578125" style="953" customWidth="1"/>
    <col min="16141" max="16141" width="10.42578125" style="953" customWidth="1"/>
    <col min="16142" max="16142" width="5.7109375" style="953" customWidth="1"/>
    <col min="16143" max="16143" width="7" style="953" customWidth="1"/>
    <col min="16144" max="16144" width="29.140625" style="953" customWidth="1"/>
    <col min="16145" max="16149" width="9.140625" style="953"/>
    <col min="16150" max="16150" width="0" style="953" hidden="1" customWidth="1"/>
    <col min="16151" max="16384" width="9.140625" style="953"/>
  </cols>
  <sheetData>
    <row r="1" spans="1:72" ht="26.25" customHeight="1">
      <c r="A1" s="1437" t="s">
        <v>1597</v>
      </c>
      <c r="B1" s="1438" t="s">
        <v>1598</v>
      </c>
      <c r="C1" s="1439"/>
      <c r="D1" s="1439"/>
      <c r="E1" s="1439"/>
      <c r="F1" s="1441"/>
      <c r="G1" s="1439"/>
      <c r="H1" s="1439"/>
      <c r="I1" s="1439"/>
      <c r="J1" s="1439"/>
    </row>
    <row r="2" spans="1:72" ht="26.25" customHeight="1">
      <c r="B2" s="1438" t="s">
        <v>1599</v>
      </c>
      <c r="C2" s="1439"/>
      <c r="D2" s="1439"/>
      <c r="E2" s="1439"/>
      <c r="F2" s="1441"/>
      <c r="G2" s="1439"/>
      <c r="H2" s="1439"/>
      <c r="I2" s="1439"/>
      <c r="J2" s="1439"/>
    </row>
    <row r="3" spans="1:72" ht="26.25" customHeight="1">
      <c r="B3" s="1440" t="s">
        <v>409</v>
      </c>
      <c r="C3" s="1440">
        <f>'Project Info'!$C$3</f>
        <v>0</v>
      </c>
      <c r="D3" s="1440"/>
      <c r="E3" s="1439"/>
      <c r="F3" s="1441"/>
      <c r="G3" s="1439"/>
      <c r="H3" s="1439"/>
      <c r="I3" s="1439"/>
      <c r="J3" s="1439"/>
    </row>
    <row r="4" spans="1:72" ht="26.25" customHeight="1">
      <c r="A4" s="1469"/>
      <c r="C4" s="1439"/>
      <c r="D4" s="1439"/>
      <c r="E4" s="1439"/>
      <c r="F4" s="1439"/>
      <c r="G4" s="1439"/>
      <c r="H4" s="1439"/>
      <c r="I4" s="1439"/>
      <c r="J4" s="1470"/>
      <c r="K4" s="1439"/>
      <c r="L4" s="1449"/>
      <c r="M4" s="1449"/>
      <c r="N4" s="1449"/>
      <c r="O4" s="1439"/>
    </row>
    <row r="5" spans="1:72" s="1476" customFormat="1" ht="15.75">
      <c r="A5" s="1442"/>
      <c r="B5" s="1471" t="s">
        <v>1862</v>
      </c>
      <c r="C5" s="1472"/>
      <c r="D5" s="1473"/>
      <c r="E5" s="1472"/>
      <c r="F5" s="1472"/>
      <c r="G5" s="1472"/>
      <c r="H5" s="1472"/>
      <c r="I5" s="1472"/>
      <c r="J5" s="1472"/>
      <c r="K5" s="1472"/>
      <c r="L5" s="1474"/>
      <c r="M5" s="2626" t="s">
        <v>1601</v>
      </c>
      <c r="N5" s="2627"/>
      <c r="O5" s="2628" t="s">
        <v>1602</v>
      </c>
      <c r="P5" s="2628"/>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c r="BO5" s="1475"/>
      <c r="BP5" s="1475"/>
      <c r="BQ5" s="1475"/>
      <c r="BR5" s="1475"/>
      <c r="BS5" s="1475"/>
      <c r="BT5" s="1475"/>
    </row>
    <row r="6" spans="1:72">
      <c r="B6" s="2629"/>
      <c r="C6" s="2630"/>
      <c r="D6" s="2631"/>
      <c r="E6" s="2631"/>
      <c r="F6" s="1449"/>
      <c r="G6" s="1449"/>
      <c r="H6" s="1449"/>
      <c r="I6" s="2618"/>
      <c r="J6" s="2618"/>
      <c r="K6" s="2605"/>
      <c r="L6" s="2605"/>
      <c r="M6" s="2632" t="s">
        <v>1603</v>
      </c>
      <c r="N6" s="2633"/>
      <c r="O6" s="2634"/>
      <c r="P6" s="2635"/>
    </row>
    <row r="7" spans="1:72">
      <c r="B7" s="2629" t="s">
        <v>1604</v>
      </c>
      <c r="C7" s="2630"/>
      <c r="D7" s="2631"/>
      <c r="E7" s="2631"/>
      <c r="F7" s="1449"/>
      <c r="G7" s="1449"/>
      <c r="H7" s="1449"/>
      <c r="I7" s="2618"/>
      <c r="J7" s="2618"/>
      <c r="K7" s="2605"/>
      <c r="L7" s="2605"/>
      <c r="M7" s="2636"/>
      <c r="N7" s="2637"/>
      <c r="O7" s="2625"/>
      <c r="P7" s="2625"/>
    </row>
    <row r="8" spans="1:72" ht="26.25" customHeight="1">
      <c r="A8" s="1457"/>
      <c r="B8" s="2619" t="s">
        <v>1637</v>
      </c>
      <c r="C8" s="2619"/>
      <c r="D8" s="2619"/>
      <c r="E8" s="2619"/>
      <c r="F8" s="2619"/>
      <c r="G8" s="2619"/>
      <c r="H8" s="2619"/>
      <c r="I8" s="2619"/>
      <c r="J8" s="2619"/>
      <c r="K8" s="2605"/>
      <c r="L8" s="2605"/>
      <c r="M8" s="2624"/>
      <c r="N8" s="2624"/>
      <c r="O8" s="2625"/>
      <c r="P8" s="2625"/>
    </row>
    <row r="9" spans="1:72" ht="26.25" customHeight="1">
      <c r="A9" s="1457"/>
      <c r="B9" s="2619" t="s">
        <v>1638</v>
      </c>
      <c r="C9" s="2619"/>
      <c r="D9" s="2619"/>
      <c r="E9" s="2619"/>
      <c r="F9" s="2619"/>
      <c r="G9" s="2619"/>
      <c r="H9" s="2619"/>
      <c r="I9" s="2619"/>
      <c r="J9" s="2619"/>
      <c r="K9" s="2605"/>
      <c r="L9" s="2605"/>
      <c r="M9" s="2623"/>
      <c r="N9" s="2623"/>
      <c r="O9" s="2605"/>
      <c r="P9" s="2605"/>
    </row>
    <row r="10" spans="1:72" ht="12.75" customHeight="1">
      <c r="A10" s="1457"/>
      <c r="B10" s="2619" t="s">
        <v>1639</v>
      </c>
      <c r="C10" s="2619"/>
      <c r="D10" s="2619"/>
      <c r="E10" s="2619"/>
      <c r="F10" s="2619"/>
      <c r="G10" s="2619"/>
      <c r="H10" s="2619"/>
      <c r="I10" s="2619"/>
      <c r="J10" s="2619"/>
      <c r="K10" s="2605"/>
      <c r="L10" s="2605"/>
      <c r="M10" s="2605"/>
      <c r="N10" s="2605"/>
      <c r="O10" s="2605"/>
      <c r="P10" s="2605"/>
      <c r="Q10" s="1457"/>
    </row>
    <row r="11" spans="1:72" ht="26.25" customHeight="1">
      <c r="A11" s="1457"/>
      <c r="B11" s="2619" t="s">
        <v>1640</v>
      </c>
      <c r="C11" s="2619"/>
      <c r="D11" s="2619"/>
      <c r="E11" s="2619"/>
      <c r="F11" s="2619"/>
      <c r="G11" s="2619"/>
      <c r="H11" s="2619"/>
      <c r="I11" s="2619"/>
      <c r="J11" s="2619"/>
      <c r="K11" s="2605"/>
      <c r="L11" s="2605"/>
      <c r="M11" s="2605"/>
      <c r="N11" s="2605"/>
      <c r="O11" s="2605"/>
      <c r="P11" s="2605"/>
      <c r="Q11" s="1457"/>
    </row>
    <row r="12" spans="1:72" ht="27" customHeight="1">
      <c r="A12" s="1457"/>
      <c r="B12" s="2585" t="s">
        <v>1641</v>
      </c>
      <c r="C12" s="2585"/>
      <c r="D12" s="2585"/>
      <c r="E12" s="2585"/>
      <c r="F12" s="2585"/>
      <c r="G12" s="2585"/>
      <c r="H12" s="2585"/>
      <c r="I12" s="2585"/>
      <c r="J12" s="2585"/>
      <c r="K12" s="2605"/>
      <c r="L12" s="2605"/>
      <c r="M12" s="2605"/>
      <c r="N12" s="2605"/>
      <c r="O12" s="2605"/>
      <c r="P12" s="2605"/>
      <c r="Q12" s="1457"/>
    </row>
    <row r="13" spans="1:72" ht="12.75" customHeight="1">
      <c r="A13" s="1457"/>
      <c r="B13" s="2620"/>
      <c r="C13" s="2621"/>
      <c r="D13" s="2622"/>
      <c r="E13" s="2622"/>
      <c r="F13" s="1449"/>
      <c r="G13" s="1449"/>
      <c r="H13" s="1449"/>
      <c r="I13" s="2618"/>
      <c r="J13" s="2618"/>
      <c r="K13" s="2605"/>
      <c r="L13" s="2605"/>
      <c r="M13" s="2605"/>
      <c r="N13" s="2605"/>
      <c r="O13" s="2605"/>
      <c r="P13" s="2605"/>
      <c r="Q13" s="1457"/>
    </row>
    <row r="14" spans="1:72">
      <c r="A14" s="1457"/>
      <c r="B14" s="1451" t="s">
        <v>1607</v>
      </c>
      <c r="C14" s="1449"/>
      <c r="D14" s="1449"/>
      <c r="E14" s="1449"/>
      <c r="F14" s="1449"/>
      <c r="G14" s="1449"/>
      <c r="H14" s="1449"/>
      <c r="I14" s="2618"/>
      <c r="J14" s="2618"/>
      <c r="K14" s="2605"/>
      <c r="L14" s="2605"/>
      <c r="M14" s="1449"/>
      <c r="N14" s="1449"/>
      <c r="O14" s="1449"/>
      <c r="P14" s="1457"/>
    </row>
    <row r="15" spans="1:72">
      <c r="A15" s="1457"/>
      <c r="B15" s="1455" t="s">
        <v>1642</v>
      </c>
      <c r="C15" s="1449"/>
      <c r="D15" s="1449"/>
      <c r="E15" s="1449"/>
      <c r="F15" s="1449"/>
      <c r="G15" s="1449"/>
      <c r="H15" s="1449"/>
      <c r="I15" s="1449"/>
      <c r="J15" s="1449"/>
      <c r="K15" s="1449"/>
      <c r="L15" s="1449"/>
      <c r="M15" s="1449"/>
      <c r="N15" s="1449"/>
      <c r="O15" s="1449"/>
      <c r="P15" s="1457"/>
    </row>
    <row r="16" spans="1:72">
      <c r="A16" s="1457"/>
      <c r="B16" s="1455" t="s">
        <v>1643</v>
      </c>
      <c r="C16" s="1449"/>
      <c r="D16" s="1449"/>
      <c r="E16" s="1449"/>
      <c r="F16" s="1449"/>
      <c r="G16" s="1449"/>
      <c r="H16" s="1449"/>
      <c r="I16" s="1449"/>
      <c r="J16" s="1449"/>
      <c r="K16" s="1449"/>
      <c r="L16" s="1449"/>
      <c r="M16" s="1449"/>
      <c r="N16" s="1449"/>
      <c r="O16" s="1449"/>
      <c r="P16" s="1457"/>
    </row>
    <row r="17" spans="1:17">
      <c r="A17" s="1457"/>
      <c r="B17" s="1449"/>
      <c r="C17" s="1449"/>
      <c r="D17" s="1449"/>
      <c r="E17" s="1449"/>
      <c r="F17" s="1449"/>
      <c r="G17" s="1449"/>
      <c r="H17" s="1449"/>
      <c r="I17" s="1449"/>
      <c r="J17" s="1449"/>
      <c r="K17" s="1449"/>
      <c r="L17" s="1449"/>
      <c r="M17" s="1449"/>
      <c r="N17" s="1449"/>
      <c r="O17" s="1449"/>
      <c r="P17" s="1457"/>
    </row>
    <row r="18" spans="1:17">
      <c r="A18" s="1457"/>
      <c r="B18" s="1454" t="s">
        <v>1611</v>
      </c>
      <c r="C18" s="1455"/>
      <c r="D18" s="1455"/>
      <c r="E18" s="1455"/>
      <c r="F18" s="1455"/>
      <c r="G18" s="1455"/>
      <c r="H18" s="1455"/>
      <c r="I18" s="1455"/>
      <c r="J18" s="1455"/>
      <c r="K18" s="1449"/>
      <c r="L18" s="1449"/>
      <c r="M18" s="1449"/>
      <c r="N18" s="1449"/>
      <c r="O18" s="1449"/>
      <c r="P18" s="1457"/>
    </row>
    <row r="19" spans="1:17">
      <c r="A19" s="1457"/>
      <c r="B19" s="1455" t="s">
        <v>1863</v>
      </c>
      <c r="C19" s="1455"/>
      <c r="D19" s="1455"/>
      <c r="E19" s="1455"/>
      <c r="F19" s="1455"/>
      <c r="G19" s="1455"/>
      <c r="H19" s="1455"/>
      <c r="I19" s="1455"/>
      <c r="J19" s="1455"/>
      <c r="K19" s="1449"/>
      <c r="L19" s="1449"/>
      <c r="M19" s="1449"/>
      <c r="N19" s="1449"/>
      <c r="O19" s="1449"/>
      <c r="P19" s="1457"/>
    </row>
    <row r="20" spans="1:17" ht="29.25" customHeight="1">
      <c r="A20" s="1457"/>
      <c r="B20" s="2584" t="s">
        <v>1864</v>
      </c>
      <c r="C20" s="2584"/>
      <c r="D20" s="2584"/>
      <c r="E20" s="2584"/>
      <c r="F20" s="2584"/>
      <c r="G20" s="2584"/>
      <c r="H20" s="2584"/>
      <c r="I20" s="2584"/>
      <c r="J20" s="2584"/>
      <c r="K20" s="1449"/>
      <c r="L20" s="1449"/>
      <c r="M20" s="1449"/>
      <c r="N20" s="1449"/>
      <c r="O20" s="1449"/>
      <c r="P20" s="1457"/>
    </row>
    <row r="21" spans="1:17" ht="27.75" customHeight="1">
      <c r="A21" s="1457"/>
      <c r="B21" s="2584" t="s">
        <v>1646</v>
      </c>
      <c r="C21" s="2584"/>
      <c r="D21" s="2584"/>
      <c r="E21" s="2584"/>
      <c r="F21" s="2584"/>
      <c r="G21" s="2584"/>
      <c r="H21" s="2584"/>
      <c r="I21" s="2584"/>
      <c r="J21" s="2584"/>
      <c r="K21" s="1449"/>
      <c r="L21" s="1449"/>
      <c r="M21" s="1449"/>
      <c r="N21" s="1449"/>
      <c r="O21" s="1449"/>
      <c r="P21" s="1457"/>
    </row>
    <row r="22" spans="1:17">
      <c r="A22" s="1457"/>
      <c r="B22" s="1455" t="s">
        <v>1865</v>
      </c>
      <c r="C22" s="1455"/>
      <c r="D22" s="1455"/>
      <c r="E22" s="1455"/>
      <c r="F22" s="1455"/>
      <c r="G22" s="1455"/>
      <c r="H22" s="1455"/>
      <c r="I22" s="1455"/>
      <c r="J22" s="1455"/>
      <c r="K22" s="1449"/>
      <c r="L22" s="1449"/>
      <c r="M22" s="1449"/>
      <c r="N22" s="1449"/>
      <c r="O22" s="1449"/>
      <c r="P22" s="1457"/>
    </row>
    <row r="23" spans="1:17" ht="35.25" customHeight="1">
      <c r="A23" s="1457"/>
      <c r="B23" s="2609" t="s">
        <v>1866</v>
      </c>
      <c r="C23" s="2609"/>
      <c r="D23" s="2609"/>
      <c r="E23" s="2609"/>
      <c r="F23" s="2609"/>
      <c r="G23" s="2609"/>
      <c r="H23" s="2609"/>
      <c r="I23" s="2609"/>
      <c r="J23" s="2609"/>
      <c r="K23" s="2609"/>
      <c r="L23" s="1449"/>
      <c r="M23" s="1449"/>
      <c r="N23" s="1449"/>
      <c r="O23" s="1449"/>
      <c r="P23" s="1457"/>
    </row>
    <row r="24" spans="1:17" ht="76.5" customHeight="1">
      <c r="B24" s="1477" t="s">
        <v>1651</v>
      </c>
      <c r="C24" s="1477" t="s">
        <v>1652</v>
      </c>
      <c r="D24" s="1477" t="s">
        <v>1624</v>
      </c>
      <c r="E24" s="1477" t="s">
        <v>1623</v>
      </c>
      <c r="F24" s="1478" t="s">
        <v>1621</v>
      </c>
      <c r="G24" s="1478" t="s">
        <v>1622</v>
      </c>
      <c r="H24" s="1478" t="s">
        <v>1653</v>
      </c>
      <c r="I24" s="1477" t="s">
        <v>1654</v>
      </c>
      <c r="J24" s="1477" t="s">
        <v>1655</v>
      </c>
      <c r="K24" s="1477" t="s">
        <v>1656</v>
      </c>
      <c r="L24" s="1479" t="s">
        <v>4</v>
      </c>
      <c r="M24" s="1459" t="s">
        <v>1627</v>
      </c>
      <c r="N24" s="1465" t="s">
        <v>1628</v>
      </c>
      <c r="O24" s="1465" t="s">
        <v>1629</v>
      </c>
      <c r="P24" s="1459" t="s">
        <v>1657</v>
      </c>
      <c r="Q24" s="1480"/>
    </row>
    <row r="25" spans="1:17">
      <c r="B25" s="1113"/>
      <c r="C25" s="1113"/>
      <c r="D25" s="1114"/>
      <c r="E25" s="1114"/>
      <c r="F25" s="1114"/>
      <c r="G25" s="1113"/>
      <c r="H25" s="1114"/>
      <c r="I25" s="1114"/>
      <c r="J25" s="1115"/>
      <c r="K25" s="1116"/>
      <c r="L25" s="1114"/>
      <c r="M25" s="1114"/>
      <c r="N25" s="1117"/>
      <c r="O25" s="1118"/>
      <c r="P25" s="1266"/>
    </row>
    <row r="26" spans="1:17">
      <c r="B26" s="1114"/>
      <c r="C26" s="1113"/>
      <c r="D26" s="1114"/>
      <c r="E26" s="1114"/>
      <c r="F26" s="1114"/>
      <c r="G26" s="1113"/>
      <c r="H26" s="1119"/>
      <c r="I26" s="1119"/>
      <c r="J26" s="1115"/>
      <c r="K26" s="1116"/>
      <c r="L26" s="1114"/>
      <c r="M26" s="1114"/>
      <c r="N26" s="1117"/>
      <c r="O26" s="1118"/>
      <c r="P26" s="1266"/>
    </row>
    <row r="27" spans="1:17">
      <c r="B27" s="1114"/>
      <c r="C27" s="1113"/>
      <c r="D27" s="1114"/>
      <c r="E27" s="1114"/>
      <c r="F27" s="1114"/>
      <c r="G27" s="1113"/>
      <c r="H27" s="1120"/>
      <c r="I27" s="1114"/>
      <c r="J27" s="1115"/>
      <c r="K27" s="1116"/>
      <c r="L27" s="1114"/>
      <c r="M27" s="1114"/>
      <c r="N27" s="1117"/>
      <c r="O27" s="1118"/>
      <c r="P27" s="1255"/>
    </row>
    <row r="28" spans="1:17">
      <c r="B28" s="1114"/>
      <c r="C28" s="1113"/>
      <c r="D28" s="1114"/>
      <c r="E28" s="1114"/>
      <c r="F28" s="1114"/>
      <c r="G28" s="1113"/>
      <c r="H28" s="1114"/>
      <c r="I28" s="1114"/>
      <c r="J28" s="1114"/>
      <c r="K28" s="1116"/>
      <c r="L28" s="1114"/>
      <c r="M28" s="1114"/>
      <c r="N28" s="1117"/>
      <c r="O28" s="1118"/>
      <c r="P28" s="1255"/>
    </row>
    <row r="29" spans="1:17">
      <c r="B29" s="1114"/>
      <c r="C29" s="1113"/>
      <c r="D29" s="1114"/>
      <c r="E29" s="1114"/>
      <c r="F29" s="1114"/>
      <c r="G29" s="1113"/>
      <c r="H29" s="1114"/>
      <c r="I29" s="1114"/>
      <c r="J29" s="1114"/>
      <c r="K29" s="1116"/>
      <c r="L29" s="1114"/>
      <c r="M29" s="1114"/>
      <c r="N29" s="1117"/>
      <c r="O29" s="1118"/>
      <c r="P29" s="1255"/>
    </row>
    <row r="30" spans="1:17">
      <c r="B30" s="1113"/>
      <c r="C30" s="1113"/>
      <c r="D30" s="1114"/>
      <c r="E30" s="1114"/>
      <c r="F30" s="1114"/>
      <c r="G30" s="1113"/>
      <c r="H30" s="1114"/>
      <c r="I30" s="1114"/>
      <c r="J30" s="1114"/>
      <c r="K30" s="1116"/>
      <c r="L30" s="1114"/>
      <c r="M30" s="1114"/>
      <c r="N30" s="1117"/>
      <c r="O30" s="1118"/>
      <c r="P30" s="1255"/>
    </row>
    <row r="31" spans="1:17">
      <c r="B31" s="1114"/>
      <c r="C31" s="1113"/>
      <c r="D31" s="1114"/>
      <c r="E31" s="1114"/>
      <c r="F31" s="1114"/>
      <c r="G31" s="1113"/>
      <c r="H31" s="1114"/>
      <c r="I31" s="1114"/>
      <c r="J31" s="1114"/>
      <c r="K31" s="1116"/>
      <c r="L31" s="1114"/>
      <c r="M31" s="1114"/>
      <c r="N31" s="1117"/>
      <c r="O31" s="1118"/>
      <c r="P31" s="1255"/>
    </row>
    <row r="32" spans="1:17">
      <c r="B32" s="1114"/>
      <c r="C32" s="1113"/>
      <c r="D32" s="1114"/>
      <c r="E32" s="1114"/>
      <c r="F32" s="1114"/>
      <c r="G32" s="1113"/>
      <c r="H32" s="1114"/>
      <c r="I32" s="1114"/>
      <c r="J32" s="1114"/>
      <c r="K32" s="1116"/>
      <c r="L32" s="1114"/>
      <c r="M32" s="1114"/>
      <c r="N32" s="1117"/>
      <c r="O32" s="1118"/>
      <c r="P32" s="1255"/>
    </row>
    <row r="33" spans="1:72">
      <c r="B33" s="1114"/>
      <c r="C33" s="1113"/>
      <c r="D33" s="1114"/>
      <c r="E33" s="1114"/>
      <c r="F33" s="1114"/>
      <c r="G33" s="1113"/>
      <c r="H33" s="1114"/>
      <c r="I33" s="1114"/>
      <c r="J33" s="1114"/>
      <c r="K33" s="1116"/>
      <c r="L33" s="1114"/>
      <c r="M33" s="1114"/>
      <c r="N33" s="1117"/>
      <c r="O33" s="1118"/>
      <c r="P33" s="1255"/>
    </row>
    <row r="34" spans="1:72">
      <c r="B34" s="1114"/>
      <c r="C34" s="1113"/>
      <c r="D34" s="1114"/>
      <c r="E34" s="1114"/>
      <c r="F34" s="1114"/>
      <c r="G34" s="1113"/>
      <c r="H34" s="1114"/>
      <c r="I34" s="1114"/>
      <c r="J34" s="1114"/>
      <c r="K34" s="1116"/>
      <c r="L34" s="1114"/>
      <c r="M34" s="1114"/>
      <c r="N34" s="1117"/>
      <c r="O34" s="1118"/>
      <c r="P34" s="1255"/>
    </row>
    <row r="35" spans="1:72">
      <c r="B35" s="1114"/>
      <c r="C35" s="1113"/>
      <c r="D35" s="1114"/>
      <c r="E35" s="1114"/>
      <c r="F35" s="1114"/>
      <c r="G35" s="1113"/>
      <c r="H35" s="1114"/>
      <c r="I35" s="1114"/>
      <c r="J35" s="1114"/>
      <c r="K35" s="1116"/>
      <c r="L35" s="1114"/>
      <c r="M35" s="1114"/>
      <c r="N35" s="1117"/>
      <c r="O35" s="1118"/>
      <c r="P35" s="1255"/>
    </row>
    <row r="36" spans="1:72">
      <c r="B36" s="1113"/>
      <c r="C36" s="1113"/>
      <c r="D36" s="1114"/>
      <c r="E36" s="1114"/>
      <c r="F36" s="1114"/>
      <c r="G36" s="1113"/>
      <c r="H36" s="1114"/>
      <c r="I36" s="1114"/>
      <c r="J36" s="1114"/>
      <c r="K36" s="1116"/>
      <c r="L36" s="1114"/>
      <c r="M36" s="1114"/>
      <c r="N36" s="1117"/>
      <c r="O36" s="1118"/>
      <c r="P36" s="1255"/>
    </row>
    <row r="37" spans="1:72">
      <c r="B37" s="1114"/>
      <c r="C37" s="1113"/>
      <c r="D37" s="1114"/>
      <c r="E37" s="1114"/>
      <c r="F37" s="1114"/>
      <c r="G37" s="1113"/>
      <c r="H37" s="1114"/>
      <c r="I37" s="1114"/>
      <c r="J37" s="1114"/>
      <c r="K37" s="1116"/>
      <c r="L37" s="1114"/>
      <c r="M37" s="1114"/>
      <c r="N37" s="1117"/>
      <c r="O37" s="1118"/>
      <c r="P37" s="1255"/>
    </row>
    <row r="38" spans="1:72">
      <c r="B38" s="1114"/>
      <c r="C38" s="1113"/>
      <c r="D38" s="1114"/>
      <c r="E38" s="1114"/>
      <c r="F38" s="1114"/>
      <c r="G38" s="1113"/>
      <c r="H38" s="1114"/>
      <c r="I38" s="1114"/>
      <c r="J38" s="1114"/>
      <c r="K38" s="1116"/>
      <c r="L38" s="1114"/>
      <c r="M38" s="1114"/>
      <c r="N38" s="1117"/>
      <c r="O38" s="1118"/>
      <c r="P38" s="1255"/>
    </row>
    <row r="39" spans="1:72">
      <c r="B39" s="1114"/>
      <c r="C39" s="1113"/>
      <c r="D39" s="1114"/>
      <c r="E39" s="1114"/>
      <c r="F39" s="1114"/>
      <c r="G39" s="1113"/>
      <c r="H39" s="1114"/>
      <c r="I39" s="1114"/>
      <c r="J39" s="1114"/>
      <c r="K39" s="1116"/>
      <c r="L39" s="1114"/>
      <c r="M39" s="1114"/>
      <c r="N39" s="1117"/>
      <c r="O39" s="1118"/>
      <c r="P39" s="1255"/>
    </row>
    <row r="40" spans="1:72">
      <c r="B40" s="1114"/>
      <c r="C40" s="1113"/>
      <c r="D40" s="1114"/>
      <c r="E40" s="1114"/>
      <c r="F40" s="1114"/>
      <c r="G40" s="1113"/>
      <c r="H40" s="1114"/>
      <c r="I40" s="1114"/>
      <c r="J40" s="1114"/>
      <c r="K40" s="1116"/>
      <c r="L40" s="1114"/>
      <c r="M40" s="1114"/>
      <c r="N40" s="1117"/>
      <c r="O40" s="1118"/>
      <c r="P40" s="1255"/>
    </row>
    <row r="41" spans="1:72">
      <c r="A41" s="1457"/>
      <c r="B41" s="1449"/>
      <c r="C41" s="1449"/>
      <c r="D41" s="1449"/>
      <c r="E41" s="1449"/>
      <c r="F41" s="1449"/>
      <c r="G41" s="1449"/>
      <c r="H41" s="1449"/>
      <c r="I41" s="1449"/>
      <c r="J41" s="1449"/>
      <c r="K41" s="1449"/>
      <c r="L41" s="1449"/>
      <c r="M41" s="1449"/>
      <c r="N41" s="1449"/>
      <c r="O41" s="1449"/>
      <c r="P41" s="1457"/>
    </row>
    <row r="42" spans="1:72">
      <c r="B42" s="1481"/>
      <c r="C42" s="1482"/>
      <c r="D42" s="1482"/>
      <c r="E42" s="1482"/>
      <c r="F42" s="1483"/>
      <c r="G42" s="1439"/>
      <c r="H42" s="1484"/>
      <c r="I42" s="1484"/>
      <c r="J42" s="1485"/>
      <c r="K42" s="1485"/>
      <c r="L42" s="1485"/>
      <c r="M42" s="1485"/>
      <c r="N42" s="1485"/>
      <c r="O42" s="1486"/>
    </row>
    <row r="43" spans="1:72" s="1466" customFormat="1" ht="77.25" customHeight="1">
      <c r="A43" s="1462"/>
      <c r="B43" s="1459" t="s">
        <v>1633</v>
      </c>
      <c r="C43" s="1487"/>
      <c r="D43" s="1459" t="s">
        <v>1619</v>
      </c>
      <c r="E43" s="1459"/>
      <c r="F43" s="2639" t="s">
        <v>1620</v>
      </c>
      <c r="G43" s="2639"/>
      <c r="H43" s="2572" t="s">
        <v>1626</v>
      </c>
      <c r="I43" s="2688"/>
      <c r="J43" s="2688"/>
      <c r="K43" s="2688"/>
      <c r="L43" s="2726"/>
      <c r="M43" s="1459" t="s">
        <v>1627</v>
      </c>
      <c r="N43" s="1465" t="s">
        <v>1628</v>
      </c>
      <c r="O43" s="1465" t="s">
        <v>1629</v>
      </c>
      <c r="P43" s="1488" t="s">
        <v>1657</v>
      </c>
    </row>
    <row r="44" spans="1:72" ht="133.5" customHeight="1">
      <c r="A44" s="1489"/>
      <c r="B44" s="2611" t="s">
        <v>1867</v>
      </c>
      <c r="C44" s="2612"/>
      <c r="D44" s="2595" t="str">
        <f>IF('Project Info'!C4='Project Info'!P32,"Heating
"&amp;'Mod Prescriptive Path Checklist'!C57,IF('Project Info'!C4='Project Info'!P33,"Heating
"&amp;#REF!,"&lt;Select compliance path on the 'Project Info' tab&gt;"))</f>
        <v>Heating
The heating and cooling systems must comply with ASHRAE 90.1-2007 Sections 6.4 and 6.5.</v>
      </c>
      <c r="E44" s="2596"/>
      <c r="F44" s="2613" t="s">
        <v>1659</v>
      </c>
      <c r="G44" s="2690"/>
      <c r="H44" s="2590"/>
      <c r="I44" s="2707"/>
      <c r="J44" s="2707"/>
      <c r="K44" s="2707"/>
      <c r="L44" s="2707"/>
      <c r="M44" s="1263"/>
      <c r="N44" s="1121"/>
      <c r="O44" s="1278"/>
      <c r="P44" s="1278"/>
    </row>
    <row r="45" spans="1:72" s="1476" customFormat="1" ht="15.75">
      <c r="A45" s="1442"/>
      <c r="B45" s="2599"/>
      <c r="C45" s="2600"/>
      <c r="D45" s="2600"/>
      <c r="E45" s="2600"/>
      <c r="F45" s="2600"/>
      <c r="G45" s="2600"/>
      <c r="H45" s="2601"/>
      <c r="I45" s="2601"/>
      <c r="J45" s="2601"/>
      <c r="K45" s="2601"/>
      <c r="L45" s="2601"/>
      <c r="M45" s="2601"/>
      <c r="N45" s="2601"/>
      <c r="O45" s="2601"/>
      <c r="P45" s="2602"/>
      <c r="Q45" s="1475"/>
      <c r="R45" s="1475"/>
      <c r="S45" s="1475"/>
      <c r="T45" s="1475"/>
      <c r="U45" s="1475"/>
      <c r="V45" s="1475"/>
      <c r="W45" s="1475"/>
      <c r="X45" s="1475"/>
      <c r="Y45" s="1475"/>
      <c r="Z45" s="1475"/>
      <c r="AA45" s="1475"/>
      <c r="AB45" s="1475"/>
      <c r="AC45" s="1475"/>
      <c r="AD45" s="1475"/>
      <c r="AE45" s="1475"/>
      <c r="AF45" s="1475"/>
      <c r="AG45" s="1475"/>
      <c r="AH45" s="1475"/>
      <c r="AI45" s="1475"/>
      <c r="AJ45" s="1475"/>
      <c r="AK45" s="1475"/>
      <c r="AL45" s="1475"/>
      <c r="AM45" s="1475"/>
      <c r="AN45" s="1475"/>
      <c r="AO45" s="1475"/>
      <c r="AP45" s="1475"/>
      <c r="AQ45" s="1475"/>
      <c r="AR45" s="1475"/>
      <c r="AS45" s="1475"/>
      <c r="AT45" s="1475"/>
      <c r="AU45" s="1475"/>
      <c r="AV45" s="1475"/>
      <c r="AW45" s="1475"/>
      <c r="AX45" s="1475"/>
      <c r="AY45" s="1475"/>
      <c r="AZ45" s="1475"/>
      <c r="BA45" s="1475"/>
      <c r="BB45" s="1475"/>
      <c r="BC45" s="1475"/>
      <c r="BD45" s="1475"/>
      <c r="BE45" s="1475"/>
      <c r="BF45" s="1475"/>
      <c r="BG45" s="1475"/>
      <c r="BH45" s="1475"/>
      <c r="BI45" s="1475"/>
      <c r="BJ45" s="1475"/>
      <c r="BK45" s="1475"/>
      <c r="BL45" s="1475"/>
      <c r="BM45" s="1475"/>
      <c r="BN45" s="1475"/>
      <c r="BO45" s="1475"/>
      <c r="BP45" s="1475"/>
      <c r="BQ45" s="1475"/>
      <c r="BR45" s="1475"/>
      <c r="BS45" s="1475"/>
      <c r="BT45" s="1475"/>
    </row>
    <row r="46" spans="1:72" ht="229.5" customHeight="1">
      <c r="A46" s="1489"/>
      <c r="B46" s="2588" t="s">
        <v>1868</v>
      </c>
      <c r="C46" s="2589"/>
      <c r="D46" s="2595" t="str">
        <f>IF('Project Info'!C4='Project Info'!P32,'Mod Prescriptive Path Checklist'!C62,IF('Project Info'!C4='Project Info'!P33,#REF!,"&lt;Select compliance path on the 'Project Info' tab&gt;"))</f>
        <v>Load sizing calculations must reflect the design; installed capacity cannot exceed design by more than 20%, except when smaller sizes are not available.
Heating loads shall be calculated, equipment capacity shall be selected, and duct systems shall be sized according to the latest editions of ACCA Manual J, S, &amp; D, respectively, ASHRAE 2009 Handbook of Fundamentals, or a substantively equivalent procedure. Indoor temperatures shall be 70°F for heating, outdoor temperatures shall be the 99.0% design temperature, as published by the ASHRAE Handbook of Fundamentals.</v>
      </c>
      <c r="E46" s="2596"/>
      <c r="F46" s="2595">
        <f>ERMs!C34</f>
        <v>0</v>
      </c>
      <c r="G46" s="2638"/>
      <c r="H46" s="2590"/>
      <c r="I46" s="2578"/>
      <c r="J46" s="2578"/>
      <c r="K46" s="2578"/>
      <c r="L46" s="2578"/>
      <c r="M46" s="1268"/>
      <c r="N46" s="1284"/>
      <c r="O46" s="1278"/>
      <c r="P46" s="1278"/>
    </row>
    <row r="47" spans="1:72" ht="248.25" customHeight="1">
      <c r="A47" s="1604"/>
      <c r="B47" s="2677" t="s">
        <v>1869</v>
      </c>
      <c r="C47" s="2678"/>
      <c r="D47" s="2595" t="str">
        <f>IF('Project Info'!C4='Project Info'!P32,'Mod Prescriptive Path Checklist'!C60&amp;"
"&amp;'Mod Prescriptive Path Checklist'!C63,IF('Project Info'!C4='Project Info'!P33,#REF!,"&lt;Select compliance path on the 'Project Info' tab&gt;"))</f>
        <v>Heating equipment shall be ENERGY STAR qualified, where applicable. Atmospherically vented gas furnaces and boilers shall not be specified. 
Based on the climate zone, the specified heating equipment meets the Prescriptive requirements for efficiency.</v>
      </c>
      <c r="E47" s="2596"/>
      <c r="F47" s="2595">
        <f>ERMs!C32</f>
        <v>0</v>
      </c>
      <c r="G47" s="2638"/>
      <c r="H47" s="2590"/>
      <c r="I47" s="2578"/>
      <c r="J47" s="2578"/>
      <c r="K47" s="2578"/>
      <c r="L47" s="2578"/>
      <c r="M47" s="1268"/>
      <c r="N47" s="1121"/>
      <c r="O47" s="1278"/>
      <c r="P47" s="1278"/>
    </row>
    <row r="48" spans="1:72" ht="144" customHeight="1">
      <c r="A48" s="1605"/>
      <c r="B48" s="2603" t="s">
        <v>1870</v>
      </c>
      <c r="C48" s="2604"/>
      <c r="D48" s="2595" t="str">
        <f>IF('Project Info'!C4='Project Info'!P32,'Mod Prescriptive Path Checklist'!C61,IF('Project Info'!C4='Project Info'!P33,#REF!,"&lt;Select compliance path on the 'Project Info' tab&gt;"))</f>
        <v>Electric resistance space heating not permitted in any space.
If the prescriptive Heating Season Performance Factors are met for air-source heat pumps, electric resistance back-up heating is allowed, if programmable thermostats with adaptive recovery technology are installed.</v>
      </c>
      <c r="E48" s="2596"/>
      <c r="F48" s="2595">
        <f>ERMs!C33</f>
        <v>0</v>
      </c>
      <c r="G48" s="2638"/>
      <c r="H48" s="2590"/>
      <c r="I48" s="2578"/>
      <c r="J48" s="2578"/>
      <c r="K48" s="2578"/>
      <c r="L48" s="2578"/>
      <c r="M48" s="1268"/>
      <c r="N48" s="1284"/>
      <c r="O48" s="1278"/>
      <c r="P48" s="1278"/>
    </row>
    <row r="49" spans="1:72" ht="91.5" customHeight="1">
      <c r="A49" s="1489"/>
      <c r="B49" s="2588" t="s">
        <v>1871</v>
      </c>
      <c r="C49" s="2589"/>
      <c r="D49" s="2595" t="s">
        <v>404</v>
      </c>
      <c r="E49" s="2596"/>
      <c r="F49" s="2595">
        <f>ERMs!C35</f>
        <v>0</v>
      </c>
      <c r="G49" s="2638"/>
      <c r="H49" s="2590"/>
      <c r="I49" s="2578"/>
      <c r="J49" s="2578"/>
      <c r="K49" s="2578"/>
      <c r="L49" s="2578"/>
      <c r="M49" s="1263"/>
      <c r="N49" s="1284"/>
      <c r="O49" s="1278"/>
      <c r="P49" s="1278"/>
    </row>
    <row r="50" spans="1:72" ht="225.75" customHeight="1">
      <c r="A50" s="1321"/>
      <c r="B50" s="2588" t="s">
        <v>1872</v>
      </c>
      <c r="C50" s="2589"/>
      <c r="D50" s="2595" t="s">
        <v>404</v>
      </c>
      <c r="E50" s="2596"/>
      <c r="F50" s="2595">
        <f>ERMs!C36</f>
        <v>0</v>
      </c>
      <c r="G50" s="2638"/>
      <c r="H50" s="2590"/>
      <c r="I50" s="2578"/>
      <c r="J50" s="2578"/>
      <c r="K50" s="2578"/>
      <c r="L50" s="2578"/>
      <c r="M50" s="1263"/>
      <c r="N50" s="1284"/>
      <c r="O50" s="1278"/>
      <c r="P50" s="1270"/>
    </row>
    <row r="51" spans="1:72" s="1476" customFormat="1" ht="15.75">
      <c r="A51" s="1442"/>
      <c r="B51" s="2599" t="s">
        <v>1263</v>
      </c>
      <c r="C51" s="2600"/>
      <c r="D51" s="2600"/>
      <c r="E51" s="2600"/>
      <c r="F51" s="2600"/>
      <c r="G51" s="2600"/>
      <c r="H51" s="2601"/>
      <c r="I51" s="2601"/>
      <c r="J51" s="2601"/>
      <c r="K51" s="2601"/>
      <c r="L51" s="2601"/>
      <c r="M51" s="2601"/>
      <c r="N51" s="2601"/>
      <c r="O51" s="2601"/>
      <c r="P51" s="2602"/>
      <c r="Q51" s="1475"/>
      <c r="R51" s="1475"/>
      <c r="S51" s="1475"/>
      <c r="T51" s="1475"/>
      <c r="U51" s="1475"/>
      <c r="V51" s="1475"/>
      <c r="W51" s="1475"/>
      <c r="X51" s="1475"/>
      <c r="Y51" s="1475"/>
      <c r="Z51" s="1475"/>
      <c r="AA51" s="1475"/>
      <c r="AB51" s="1475"/>
      <c r="AC51" s="1475"/>
      <c r="AD51" s="1475"/>
      <c r="AE51" s="1475"/>
      <c r="AF51" s="1475"/>
      <c r="AG51" s="1475"/>
      <c r="AH51" s="1475"/>
      <c r="AI51" s="1475"/>
      <c r="AJ51" s="1475"/>
      <c r="AK51" s="1475"/>
      <c r="AL51" s="1475"/>
      <c r="AM51" s="1475"/>
      <c r="AN51" s="1475"/>
      <c r="AO51" s="1475"/>
      <c r="AP51" s="1475"/>
      <c r="AQ51" s="1475"/>
      <c r="AR51" s="1475"/>
      <c r="AS51" s="1475"/>
      <c r="AT51" s="1475"/>
      <c r="AU51" s="1475"/>
      <c r="AV51" s="1475"/>
      <c r="AW51" s="1475"/>
      <c r="AX51" s="1475"/>
      <c r="AY51" s="1475"/>
      <c r="AZ51" s="1475"/>
      <c r="BA51" s="1475"/>
      <c r="BB51" s="1475"/>
      <c r="BC51" s="1475"/>
      <c r="BD51" s="1475"/>
      <c r="BE51" s="1475"/>
      <c r="BF51" s="1475"/>
      <c r="BG51" s="1475"/>
      <c r="BH51" s="1475"/>
      <c r="BI51" s="1475"/>
      <c r="BJ51" s="1475"/>
      <c r="BK51" s="1475"/>
      <c r="BL51" s="1475"/>
      <c r="BM51" s="1475"/>
      <c r="BN51" s="1475"/>
      <c r="BO51" s="1475"/>
      <c r="BP51" s="1475"/>
      <c r="BQ51" s="1475"/>
      <c r="BR51" s="1475"/>
      <c r="BS51" s="1475"/>
      <c r="BT51" s="1475"/>
    </row>
    <row r="52" spans="1:72" ht="59.25" customHeight="1">
      <c r="A52" s="1321"/>
      <c r="B52" s="2603" t="s">
        <v>1873</v>
      </c>
      <c r="C52" s="2604"/>
      <c r="D52" s="2604"/>
      <c r="E52" s="2604"/>
      <c r="F52" s="2604"/>
      <c r="G52" s="2604"/>
      <c r="H52" s="2590"/>
      <c r="I52" s="2578"/>
      <c r="J52" s="2578"/>
      <c r="K52" s="2578"/>
      <c r="L52" s="2578"/>
      <c r="M52" s="1263"/>
      <c r="N52" s="1284"/>
      <c r="O52" s="1278"/>
      <c r="P52" s="1278"/>
    </row>
    <row r="53" spans="1:72" ht="67.5" customHeight="1">
      <c r="A53" s="1492"/>
      <c r="B53" s="2588" t="s">
        <v>1874</v>
      </c>
      <c r="C53" s="2589"/>
      <c r="D53" s="2589"/>
      <c r="E53" s="2589"/>
      <c r="F53" s="2589"/>
      <c r="G53" s="2589"/>
      <c r="H53" s="2590"/>
      <c r="I53" s="2578"/>
      <c r="J53" s="2578"/>
      <c r="K53" s="2578"/>
      <c r="L53" s="2578"/>
      <c r="M53" s="1263"/>
      <c r="N53" s="1284"/>
      <c r="O53" s="1278"/>
      <c r="P53" s="1278"/>
    </row>
    <row r="54" spans="1:72" ht="104.25" customHeight="1">
      <c r="A54" s="1489"/>
      <c r="B54" s="2588" t="s">
        <v>1875</v>
      </c>
      <c r="C54" s="2589"/>
      <c r="D54" s="2589"/>
      <c r="E54" s="2589"/>
      <c r="F54" s="2589"/>
      <c r="G54" s="2589"/>
      <c r="H54" s="2590"/>
      <c r="I54" s="2578"/>
      <c r="J54" s="2578"/>
      <c r="K54" s="2578"/>
      <c r="L54" s="2578"/>
      <c r="M54" s="1263"/>
      <c r="N54" s="1284"/>
      <c r="O54" s="1278"/>
      <c r="P54" s="1278"/>
    </row>
    <row r="55" spans="1:72" ht="41.25" customHeight="1">
      <c r="A55" s="1489"/>
      <c r="B55" s="2588" t="s">
        <v>1876</v>
      </c>
      <c r="C55" s="2589"/>
      <c r="D55" s="2589"/>
      <c r="E55" s="2589"/>
      <c r="F55" s="2589"/>
      <c r="G55" s="2589"/>
      <c r="H55" s="2590"/>
      <c r="I55" s="2578"/>
      <c r="J55" s="2578"/>
      <c r="K55" s="2578"/>
      <c r="L55" s="2578"/>
      <c r="M55" s="1263"/>
      <c r="N55" s="1284"/>
      <c r="O55" s="1278"/>
      <c r="P55" s="1278"/>
    </row>
    <row r="56" spans="1:72" ht="69" customHeight="1">
      <c r="A56" s="1489"/>
      <c r="B56" s="2588" t="s">
        <v>1877</v>
      </c>
      <c r="C56" s="2589"/>
      <c r="D56" s="2589"/>
      <c r="E56" s="2589"/>
      <c r="F56" s="2589"/>
      <c r="G56" s="2589"/>
      <c r="H56" s="2590"/>
      <c r="I56" s="2578"/>
      <c r="J56" s="2578"/>
      <c r="K56" s="2578"/>
      <c r="L56" s="2578"/>
      <c r="M56" s="1263"/>
      <c r="N56" s="1284"/>
      <c r="O56" s="1278"/>
      <c r="P56" s="1278"/>
    </row>
    <row r="57" spans="1:72" ht="56.25" customHeight="1">
      <c r="B57" s="2588" t="s">
        <v>1878</v>
      </c>
      <c r="C57" s="2589"/>
      <c r="D57" s="2589"/>
      <c r="E57" s="2589"/>
      <c r="F57" s="2589"/>
      <c r="G57" s="2647"/>
      <c r="H57" s="2590"/>
      <c r="I57" s="2578"/>
      <c r="J57" s="2578"/>
      <c r="K57" s="2578"/>
      <c r="L57" s="2578"/>
      <c r="M57" s="1263"/>
      <c r="N57" s="1284"/>
      <c r="O57" s="1278"/>
      <c r="P57" s="1278"/>
    </row>
    <row r="58" spans="1:72" s="1476" customFormat="1" ht="15.75">
      <c r="A58" s="1606"/>
      <c r="B58" s="2724" t="s">
        <v>1879</v>
      </c>
      <c r="C58" s="2725"/>
      <c r="D58" s="2725"/>
      <c r="E58" s="2725"/>
      <c r="F58" s="2725"/>
      <c r="G58" s="2725"/>
      <c r="H58" s="2601"/>
      <c r="I58" s="2601"/>
      <c r="J58" s="2601"/>
      <c r="K58" s="2601"/>
      <c r="L58" s="2601"/>
      <c r="M58" s="2601"/>
      <c r="N58" s="2601"/>
      <c r="O58" s="2601"/>
      <c r="P58" s="2602"/>
      <c r="Q58" s="1475"/>
      <c r="R58" s="1475"/>
      <c r="S58" s="1475"/>
      <c r="T58" s="1475"/>
      <c r="U58" s="1475"/>
      <c r="V58" s="1475"/>
      <c r="W58" s="1475"/>
      <c r="X58" s="1475"/>
      <c r="Y58" s="1475"/>
      <c r="Z58" s="1475"/>
      <c r="AA58" s="1475"/>
      <c r="AB58" s="1475"/>
      <c r="AC58" s="1475"/>
      <c r="AD58" s="1475"/>
      <c r="AE58" s="1475"/>
      <c r="AF58" s="1475"/>
      <c r="AG58" s="1475"/>
      <c r="AH58" s="1475"/>
      <c r="AI58" s="1475"/>
      <c r="AJ58" s="1475"/>
      <c r="AK58" s="1475"/>
      <c r="AL58" s="1475"/>
      <c r="AM58" s="1475"/>
      <c r="AN58" s="1475"/>
      <c r="AO58" s="1475"/>
      <c r="AP58" s="1475"/>
      <c r="AQ58" s="1475"/>
      <c r="AR58" s="1475"/>
      <c r="AS58" s="1475"/>
      <c r="AT58" s="1475"/>
      <c r="AU58" s="1475"/>
      <c r="AV58" s="1475"/>
      <c r="AW58" s="1475"/>
      <c r="AX58" s="1475"/>
      <c r="AY58" s="1475"/>
      <c r="AZ58" s="1475"/>
      <c r="BA58" s="1475"/>
      <c r="BB58" s="1475"/>
      <c r="BC58" s="1475"/>
      <c r="BD58" s="1475"/>
      <c r="BE58" s="1475"/>
      <c r="BF58" s="1475"/>
      <c r="BG58" s="1475"/>
      <c r="BH58" s="1475"/>
      <c r="BI58" s="1475"/>
      <c r="BJ58" s="1475"/>
      <c r="BK58" s="1475"/>
      <c r="BL58" s="1475"/>
      <c r="BM58" s="1475"/>
      <c r="BN58" s="1475"/>
      <c r="BO58" s="1475"/>
      <c r="BP58" s="1475"/>
      <c r="BQ58" s="1475"/>
      <c r="BR58" s="1475"/>
      <c r="BS58" s="1475"/>
      <c r="BT58" s="1475"/>
    </row>
    <row r="59" spans="1:72" ht="54" customHeight="1">
      <c r="A59" s="1321"/>
      <c r="B59" s="2588" t="s">
        <v>1880</v>
      </c>
      <c r="C59" s="2589"/>
      <c r="D59" s="2589"/>
      <c r="E59" s="2589"/>
      <c r="F59" s="2589"/>
      <c r="G59" s="2647"/>
      <c r="H59" s="2590"/>
      <c r="I59" s="2578"/>
      <c r="J59" s="2578"/>
      <c r="K59" s="2578"/>
      <c r="L59" s="2578"/>
      <c r="M59" s="1263"/>
      <c r="N59" s="1284"/>
      <c r="O59" s="1278"/>
      <c r="P59" s="1278"/>
    </row>
    <row r="60" spans="1:72" ht="52.5" customHeight="1">
      <c r="A60" s="1321"/>
      <c r="B60" s="2588" t="s">
        <v>1881</v>
      </c>
      <c r="C60" s="2589"/>
      <c r="D60" s="2589"/>
      <c r="E60" s="2589"/>
      <c r="F60" s="2589"/>
      <c r="G60" s="2647"/>
      <c r="H60" s="2590"/>
      <c r="I60" s="2578"/>
      <c r="J60" s="2578"/>
      <c r="K60" s="2578"/>
      <c r="L60" s="2578"/>
      <c r="M60" s="1263"/>
      <c r="N60" s="1284"/>
      <c r="O60" s="1278"/>
      <c r="P60" s="1278"/>
    </row>
    <row r="61" spans="1:72" ht="42.75" customHeight="1">
      <c r="A61" s="1321"/>
      <c r="B61" s="2588" t="s">
        <v>1882</v>
      </c>
      <c r="C61" s="2589"/>
      <c r="D61" s="2589"/>
      <c r="E61" s="2589"/>
      <c r="F61" s="2589"/>
      <c r="G61" s="2647"/>
      <c r="H61" s="2590"/>
      <c r="I61" s="2578"/>
      <c r="J61" s="2578"/>
      <c r="K61" s="2578"/>
      <c r="L61" s="2578"/>
      <c r="M61" s="1263"/>
      <c r="N61" s="1284"/>
      <c r="O61" s="1278"/>
      <c r="P61" s="1278"/>
    </row>
    <row r="62" spans="1:72" ht="107.25" customHeight="1">
      <c r="A62" s="1321"/>
      <c r="B62" s="2677" t="s">
        <v>1883</v>
      </c>
      <c r="C62" s="2678"/>
      <c r="D62" s="2678"/>
      <c r="E62" s="2678"/>
      <c r="F62" s="2678"/>
      <c r="G62" s="2678"/>
      <c r="H62" s="2590"/>
      <c r="I62" s="2578"/>
      <c r="J62" s="2578"/>
      <c r="K62" s="2578"/>
      <c r="L62" s="2578"/>
      <c r="M62" s="1263"/>
      <c r="N62" s="1284"/>
      <c r="O62" s="1278"/>
      <c r="P62" s="1278"/>
    </row>
    <row r="63" spans="1:72" ht="53.25" customHeight="1">
      <c r="A63" s="1321"/>
      <c r="B63" s="2587" t="s">
        <v>1884</v>
      </c>
      <c r="C63" s="2587"/>
      <c r="D63" s="2587"/>
      <c r="E63" s="2587"/>
      <c r="F63" s="2587"/>
      <c r="G63" s="2587"/>
      <c r="H63" s="2641"/>
      <c r="I63" s="2641"/>
      <c r="J63" s="2641"/>
      <c r="K63" s="2641"/>
      <c r="L63" s="2641"/>
      <c r="M63" s="2641"/>
      <c r="N63" s="2655"/>
      <c r="O63" s="1278"/>
      <c r="P63" s="1278"/>
    </row>
    <row r="64" spans="1:72" ht="40.5" customHeight="1">
      <c r="A64" s="1321"/>
      <c r="B64" s="2588" t="s">
        <v>1885</v>
      </c>
      <c r="C64" s="2589"/>
      <c r="D64" s="2589"/>
      <c r="E64" s="2589"/>
      <c r="F64" s="2589"/>
      <c r="G64" s="2589"/>
      <c r="H64" s="2589"/>
      <c r="I64" s="2589"/>
      <c r="J64" s="2589"/>
      <c r="K64" s="2589"/>
      <c r="L64" s="2589"/>
      <c r="M64" s="2589"/>
      <c r="N64" s="2647"/>
      <c r="O64" s="1278"/>
      <c r="P64" s="1278"/>
    </row>
    <row r="65" spans="1:72" s="1476" customFormat="1" ht="15.75">
      <c r="A65" s="1442"/>
      <c r="B65" s="2599" t="s">
        <v>1289</v>
      </c>
      <c r="C65" s="2600"/>
      <c r="D65" s="2600"/>
      <c r="E65" s="2600"/>
      <c r="F65" s="2600"/>
      <c r="G65" s="2600"/>
      <c r="H65" s="2601"/>
      <c r="I65" s="2601"/>
      <c r="J65" s="2601"/>
      <c r="K65" s="2601"/>
      <c r="L65" s="2601"/>
      <c r="M65" s="2601"/>
      <c r="N65" s="2601"/>
      <c r="O65" s="2601"/>
      <c r="P65" s="2602"/>
      <c r="Q65" s="1475"/>
      <c r="R65" s="1475"/>
      <c r="S65" s="1475"/>
      <c r="T65" s="1475"/>
      <c r="U65" s="1475"/>
      <c r="V65" s="1475"/>
      <c r="W65" s="1475"/>
      <c r="X65" s="1475"/>
      <c r="Y65" s="1475"/>
      <c r="Z65" s="1475"/>
      <c r="AA65" s="1475"/>
      <c r="AB65" s="1475"/>
      <c r="AC65" s="1475"/>
      <c r="AD65" s="1475"/>
      <c r="AE65" s="1475"/>
      <c r="AF65" s="1475"/>
      <c r="AG65" s="1475"/>
      <c r="AH65" s="1475"/>
      <c r="AI65" s="1475"/>
      <c r="AJ65" s="1475"/>
      <c r="AK65" s="1475"/>
      <c r="AL65" s="1475"/>
      <c r="AM65" s="1475"/>
      <c r="AN65" s="1475"/>
      <c r="AO65" s="1475"/>
      <c r="AP65" s="1475"/>
      <c r="AQ65" s="1475"/>
      <c r="AR65" s="1475"/>
      <c r="AS65" s="1475"/>
      <c r="AT65" s="1475"/>
      <c r="AU65" s="1475"/>
      <c r="AV65" s="1475"/>
      <c r="AW65" s="1475"/>
      <c r="AX65" s="1475"/>
      <c r="AY65" s="1475"/>
      <c r="AZ65" s="1475"/>
      <c r="BA65" s="1475"/>
      <c r="BB65" s="1475"/>
      <c r="BC65" s="1475"/>
      <c r="BD65" s="1475"/>
      <c r="BE65" s="1475"/>
      <c r="BF65" s="1475"/>
      <c r="BG65" s="1475"/>
      <c r="BH65" s="1475"/>
      <c r="BI65" s="1475"/>
      <c r="BJ65" s="1475"/>
      <c r="BK65" s="1475"/>
      <c r="BL65" s="1475"/>
      <c r="BM65" s="1475"/>
      <c r="BN65" s="1475"/>
      <c r="BO65" s="1475"/>
      <c r="BP65" s="1475"/>
      <c r="BQ65" s="1475"/>
      <c r="BR65" s="1475"/>
      <c r="BS65" s="1475"/>
      <c r="BT65" s="1475"/>
    </row>
    <row r="66" spans="1:72" ht="54.75" customHeight="1">
      <c r="A66" s="1607"/>
      <c r="B66" s="2603" t="s">
        <v>1886</v>
      </c>
      <c r="C66" s="2604"/>
      <c r="D66" s="2604"/>
      <c r="E66" s="2604"/>
      <c r="F66" s="2604"/>
      <c r="G66" s="2723"/>
      <c r="H66" s="2590"/>
      <c r="I66" s="2578"/>
      <c r="J66" s="2578"/>
      <c r="K66" s="2578"/>
      <c r="L66" s="2578"/>
      <c r="M66" s="1263"/>
      <c r="N66" s="1284"/>
      <c r="O66" s="1278"/>
      <c r="P66" s="1278"/>
    </row>
    <row r="67" spans="1:72" ht="44.25" customHeight="1">
      <c r="A67" s="1490"/>
      <c r="B67" s="2603" t="s">
        <v>1887</v>
      </c>
      <c r="C67" s="2604"/>
      <c r="D67" s="2604"/>
      <c r="E67" s="2604"/>
      <c r="F67" s="2604"/>
      <c r="G67" s="2723"/>
      <c r="H67" s="2590"/>
      <c r="I67" s="2578"/>
      <c r="J67" s="2578"/>
      <c r="K67" s="2578"/>
      <c r="L67" s="2578"/>
      <c r="M67" s="1263"/>
      <c r="N67" s="1284"/>
      <c r="O67" s="1278"/>
      <c r="P67" s="1278"/>
    </row>
    <row r="68" spans="1:72" ht="159.75" customHeight="1">
      <c r="A68" s="1489"/>
      <c r="B68" s="2587" t="s">
        <v>1888</v>
      </c>
      <c r="C68" s="2587"/>
      <c r="D68" s="2587"/>
      <c r="E68" s="2587"/>
      <c r="F68" s="2587"/>
      <c r="G68" s="2587"/>
      <c r="H68" s="2590"/>
      <c r="I68" s="2578"/>
      <c r="J68" s="2578"/>
      <c r="K68" s="2578"/>
      <c r="L68" s="2578"/>
      <c r="M68" s="1263"/>
      <c r="N68" s="1284"/>
      <c r="O68" s="1278"/>
      <c r="P68" s="1278"/>
    </row>
    <row r="69" spans="1:72" ht="41.25" customHeight="1">
      <c r="A69" s="1321"/>
      <c r="B69" s="2719" t="s">
        <v>1889</v>
      </c>
      <c r="C69" s="2644"/>
      <c r="D69" s="2644"/>
      <c r="E69" s="2644"/>
      <c r="F69" s="2644"/>
      <c r="G69" s="2644"/>
      <c r="H69" s="2644"/>
      <c r="I69" s="2644"/>
      <c r="J69" s="2644"/>
      <c r="K69" s="2644"/>
      <c r="L69" s="2644"/>
      <c r="M69" s="2644"/>
      <c r="N69" s="2644"/>
      <c r="O69" s="1154"/>
      <c r="P69" s="1154"/>
    </row>
    <row r="70" spans="1:72" s="1476" customFormat="1" ht="15.75">
      <c r="A70" s="1608"/>
      <c r="B70" s="2720" t="s">
        <v>1298</v>
      </c>
      <c r="C70" s="2721"/>
      <c r="D70" s="2721"/>
      <c r="E70" s="2721"/>
      <c r="F70" s="2721"/>
      <c r="G70" s="2721"/>
      <c r="H70" s="2721"/>
      <c r="I70" s="2721"/>
      <c r="J70" s="2721"/>
      <c r="K70" s="2721"/>
      <c r="L70" s="2721"/>
      <c r="M70" s="2721"/>
      <c r="N70" s="2721"/>
      <c r="O70" s="2721"/>
      <c r="P70" s="2722"/>
      <c r="Q70" s="1475"/>
      <c r="R70" s="1475"/>
      <c r="S70" s="1475"/>
      <c r="T70" s="1475"/>
      <c r="U70" s="1475"/>
      <c r="V70" s="1475"/>
      <c r="W70" s="1475"/>
      <c r="X70" s="1475"/>
      <c r="Y70" s="1475"/>
      <c r="Z70" s="1475"/>
      <c r="AA70" s="1475"/>
      <c r="AB70" s="1475"/>
      <c r="AC70" s="1475"/>
      <c r="AD70" s="1475"/>
      <c r="AE70" s="1475"/>
      <c r="AF70" s="1475"/>
      <c r="AG70" s="1475"/>
      <c r="AH70" s="1475"/>
      <c r="AI70" s="1475"/>
      <c r="AJ70" s="1475"/>
      <c r="AK70" s="1475"/>
      <c r="AL70" s="1475"/>
      <c r="AM70" s="1475"/>
      <c r="AN70" s="1475"/>
      <c r="AO70" s="1475"/>
      <c r="AP70" s="1475"/>
      <c r="AQ70" s="1475"/>
      <c r="AR70" s="1475"/>
      <c r="AS70" s="1475"/>
      <c r="AT70" s="1475"/>
      <c r="AU70" s="1475"/>
      <c r="AV70" s="1475"/>
      <c r="AW70" s="1475"/>
      <c r="AX70" s="1475"/>
      <c r="AY70" s="1475"/>
      <c r="AZ70" s="1475"/>
      <c r="BA70" s="1475"/>
      <c r="BB70" s="1475"/>
      <c r="BC70" s="1475"/>
      <c r="BD70" s="1475"/>
      <c r="BE70" s="1475"/>
      <c r="BF70" s="1475"/>
      <c r="BG70" s="1475"/>
      <c r="BH70" s="1475"/>
      <c r="BI70" s="1475"/>
      <c r="BJ70" s="1475"/>
      <c r="BK70" s="1475"/>
      <c r="BL70" s="1475"/>
      <c r="BM70" s="1475"/>
    </row>
    <row r="71" spans="1:72" ht="50.25" customHeight="1">
      <c r="A71" s="1489"/>
      <c r="B71" s="2588" t="s">
        <v>1890</v>
      </c>
      <c r="C71" s="2589"/>
      <c r="D71" s="2589"/>
      <c r="E71" s="2589"/>
      <c r="F71" s="2589"/>
      <c r="G71" s="2647"/>
      <c r="H71" s="2590"/>
      <c r="I71" s="2707"/>
      <c r="J71" s="2707"/>
      <c r="K71" s="2707"/>
      <c r="L71" s="2707"/>
      <c r="M71" s="1263"/>
      <c r="N71" s="1284"/>
      <c r="O71" s="1278"/>
      <c r="P71" s="1278"/>
    </row>
    <row r="72" spans="1:72" ht="41.25" customHeight="1">
      <c r="B72" s="2591" t="s">
        <v>1891</v>
      </c>
      <c r="C72" s="2591"/>
      <c r="D72" s="2591"/>
      <c r="E72" s="2591"/>
      <c r="F72" s="2591"/>
      <c r="G72" s="2591"/>
      <c r="H72" s="2592"/>
      <c r="I72" s="2592"/>
      <c r="J72" s="2592"/>
      <c r="K72" s="2592"/>
      <c r="L72" s="2592"/>
      <c r="M72" s="2592"/>
      <c r="N72" s="2593"/>
      <c r="O72" s="1278"/>
      <c r="P72" s="1278"/>
    </row>
    <row r="73" spans="1:72" ht="41.25" customHeight="1">
      <c r="A73" s="1494"/>
      <c r="B73" s="2591" t="s">
        <v>1892</v>
      </c>
      <c r="C73" s="2591"/>
      <c r="D73" s="2591"/>
      <c r="E73" s="2591"/>
      <c r="F73" s="2591"/>
      <c r="G73" s="2591"/>
      <c r="H73" s="2591"/>
      <c r="I73" s="2591"/>
      <c r="J73" s="2591"/>
      <c r="K73" s="2591"/>
      <c r="L73" s="2591"/>
      <c r="M73" s="2591"/>
      <c r="N73" s="2594"/>
      <c r="O73" s="1278"/>
      <c r="P73" s="1278"/>
    </row>
    <row r="74" spans="1:72" ht="45" customHeight="1">
      <c r="A74" s="1489"/>
      <c r="B74" s="2591" t="s">
        <v>1669</v>
      </c>
      <c r="C74" s="2591"/>
      <c r="D74" s="2591"/>
      <c r="E74" s="2591"/>
      <c r="F74" s="2591"/>
      <c r="G74" s="2591"/>
      <c r="H74" s="2591"/>
      <c r="I74" s="2591"/>
      <c r="J74" s="2591"/>
      <c r="K74" s="2591"/>
      <c r="L74" s="2591"/>
      <c r="M74" s="2591"/>
      <c r="N74" s="2594"/>
      <c r="O74" s="1278"/>
      <c r="P74" s="1278"/>
    </row>
    <row r="76" spans="1:72">
      <c r="B76" s="1319" t="s">
        <v>1893</v>
      </c>
    </row>
    <row r="78" spans="1:72" s="1460" customFormat="1" ht="91.5" customHeight="1">
      <c r="A78" s="1453"/>
      <c r="B78" s="1609" t="s">
        <v>1894</v>
      </c>
      <c r="C78" s="1609" t="s">
        <v>1895</v>
      </c>
      <c r="D78" s="1609" t="s">
        <v>1896</v>
      </c>
      <c r="E78" s="1609" t="s">
        <v>1897</v>
      </c>
      <c r="F78" s="1609" t="s">
        <v>1898</v>
      </c>
      <c r="G78" s="2717" t="s">
        <v>1899</v>
      </c>
      <c r="H78" s="2718"/>
      <c r="I78" s="1610" t="s">
        <v>1900</v>
      </c>
      <c r="J78" s="1610" t="s">
        <v>1901</v>
      </c>
      <c r="K78" s="2717" t="s">
        <v>1902</v>
      </c>
      <c r="L78" s="2718"/>
      <c r="M78" s="2510" t="s">
        <v>820</v>
      </c>
      <c r="N78" s="2510"/>
      <c r="O78" s="2510"/>
      <c r="P78" s="2510"/>
      <c r="Q78" s="1449"/>
      <c r="R78" s="1449"/>
      <c r="S78" s="1449"/>
      <c r="T78" s="1449"/>
      <c r="U78" s="1449"/>
      <c r="V78" s="1449"/>
      <c r="W78" s="1449"/>
      <c r="X78" s="1449"/>
      <c r="Y78" s="1449"/>
      <c r="Z78" s="1449"/>
      <c r="AA78" s="1449"/>
      <c r="AB78" s="1449"/>
      <c r="AC78" s="1449"/>
      <c r="AD78" s="1449"/>
      <c r="AE78" s="1449"/>
      <c r="AF78" s="1449"/>
      <c r="AG78" s="1449"/>
      <c r="AH78" s="1449"/>
      <c r="AI78" s="1449"/>
      <c r="AJ78" s="1449"/>
      <c r="AK78" s="1449"/>
      <c r="AL78" s="1449"/>
      <c r="AM78" s="1449"/>
      <c r="AN78" s="1449"/>
      <c r="AO78" s="1449"/>
      <c r="AP78" s="1449"/>
      <c r="AQ78" s="1449"/>
      <c r="AR78" s="1449"/>
      <c r="AS78" s="1449"/>
      <c r="AT78" s="1449"/>
      <c r="AU78" s="1449"/>
      <c r="AV78" s="1449"/>
      <c r="AW78" s="1449"/>
      <c r="AX78" s="1449"/>
      <c r="AY78" s="1449"/>
      <c r="AZ78" s="1449"/>
      <c r="BA78" s="1449"/>
      <c r="BB78" s="1449"/>
      <c r="BC78" s="1449"/>
      <c r="BD78" s="1449"/>
      <c r="BE78" s="1449"/>
      <c r="BF78" s="1449"/>
      <c r="BG78" s="1449"/>
      <c r="BH78" s="1449"/>
      <c r="BI78" s="1449"/>
      <c r="BJ78" s="1449"/>
      <c r="BK78" s="1449"/>
      <c r="BL78" s="1449"/>
      <c r="BM78" s="1449"/>
      <c r="BN78" s="1449"/>
      <c r="BO78" s="1449"/>
      <c r="BP78" s="1449"/>
      <c r="BQ78" s="1449"/>
      <c r="BR78" s="1449"/>
      <c r="BS78" s="1449"/>
      <c r="BT78" s="1449"/>
    </row>
    <row r="79" spans="1:72" s="1460" customFormat="1" ht="29.25" customHeight="1">
      <c r="A79" s="1449"/>
      <c r="B79" s="1280"/>
      <c r="C79" s="1280"/>
      <c r="D79" s="1259"/>
      <c r="E79" s="1259"/>
      <c r="F79" s="1155"/>
      <c r="G79" s="2713"/>
      <c r="H79" s="2713"/>
      <c r="I79" s="1156"/>
      <c r="J79" s="1611" t="e">
        <f>I79/(F79/100)</f>
        <v>#DIV/0!</v>
      </c>
      <c r="K79" s="2714" t="e">
        <f t="shared" ref="K79:K87" si="0">I79/G79</f>
        <v>#DIV/0!</v>
      </c>
      <c r="L79" s="2715"/>
      <c r="M79" s="2716"/>
      <c r="N79" s="2716"/>
      <c r="O79" s="2716"/>
      <c r="P79" s="2716"/>
      <c r="Q79" s="1449"/>
      <c r="R79" s="1449"/>
      <c r="S79" s="1449"/>
      <c r="T79" s="1449"/>
      <c r="U79" s="1449"/>
      <c r="V79" s="1449"/>
      <c r="W79" s="1449"/>
      <c r="X79" s="1449"/>
      <c r="Y79" s="1449"/>
      <c r="Z79" s="1449"/>
      <c r="AA79" s="1449"/>
      <c r="AB79" s="1449"/>
      <c r="AC79" s="1449"/>
      <c r="AD79" s="1449"/>
      <c r="AE79" s="1449"/>
      <c r="AF79" s="1449"/>
      <c r="AG79" s="1449"/>
      <c r="AH79" s="1449"/>
      <c r="AI79" s="1449"/>
      <c r="AJ79" s="1449"/>
      <c r="AK79" s="1449"/>
      <c r="AL79" s="1449"/>
      <c r="AM79" s="1449"/>
      <c r="AN79" s="1449"/>
      <c r="AO79" s="1449"/>
      <c r="AP79" s="1449"/>
      <c r="AQ79" s="1449"/>
      <c r="AR79" s="1449"/>
      <c r="AS79" s="1449"/>
      <c r="AT79" s="1449"/>
      <c r="AU79" s="1449"/>
      <c r="AV79" s="1449"/>
      <c r="AW79" s="1449"/>
      <c r="AX79" s="1449"/>
      <c r="AY79" s="1449"/>
      <c r="AZ79" s="1449"/>
      <c r="BA79" s="1449"/>
      <c r="BB79" s="1449"/>
      <c r="BC79" s="1449"/>
      <c r="BD79" s="1449"/>
      <c r="BE79" s="1449"/>
      <c r="BF79" s="1449"/>
      <c r="BG79" s="1449"/>
      <c r="BH79" s="1449"/>
      <c r="BI79" s="1449"/>
      <c r="BJ79" s="1449"/>
      <c r="BK79" s="1449"/>
      <c r="BL79" s="1449"/>
      <c r="BM79" s="1449"/>
      <c r="BN79" s="1449"/>
      <c r="BO79" s="1449"/>
      <c r="BP79" s="1449"/>
      <c r="BQ79" s="1449"/>
      <c r="BR79" s="1449"/>
      <c r="BS79" s="1449"/>
      <c r="BT79" s="1449"/>
    </row>
    <row r="80" spans="1:72" s="1460" customFormat="1" ht="29.25" customHeight="1">
      <c r="A80" s="1449"/>
      <c r="B80" s="1280"/>
      <c r="C80" s="1280"/>
      <c r="D80" s="1259"/>
      <c r="E80" s="1259"/>
      <c r="F80" s="1155"/>
      <c r="G80" s="2713"/>
      <c r="H80" s="2713"/>
      <c r="I80" s="1156"/>
      <c r="J80" s="1611" t="e">
        <f t="shared" ref="J80:J87" si="1">I80/(F80/100)</f>
        <v>#DIV/0!</v>
      </c>
      <c r="K80" s="2714" t="e">
        <f t="shared" si="0"/>
        <v>#DIV/0!</v>
      </c>
      <c r="L80" s="2715"/>
      <c r="M80" s="2716"/>
      <c r="N80" s="2716"/>
      <c r="O80" s="2716"/>
      <c r="P80" s="2716"/>
      <c r="Q80" s="1449"/>
      <c r="R80" s="1449"/>
      <c r="S80" s="1449"/>
      <c r="T80" s="1449"/>
      <c r="U80" s="1449"/>
      <c r="V80" s="1449"/>
      <c r="W80" s="1449"/>
      <c r="X80" s="1449"/>
      <c r="Y80" s="1449"/>
      <c r="Z80" s="1449"/>
      <c r="AA80" s="1449"/>
      <c r="AB80" s="1449"/>
      <c r="AC80" s="1449"/>
      <c r="AD80" s="1449"/>
      <c r="AE80" s="1449"/>
      <c r="AF80" s="1449"/>
      <c r="AG80" s="1449"/>
      <c r="AH80" s="1449"/>
      <c r="AI80" s="1449"/>
      <c r="AJ80" s="1449"/>
      <c r="AK80" s="1449"/>
      <c r="AL80" s="1449"/>
      <c r="AM80" s="1449"/>
      <c r="AN80" s="1449"/>
      <c r="AO80" s="1449"/>
      <c r="AP80" s="1449"/>
      <c r="AQ80" s="1449"/>
      <c r="AR80" s="1449"/>
      <c r="AS80" s="1449"/>
      <c r="AT80" s="1449"/>
      <c r="AU80" s="1449"/>
      <c r="AV80" s="1449"/>
      <c r="AW80" s="1449"/>
      <c r="AX80" s="1449"/>
      <c r="AY80" s="1449"/>
      <c r="AZ80" s="1449"/>
      <c r="BA80" s="1449"/>
      <c r="BB80" s="1449"/>
      <c r="BC80" s="1449"/>
      <c r="BD80" s="1449"/>
      <c r="BE80" s="1449"/>
      <c r="BF80" s="1449"/>
      <c r="BG80" s="1449"/>
      <c r="BH80" s="1449"/>
      <c r="BI80" s="1449"/>
      <c r="BJ80" s="1449"/>
      <c r="BK80" s="1449"/>
      <c r="BL80" s="1449"/>
      <c r="BM80" s="1449"/>
      <c r="BN80" s="1449"/>
      <c r="BO80" s="1449"/>
      <c r="BP80" s="1449"/>
      <c r="BQ80" s="1449"/>
      <c r="BR80" s="1449"/>
      <c r="BS80" s="1449"/>
      <c r="BT80" s="1449"/>
    </row>
    <row r="81" spans="1:72" s="1460" customFormat="1" ht="29.25" customHeight="1">
      <c r="A81" s="1449"/>
      <c r="B81" s="1280"/>
      <c r="C81" s="1280"/>
      <c r="D81" s="1259"/>
      <c r="E81" s="1259"/>
      <c r="F81" s="1155"/>
      <c r="G81" s="2713"/>
      <c r="H81" s="2713"/>
      <c r="I81" s="1156"/>
      <c r="J81" s="1611" t="e">
        <f t="shared" si="1"/>
        <v>#DIV/0!</v>
      </c>
      <c r="K81" s="2714" t="e">
        <f t="shared" si="0"/>
        <v>#DIV/0!</v>
      </c>
      <c r="L81" s="2715"/>
      <c r="M81" s="2716"/>
      <c r="N81" s="2716"/>
      <c r="O81" s="2716"/>
      <c r="P81" s="2716"/>
      <c r="Q81" s="1449"/>
      <c r="R81" s="1449"/>
      <c r="S81" s="1449"/>
      <c r="T81" s="1449"/>
      <c r="U81" s="1449"/>
      <c r="V81" s="1449"/>
      <c r="W81" s="1449"/>
      <c r="X81" s="1449"/>
      <c r="Y81" s="1449"/>
      <c r="Z81" s="1449"/>
      <c r="AA81" s="1449"/>
      <c r="AB81" s="1449"/>
      <c r="AC81" s="1449"/>
      <c r="AD81" s="1449"/>
      <c r="AE81" s="1449"/>
      <c r="AF81" s="1449"/>
      <c r="AG81" s="1449"/>
      <c r="AH81" s="1449"/>
      <c r="AI81" s="1449"/>
      <c r="AJ81" s="1449"/>
      <c r="AK81" s="1449"/>
      <c r="AL81" s="1449"/>
      <c r="AM81" s="1449"/>
      <c r="AN81" s="1449"/>
      <c r="AO81" s="1449"/>
      <c r="AP81" s="1449"/>
      <c r="AQ81" s="1449"/>
      <c r="AR81" s="1449"/>
      <c r="AS81" s="1449"/>
      <c r="AT81" s="1449"/>
      <c r="AU81" s="1449"/>
      <c r="AV81" s="1449"/>
      <c r="AW81" s="1449"/>
      <c r="AX81" s="1449"/>
      <c r="AY81" s="1449"/>
      <c r="AZ81" s="1449"/>
      <c r="BA81" s="1449"/>
      <c r="BB81" s="1449"/>
      <c r="BC81" s="1449"/>
      <c r="BD81" s="1449"/>
      <c r="BE81" s="1449"/>
      <c r="BF81" s="1449"/>
      <c r="BG81" s="1449"/>
      <c r="BH81" s="1449"/>
      <c r="BI81" s="1449"/>
      <c r="BJ81" s="1449"/>
      <c r="BK81" s="1449"/>
      <c r="BL81" s="1449"/>
      <c r="BM81" s="1449"/>
      <c r="BN81" s="1449"/>
      <c r="BO81" s="1449"/>
      <c r="BP81" s="1449"/>
      <c r="BQ81" s="1449"/>
      <c r="BR81" s="1449"/>
      <c r="BS81" s="1449"/>
      <c r="BT81" s="1449"/>
    </row>
    <row r="82" spans="1:72" s="1612" customFormat="1" ht="29.25" customHeight="1">
      <c r="A82" s="1475"/>
      <c r="B82" s="1280"/>
      <c r="C82" s="1280"/>
      <c r="D82" s="1259"/>
      <c r="E82" s="1259"/>
      <c r="F82" s="1155"/>
      <c r="G82" s="2713"/>
      <c r="H82" s="2713"/>
      <c r="I82" s="1156"/>
      <c r="J82" s="1611" t="e">
        <f t="shared" si="1"/>
        <v>#DIV/0!</v>
      </c>
      <c r="K82" s="2714" t="e">
        <f t="shared" si="0"/>
        <v>#DIV/0!</v>
      </c>
      <c r="L82" s="2715"/>
      <c r="M82" s="2716"/>
      <c r="N82" s="2716"/>
      <c r="O82" s="2716"/>
      <c r="P82" s="2716"/>
      <c r="Q82" s="1475"/>
      <c r="R82" s="1475"/>
      <c r="S82" s="1475"/>
      <c r="T82" s="1475"/>
      <c r="U82" s="1475"/>
      <c r="V82" s="1475"/>
      <c r="W82" s="1475"/>
      <c r="X82" s="1475"/>
      <c r="Y82" s="1475"/>
      <c r="Z82" s="1475"/>
      <c r="AA82" s="1475"/>
      <c r="AB82" s="1475"/>
      <c r="AC82" s="1475"/>
      <c r="AD82" s="1475"/>
      <c r="AE82" s="1475"/>
      <c r="AF82" s="1475"/>
      <c r="AG82" s="1475"/>
      <c r="AH82" s="1475"/>
      <c r="AI82" s="1475"/>
      <c r="AJ82" s="1475"/>
      <c r="AK82" s="1475"/>
      <c r="AL82" s="1475"/>
      <c r="AM82" s="1475"/>
      <c r="AN82" s="1475"/>
      <c r="AO82" s="1475"/>
      <c r="AP82" s="1475"/>
      <c r="AQ82" s="1475"/>
      <c r="AR82" s="1475"/>
      <c r="AS82" s="1475"/>
      <c r="AT82" s="1475"/>
      <c r="AU82" s="1475"/>
      <c r="AV82" s="1475"/>
      <c r="AW82" s="1475"/>
      <c r="AX82" s="1475"/>
      <c r="AY82" s="1475"/>
      <c r="AZ82" s="1475"/>
      <c r="BA82" s="1475"/>
      <c r="BB82" s="1475"/>
      <c r="BC82" s="1475"/>
      <c r="BD82" s="1475"/>
      <c r="BE82" s="1475"/>
      <c r="BF82" s="1475"/>
      <c r="BG82" s="1475"/>
      <c r="BH82" s="1475"/>
      <c r="BI82" s="1475"/>
      <c r="BJ82" s="1475"/>
      <c r="BK82" s="1475"/>
      <c r="BL82" s="1475"/>
      <c r="BM82" s="1475"/>
      <c r="BN82" s="1475"/>
      <c r="BO82" s="1475"/>
      <c r="BP82" s="1475"/>
      <c r="BQ82" s="1475"/>
      <c r="BR82" s="1475"/>
      <c r="BS82" s="1475"/>
      <c r="BT82" s="1475"/>
    </row>
    <row r="83" spans="1:72" ht="29.25" customHeight="1">
      <c r="A83" s="1439"/>
      <c r="B83" s="1280"/>
      <c r="C83" s="1280"/>
      <c r="D83" s="1259"/>
      <c r="E83" s="1259"/>
      <c r="F83" s="1155"/>
      <c r="G83" s="2713"/>
      <c r="H83" s="2713"/>
      <c r="I83" s="1156"/>
      <c r="J83" s="1611" t="e">
        <f t="shared" si="1"/>
        <v>#DIV/0!</v>
      </c>
      <c r="K83" s="2714" t="e">
        <f t="shared" si="0"/>
        <v>#DIV/0!</v>
      </c>
      <c r="L83" s="2715"/>
      <c r="M83" s="2716"/>
      <c r="N83" s="2716"/>
      <c r="O83" s="2716"/>
      <c r="P83" s="2716"/>
      <c r="Q83" s="1439"/>
      <c r="R83" s="1439"/>
      <c r="S83" s="1439"/>
      <c r="T83" s="1439"/>
      <c r="U83" s="1439"/>
      <c r="V83" s="1439"/>
      <c r="W83" s="1439"/>
      <c r="X83" s="1439"/>
      <c r="Y83" s="1439"/>
      <c r="Z83" s="1439"/>
      <c r="AA83" s="1439"/>
      <c r="AB83" s="1439"/>
      <c r="AC83" s="1439"/>
      <c r="AD83" s="1439"/>
      <c r="AE83" s="1439"/>
      <c r="AF83" s="1439"/>
      <c r="AG83" s="1439"/>
      <c r="AH83" s="1439"/>
      <c r="AI83" s="1439"/>
      <c r="AJ83" s="1439"/>
      <c r="AK83" s="1439"/>
      <c r="AL83" s="1439"/>
      <c r="AM83" s="1439"/>
      <c r="AN83" s="1439"/>
      <c r="AO83" s="1439"/>
      <c r="AP83" s="1439"/>
      <c r="AQ83" s="1439"/>
      <c r="AR83" s="1439"/>
      <c r="AS83" s="1439"/>
      <c r="AT83" s="1439"/>
      <c r="AU83" s="1439"/>
      <c r="AV83" s="1439"/>
      <c r="AW83" s="1439"/>
      <c r="AX83" s="1439"/>
      <c r="AY83" s="1439"/>
      <c r="AZ83" s="1439"/>
      <c r="BA83" s="1439"/>
      <c r="BB83" s="1439"/>
      <c r="BC83" s="1439"/>
      <c r="BD83" s="1439"/>
      <c r="BE83" s="1439"/>
      <c r="BF83" s="1439"/>
      <c r="BG83" s="1439"/>
      <c r="BH83" s="1439"/>
      <c r="BI83" s="1439"/>
      <c r="BJ83" s="1439"/>
      <c r="BK83" s="1439"/>
      <c r="BL83" s="1439"/>
      <c r="BM83" s="1439"/>
      <c r="BN83" s="1439"/>
      <c r="BO83" s="1439"/>
      <c r="BP83" s="1439"/>
      <c r="BQ83" s="1439"/>
      <c r="BR83" s="1439"/>
      <c r="BS83" s="1439"/>
      <c r="BT83" s="1439"/>
    </row>
    <row r="84" spans="1:72" ht="29.25" customHeight="1">
      <c r="A84" s="1439"/>
      <c r="B84" s="1280"/>
      <c r="C84" s="1280"/>
      <c r="D84" s="1259"/>
      <c r="E84" s="1259"/>
      <c r="F84" s="1155"/>
      <c r="G84" s="2713"/>
      <c r="H84" s="2713"/>
      <c r="I84" s="1156"/>
      <c r="J84" s="1611" t="e">
        <f t="shared" si="1"/>
        <v>#DIV/0!</v>
      </c>
      <c r="K84" s="2714" t="e">
        <f t="shared" si="0"/>
        <v>#DIV/0!</v>
      </c>
      <c r="L84" s="2715"/>
      <c r="M84" s="2716"/>
      <c r="N84" s="2716"/>
      <c r="O84" s="2716"/>
      <c r="P84" s="2716"/>
      <c r="Q84" s="1439"/>
      <c r="R84" s="1439"/>
      <c r="S84" s="1439"/>
      <c r="T84" s="1439"/>
      <c r="U84" s="1439"/>
      <c r="V84" s="1439"/>
      <c r="W84" s="1439"/>
      <c r="X84" s="1439"/>
      <c r="Y84" s="1439"/>
      <c r="Z84" s="1439"/>
      <c r="AA84" s="1439"/>
      <c r="AB84" s="1439"/>
      <c r="AC84" s="1439"/>
      <c r="AD84" s="1439"/>
      <c r="AE84" s="1439"/>
      <c r="AF84" s="1439"/>
      <c r="AG84" s="1439"/>
      <c r="AH84" s="1439"/>
      <c r="AI84" s="1439"/>
      <c r="AJ84" s="1439"/>
      <c r="AK84" s="1439"/>
      <c r="AL84" s="1439"/>
      <c r="AM84" s="1439"/>
      <c r="AN84" s="1439"/>
      <c r="AO84" s="1439"/>
      <c r="AP84" s="1439"/>
      <c r="AQ84" s="1439"/>
      <c r="AR84" s="1439"/>
      <c r="AS84" s="1439"/>
      <c r="AT84" s="1439"/>
      <c r="AU84" s="1439"/>
      <c r="AV84" s="1439"/>
      <c r="AW84" s="1439"/>
      <c r="AX84" s="1439"/>
      <c r="AY84" s="1439"/>
      <c r="AZ84" s="1439"/>
      <c r="BA84" s="1439"/>
      <c r="BB84" s="1439"/>
      <c r="BC84" s="1439"/>
      <c r="BD84" s="1439"/>
      <c r="BE84" s="1439"/>
      <c r="BF84" s="1439"/>
      <c r="BG84" s="1439"/>
      <c r="BH84" s="1439"/>
      <c r="BI84" s="1439"/>
      <c r="BJ84" s="1439"/>
      <c r="BK84" s="1439"/>
      <c r="BL84" s="1439"/>
      <c r="BM84" s="1439"/>
      <c r="BN84" s="1439"/>
      <c r="BO84" s="1439"/>
      <c r="BP84" s="1439"/>
      <c r="BQ84" s="1439"/>
      <c r="BR84" s="1439"/>
      <c r="BS84" s="1439"/>
      <c r="BT84" s="1439"/>
    </row>
    <row r="85" spans="1:72" ht="29.25" customHeight="1">
      <c r="A85" s="1439"/>
      <c r="B85" s="1280"/>
      <c r="C85" s="1280"/>
      <c r="D85" s="1259"/>
      <c r="E85" s="1259"/>
      <c r="F85" s="1155"/>
      <c r="G85" s="2713"/>
      <c r="H85" s="2713"/>
      <c r="I85" s="1156"/>
      <c r="J85" s="1611" t="e">
        <f t="shared" si="1"/>
        <v>#DIV/0!</v>
      </c>
      <c r="K85" s="2714" t="e">
        <f t="shared" si="0"/>
        <v>#DIV/0!</v>
      </c>
      <c r="L85" s="2715"/>
      <c r="M85" s="2716"/>
      <c r="N85" s="2716"/>
      <c r="O85" s="2716"/>
      <c r="P85" s="2716"/>
      <c r="Q85" s="1439"/>
      <c r="R85" s="1439"/>
      <c r="S85" s="1439"/>
      <c r="T85" s="1439"/>
      <c r="U85" s="1439"/>
      <c r="V85" s="1439"/>
      <c r="W85" s="1439"/>
      <c r="X85" s="1439"/>
      <c r="Y85" s="1439"/>
      <c r="Z85" s="1439"/>
      <c r="AA85" s="1439"/>
      <c r="AB85" s="1439"/>
      <c r="AC85" s="1439"/>
      <c r="AD85" s="1439"/>
      <c r="AE85" s="1439"/>
      <c r="AF85" s="1439"/>
      <c r="AG85" s="1439"/>
      <c r="AH85" s="1439"/>
      <c r="AI85" s="1439"/>
      <c r="AJ85" s="1439"/>
      <c r="AK85" s="1439"/>
      <c r="AL85" s="1439"/>
      <c r="AM85" s="1439"/>
      <c r="AN85" s="1439"/>
      <c r="AO85" s="1439"/>
      <c r="AP85" s="1439"/>
      <c r="AQ85" s="1439"/>
      <c r="AR85" s="1439"/>
      <c r="AS85" s="1439"/>
      <c r="AT85" s="1439"/>
      <c r="AU85" s="1439"/>
      <c r="AV85" s="1439"/>
      <c r="AW85" s="1439"/>
      <c r="AX85" s="1439"/>
      <c r="AY85" s="1439"/>
      <c r="AZ85" s="1439"/>
      <c r="BA85" s="1439"/>
      <c r="BB85" s="1439"/>
      <c r="BC85" s="1439"/>
      <c r="BD85" s="1439"/>
      <c r="BE85" s="1439"/>
      <c r="BF85" s="1439"/>
      <c r="BG85" s="1439"/>
      <c r="BH85" s="1439"/>
      <c r="BI85" s="1439"/>
      <c r="BJ85" s="1439"/>
      <c r="BK85" s="1439"/>
      <c r="BL85" s="1439"/>
      <c r="BM85" s="1439"/>
      <c r="BN85" s="1439"/>
      <c r="BO85" s="1439"/>
      <c r="BP85" s="1439"/>
      <c r="BQ85" s="1439"/>
      <c r="BR85" s="1439"/>
      <c r="BS85" s="1439"/>
      <c r="BT85" s="1439"/>
    </row>
    <row r="86" spans="1:72" ht="29.25" customHeight="1">
      <c r="A86" s="1439"/>
      <c r="B86" s="1280"/>
      <c r="C86" s="1280"/>
      <c r="D86" s="1259"/>
      <c r="E86" s="1259"/>
      <c r="F86" s="1155"/>
      <c r="G86" s="2713"/>
      <c r="H86" s="2713"/>
      <c r="I86" s="1156"/>
      <c r="J86" s="1611" t="e">
        <f t="shared" si="1"/>
        <v>#DIV/0!</v>
      </c>
      <c r="K86" s="2714" t="e">
        <f t="shared" si="0"/>
        <v>#DIV/0!</v>
      </c>
      <c r="L86" s="2715"/>
      <c r="M86" s="2716"/>
      <c r="N86" s="2716"/>
      <c r="O86" s="2716"/>
      <c r="P86" s="2716"/>
      <c r="Q86" s="1439"/>
      <c r="R86" s="1439"/>
      <c r="S86" s="1439"/>
      <c r="T86" s="1439"/>
      <c r="U86" s="1439"/>
      <c r="V86" s="1439"/>
      <c r="W86" s="1439"/>
      <c r="X86" s="1439"/>
      <c r="Y86" s="1439"/>
      <c r="Z86" s="1439"/>
      <c r="AA86" s="1439"/>
      <c r="AB86" s="1439"/>
      <c r="AC86" s="1439"/>
      <c r="AD86" s="1439"/>
      <c r="AE86" s="1439"/>
      <c r="AF86" s="1439"/>
      <c r="AG86" s="1439"/>
      <c r="AH86" s="1439"/>
      <c r="AI86" s="1439"/>
      <c r="AJ86" s="1439"/>
      <c r="AK86" s="1439"/>
      <c r="AL86" s="1439"/>
      <c r="AM86" s="1439"/>
      <c r="AN86" s="1439"/>
      <c r="AO86" s="1439"/>
      <c r="AP86" s="1439"/>
      <c r="AQ86" s="1439"/>
      <c r="AR86" s="1439"/>
      <c r="AS86" s="1439"/>
      <c r="AT86" s="1439"/>
      <c r="AU86" s="1439"/>
      <c r="AV86" s="1439"/>
      <c r="AW86" s="1439"/>
      <c r="AX86" s="1439"/>
      <c r="AY86" s="1439"/>
      <c r="AZ86" s="1439"/>
      <c r="BA86" s="1439"/>
      <c r="BB86" s="1439"/>
      <c r="BC86" s="1439"/>
      <c r="BD86" s="1439"/>
      <c r="BE86" s="1439"/>
      <c r="BF86" s="1439"/>
      <c r="BG86" s="1439"/>
      <c r="BH86" s="1439"/>
      <c r="BI86" s="1439"/>
      <c r="BJ86" s="1439"/>
      <c r="BK86" s="1439"/>
      <c r="BL86" s="1439"/>
      <c r="BM86" s="1439"/>
      <c r="BN86" s="1439"/>
      <c r="BO86" s="1439"/>
      <c r="BP86" s="1439"/>
      <c r="BQ86" s="1439"/>
      <c r="BR86" s="1439"/>
      <c r="BS86" s="1439"/>
      <c r="BT86" s="1439"/>
    </row>
    <row r="87" spans="1:72" ht="29.25" customHeight="1">
      <c r="A87" s="1439"/>
      <c r="B87" s="1280"/>
      <c r="C87" s="1280"/>
      <c r="D87" s="1259"/>
      <c r="E87" s="1259"/>
      <c r="F87" s="1155"/>
      <c r="G87" s="2713"/>
      <c r="H87" s="2713"/>
      <c r="I87" s="1156"/>
      <c r="J87" s="1611" t="e">
        <f t="shared" si="1"/>
        <v>#DIV/0!</v>
      </c>
      <c r="K87" s="2714" t="e">
        <f t="shared" si="0"/>
        <v>#DIV/0!</v>
      </c>
      <c r="L87" s="2715"/>
      <c r="M87" s="2716"/>
      <c r="N87" s="2716"/>
      <c r="O87" s="2716"/>
      <c r="P87" s="2716"/>
      <c r="Q87" s="1439"/>
      <c r="R87" s="1439"/>
      <c r="S87" s="1439"/>
      <c r="U87" s="1439"/>
      <c r="V87" s="1439"/>
      <c r="W87" s="1439"/>
      <c r="X87" s="1439"/>
      <c r="Y87" s="1439"/>
      <c r="Z87" s="1439"/>
      <c r="AA87" s="1439"/>
      <c r="AB87" s="1439"/>
      <c r="AC87" s="1439"/>
      <c r="AD87" s="1439"/>
      <c r="AE87" s="1439"/>
      <c r="AF87" s="1439"/>
      <c r="AG87" s="1439"/>
      <c r="AH87" s="1439"/>
      <c r="AI87" s="1439"/>
      <c r="AJ87" s="1439"/>
      <c r="AK87" s="1439"/>
      <c r="AL87" s="1439"/>
      <c r="AM87" s="1439"/>
      <c r="AN87" s="1439"/>
      <c r="AO87" s="1439"/>
      <c r="AP87" s="1439"/>
      <c r="AQ87" s="1439"/>
      <c r="AR87" s="1439"/>
      <c r="AS87" s="1439"/>
      <c r="AT87" s="1439"/>
      <c r="AU87" s="1439"/>
      <c r="AV87" s="1439"/>
      <c r="AW87" s="1439"/>
      <c r="AX87" s="1439"/>
      <c r="AY87" s="1439"/>
      <c r="AZ87" s="1439"/>
      <c r="BA87" s="1439"/>
      <c r="BB87" s="1439"/>
      <c r="BC87" s="1439"/>
      <c r="BD87" s="1439"/>
      <c r="BE87" s="1439"/>
      <c r="BF87" s="1439"/>
      <c r="BG87" s="1439"/>
      <c r="BH87" s="1439"/>
      <c r="BI87" s="1439"/>
      <c r="BJ87" s="1439"/>
      <c r="BK87" s="1439"/>
      <c r="BL87" s="1439"/>
      <c r="BM87" s="1439"/>
      <c r="BN87" s="1439"/>
      <c r="BO87" s="1439"/>
      <c r="BP87" s="1439"/>
      <c r="BQ87" s="1439"/>
      <c r="BR87" s="1439"/>
      <c r="BS87" s="1439"/>
      <c r="BT87" s="1439"/>
    </row>
    <row r="90" spans="1:72">
      <c r="V90" s="1321" t="s">
        <v>403</v>
      </c>
    </row>
    <row r="91" spans="1:72">
      <c r="V91" s="1321" t="s">
        <v>405</v>
      </c>
    </row>
    <row r="92" spans="1:72">
      <c r="V92" s="1321" t="s">
        <v>404</v>
      </c>
    </row>
    <row r="170" spans="2:2" ht="18">
      <c r="B170" s="1323"/>
    </row>
  </sheetData>
  <sheetProtection sheet="1" objects="1" scenarios="1" formatCells="0" formatColumns="0" formatRows="0" insertColumns="0" insertRows="0"/>
  <mergeCells count="137">
    <mergeCell ref="M5:N5"/>
    <mergeCell ref="O5:P5"/>
    <mergeCell ref="B6:E6"/>
    <mergeCell ref="I6:J6"/>
    <mergeCell ref="K6:L6"/>
    <mergeCell ref="M6:N6"/>
    <mergeCell ref="O6:P6"/>
    <mergeCell ref="B9:J9"/>
    <mergeCell ref="K9:L9"/>
    <mergeCell ref="M9:N9"/>
    <mergeCell ref="O9:P9"/>
    <mergeCell ref="B10:J10"/>
    <mergeCell ref="K10:L10"/>
    <mergeCell ref="M10:N10"/>
    <mergeCell ref="O10:P10"/>
    <mergeCell ref="B7:E7"/>
    <mergeCell ref="I7:J7"/>
    <mergeCell ref="K7:L7"/>
    <mergeCell ref="M7:N7"/>
    <mergeCell ref="O7:P7"/>
    <mergeCell ref="B8:J8"/>
    <mergeCell ref="K8:L8"/>
    <mergeCell ref="M8:N8"/>
    <mergeCell ref="O8:P8"/>
    <mergeCell ref="B13:E13"/>
    <mergeCell ref="I13:J13"/>
    <mergeCell ref="K13:L13"/>
    <mergeCell ref="M13:N13"/>
    <mergeCell ref="O13:P13"/>
    <mergeCell ref="I14:J14"/>
    <mergeCell ref="K14:L14"/>
    <mergeCell ref="B11:J11"/>
    <mergeCell ref="K11:L11"/>
    <mergeCell ref="M11:N11"/>
    <mergeCell ref="O11:P11"/>
    <mergeCell ref="B12:J12"/>
    <mergeCell ref="K12:L12"/>
    <mergeCell ref="M12:N12"/>
    <mergeCell ref="O12:P12"/>
    <mergeCell ref="B20:J20"/>
    <mergeCell ref="B21:J21"/>
    <mergeCell ref="B23:K23"/>
    <mergeCell ref="F43:G43"/>
    <mergeCell ref="H43:L43"/>
    <mergeCell ref="B44:C44"/>
    <mergeCell ref="D44:E44"/>
    <mergeCell ref="F44:G44"/>
    <mergeCell ref="H44:L44"/>
    <mergeCell ref="B48:C48"/>
    <mergeCell ref="D48:E48"/>
    <mergeCell ref="F48:G48"/>
    <mergeCell ref="H48:L48"/>
    <mergeCell ref="B49:C49"/>
    <mergeCell ref="D49:E49"/>
    <mergeCell ref="F49:G49"/>
    <mergeCell ref="H49:L49"/>
    <mergeCell ref="B45:P45"/>
    <mergeCell ref="B46:C46"/>
    <mergeCell ref="D46:E46"/>
    <mergeCell ref="F46:G46"/>
    <mergeCell ref="H46:L46"/>
    <mergeCell ref="B47:C47"/>
    <mergeCell ref="D47:E47"/>
    <mergeCell ref="F47:G47"/>
    <mergeCell ref="H47:L47"/>
    <mergeCell ref="B53:G53"/>
    <mergeCell ref="H53:L53"/>
    <mergeCell ref="B54:G54"/>
    <mergeCell ref="H54:L54"/>
    <mergeCell ref="B55:G55"/>
    <mergeCell ref="H55:L55"/>
    <mergeCell ref="B50:C50"/>
    <mergeCell ref="D50:E50"/>
    <mergeCell ref="F50:G50"/>
    <mergeCell ref="H50:L50"/>
    <mergeCell ref="B51:P51"/>
    <mergeCell ref="B52:G52"/>
    <mergeCell ref="H52:L52"/>
    <mergeCell ref="B60:G60"/>
    <mergeCell ref="H60:L60"/>
    <mergeCell ref="B61:G61"/>
    <mergeCell ref="H61:L61"/>
    <mergeCell ref="B62:G62"/>
    <mergeCell ref="H62:L62"/>
    <mergeCell ref="B56:G56"/>
    <mergeCell ref="H56:L56"/>
    <mergeCell ref="B57:G57"/>
    <mergeCell ref="H57:L57"/>
    <mergeCell ref="B58:P58"/>
    <mergeCell ref="B59:G59"/>
    <mergeCell ref="H59:L59"/>
    <mergeCell ref="B68:G68"/>
    <mergeCell ref="H68:L68"/>
    <mergeCell ref="B69:N69"/>
    <mergeCell ref="B70:P70"/>
    <mergeCell ref="B71:G71"/>
    <mergeCell ref="H71:L71"/>
    <mergeCell ref="B63:N63"/>
    <mergeCell ref="B64:N64"/>
    <mergeCell ref="B65:P65"/>
    <mergeCell ref="B66:G66"/>
    <mergeCell ref="H66:L66"/>
    <mergeCell ref="B67:G67"/>
    <mergeCell ref="H67:L67"/>
    <mergeCell ref="G79:H79"/>
    <mergeCell ref="K79:L79"/>
    <mergeCell ref="M79:P79"/>
    <mergeCell ref="G80:H80"/>
    <mergeCell ref="K80:L80"/>
    <mergeCell ref="M80:P80"/>
    <mergeCell ref="B72:N72"/>
    <mergeCell ref="B73:N73"/>
    <mergeCell ref="B74:N74"/>
    <mergeCell ref="G78:H78"/>
    <mergeCell ref="K78:L78"/>
    <mergeCell ref="M78:P78"/>
    <mergeCell ref="G83:H83"/>
    <mergeCell ref="K83:L83"/>
    <mergeCell ref="M83:P83"/>
    <mergeCell ref="G84:H84"/>
    <mergeCell ref="K84:L84"/>
    <mergeCell ref="M84:P84"/>
    <mergeCell ref="G81:H81"/>
    <mergeCell ref="K81:L81"/>
    <mergeCell ref="M81:P81"/>
    <mergeCell ref="G82:H82"/>
    <mergeCell ref="K82:L82"/>
    <mergeCell ref="M82:P82"/>
    <mergeCell ref="G87:H87"/>
    <mergeCell ref="K87:L87"/>
    <mergeCell ref="M87:P87"/>
    <mergeCell ref="G85:H85"/>
    <mergeCell ref="K85:L85"/>
    <mergeCell ref="M85:P85"/>
    <mergeCell ref="G86:H86"/>
    <mergeCell ref="K86:L86"/>
    <mergeCell ref="M86:P86"/>
  </mergeCells>
  <conditionalFormatting sqref="J79:J87">
    <cfRule type="cellIs" dxfId="17" priority="1" stopIfTrue="1" operator="greaterThan">
      <formula>8</formula>
    </cfRule>
  </conditionalFormatting>
  <dataValidations count="2">
    <dataValidation type="list" allowBlank="1" showInputMessage="1" showErrorMessage="1" sqref="L25:L40 JH25:JH40 TD25:TD40 ACZ25:ACZ40 AMV25:AMV40 AWR25:AWR40 BGN25:BGN40 BQJ25:BQJ40 CAF25:CAF40 CKB25:CKB40 CTX25:CTX40 DDT25:DDT40 DNP25:DNP40 DXL25:DXL40 EHH25:EHH40 ERD25:ERD40 FAZ25:FAZ40 FKV25:FKV40 FUR25:FUR40 GEN25:GEN40 GOJ25:GOJ40 GYF25:GYF40 HIB25:HIB40 HRX25:HRX40 IBT25:IBT40 ILP25:ILP40 IVL25:IVL40 JFH25:JFH40 JPD25:JPD40 JYZ25:JYZ40 KIV25:KIV40 KSR25:KSR40 LCN25:LCN40 LMJ25:LMJ40 LWF25:LWF40 MGB25:MGB40 MPX25:MPX40 MZT25:MZT40 NJP25:NJP40 NTL25:NTL40 ODH25:ODH40 OND25:OND40 OWZ25:OWZ40 PGV25:PGV40 PQR25:PQR40 QAN25:QAN40 QKJ25:QKJ40 QUF25:QUF40 REB25:REB40 RNX25:RNX40 RXT25:RXT40 SHP25:SHP40 SRL25:SRL40 TBH25:TBH40 TLD25:TLD40 TUZ25:TUZ40 UEV25:UEV40 UOR25:UOR40 UYN25:UYN40 VIJ25:VIJ40 VSF25:VSF40 WCB25:WCB40 WLX25:WLX40 WVT25:WVT40 L65561:L65576 JH65561:JH65576 TD65561:TD65576 ACZ65561:ACZ65576 AMV65561:AMV65576 AWR65561:AWR65576 BGN65561:BGN65576 BQJ65561:BQJ65576 CAF65561:CAF65576 CKB65561:CKB65576 CTX65561:CTX65576 DDT65561:DDT65576 DNP65561:DNP65576 DXL65561:DXL65576 EHH65561:EHH65576 ERD65561:ERD65576 FAZ65561:FAZ65576 FKV65561:FKV65576 FUR65561:FUR65576 GEN65561:GEN65576 GOJ65561:GOJ65576 GYF65561:GYF65576 HIB65561:HIB65576 HRX65561:HRX65576 IBT65561:IBT65576 ILP65561:ILP65576 IVL65561:IVL65576 JFH65561:JFH65576 JPD65561:JPD65576 JYZ65561:JYZ65576 KIV65561:KIV65576 KSR65561:KSR65576 LCN65561:LCN65576 LMJ65561:LMJ65576 LWF65561:LWF65576 MGB65561:MGB65576 MPX65561:MPX65576 MZT65561:MZT65576 NJP65561:NJP65576 NTL65561:NTL65576 ODH65561:ODH65576 OND65561:OND65576 OWZ65561:OWZ65576 PGV65561:PGV65576 PQR65561:PQR65576 QAN65561:QAN65576 QKJ65561:QKJ65576 QUF65561:QUF65576 REB65561:REB65576 RNX65561:RNX65576 RXT65561:RXT65576 SHP65561:SHP65576 SRL65561:SRL65576 TBH65561:TBH65576 TLD65561:TLD65576 TUZ65561:TUZ65576 UEV65561:UEV65576 UOR65561:UOR65576 UYN65561:UYN65576 VIJ65561:VIJ65576 VSF65561:VSF65576 WCB65561:WCB65576 WLX65561:WLX65576 WVT65561:WVT65576 L131097:L131112 JH131097:JH131112 TD131097:TD131112 ACZ131097:ACZ131112 AMV131097:AMV131112 AWR131097:AWR131112 BGN131097:BGN131112 BQJ131097:BQJ131112 CAF131097:CAF131112 CKB131097:CKB131112 CTX131097:CTX131112 DDT131097:DDT131112 DNP131097:DNP131112 DXL131097:DXL131112 EHH131097:EHH131112 ERD131097:ERD131112 FAZ131097:FAZ131112 FKV131097:FKV131112 FUR131097:FUR131112 GEN131097:GEN131112 GOJ131097:GOJ131112 GYF131097:GYF131112 HIB131097:HIB131112 HRX131097:HRX131112 IBT131097:IBT131112 ILP131097:ILP131112 IVL131097:IVL131112 JFH131097:JFH131112 JPD131097:JPD131112 JYZ131097:JYZ131112 KIV131097:KIV131112 KSR131097:KSR131112 LCN131097:LCN131112 LMJ131097:LMJ131112 LWF131097:LWF131112 MGB131097:MGB131112 MPX131097:MPX131112 MZT131097:MZT131112 NJP131097:NJP131112 NTL131097:NTL131112 ODH131097:ODH131112 OND131097:OND131112 OWZ131097:OWZ131112 PGV131097:PGV131112 PQR131097:PQR131112 QAN131097:QAN131112 QKJ131097:QKJ131112 QUF131097:QUF131112 REB131097:REB131112 RNX131097:RNX131112 RXT131097:RXT131112 SHP131097:SHP131112 SRL131097:SRL131112 TBH131097:TBH131112 TLD131097:TLD131112 TUZ131097:TUZ131112 UEV131097:UEV131112 UOR131097:UOR131112 UYN131097:UYN131112 VIJ131097:VIJ131112 VSF131097:VSF131112 WCB131097:WCB131112 WLX131097:WLX131112 WVT131097:WVT131112 L196633:L196648 JH196633:JH196648 TD196633:TD196648 ACZ196633:ACZ196648 AMV196633:AMV196648 AWR196633:AWR196648 BGN196633:BGN196648 BQJ196633:BQJ196648 CAF196633:CAF196648 CKB196633:CKB196648 CTX196633:CTX196648 DDT196633:DDT196648 DNP196633:DNP196648 DXL196633:DXL196648 EHH196633:EHH196648 ERD196633:ERD196648 FAZ196633:FAZ196648 FKV196633:FKV196648 FUR196633:FUR196648 GEN196633:GEN196648 GOJ196633:GOJ196648 GYF196633:GYF196648 HIB196633:HIB196648 HRX196633:HRX196648 IBT196633:IBT196648 ILP196633:ILP196648 IVL196633:IVL196648 JFH196633:JFH196648 JPD196633:JPD196648 JYZ196633:JYZ196648 KIV196633:KIV196648 KSR196633:KSR196648 LCN196633:LCN196648 LMJ196633:LMJ196648 LWF196633:LWF196648 MGB196633:MGB196648 MPX196633:MPX196648 MZT196633:MZT196648 NJP196633:NJP196648 NTL196633:NTL196648 ODH196633:ODH196648 OND196633:OND196648 OWZ196633:OWZ196648 PGV196633:PGV196648 PQR196633:PQR196648 QAN196633:QAN196648 QKJ196633:QKJ196648 QUF196633:QUF196648 REB196633:REB196648 RNX196633:RNX196648 RXT196633:RXT196648 SHP196633:SHP196648 SRL196633:SRL196648 TBH196633:TBH196648 TLD196633:TLD196648 TUZ196633:TUZ196648 UEV196633:UEV196648 UOR196633:UOR196648 UYN196633:UYN196648 VIJ196633:VIJ196648 VSF196633:VSF196648 WCB196633:WCB196648 WLX196633:WLX196648 WVT196633:WVT196648 L262169:L262184 JH262169:JH262184 TD262169:TD262184 ACZ262169:ACZ262184 AMV262169:AMV262184 AWR262169:AWR262184 BGN262169:BGN262184 BQJ262169:BQJ262184 CAF262169:CAF262184 CKB262169:CKB262184 CTX262169:CTX262184 DDT262169:DDT262184 DNP262169:DNP262184 DXL262169:DXL262184 EHH262169:EHH262184 ERD262169:ERD262184 FAZ262169:FAZ262184 FKV262169:FKV262184 FUR262169:FUR262184 GEN262169:GEN262184 GOJ262169:GOJ262184 GYF262169:GYF262184 HIB262169:HIB262184 HRX262169:HRX262184 IBT262169:IBT262184 ILP262169:ILP262184 IVL262169:IVL262184 JFH262169:JFH262184 JPD262169:JPD262184 JYZ262169:JYZ262184 KIV262169:KIV262184 KSR262169:KSR262184 LCN262169:LCN262184 LMJ262169:LMJ262184 LWF262169:LWF262184 MGB262169:MGB262184 MPX262169:MPX262184 MZT262169:MZT262184 NJP262169:NJP262184 NTL262169:NTL262184 ODH262169:ODH262184 OND262169:OND262184 OWZ262169:OWZ262184 PGV262169:PGV262184 PQR262169:PQR262184 QAN262169:QAN262184 QKJ262169:QKJ262184 QUF262169:QUF262184 REB262169:REB262184 RNX262169:RNX262184 RXT262169:RXT262184 SHP262169:SHP262184 SRL262169:SRL262184 TBH262169:TBH262184 TLD262169:TLD262184 TUZ262169:TUZ262184 UEV262169:UEV262184 UOR262169:UOR262184 UYN262169:UYN262184 VIJ262169:VIJ262184 VSF262169:VSF262184 WCB262169:WCB262184 WLX262169:WLX262184 WVT262169:WVT262184 L327705:L327720 JH327705:JH327720 TD327705:TD327720 ACZ327705:ACZ327720 AMV327705:AMV327720 AWR327705:AWR327720 BGN327705:BGN327720 BQJ327705:BQJ327720 CAF327705:CAF327720 CKB327705:CKB327720 CTX327705:CTX327720 DDT327705:DDT327720 DNP327705:DNP327720 DXL327705:DXL327720 EHH327705:EHH327720 ERD327705:ERD327720 FAZ327705:FAZ327720 FKV327705:FKV327720 FUR327705:FUR327720 GEN327705:GEN327720 GOJ327705:GOJ327720 GYF327705:GYF327720 HIB327705:HIB327720 HRX327705:HRX327720 IBT327705:IBT327720 ILP327705:ILP327720 IVL327705:IVL327720 JFH327705:JFH327720 JPD327705:JPD327720 JYZ327705:JYZ327720 KIV327705:KIV327720 KSR327705:KSR327720 LCN327705:LCN327720 LMJ327705:LMJ327720 LWF327705:LWF327720 MGB327705:MGB327720 MPX327705:MPX327720 MZT327705:MZT327720 NJP327705:NJP327720 NTL327705:NTL327720 ODH327705:ODH327720 OND327705:OND327720 OWZ327705:OWZ327720 PGV327705:PGV327720 PQR327705:PQR327720 QAN327705:QAN327720 QKJ327705:QKJ327720 QUF327705:QUF327720 REB327705:REB327720 RNX327705:RNX327720 RXT327705:RXT327720 SHP327705:SHP327720 SRL327705:SRL327720 TBH327705:TBH327720 TLD327705:TLD327720 TUZ327705:TUZ327720 UEV327705:UEV327720 UOR327705:UOR327720 UYN327705:UYN327720 VIJ327705:VIJ327720 VSF327705:VSF327720 WCB327705:WCB327720 WLX327705:WLX327720 WVT327705:WVT327720 L393241:L393256 JH393241:JH393256 TD393241:TD393256 ACZ393241:ACZ393256 AMV393241:AMV393256 AWR393241:AWR393256 BGN393241:BGN393256 BQJ393241:BQJ393256 CAF393241:CAF393256 CKB393241:CKB393256 CTX393241:CTX393256 DDT393241:DDT393256 DNP393241:DNP393256 DXL393241:DXL393256 EHH393241:EHH393256 ERD393241:ERD393256 FAZ393241:FAZ393256 FKV393241:FKV393256 FUR393241:FUR393256 GEN393241:GEN393256 GOJ393241:GOJ393256 GYF393241:GYF393256 HIB393241:HIB393256 HRX393241:HRX393256 IBT393241:IBT393256 ILP393241:ILP393256 IVL393241:IVL393256 JFH393241:JFH393256 JPD393241:JPD393256 JYZ393241:JYZ393256 KIV393241:KIV393256 KSR393241:KSR393256 LCN393241:LCN393256 LMJ393241:LMJ393256 LWF393241:LWF393256 MGB393241:MGB393256 MPX393241:MPX393256 MZT393241:MZT393256 NJP393241:NJP393256 NTL393241:NTL393256 ODH393241:ODH393256 OND393241:OND393256 OWZ393241:OWZ393256 PGV393241:PGV393256 PQR393241:PQR393256 QAN393241:QAN393256 QKJ393241:QKJ393256 QUF393241:QUF393256 REB393241:REB393256 RNX393241:RNX393256 RXT393241:RXT393256 SHP393241:SHP393256 SRL393241:SRL393256 TBH393241:TBH393256 TLD393241:TLD393256 TUZ393241:TUZ393256 UEV393241:UEV393256 UOR393241:UOR393256 UYN393241:UYN393256 VIJ393241:VIJ393256 VSF393241:VSF393256 WCB393241:WCB393256 WLX393241:WLX393256 WVT393241:WVT393256 L458777:L458792 JH458777:JH458792 TD458777:TD458792 ACZ458777:ACZ458792 AMV458777:AMV458792 AWR458777:AWR458792 BGN458777:BGN458792 BQJ458777:BQJ458792 CAF458777:CAF458792 CKB458777:CKB458792 CTX458777:CTX458792 DDT458777:DDT458792 DNP458777:DNP458792 DXL458777:DXL458792 EHH458777:EHH458792 ERD458777:ERD458792 FAZ458777:FAZ458792 FKV458777:FKV458792 FUR458777:FUR458792 GEN458777:GEN458792 GOJ458777:GOJ458792 GYF458777:GYF458792 HIB458777:HIB458792 HRX458777:HRX458792 IBT458777:IBT458792 ILP458777:ILP458792 IVL458777:IVL458792 JFH458777:JFH458792 JPD458777:JPD458792 JYZ458777:JYZ458792 KIV458777:KIV458792 KSR458777:KSR458792 LCN458777:LCN458792 LMJ458777:LMJ458792 LWF458777:LWF458792 MGB458777:MGB458792 MPX458777:MPX458792 MZT458777:MZT458792 NJP458777:NJP458792 NTL458777:NTL458792 ODH458777:ODH458792 OND458777:OND458792 OWZ458777:OWZ458792 PGV458777:PGV458792 PQR458777:PQR458792 QAN458777:QAN458792 QKJ458777:QKJ458792 QUF458777:QUF458792 REB458777:REB458792 RNX458777:RNX458792 RXT458777:RXT458792 SHP458777:SHP458792 SRL458777:SRL458792 TBH458777:TBH458792 TLD458777:TLD458792 TUZ458777:TUZ458792 UEV458777:UEV458792 UOR458777:UOR458792 UYN458777:UYN458792 VIJ458777:VIJ458792 VSF458777:VSF458792 WCB458777:WCB458792 WLX458777:WLX458792 WVT458777:WVT458792 L524313:L524328 JH524313:JH524328 TD524313:TD524328 ACZ524313:ACZ524328 AMV524313:AMV524328 AWR524313:AWR524328 BGN524313:BGN524328 BQJ524313:BQJ524328 CAF524313:CAF524328 CKB524313:CKB524328 CTX524313:CTX524328 DDT524313:DDT524328 DNP524313:DNP524328 DXL524313:DXL524328 EHH524313:EHH524328 ERD524313:ERD524328 FAZ524313:FAZ524328 FKV524313:FKV524328 FUR524313:FUR524328 GEN524313:GEN524328 GOJ524313:GOJ524328 GYF524313:GYF524328 HIB524313:HIB524328 HRX524313:HRX524328 IBT524313:IBT524328 ILP524313:ILP524328 IVL524313:IVL524328 JFH524313:JFH524328 JPD524313:JPD524328 JYZ524313:JYZ524328 KIV524313:KIV524328 KSR524313:KSR524328 LCN524313:LCN524328 LMJ524313:LMJ524328 LWF524313:LWF524328 MGB524313:MGB524328 MPX524313:MPX524328 MZT524313:MZT524328 NJP524313:NJP524328 NTL524313:NTL524328 ODH524313:ODH524328 OND524313:OND524328 OWZ524313:OWZ524328 PGV524313:PGV524328 PQR524313:PQR524328 QAN524313:QAN524328 QKJ524313:QKJ524328 QUF524313:QUF524328 REB524313:REB524328 RNX524313:RNX524328 RXT524313:RXT524328 SHP524313:SHP524328 SRL524313:SRL524328 TBH524313:TBH524328 TLD524313:TLD524328 TUZ524313:TUZ524328 UEV524313:UEV524328 UOR524313:UOR524328 UYN524313:UYN524328 VIJ524313:VIJ524328 VSF524313:VSF524328 WCB524313:WCB524328 WLX524313:WLX524328 WVT524313:WVT524328 L589849:L589864 JH589849:JH589864 TD589849:TD589864 ACZ589849:ACZ589864 AMV589849:AMV589864 AWR589849:AWR589864 BGN589849:BGN589864 BQJ589849:BQJ589864 CAF589849:CAF589864 CKB589849:CKB589864 CTX589849:CTX589864 DDT589849:DDT589864 DNP589849:DNP589864 DXL589849:DXL589864 EHH589849:EHH589864 ERD589849:ERD589864 FAZ589849:FAZ589864 FKV589849:FKV589864 FUR589849:FUR589864 GEN589849:GEN589864 GOJ589849:GOJ589864 GYF589849:GYF589864 HIB589849:HIB589864 HRX589849:HRX589864 IBT589849:IBT589864 ILP589849:ILP589864 IVL589849:IVL589864 JFH589849:JFH589864 JPD589849:JPD589864 JYZ589849:JYZ589864 KIV589849:KIV589864 KSR589849:KSR589864 LCN589849:LCN589864 LMJ589849:LMJ589864 LWF589849:LWF589864 MGB589849:MGB589864 MPX589849:MPX589864 MZT589849:MZT589864 NJP589849:NJP589864 NTL589849:NTL589864 ODH589849:ODH589864 OND589849:OND589864 OWZ589849:OWZ589864 PGV589849:PGV589864 PQR589849:PQR589864 QAN589849:QAN589864 QKJ589849:QKJ589864 QUF589849:QUF589864 REB589849:REB589864 RNX589849:RNX589864 RXT589849:RXT589864 SHP589849:SHP589864 SRL589849:SRL589864 TBH589849:TBH589864 TLD589849:TLD589864 TUZ589849:TUZ589864 UEV589849:UEV589864 UOR589849:UOR589864 UYN589849:UYN589864 VIJ589849:VIJ589864 VSF589849:VSF589864 WCB589849:WCB589864 WLX589849:WLX589864 WVT589849:WVT589864 L655385:L655400 JH655385:JH655400 TD655385:TD655400 ACZ655385:ACZ655400 AMV655385:AMV655400 AWR655385:AWR655400 BGN655385:BGN655400 BQJ655385:BQJ655400 CAF655385:CAF655400 CKB655385:CKB655400 CTX655385:CTX655400 DDT655385:DDT655400 DNP655385:DNP655400 DXL655385:DXL655400 EHH655385:EHH655400 ERD655385:ERD655400 FAZ655385:FAZ655400 FKV655385:FKV655400 FUR655385:FUR655400 GEN655385:GEN655400 GOJ655385:GOJ655400 GYF655385:GYF655400 HIB655385:HIB655400 HRX655385:HRX655400 IBT655385:IBT655400 ILP655385:ILP655400 IVL655385:IVL655400 JFH655385:JFH655400 JPD655385:JPD655400 JYZ655385:JYZ655400 KIV655385:KIV655400 KSR655385:KSR655400 LCN655385:LCN655400 LMJ655385:LMJ655400 LWF655385:LWF655400 MGB655385:MGB655400 MPX655385:MPX655400 MZT655385:MZT655400 NJP655385:NJP655400 NTL655385:NTL655400 ODH655385:ODH655400 OND655385:OND655400 OWZ655385:OWZ655400 PGV655385:PGV655400 PQR655385:PQR655400 QAN655385:QAN655400 QKJ655385:QKJ655400 QUF655385:QUF655400 REB655385:REB655400 RNX655385:RNX655400 RXT655385:RXT655400 SHP655385:SHP655400 SRL655385:SRL655400 TBH655385:TBH655400 TLD655385:TLD655400 TUZ655385:TUZ655400 UEV655385:UEV655400 UOR655385:UOR655400 UYN655385:UYN655400 VIJ655385:VIJ655400 VSF655385:VSF655400 WCB655385:WCB655400 WLX655385:WLX655400 WVT655385:WVT655400 L720921:L720936 JH720921:JH720936 TD720921:TD720936 ACZ720921:ACZ720936 AMV720921:AMV720936 AWR720921:AWR720936 BGN720921:BGN720936 BQJ720921:BQJ720936 CAF720921:CAF720936 CKB720921:CKB720936 CTX720921:CTX720936 DDT720921:DDT720936 DNP720921:DNP720936 DXL720921:DXL720936 EHH720921:EHH720936 ERD720921:ERD720936 FAZ720921:FAZ720936 FKV720921:FKV720936 FUR720921:FUR720936 GEN720921:GEN720936 GOJ720921:GOJ720936 GYF720921:GYF720936 HIB720921:HIB720936 HRX720921:HRX720936 IBT720921:IBT720936 ILP720921:ILP720936 IVL720921:IVL720936 JFH720921:JFH720936 JPD720921:JPD720936 JYZ720921:JYZ720936 KIV720921:KIV720936 KSR720921:KSR720936 LCN720921:LCN720936 LMJ720921:LMJ720936 LWF720921:LWF720936 MGB720921:MGB720936 MPX720921:MPX720936 MZT720921:MZT720936 NJP720921:NJP720936 NTL720921:NTL720936 ODH720921:ODH720936 OND720921:OND720936 OWZ720921:OWZ720936 PGV720921:PGV720936 PQR720921:PQR720936 QAN720921:QAN720936 QKJ720921:QKJ720936 QUF720921:QUF720936 REB720921:REB720936 RNX720921:RNX720936 RXT720921:RXT720936 SHP720921:SHP720936 SRL720921:SRL720936 TBH720921:TBH720936 TLD720921:TLD720936 TUZ720921:TUZ720936 UEV720921:UEV720936 UOR720921:UOR720936 UYN720921:UYN720936 VIJ720921:VIJ720936 VSF720921:VSF720936 WCB720921:WCB720936 WLX720921:WLX720936 WVT720921:WVT720936 L786457:L786472 JH786457:JH786472 TD786457:TD786472 ACZ786457:ACZ786472 AMV786457:AMV786472 AWR786457:AWR786472 BGN786457:BGN786472 BQJ786457:BQJ786472 CAF786457:CAF786472 CKB786457:CKB786472 CTX786457:CTX786472 DDT786457:DDT786472 DNP786457:DNP786472 DXL786457:DXL786472 EHH786457:EHH786472 ERD786457:ERD786472 FAZ786457:FAZ786472 FKV786457:FKV786472 FUR786457:FUR786472 GEN786457:GEN786472 GOJ786457:GOJ786472 GYF786457:GYF786472 HIB786457:HIB786472 HRX786457:HRX786472 IBT786457:IBT786472 ILP786457:ILP786472 IVL786457:IVL786472 JFH786457:JFH786472 JPD786457:JPD786472 JYZ786457:JYZ786472 KIV786457:KIV786472 KSR786457:KSR786472 LCN786457:LCN786472 LMJ786457:LMJ786472 LWF786457:LWF786472 MGB786457:MGB786472 MPX786457:MPX786472 MZT786457:MZT786472 NJP786457:NJP786472 NTL786457:NTL786472 ODH786457:ODH786472 OND786457:OND786472 OWZ786457:OWZ786472 PGV786457:PGV786472 PQR786457:PQR786472 QAN786457:QAN786472 QKJ786457:QKJ786472 QUF786457:QUF786472 REB786457:REB786472 RNX786457:RNX786472 RXT786457:RXT786472 SHP786457:SHP786472 SRL786457:SRL786472 TBH786457:TBH786472 TLD786457:TLD786472 TUZ786457:TUZ786472 UEV786457:UEV786472 UOR786457:UOR786472 UYN786457:UYN786472 VIJ786457:VIJ786472 VSF786457:VSF786472 WCB786457:WCB786472 WLX786457:WLX786472 WVT786457:WVT786472 L851993:L852008 JH851993:JH852008 TD851993:TD852008 ACZ851993:ACZ852008 AMV851993:AMV852008 AWR851993:AWR852008 BGN851993:BGN852008 BQJ851993:BQJ852008 CAF851993:CAF852008 CKB851993:CKB852008 CTX851993:CTX852008 DDT851993:DDT852008 DNP851993:DNP852008 DXL851993:DXL852008 EHH851993:EHH852008 ERD851993:ERD852008 FAZ851993:FAZ852008 FKV851993:FKV852008 FUR851993:FUR852008 GEN851993:GEN852008 GOJ851993:GOJ852008 GYF851993:GYF852008 HIB851993:HIB852008 HRX851993:HRX852008 IBT851993:IBT852008 ILP851993:ILP852008 IVL851993:IVL852008 JFH851993:JFH852008 JPD851993:JPD852008 JYZ851993:JYZ852008 KIV851993:KIV852008 KSR851993:KSR852008 LCN851993:LCN852008 LMJ851993:LMJ852008 LWF851993:LWF852008 MGB851993:MGB852008 MPX851993:MPX852008 MZT851993:MZT852008 NJP851993:NJP852008 NTL851993:NTL852008 ODH851993:ODH852008 OND851993:OND852008 OWZ851993:OWZ852008 PGV851993:PGV852008 PQR851993:PQR852008 QAN851993:QAN852008 QKJ851993:QKJ852008 QUF851993:QUF852008 REB851993:REB852008 RNX851993:RNX852008 RXT851993:RXT852008 SHP851993:SHP852008 SRL851993:SRL852008 TBH851993:TBH852008 TLD851993:TLD852008 TUZ851993:TUZ852008 UEV851993:UEV852008 UOR851993:UOR852008 UYN851993:UYN852008 VIJ851993:VIJ852008 VSF851993:VSF852008 WCB851993:WCB852008 WLX851993:WLX852008 WVT851993:WVT852008 L917529:L917544 JH917529:JH917544 TD917529:TD917544 ACZ917529:ACZ917544 AMV917529:AMV917544 AWR917529:AWR917544 BGN917529:BGN917544 BQJ917529:BQJ917544 CAF917529:CAF917544 CKB917529:CKB917544 CTX917529:CTX917544 DDT917529:DDT917544 DNP917529:DNP917544 DXL917529:DXL917544 EHH917529:EHH917544 ERD917529:ERD917544 FAZ917529:FAZ917544 FKV917529:FKV917544 FUR917529:FUR917544 GEN917529:GEN917544 GOJ917529:GOJ917544 GYF917529:GYF917544 HIB917529:HIB917544 HRX917529:HRX917544 IBT917529:IBT917544 ILP917529:ILP917544 IVL917529:IVL917544 JFH917529:JFH917544 JPD917529:JPD917544 JYZ917529:JYZ917544 KIV917529:KIV917544 KSR917529:KSR917544 LCN917529:LCN917544 LMJ917529:LMJ917544 LWF917529:LWF917544 MGB917529:MGB917544 MPX917529:MPX917544 MZT917529:MZT917544 NJP917529:NJP917544 NTL917529:NTL917544 ODH917529:ODH917544 OND917529:OND917544 OWZ917529:OWZ917544 PGV917529:PGV917544 PQR917529:PQR917544 QAN917529:QAN917544 QKJ917529:QKJ917544 QUF917529:QUF917544 REB917529:REB917544 RNX917529:RNX917544 RXT917529:RXT917544 SHP917529:SHP917544 SRL917529:SRL917544 TBH917529:TBH917544 TLD917529:TLD917544 TUZ917529:TUZ917544 UEV917529:UEV917544 UOR917529:UOR917544 UYN917529:UYN917544 VIJ917529:VIJ917544 VSF917529:VSF917544 WCB917529:WCB917544 WLX917529:WLX917544 WVT917529:WVT917544 L983065:L983080 JH983065:JH983080 TD983065:TD983080 ACZ983065:ACZ983080 AMV983065:AMV983080 AWR983065:AWR983080 BGN983065:BGN983080 BQJ983065:BQJ983080 CAF983065:CAF983080 CKB983065:CKB983080 CTX983065:CTX983080 DDT983065:DDT983080 DNP983065:DNP983080 DXL983065:DXL983080 EHH983065:EHH983080 ERD983065:ERD983080 FAZ983065:FAZ983080 FKV983065:FKV983080 FUR983065:FUR983080 GEN983065:GEN983080 GOJ983065:GOJ983080 GYF983065:GYF983080 HIB983065:HIB983080 HRX983065:HRX983080 IBT983065:IBT983080 ILP983065:ILP983080 IVL983065:IVL983080 JFH983065:JFH983080 JPD983065:JPD983080 JYZ983065:JYZ983080 KIV983065:KIV983080 KSR983065:KSR983080 LCN983065:LCN983080 LMJ983065:LMJ983080 LWF983065:LWF983080 MGB983065:MGB983080 MPX983065:MPX983080 MZT983065:MZT983080 NJP983065:NJP983080 NTL983065:NTL983080 ODH983065:ODH983080 OND983065:OND983080 OWZ983065:OWZ983080 PGV983065:PGV983080 PQR983065:PQR983080 QAN983065:QAN983080 QKJ983065:QKJ983080 QUF983065:QUF983080 REB983065:REB983080 RNX983065:RNX983080 RXT983065:RXT983080 SHP983065:SHP983080 SRL983065:SRL983080 TBH983065:TBH983080 TLD983065:TLD983080 TUZ983065:TUZ983080 UEV983065:UEV983080 UOR983065:UOR983080 UYN983065:UYN983080 VIJ983065:VIJ983080 VSF983065:VSF983080 WCB983065:WCB983080 WLX983065:WLX983080 WVT983065:WVT983080">
      <formula1>"Yes,No"</formula1>
    </dataValidation>
    <dataValidation type="list" allowBlank="1" showInputMessage="1" showErrorMessage="1" sqref="N25:O40">
      <formula1>YesNo</formula1>
    </dataValidation>
  </dataValidations>
  <hyperlinks>
    <hyperlink ref="A1" location="'Table Of Contents'!A1" display="TOC"/>
  </hyperlinks>
  <pageMargins left="0.25" right="0.25" top="0.75" bottom="0.75" header="0.3" footer="0.3"/>
  <pageSetup scale="47"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"Yes,No,NA"</xm:f>
          </x14:formula1>
          <xm:sqref>WVV983086:WVW983090 JJ25:JK40 TF25:TG40 ADB25:ADC40 AMX25:AMY40 AWT25:AWU40 BGP25:BGQ40 BQL25:BQM40 CAH25:CAI40 CKD25:CKE40 CTZ25:CUA40 DDV25:DDW40 DNR25:DNS40 DXN25:DXO40 EHJ25:EHK40 ERF25:ERG40 FBB25:FBC40 FKX25:FKY40 FUT25:FUU40 GEP25:GEQ40 GOL25:GOM40 GYH25:GYI40 HID25:HIE40 HRZ25:HSA40 IBV25:IBW40 ILR25:ILS40 IVN25:IVO40 JFJ25:JFK40 JPF25:JPG40 JZB25:JZC40 KIX25:KIY40 KST25:KSU40 LCP25:LCQ40 LML25:LMM40 LWH25:LWI40 MGD25:MGE40 MPZ25:MQA40 MZV25:MZW40 NJR25:NJS40 NTN25:NTO40 ODJ25:ODK40 ONF25:ONG40 OXB25:OXC40 PGX25:PGY40 PQT25:PQU40 QAP25:QAQ40 QKL25:QKM40 QUH25:QUI40 RED25:REE40 RNZ25:ROA40 RXV25:RXW40 SHR25:SHS40 SRN25:SRO40 TBJ25:TBK40 TLF25:TLG40 TVB25:TVC40 UEX25:UEY40 UOT25:UOU40 UYP25:UYQ40 VIL25:VIM40 VSH25:VSI40 WCD25:WCE40 WLZ25:WMA40 WVV25:WVW40 N65561:O65576 JJ65561:JK65576 TF65561:TG65576 ADB65561:ADC65576 AMX65561:AMY65576 AWT65561:AWU65576 BGP65561:BGQ65576 BQL65561:BQM65576 CAH65561:CAI65576 CKD65561:CKE65576 CTZ65561:CUA65576 DDV65561:DDW65576 DNR65561:DNS65576 DXN65561:DXO65576 EHJ65561:EHK65576 ERF65561:ERG65576 FBB65561:FBC65576 FKX65561:FKY65576 FUT65561:FUU65576 GEP65561:GEQ65576 GOL65561:GOM65576 GYH65561:GYI65576 HID65561:HIE65576 HRZ65561:HSA65576 IBV65561:IBW65576 ILR65561:ILS65576 IVN65561:IVO65576 JFJ65561:JFK65576 JPF65561:JPG65576 JZB65561:JZC65576 KIX65561:KIY65576 KST65561:KSU65576 LCP65561:LCQ65576 LML65561:LMM65576 LWH65561:LWI65576 MGD65561:MGE65576 MPZ65561:MQA65576 MZV65561:MZW65576 NJR65561:NJS65576 NTN65561:NTO65576 ODJ65561:ODK65576 ONF65561:ONG65576 OXB65561:OXC65576 PGX65561:PGY65576 PQT65561:PQU65576 QAP65561:QAQ65576 QKL65561:QKM65576 QUH65561:QUI65576 RED65561:REE65576 RNZ65561:ROA65576 RXV65561:RXW65576 SHR65561:SHS65576 SRN65561:SRO65576 TBJ65561:TBK65576 TLF65561:TLG65576 TVB65561:TVC65576 UEX65561:UEY65576 UOT65561:UOU65576 UYP65561:UYQ65576 VIL65561:VIM65576 VSH65561:VSI65576 WCD65561:WCE65576 WLZ65561:WMA65576 WVV65561:WVW65576 N131097:O131112 JJ131097:JK131112 TF131097:TG131112 ADB131097:ADC131112 AMX131097:AMY131112 AWT131097:AWU131112 BGP131097:BGQ131112 BQL131097:BQM131112 CAH131097:CAI131112 CKD131097:CKE131112 CTZ131097:CUA131112 DDV131097:DDW131112 DNR131097:DNS131112 DXN131097:DXO131112 EHJ131097:EHK131112 ERF131097:ERG131112 FBB131097:FBC131112 FKX131097:FKY131112 FUT131097:FUU131112 GEP131097:GEQ131112 GOL131097:GOM131112 GYH131097:GYI131112 HID131097:HIE131112 HRZ131097:HSA131112 IBV131097:IBW131112 ILR131097:ILS131112 IVN131097:IVO131112 JFJ131097:JFK131112 JPF131097:JPG131112 JZB131097:JZC131112 KIX131097:KIY131112 KST131097:KSU131112 LCP131097:LCQ131112 LML131097:LMM131112 LWH131097:LWI131112 MGD131097:MGE131112 MPZ131097:MQA131112 MZV131097:MZW131112 NJR131097:NJS131112 NTN131097:NTO131112 ODJ131097:ODK131112 ONF131097:ONG131112 OXB131097:OXC131112 PGX131097:PGY131112 PQT131097:PQU131112 QAP131097:QAQ131112 QKL131097:QKM131112 QUH131097:QUI131112 RED131097:REE131112 RNZ131097:ROA131112 RXV131097:RXW131112 SHR131097:SHS131112 SRN131097:SRO131112 TBJ131097:TBK131112 TLF131097:TLG131112 TVB131097:TVC131112 UEX131097:UEY131112 UOT131097:UOU131112 UYP131097:UYQ131112 VIL131097:VIM131112 VSH131097:VSI131112 WCD131097:WCE131112 WLZ131097:WMA131112 WVV131097:WVW131112 N196633:O196648 JJ196633:JK196648 TF196633:TG196648 ADB196633:ADC196648 AMX196633:AMY196648 AWT196633:AWU196648 BGP196633:BGQ196648 BQL196633:BQM196648 CAH196633:CAI196648 CKD196633:CKE196648 CTZ196633:CUA196648 DDV196633:DDW196648 DNR196633:DNS196648 DXN196633:DXO196648 EHJ196633:EHK196648 ERF196633:ERG196648 FBB196633:FBC196648 FKX196633:FKY196648 FUT196633:FUU196648 GEP196633:GEQ196648 GOL196633:GOM196648 GYH196633:GYI196648 HID196633:HIE196648 HRZ196633:HSA196648 IBV196633:IBW196648 ILR196633:ILS196648 IVN196633:IVO196648 JFJ196633:JFK196648 JPF196633:JPG196648 JZB196633:JZC196648 KIX196633:KIY196648 KST196633:KSU196648 LCP196633:LCQ196648 LML196633:LMM196648 LWH196633:LWI196648 MGD196633:MGE196648 MPZ196633:MQA196648 MZV196633:MZW196648 NJR196633:NJS196648 NTN196633:NTO196648 ODJ196633:ODK196648 ONF196633:ONG196648 OXB196633:OXC196648 PGX196633:PGY196648 PQT196633:PQU196648 QAP196633:QAQ196648 QKL196633:QKM196648 QUH196633:QUI196648 RED196633:REE196648 RNZ196633:ROA196648 RXV196633:RXW196648 SHR196633:SHS196648 SRN196633:SRO196648 TBJ196633:TBK196648 TLF196633:TLG196648 TVB196633:TVC196648 UEX196633:UEY196648 UOT196633:UOU196648 UYP196633:UYQ196648 VIL196633:VIM196648 VSH196633:VSI196648 WCD196633:WCE196648 WLZ196633:WMA196648 WVV196633:WVW196648 N262169:O262184 JJ262169:JK262184 TF262169:TG262184 ADB262169:ADC262184 AMX262169:AMY262184 AWT262169:AWU262184 BGP262169:BGQ262184 BQL262169:BQM262184 CAH262169:CAI262184 CKD262169:CKE262184 CTZ262169:CUA262184 DDV262169:DDW262184 DNR262169:DNS262184 DXN262169:DXO262184 EHJ262169:EHK262184 ERF262169:ERG262184 FBB262169:FBC262184 FKX262169:FKY262184 FUT262169:FUU262184 GEP262169:GEQ262184 GOL262169:GOM262184 GYH262169:GYI262184 HID262169:HIE262184 HRZ262169:HSA262184 IBV262169:IBW262184 ILR262169:ILS262184 IVN262169:IVO262184 JFJ262169:JFK262184 JPF262169:JPG262184 JZB262169:JZC262184 KIX262169:KIY262184 KST262169:KSU262184 LCP262169:LCQ262184 LML262169:LMM262184 LWH262169:LWI262184 MGD262169:MGE262184 MPZ262169:MQA262184 MZV262169:MZW262184 NJR262169:NJS262184 NTN262169:NTO262184 ODJ262169:ODK262184 ONF262169:ONG262184 OXB262169:OXC262184 PGX262169:PGY262184 PQT262169:PQU262184 QAP262169:QAQ262184 QKL262169:QKM262184 QUH262169:QUI262184 RED262169:REE262184 RNZ262169:ROA262184 RXV262169:RXW262184 SHR262169:SHS262184 SRN262169:SRO262184 TBJ262169:TBK262184 TLF262169:TLG262184 TVB262169:TVC262184 UEX262169:UEY262184 UOT262169:UOU262184 UYP262169:UYQ262184 VIL262169:VIM262184 VSH262169:VSI262184 WCD262169:WCE262184 WLZ262169:WMA262184 WVV262169:WVW262184 N327705:O327720 JJ327705:JK327720 TF327705:TG327720 ADB327705:ADC327720 AMX327705:AMY327720 AWT327705:AWU327720 BGP327705:BGQ327720 BQL327705:BQM327720 CAH327705:CAI327720 CKD327705:CKE327720 CTZ327705:CUA327720 DDV327705:DDW327720 DNR327705:DNS327720 DXN327705:DXO327720 EHJ327705:EHK327720 ERF327705:ERG327720 FBB327705:FBC327720 FKX327705:FKY327720 FUT327705:FUU327720 GEP327705:GEQ327720 GOL327705:GOM327720 GYH327705:GYI327720 HID327705:HIE327720 HRZ327705:HSA327720 IBV327705:IBW327720 ILR327705:ILS327720 IVN327705:IVO327720 JFJ327705:JFK327720 JPF327705:JPG327720 JZB327705:JZC327720 KIX327705:KIY327720 KST327705:KSU327720 LCP327705:LCQ327720 LML327705:LMM327720 LWH327705:LWI327720 MGD327705:MGE327720 MPZ327705:MQA327720 MZV327705:MZW327720 NJR327705:NJS327720 NTN327705:NTO327720 ODJ327705:ODK327720 ONF327705:ONG327720 OXB327705:OXC327720 PGX327705:PGY327720 PQT327705:PQU327720 QAP327705:QAQ327720 QKL327705:QKM327720 QUH327705:QUI327720 RED327705:REE327720 RNZ327705:ROA327720 RXV327705:RXW327720 SHR327705:SHS327720 SRN327705:SRO327720 TBJ327705:TBK327720 TLF327705:TLG327720 TVB327705:TVC327720 UEX327705:UEY327720 UOT327705:UOU327720 UYP327705:UYQ327720 VIL327705:VIM327720 VSH327705:VSI327720 WCD327705:WCE327720 WLZ327705:WMA327720 WVV327705:WVW327720 N393241:O393256 JJ393241:JK393256 TF393241:TG393256 ADB393241:ADC393256 AMX393241:AMY393256 AWT393241:AWU393256 BGP393241:BGQ393256 BQL393241:BQM393256 CAH393241:CAI393256 CKD393241:CKE393256 CTZ393241:CUA393256 DDV393241:DDW393256 DNR393241:DNS393256 DXN393241:DXO393256 EHJ393241:EHK393256 ERF393241:ERG393256 FBB393241:FBC393256 FKX393241:FKY393256 FUT393241:FUU393256 GEP393241:GEQ393256 GOL393241:GOM393256 GYH393241:GYI393256 HID393241:HIE393256 HRZ393241:HSA393256 IBV393241:IBW393256 ILR393241:ILS393256 IVN393241:IVO393256 JFJ393241:JFK393256 JPF393241:JPG393256 JZB393241:JZC393256 KIX393241:KIY393256 KST393241:KSU393256 LCP393241:LCQ393256 LML393241:LMM393256 LWH393241:LWI393256 MGD393241:MGE393256 MPZ393241:MQA393256 MZV393241:MZW393256 NJR393241:NJS393256 NTN393241:NTO393256 ODJ393241:ODK393256 ONF393241:ONG393256 OXB393241:OXC393256 PGX393241:PGY393256 PQT393241:PQU393256 QAP393241:QAQ393256 QKL393241:QKM393256 QUH393241:QUI393256 RED393241:REE393256 RNZ393241:ROA393256 RXV393241:RXW393256 SHR393241:SHS393256 SRN393241:SRO393256 TBJ393241:TBK393256 TLF393241:TLG393256 TVB393241:TVC393256 UEX393241:UEY393256 UOT393241:UOU393256 UYP393241:UYQ393256 VIL393241:VIM393256 VSH393241:VSI393256 WCD393241:WCE393256 WLZ393241:WMA393256 WVV393241:WVW393256 N458777:O458792 JJ458777:JK458792 TF458777:TG458792 ADB458777:ADC458792 AMX458777:AMY458792 AWT458777:AWU458792 BGP458777:BGQ458792 BQL458777:BQM458792 CAH458777:CAI458792 CKD458777:CKE458792 CTZ458777:CUA458792 DDV458777:DDW458792 DNR458777:DNS458792 DXN458777:DXO458792 EHJ458777:EHK458792 ERF458777:ERG458792 FBB458777:FBC458792 FKX458777:FKY458792 FUT458777:FUU458792 GEP458777:GEQ458792 GOL458777:GOM458792 GYH458777:GYI458792 HID458777:HIE458792 HRZ458777:HSA458792 IBV458777:IBW458792 ILR458777:ILS458792 IVN458777:IVO458792 JFJ458777:JFK458792 JPF458777:JPG458792 JZB458777:JZC458792 KIX458777:KIY458792 KST458777:KSU458792 LCP458777:LCQ458792 LML458777:LMM458792 LWH458777:LWI458792 MGD458777:MGE458792 MPZ458777:MQA458792 MZV458777:MZW458792 NJR458777:NJS458792 NTN458777:NTO458792 ODJ458777:ODK458792 ONF458777:ONG458792 OXB458777:OXC458792 PGX458777:PGY458792 PQT458777:PQU458792 QAP458777:QAQ458792 QKL458777:QKM458792 QUH458777:QUI458792 RED458777:REE458792 RNZ458777:ROA458792 RXV458777:RXW458792 SHR458777:SHS458792 SRN458777:SRO458792 TBJ458777:TBK458792 TLF458777:TLG458792 TVB458777:TVC458792 UEX458777:UEY458792 UOT458777:UOU458792 UYP458777:UYQ458792 VIL458777:VIM458792 VSH458777:VSI458792 WCD458777:WCE458792 WLZ458777:WMA458792 WVV458777:WVW458792 N524313:O524328 JJ524313:JK524328 TF524313:TG524328 ADB524313:ADC524328 AMX524313:AMY524328 AWT524313:AWU524328 BGP524313:BGQ524328 BQL524313:BQM524328 CAH524313:CAI524328 CKD524313:CKE524328 CTZ524313:CUA524328 DDV524313:DDW524328 DNR524313:DNS524328 DXN524313:DXO524328 EHJ524313:EHK524328 ERF524313:ERG524328 FBB524313:FBC524328 FKX524313:FKY524328 FUT524313:FUU524328 GEP524313:GEQ524328 GOL524313:GOM524328 GYH524313:GYI524328 HID524313:HIE524328 HRZ524313:HSA524328 IBV524313:IBW524328 ILR524313:ILS524328 IVN524313:IVO524328 JFJ524313:JFK524328 JPF524313:JPG524328 JZB524313:JZC524328 KIX524313:KIY524328 KST524313:KSU524328 LCP524313:LCQ524328 LML524313:LMM524328 LWH524313:LWI524328 MGD524313:MGE524328 MPZ524313:MQA524328 MZV524313:MZW524328 NJR524313:NJS524328 NTN524313:NTO524328 ODJ524313:ODK524328 ONF524313:ONG524328 OXB524313:OXC524328 PGX524313:PGY524328 PQT524313:PQU524328 QAP524313:QAQ524328 QKL524313:QKM524328 QUH524313:QUI524328 RED524313:REE524328 RNZ524313:ROA524328 RXV524313:RXW524328 SHR524313:SHS524328 SRN524313:SRO524328 TBJ524313:TBK524328 TLF524313:TLG524328 TVB524313:TVC524328 UEX524313:UEY524328 UOT524313:UOU524328 UYP524313:UYQ524328 VIL524313:VIM524328 VSH524313:VSI524328 WCD524313:WCE524328 WLZ524313:WMA524328 WVV524313:WVW524328 N589849:O589864 JJ589849:JK589864 TF589849:TG589864 ADB589849:ADC589864 AMX589849:AMY589864 AWT589849:AWU589864 BGP589849:BGQ589864 BQL589849:BQM589864 CAH589849:CAI589864 CKD589849:CKE589864 CTZ589849:CUA589864 DDV589849:DDW589864 DNR589849:DNS589864 DXN589849:DXO589864 EHJ589849:EHK589864 ERF589849:ERG589864 FBB589849:FBC589864 FKX589849:FKY589864 FUT589849:FUU589864 GEP589849:GEQ589864 GOL589849:GOM589864 GYH589849:GYI589864 HID589849:HIE589864 HRZ589849:HSA589864 IBV589849:IBW589864 ILR589849:ILS589864 IVN589849:IVO589864 JFJ589849:JFK589864 JPF589849:JPG589864 JZB589849:JZC589864 KIX589849:KIY589864 KST589849:KSU589864 LCP589849:LCQ589864 LML589849:LMM589864 LWH589849:LWI589864 MGD589849:MGE589864 MPZ589849:MQA589864 MZV589849:MZW589864 NJR589849:NJS589864 NTN589849:NTO589864 ODJ589849:ODK589864 ONF589849:ONG589864 OXB589849:OXC589864 PGX589849:PGY589864 PQT589849:PQU589864 QAP589849:QAQ589864 QKL589849:QKM589864 QUH589849:QUI589864 RED589849:REE589864 RNZ589849:ROA589864 RXV589849:RXW589864 SHR589849:SHS589864 SRN589849:SRO589864 TBJ589849:TBK589864 TLF589849:TLG589864 TVB589849:TVC589864 UEX589849:UEY589864 UOT589849:UOU589864 UYP589849:UYQ589864 VIL589849:VIM589864 VSH589849:VSI589864 WCD589849:WCE589864 WLZ589849:WMA589864 WVV589849:WVW589864 N655385:O655400 JJ655385:JK655400 TF655385:TG655400 ADB655385:ADC655400 AMX655385:AMY655400 AWT655385:AWU655400 BGP655385:BGQ655400 BQL655385:BQM655400 CAH655385:CAI655400 CKD655385:CKE655400 CTZ655385:CUA655400 DDV655385:DDW655400 DNR655385:DNS655400 DXN655385:DXO655400 EHJ655385:EHK655400 ERF655385:ERG655400 FBB655385:FBC655400 FKX655385:FKY655400 FUT655385:FUU655400 GEP655385:GEQ655400 GOL655385:GOM655400 GYH655385:GYI655400 HID655385:HIE655400 HRZ655385:HSA655400 IBV655385:IBW655400 ILR655385:ILS655400 IVN655385:IVO655400 JFJ655385:JFK655400 JPF655385:JPG655400 JZB655385:JZC655400 KIX655385:KIY655400 KST655385:KSU655400 LCP655385:LCQ655400 LML655385:LMM655400 LWH655385:LWI655400 MGD655385:MGE655400 MPZ655385:MQA655400 MZV655385:MZW655400 NJR655385:NJS655400 NTN655385:NTO655400 ODJ655385:ODK655400 ONF655385:ONG655400 OXB655385:OXC655400 PGX655385:PGY655400 PQT655385:PQU655400 QAP655385:QAQ655400 QKL655385:QKM655400 QUH655385:QUI655400 RED655385:REE655400 RNZ655385:ROA655400 RXV655385:RXW655400 SHR655385:SHS655400 SRN655385:SRO655400 TBJ655385:TBK655400 TLF655385:TLG655400 TVB655385:TVC655400 UEX655385:UEY655400 UOT655385:UOU655400 UYP655385:UYQ655400 VIL655385:VIM655400 VSH655385:VSI655400 WCD655385:WCE655400 WLZ655385:WMA655400 WVV655385:WVW655400 N720921:O720936 JJ720921:JK720936 TF720921:TG720936 ADB720921:ADC720936 AMX720921:AMY720936 AWT720921:AWU720936 BGP720921:BGQ720936 BQL720921:BQM720936 CAH720921:CAI720936 CKD720921:CKE720936 CTZ720921:CUA720936 DDV720921:DDW720936 DNR720921:DNS720936 DXN720921:DXO720936 EHJ720921:EHK720936 ERF720921:ERG720936 FBB720921:FBC720936 FKX720921:FKY720936 FUT720921:FUU720936 GEP720921:GEQ720936 GOL720921:GOM720936 GYH720921:GYI720936 HID720921:HIE720936 HRZ720921:HSA720936 IBV720921:IBW720936 ILR720921:ILS720936 IVN720921:IVO720936 JFJ720921:JFK720936 JPF720921:JPG720936 JZB720921:JZC720936 KIX720921:KIY720936 KST720921:KSU720936 LCP720921:LCQ720936 LML720921:LMM720936 LWH720921:LWI720936 MGD720921:MGE720936 MPZ720921:MQA720936 MZV720921:MZW720936 NJR720921:NJS720936 NTN720921:NTO720936 ODJ720921:ODK720936 ONF720921:ONG720936 OXB720921:OXC720936 PGX720921:PGY720936 PQT720921:PQU720936 QAP720921:QAQ720936 QKL720921:QKM720936 QUH720921:QUI720936 RED720921:REE720936 RNZ720921:ROA720936 RXV720921:RXW720936 SHR720921:SHS720936 SRN720921:SRO720936 TBJ720921:TBK720936 TLF720921:TLG720936 TVB720921:TVC720936 UEX720921:UEY720936 UOT720921:UOU720936 UYP720921:UYQ720936 VIL720921:VIM720936 VSH720921:VSI720936 WCD720921:WCE720936 WLZ720921:WMA720936 WVV720921:WVW720936 N786457:O786472 JJ786457:JK786472 TF786457:TG786472 ADB786457:ADC786472 AMX786457:AMY786472 AWT786457:AWU786472 BGP786457:BGQ786472 BQL786457:BQM786472 CAH786457:CAI786472 CKD786457:CKE786472 CTZ786457:CUA786472 DDV786457:DDW786472 DNR786457:DNS786472 DXN786457:DXO786472 EHJ786457:EHK786472 ERF786457:ERG786472 FBB786457:FBC786472 FKX786457:FKY786472 FUT786457:FUU786472 GEP786457:GEQ786472 GOL786457:GOM786472 GYH786457:GYI786472 HID786457:HIE786472 HRZ786457:HSA786472 IBV786457:IBW786472 ILR786457:ILS786472 IVN786457:IVO786472 JFJ786457:JFK786472 JPF786457:JPG786472 JZB786457:JZC786472 KIX786457:KIY786472 KST786457:KSU786472 LCP786457:LCQ786472 LML786457:LMM786472 LWH786457:LWI786472 MGD786457:MGE786472 MPZ786457:MQA786472 MZV786457:MZW786472 NJR786457:NJS786472 NTN786457:NTO786472 ODJ786457:ODK786472 ONF786457:ONG786472 OXB786457:OXC786472 PGX786457:PGY786472 PQT786457:PQU786472 QAP786457:QAQ786472 QKL786457:QKM786472 QUH786457:QUI786472 RED786457:REE786472 RNZ786457:ROA786472 RXV786457:RXW786472 SHR786457:SHS786472 SRN786457:SRO786472 TBJ786457:TBK786472 TLF786457:TLG786472 TVB786457:TVC786472 UEX786457:UEY786472 UOT786457:UOU786472 UYP786457:UYQ786472 VIL786457:VIM786472 VSH786457:VSI786472 WCD786457:WCE786472 WLZ786457:WMA786472 WVV786457:WVW786472 N851993:O852008 JJ851993:JK852008 TF851993:TG852008 ADB851993:ADC852008 AMX851993:AMY852008 AWT851993:AWU852008 BGP851993:BGQ852008 BQL851993:BQM852008 CAH851993:CAI852008 CKD851993:CKE852008 CTZ851993:CUA852008 DDV851993:DDW852008 DNR851993:DNS852008 DXN851993:DXO852008 EHJ851993:EHK852008 ERF851993:ERG852008 FBB851993:FBC852008 FKX851993:FKY852008 FUT851993:FUU852008 GEP851993:GEQ852008 GOL851993:GOM852008 GYH851993:GYI852008 HID851993:HIE852008 HRZ851993:HSA852008 IBV851993:IBW852008 ILR851993:ILS852008 IVN851993:IVO852008 JFJ851993:JFK852008 JPF851993:JPG852008 JZB851993:JZC852008 KIX851993:KIY852008 KST851993:KSU852008 LCP851993:LCQ852008 LML851993:LMM852008 LWH851993:LWI852008 MGD851993:MGE852008 MPZ851993:MQA852008 MZV851993:MZW852008 NJR851993:NJS852008 NTN851993:NTO852008 ODJ851993:ODK852008 ONF851993:ONG852008 OXB851993:OXC852008 PGX851993:PGY852008 PQT851993:PQU852008 QAP851993:QAQ852008 QKL851993:QKM852008 QUH851993:QUI852008 RED851993:REE852008 RNZ851993:ROA852008 RXV851993:RXW852008 SHR851993:SHS852008 SRN851993:SRO852008 TBJ851993:TBK852008 TLF851993:TLG852008 TVB851993:TVC852008 UEX851993:UEY852008 UOT851993:UOU852008 UYP851993:UYQ852008 VIL851993:VIM852008 VSH851993:VSI852008 WCD851993:WCE852008 WLZ851993:WMA852008 WVV851993:WVW852008 N917529:O917544 JJ917529:JK917544 TF917529:TG917544 ADB917529:ADC917544 AMX917529:AMY917544 AWT917529:AWU917544 BGP917529:BGQ917544 BQL917529:BQM917544 CAH917529:CAI917544 CKD917529:CKE917544 CTZ917529:CUA917544 DDV917529:DDW917544 DNR917529:DNS917544 DXN917529:DXO917544 EHJ917529:EHK917544 ERF917529:ERG917544 FBB917529:FBC917544 FKX917529:FKY917544 FUT917529:FUU917544 GEP917529:GEQ917544 GOL917529:GOM917544 GYH917529:GYI917544 HID917529:HIE917544 HRZ917529:HSA917544 IBV917529:IBW917544 ILR917529:ILS917544 IVN917529:IVO917544 JFJ917529:JFK917544 JPF917529:JPG917544 JZB917529:JZC917544 KIX917529:KIY917544 KST917529:KSU917544 LCP917529:LCQ917544 LML917529:LMM917544 LWH917529:LWI917544 MGD917529:MGE917544 MPZ917529:MQA917544 MZV917529:MZW917544 NJR917529:NJS917544 NTN917529:NTO917544 ODJ917529:ODK917544 ONF917529:ONG917544 OXB917529:OXC917544 PGX917529:PGY917544 PQT917529:PQU917544 QAP917529:QAQ917544 QKL917529:QKM917544 QUH917529:QUI917544 RED917529:REE917544 RNZ917529:ROA917544 RXV917529:RXW917544 SHR917529:SHS917544 SRN917529:SRO917544 TBJ917529:TBK917544 TLF917529:TLG917544 TVB917529:TVC917544 UEX917529:UEY917544 UOT917529:UOU917544 UYP917529:UYQ917544 VIL917529:VIM917544 VSH917529:VSI917544 WCD917529:WCE917544 WLZ917529:WMA917544 WVV917529:WVW917544 N983065:O983080 JJ983065:JK983080 TF983065:TG983080 ADB983065:ADC983080 AMX983065:AMY983080 AWT983065:AWU983080 BGP983065:BGQ983080 BQL983065:BQM983080 CAH983065:CAI983080 CKD983065:CKE983080 CTZ983065:CUA983080 DDV983065:DDW983080 DNR983065:DNS983080 DXN983065:DXO983080 EHJ983065:EHK983080 ERF983065:ERG983080 FBB983065:FBC983080 FKX983065:FKY983080 FUT983065:FUU983080 GEP983065:GEQ983080 GOL983065:GOM983080 GYH983065:GYI983080 HID983065:HIE983080 HRZ983065:HSA983080 IBV983065:IBW983080 ILR983065:ILS983080 IVN983065:IVO983080 JFJ983065:JFK983080 JPF983065:JPG983080 JZB983065:JZC983080 KIX983065:KIY983080 KST983065:KSU983080 LCP983065:LCQ983080 LML983065:LMM983080 LWH983065:LWI983080 MGD983065:MGE983080 MPZ983065:MQA983080 MZV983065:MZW983080 NJR983065:NJS983080 NTN983065:NTO983080 ODJ983065:ODK983080 ONF983065:ONG983080 OXB983065:OXC983080 PGX983065:PGY983080 PQT983065:PQU983080 QAP983065:QAQ983080 QKL983065:QKM983080 QUH983065:QUI983080 RED983065:REE983080 RNZ983065:ROA983080 RXV983065:RXW983080 SHR983065:SHS983080 SRN983065:SRO983080 TBJ983065:TBK983080 TLF983065:TLG983080 TVB983065:TVC983080 UEX983065:UEY983080 UOT983065:UOU983080 UYP983065:UYQ983080 VIL983065:VIM983080 VSH983065:VSI983080 WCD983065:WCE983080 WLZ983065:WMA983080 WVV983065:WVW983080 N44:O44 JJ44:JK44 TF44:TG44 ADB44:ADC44 AMX44:AMY44 AWT44:AWU44 BGP44:BGQ44 BQL44:BQM44 CAH44:CAI44 CKD44:CKE44 CTZ44:CUA44 DDV44:DDW44 DNR44:DNS44 DXN44:DXO44 EHJ44:EHK44 ERF44:ERG44 FBB44:FBC44 FKX44:FKY44 FUT44:FUU44 GEP44:GEQ44 GOL44:GOM44 GYH44:GYI44 HID44:HIE44 HRZ44:HSA44 IBV44:IBW44 ILR44:ILS44 IVN44:IVO44 JFJ44:JFK44 JPF44:JPG44 JZB44:JZC44 KIX44:KIY44 KST44:KSU44 LCP44:LCQ44 LML44:LMM44 LWH44:LWI44 MGD44:MGE44 MPZ44:MQA44 MZV44:MZW44 NJR44:NJS44 NTN44:NTO44 ODJ44:ODK44 ONF44:ONG44 OXB44:OXC44 PGX44:PGY44 PQT44:PQU44 QAP44:QAQ44 QKL44:QKM44 QUH44:QUI44 RED44:REE44 RNZ44:ROA44 RXV44:RXW44 SHR44:SHS44 SRN44:SRO44 TBJ44:TBK44 TLF44:TLG44 TVB44:TVC44 UEX44:UEY44 UOT44:UOU44 UYP44:UYQ44 VIL44:VIM44 VSH44:VSI44 WCD44:WCE44 WLZ44:WMA44 WVV44:WVW44 N65580:O65580 JJ65580:JK65580 TF65580:TG65580 ADB65580:ADC65580 AMX65580:AMY65580 AWT65580:AWU65580 BGP65580:BGQ65580 BQL65580:BQM65580 CAH65580:CAI65580 CKD65580:CKE65580 CTZ65580:CUA65580 DDV65580:DDW65580 DNR65580:DNS65580 DXN65580:DXO65580 EHJ65580:EHK65580 ERF65580:ERG65580 FBB65580:FBC65580 FKX65580:FKY65580 FUT65580:FUU65580 GEP65580:GEQ65580 GOL65580:GOM65580 GYH65580:GYI65580 HID65580:HIE65580 HRZ65580:HSA65580 IBV65580:IBW65580 ILR65580:ILS65580 IVN65580:IVO65580 JFJ65580:JFK65580 JPF65580:JPG65580 JZB65580:JZC65580 KIX65580:KIY65580 KST65580:KSU65580 LCP65580:LCQ65580 LML65580:LMM65580 LWH65580:LWI65580 MGD65580:MGE65580 MPZ65580:MQA65580 MZV65580:MZW65580 NJR65580:NJS65580 NTN65580:NTO65580 ODJ65580:ODK65580 ONF65580:ONG65580 OXB65580:OXC65580 PGX65580:PGY65580 PQT65580:PQU65580 QAP65580:QAQ65580 QKL65580:QKM65580 QUH65580:QUI65580 RED65580:REE65580 RNZ65580:ROA65580 RXV65580:RXW65580 SHR65580:SHS65580 SRN65580:SRO65580 TBJ65580:TBK65580 TLF65580:TLG65580 TVB65580:TVC65580 UEX65580:UEY65580 UOT65580:UOU65580 UYP65580:UYQ65580 VIL65580:VIM65580 VSH65580:VSI65580 WCD65580:WCE65580 WLZ65580:WMA65580 WVV65580:WVW65580 N131116:O131116 JJ131116:JK131116 TF131116:TG131116 ADB131116:ADC131116 AMX131116:AMY131116 AWT131116:AWU131116 BGP131116:BGQ131116 BQL131116:BQM131116 CAH131116:CAI131116 CKD131116:CKE131116 CTZ131116:CUA131116 DDV131116:DDW131116 DNR131116:DNS131116 DXN131116:DXO131116 EHJ131116:EHK131116 ERF131116:ERG131116 FBB131116:FBC131116 FKX131116:FKY131116 FUT131116:FUU131116 GEP131116:GEQ131116 GOL131116:GOM131116 GYH131116:GYI131116 HID131116:HIE131116 HRZ131116:HSA131116 IBV131116:IBW131116 ILR131116:ILS131116 IVN131116:IVO131116 JFJ131116:JFK131116 JPF131116:JPG131116 JZB131116:JZC131116 KIX131116:KIY131116 KST131116:KSU131116 LCP131116:LCQ131116 LML131116:LMM131116 LWH131116:LWI131116 MGD131116:MGE131116 MPZ131116:MQA131116 MZV131116:MZW131116 NJR131116:NJS131116 NTN131116:NTO131116 ODJ131116:ODK131116 ONF131116:ONG131116 OXB131116:OXC131116 PGX131116:PGY131116 PQT131116:PQU131116 QAP131116:QAQ131116 QKL131116:QKM131116 QUH131116:QUI131116 RED131116:REE131116 RNZ131116:ROA131116 RXV131116:RXW131116 SHR131116:SHS131116 SRN131116:SRO131116 TBJ131116:TBK131116 TLF131116:TLG131116 TVB131116:TVC131116 UEX131116:UEY131116 UOT131116:UOU131116 UYP131116:UYQ131116 VIL131116:VIM131116 VSH131116:VSI131116 WCD131116:WCE131116 WLZ131116:WMA131116 WVV131116:WVW131116 N196652:O196652 JJ196652:JK196652 TF196652:TG196652 ADB196652:ADC196652 AMX196652:AMY196652 AWT196652:AWU196652 BGP196652:BGQ196652 BQL196652:BQM196652 CAH196652:CAI196652 CKD196652:CKE196652 CTZ196652:CUA196652 DDV196652:DDW196652 DNR196652:DNS196652 DXN196652:DXO196652 EHJ196652:EHK196652 ERF196652:ERG196652 FBB196652:FBC196652 FKX196652:FKY196652 FUT196652:FUU196652 GEP196652:GEQ196652 GOL196652:GOM196652 GYH196652:GYI196652 HID196652:HIE196652 HRZ196652:HSA196652 IBV196652:IBW196652 ILR196652:ILS196652 IVN196652:IVO196652 JFJ196652:JFK196652 JPF196652:JPG196652 JZB196652:JZC196652 KIX196652:KIY196652 KST196652:KSU196652 LCP196652:LCQ196652 LML196652:LMM196652 LWH196652:LWI196652 MGD196652:MGE196652 MPZ196652:MQA196652 MZV196652:MZW196652 NJR196652:NJS196652 NTN196652:NTO196652 ODJ196652:ODK196652 ONF196652:ONG196652 OXB196652:OXC196652 PGX196652:PGY196652 PQT196652:PQU196652 QAP196652:QAQ196652 QKL196652:QKM196652 QUH196652:QUI196652 RED196652:REE196652 RNZ196652:ROA196652 RXV196652:RXW196652 SHR196652:SHS196652 SRN196652:SRO196652 TBJ196652:TBK196652 TLF196652:TLG196652 TVB196652:TVC196652 UEX196652:UEY196652 UOT196652:UOU196652 UYP196652:UYQ196652 VIL196652:VIM196652 VSH196652:VSI196652 WCD196652:WCE196652 WLZ196652:WMA196652 WVV196652:WVW196652 N262188:O262188 JJ262188:JK262188 TF262188:TG262188 ADB262188:ADC262188 AMX262188:AMY262188 AWT262188:AWU262188 BGP262188:BGQ262188 BQL262188:BQM262188 CAH262188:CAI262188 CKD262188:CKE262188 CTZ262188:CUA262188 DDV262188:DDW262188 DNR262188:DNS262188 DXN262188:DXO262188 EHJ262188:EHK262188 ERF262188:ERG262188 FBB262188:FBC262188 FKX262188:FKY262188 FUT262188:FUU262188 GEP262188:GEQ262188 GOL262188:GOM262188 GYH262188:GYI262188 HID262188:HIE262188 HRZ262188:HSA262188 IBV262188:IBW262188 ILR262188:ILS262188 IVN262188:IVO262188 JFJ262188:JFK262188 JPF262188:JPG262188 JZB262188:JZC262188 KIX262188:KIY262188 KST262188:KSU262188 LCP262188:LCQ262188 LML262188:LMM262188 LWH262188:LWI262188 MGD262188:MGE262188 MPZ262188:MQA262188 MZV262188:MZW262188 NJR262188:NJS262188 NTN262188:NTO262188 ODJ262188:ODK262188 ONF262188:ONG262188 OXB262188:OXC262188 PGX262188:PGY262188 PQT262188:PQU262188 QAP262188:QAQ262188 QKL262188:QKM262188 QUH262188:QUI262188 RED262188:REE262188 RNZ262188:ROA262188 RXV262188:RXW262188 SHR262188:SHS262188 SRN262188:SRO262188 TBJ262188:TBK262188 TLF262188:TLG262188 TVB262188:TVC262188 UEX262188:UEY262188 UOT262188:UOU262188 UYP262188:UYQ262188 VIL262188:VIM262188 VSH262188:VSI262188 WCD262188:WCE262188 WLZ262188:WMA262188 WVV262188:WVW262188 N327724:O327724 JJ327724:JK327724 TF327724:TG327724 ADB327724:ADC327724 AMX327724:AMY327724 AWT327724:AWU327724 BGP327724:BGQ327724 BQL327724:BQM327724 CAH327724:CAI327724 CKD327724:CKE327724 CTZ327724:CUA327724 DDV327724:DDW327724 DNR327724:DNS327724 DXN327724:DXO327724 EHJ327724:EHK327724 ERF327724:ERG327724 FBB327724:FBC327724 FKX327724:FKY327724 FUT327724:FUU327724 GEP327724:GEQ327724 GOL327724:GOM327724 GYH327724:GYI327724 HID327724:HIE327724 HRZ327724:HSA327724 IBV327724:IBW327724 ILR327724:ILS327724 IVN327724:IVO327724 JFJ327724:JFK327724 JPF327724:JPG327724 JZB327724:JZC327724 KIX327724:KIY327724 KST327724:KSU327724 LCP327724:LCQ327724 LML327724:LMM327724 LWH327724:LWI327724 MGD327724:MGE327724 MPZ327724:MQA327724 MZV327724:MZW327724 NJR327724:NJS327724 NTN327724:NTO327724 ODJ327724:ODK327724 ONF327724:ONG327724 OXB327724:OXC327724 PGX327724:PGY327724 PQT327724:PQU327724 QAP327724:QAQ327724 QKL327724:QKM327724 QUH327724:QUI327724 RED327724:REE327724 RNZ327724:ROA327724 RXV327724:RXW327724 SHR327724:SHS327724 SRN327724:SRO327724 TBJ327724:TBK327724 TLF327724:TLG327724 TVB327724:TVC327724 UEX327724:UEY327724 UOT327724:UOU327724 UYP327724:UYQ327724 VIL327724:VIM327724 VSH327724:VSI327724 WCD327724:WCE327724 WLZ327724:WMA327724 WVV327724:WVW327724 N393260:O393260 JJ393260:JK393260 TF393260:TG393260 ADB393260:ADC393260 AMX393260:AMY393260 AWT393260:AWU393260 BGP393260:BGQ393260 BQL393260:BQM393260 CAH393260:CAI393260 CKD393260:CKE393260 CTZ393260:CUA393260 DDV393260:DDW393260 DNR393260:DNS393260 DXN393260:DXO393260 EHJ393260:EHK393260 ERF393260:ERG393260 FBB393260:FBC393260 FKX393260:FKY393260 FUT393260:FUU393260 GEP393260:GEQ393260 GOL393260:GOM393260 GYH393260:GYI393260 HID393260:HIE393260 HRZ393260:HSA393260 IBV393260:IBW393260 ILR393260:ILS393260 IVN393260:IVO393260 JFJ393260:JFK393260 JPF393260:JPG393260 JZB393260:JZC393260 KIX393260:KIY393260 KST393260:KSU393260 LCP393260:LCQ393260 LML393260:LMM393260 LWH393260:LWI393260 MGD393260:MGE393260 MPZ393260:MQA393260 MZV393260:MZW393260 NJR393260:NJS393260 NTN393260:NTO393260 ODJ393260:ODK393260 ONF393260:ONG393260 OXB393260:OXC393260 PGX393260:PGY393260 PQT393260:PQU393260 QAP393260:QAQ393260 QKL393260:QKM393260 QUH393260:QUI393260 RED393260:REE393260 RNZ393260:ROA393260 RXV393260:RXW393260 SHR393260:SHS393260 SRN393260:SRO393260 TBJ393260:TBK393260 TLF393260:TLG393260 TVB393260:TVC393260 UEX393260:UEY393260 UOT393260:UOU393260 UYP393260:UYQ393260 VIL393260:VIM393260 VSH393260:VSI393260 WCD393260:WCE393260 WLZ393260:WMA393260 WVV393260:WVW393260 N458796:O458796 JJ458796:JK458796 TF458796:TG458796 ADB458796:ADC458796 AMX458796:AMY458796 AWT458796:AWU458796 BGP458796:BGQ458796 BQL458796:BQM458796 CAH458796:CAI458796 CKD458796:CKE458796 CTZ458796:CUA458796 DDV458796:DDW458796 DNR458796:DNS458796 DXN458796:DXO458796 EHJ458796:EHK458796 ERF458796:ERG458796 FBB458796:FBC458796 FKX458796:FKY458796 FUT458796:FUU458796 GEP458796:GEQ458796 GOL458796:GOM458796 GYH458796:GYI458796 HID458796:HIE458796 HRZ458796:HSA458796 IBV458796:IBW458796 ILR458796:ILS458796 IVN458796:IVO458796 JFJ458796:JFK458796 JPF458796:JPG458796 JZB458796:JZC458796 KIX458796:KIY458796 KST458796:KSU458796 LCP458796:LCQ458796 LML458796:LMM458796 LWH458796:LWI458796 MGD458796:MGE458796 MPZ458796:MQA458796 MZV458796:MZW458796 NJR458796:NJS458796 NTN458796:NTO458796 ODJ458796:ODK458796 ONF458796:ONG458796 OXB458796:OXC458796 PGX458796:PGY458796 PQT458796:PQU458796 QAP458796:QAQ458796 QKL458796:QKM458796 QUH458796:QUI458796 RED458796:REE458796 RNZ458796:ROA458796 RXV458796:RXW458796 SHR458796:SHS458796 SRN458796:SRO458796 TBJ458796:TBK458796 TLF458796:TLG458796 TVB458796:TVC458796 UEX458796:UEY458796 UOT458796:UOU458796 UYP458796:UYQ458796 VIL458796:VIM458796 VSH458796:VSI458796 WCD458796:WCE458796 WLZ458796:WMA458796 WVV458796:WVW458796 N524332:O524332 JJ524332:JK524332 TF524332:TG524332 ADB524332:ADC524332 AMX524332:AMY524332 AWT524332:AWU524332 BGP524332:BGQ524332 BQL524332:BQM524332 CAH524332:CAI524332 CKD524332:CKE524332 CTZ524332:CUA524332 DDV524332:DDW524332 DNR524332:DNS524332 DXN524332:DXO524332 EHJ524332:EHK524332 ERF524332:ERG524332 FBB524332:FBC524332 FKX524332:FKY524332 FUT524332:FUU524332 GEP524332:GEQ524332 GOL524332:GOM524332 GYH524332:GYI524332 HID524332:HIE524332 HRZ524332:HSA524332 IBV524332:IBW524332 ILR524332:ILS524332 IVN524332:IVO524332 JFJ524332:JFK524332 JPF524332:JPG524332 JZB524332:JZC524332 KIX524332:KIY524332 KST524332:KSU524332 LCP524332:LCQ524332 LML524332:LMM524332 LWH524332:LWI524332 MGD524332:MGE524332 MPZ524332:MQA524332 MZV524332:MZW524332 NJR524332:NJS524332 NTN524332:NTO524332 ODJ524332:ODK524332 ONF524332:ONG524332 OXB524332:OXC524332 PGX524332:PGY524332 PQT524332:PQU524332 QAP524332:QAQ524332 QKL524332:QKM524332 QUH524332:QUI524332 RED524332:REE524332 RNZ524332:ROA524332 RXV524332:RXW524332 SHR524332:SHS524332 SRN524332:SRO524332 TBJ524332:TBK524332 TLF524332:TLG524332 TVB524332:TVC524332 UEX524332:UEY524332 UOT524332:UOU524332 UYP524332:UYQ524332 VIL524332:VIM524332 VSH524332:VSI524332 WCD524332:WCE524332 WLZ524332:WMA524332 WVV524332:WVW524332 N589868:O589868 JJ589868:JK589868 TF589868:TG589868 ADB589868:ADC589868 AMX589868:AMY589868 AWT589868:AWU589868 BGP589868:BGQ589868 BQL589868:BQM589868 CAH589868:CAI589868 CKD589868:CKE589868 CTZ589868:CUA589868 DDV589868:DDW589868 DNR589868:DNS589868 DXN589868:DXO589868 EHJ589868:EHK589868 ERF589868:ERG589868 FBB589868:FBC589868 FKX589868:FKY589868 FUT589868:FUU589868 GEP589868:GEQ589868 GOL589868:GOM589868 GYH589868:GYI589868 HID589868:HIE589868 HRZ589868:HSA589868 IBV589868:IBW589868 ILR589868:ILS589868 IVN589868:IVO589868 JFJ589868:JFK589868 JPF589868:JPG589868 JZB589868:JZC589868 KIX589868:KIY589868 KST589868:KSU589868 LCP589868:LCQ589868 LML589868:LMM589868 LWH589868:LWI589868 MGD589868:MGE589868 MPZ589868:MQA589868 MZV589868:MZW589868 NJR589868:NJS589868 NTN589868:NTO589868 ODJ589868:ODK589868 ONF589868:ONG589868 OXB589868:OXC589868 PGX589868:PGY589868 PQT589868:PQU589868 QAP589868:QAQ589868 QKL589868:QKM589868 QUH589868:QUI589868 RED589868:REE589868 RNZ589868:ROA589868 RXV589868:RXW589868 SHR589868:SHS589868 SRN589868:SRO589868 TBJ589868:TBK589868 TLF589868:TLG589868 TVB589868:TVC589868 UEX589868:UEY589868 UOT589868:UOU589868 UYP589868:UYQ589868 VIL589868:VIM589868 VSH589868:VSI589868 WCD589868:WCE589868 WLZ589868:WMA589868 WVV589868:WVW589868 N655404:O655404 JJ655404:JK655404 TF655404:TG655404 ADB655404:ADC655404 AMX655404:AMY655404 AWT655404:AWU655404 BGP655404:BGQ655404 BQL655404:BQM655404 CAH655404:CAI655404 CKD655404:CKE655404 CTZ655404:CUA655404 DDV655404:DDW655404 DNR655404:DNS655404 DXN655404:DXO655404 EHJ655404:EHK655404 ERF655404:ERG655404 FBB655404:FBC655404 FKX655404:FKY655404 FUT655404:FUU655404 GEP655404:GEQ655404 GOL655404:GOM655404 GYH655404:GYI655404 HID655404:HIE655404 HRZ655404:HSA655404 IBV655404:IBW655404 ILR655404:ILS655404 IVN655404:IVO655404 JFJ655404:JFK655404 JPF655404:JPG655404 JZB655404:JZC655404 KIX655404:KIY655404 KST655404:KSU655404 LCP655404:LCQ655404 LML655404:LMM655404 LWH655404:LWI655404 MGD655404:MGE655404 MPZ655404:MQA655404 MZV655404:MZW655404 NJR655404:NJS655404 NTN655404:NTO655404 ODJ655404:ODK655404 ONF655404:ONG655404 OXB655404:OXC655404 PGX655404:PGY655404 PQT655404:PQU655404 QAP655404:QAQ655404 QKL655404:QKM655404 QUH655404:QUI655404 RED655404:REE655404 RNZ655404:ROA655404 RXV655404:RXW655404 SHR655404:SHS655404 SRN655404:SRO655404 TBJ655404:TBK655404 TLF655404:TLG655404 TVB655404:TVC655404 UEX655404:UEY655404 UOT655404:UOU655404 UYP655404:UYQ655404 VIL655404:VIM655404 VSH655404:VSI655404 WCD655404:WCE655404 WLZ655404:WMA655404 WVV655404:WVW655404 N720940:O720940 JJ720940:JK720940 TF720940:TG720940 ADB720940:ADC720940 AMX720940:AMY720940 AWT720940:AWU720940 BGP720940:BGQ720940 BQL720940:BQM720940 CAH720940:CAI720940 CKD720940:CKE720940 CTZ720940:CUA720940 DDV720940:DDW720940 DNR720940:DNS720940 DXN720940:DXO720940 EHJ720940:EHK720940 ERF720940:ERG720940 FBB720940:FBC720940 FKX720940:FKY720940 FUT720940:FUU720940 GEP720940:GEQ720940 GOL720940:GOM720940 GYH720940:GYI720940 HID720940:HIE720940 HRZ720940:HSA720940 IBV720940:IBW720940 ILR720940:ILS720940 IVN720940:IVO720940 JFJ720940:JFK720940 JPF720940:JPG720940 JZB720940:JZC720940 KIX720940:KIY720940 KST720940:KSU720940 LCP720940:LCQ720940 LML720940:LMM720940 LWH720940:LWI720940 MGD720940:MGE720940 MPZ720940:MQA720940 MZV720940:MZW720940 NJR720940:NJS720940 NTN720940:NTO720940 ODJ720940:ODK720940 ONF720940:ONG720940 OXB720940:OXC720940 PGX720940:PGY720940 PQT720940:PQU720940 QAP720940:QAQ720940 QKL720940:QKM720940 QUH720940:QUI720940 RED720940:REE720940 RNZ720940:ROA720940 RXV720940:RXW720940 SHR720940:SHS720940 SRN720940:SRO720940 TBJ720940:TBK720940 TLF720940:TLG720940 TVB720940:TVC720940 UEX720940:UEY720940 UOT720940:UOU720940 UYP720940:UYQ720940 VIL720940:VIM720940 VSH720940:VSI720940 WCD720940:WCE720940 WLZ720940:WMA720940 WVV720940:WVW720940 N786476:O786476 JJ786476:JK786476 TF786476:TG786476 ADB786476:ADC786476 AMX786476:AMY786476 AWT786476:AWU786476 BGP786476:BGQ786476 BQL786476:BQM786476 CAH786476:CAI786476 CKD786476:CKE786476 CTZ786476:CUA786476 DDV786476:DDW786476 DNR786476:DNS786476 DXN786476:DXO786476 EHJ786476:EHK786476 ERF786476:ERG786476 FBB786476:FBC786476 FKX786476:FKY786476 FUT786476:FUU786476 GEP786476:GEQ786476 GOL786476:GOM786476 GYH786476:GYI786476 HID786476:HIE786476 HRZ786476:HSA786476 IBV786476:IBW786476 ILR786476:ILS786476 IVN786476:IVO786476 JFJ786476:JFK786476 JPF786476:JPG786476 JZB786476:JZC786476 KIX786476:KIY786476 KST786476:KSU786476 LCP786476:LCQ786476 LML786476:LMM786476 LWH786476:LWI786476 MGD786476:MGE786476 MPZ786476:MQA786476 MZV786476:MZW786476 NJR786476:NJS786476 NTN786476:NTO786476 ODJ786476:ODK786476 ONF786476:ONG786476 OXB786476:OXC786476 PGX786476:PGY786476 PQT786476:PQU786476 QAP786476:QAQ786476 QKL786476:QKM786476 QUH786476:QUI786476 RED786476:REE786476 RNZ786476:ROA786476 RXV786476:RXW786476 SHR786476:SHS786476 SRN786476:SRO786476 TBJ786476:TBK786476 TLF786476:TLG786476 TVB786476:TVC786476 UEX786476:UEY786476 UOT786476:UOU786476 UYP786476:UYQ786476 VIL786476:VIM786476 VSH786476:VSI786476 WCD786476:WCE786476 WLZ786476:WMA786476 WVV786476:WVW786476 N852012:O852012 JJ852012:JK852012 TF852012:TG852012 ADB852012:ADC852012 AMX852012:AMY852012 AWT852012:AWU852012 BGP852012:BGQ852012 BQL852012:BQM852012 CAH852012:CAI852012 CKD852012:CKE852012 CTZ852012:CUA852012 DDV852012:DDW852012 DNR852012:DNS852012 DXN852012:DXO852012 EHJ852012:EHK852012 ERF852012:ERG852012 FBB852012:FBC852012 FKX852012:FKY852012 FUT852012:FUU852012 GEP852012:GEQ852012 GOL852012:GOM852012 GYH852012:GYI852012 HID852012:HIE852012 HRZ852012:HSA852012 IBV852012:IBW852012 ILR852012:ILS852012 IVN852012:IVO852012 JFJ852012:JFK852012 JPF852012:JPG852012 JZB852012:JZC852012 KIX852012:KIY852012 KST852012:KSU852012 LCP852012:LCQ852012 LML852012:LMM852012 LWH852012:LWI852012 MGD852012:MGE852012 MPZ852012:MQA852012 MZV852012:MZW852012 NJR852012:NJS852012 NTN852012:NTO852012 ODJ852012:ODK852012 ONF852012:ONG852012 OXB852012:OXC852012 PGX852012:PGY852012 PQT852012:PQU852012 QAP852012:QAQ852012 QKL852012:QKM852012 QUH852012:QUI852012 RED852012:REE852012 RNZ852012:ROA852012 RXV852012:RXW852012 SHR852012:SHS852012 SRN852012:SRO852012 TBJ852012:TBK852012 TLF852012:TLG852012 TVB852012:TVC852012 UEX852012:UEY852012 UOT852012:UOU852012 UYP852012:UYQ852012 VIL852012:VIM852012 VSH852012:VSI852012 WCD852012:WCE852012 WLZ852012:WMA852012 WVV852012:WVW852012 N917548:O917548 JJ917548:JK917548 TF917548:TG917548 ADB917548:ADC917548 AMX917548:AMY917548 AWT917548:AWU917548 BGP917548:BGQ917548 BQL917548:BQM917548 CAH917548:CAI917548 CKD917548:CKE917548 CTZ917548:CUA917548 DDV917548:DDW917548 DNR917548:DNS917548 DXN917548:DXO917548 EHJ917548:EHK917548 ERF917548:ERG917548 FBB917548:FBC917548 FKX917548:FKY917548 FUT917548:FUU917548 GEP917548:GEQ917548 GOL917548:GOM917548 GYH917548:GYI917548 HID917548:HIE917548 HRZ917548:HSA917548 IBV917548:IBW917548 ILR917548:ILS917548 IVN917548:IVO917548 JFJ917548:JFK917548 JPF917548:JPG917548 JZB917548:JZC917548 KIX917548:KIY917548 KST917548:KSU917548 LCP917548:LCQ917548 LML917548:LMM917548 LWH917548:LWI917548 MGD917548:MGE917548 MPZ917548:MQA917548 MZV917548:MZW917548 NJR917548:NJS917548 NTN917548:NTO917548 ODJ917548:ODK917548 ONF917548:ONG917548 OXB917548:OXC917548 PGX917548:PGY917548 PQT917548:PQU917548 QAP917548:QAQ917548 QKL917548:QKM917548 QUH917548:QUI917548 RED917548:REE917548 RNZ917548:ROA917548 RXV917548:RXW917548 SHR917548:SHS917548 SRN917548:SRO917548 TBJ917548:TBK917548 TLF917548:TLG917548 TVB917548:TVC917548 UEX917548:UEY917548 UOT917548:UOU917548 UYP917548:UYQ917548 VIL917548:VIM917548 VSH917548:VSI917548 WCD917548:WCE917548 WLZ917548:WMA917548 WVV917548:WVW917548 N983084:O983084 JJ983084:JK983084 TF983084:TG983084 ADB983084:ADC983084 AMX983084:AMY983084 AWT983084:AWU983084 BGP983084:BGQ983084 BQL983084:BQM983084 CAH983084:CAI983084 CKD983084:CKE983084 CTZ983084:CUA983084 DDV983084:DDW983084 DNR983084:DNS983084 DXN983084:DXO983084 EHJ983084:EHK983084 ERF983084:ERG983084 FBB983084:FBC983084 FKX983084:FKY983084 FUT983084:FUU983084 GEP983084:GEQ983084 GOL983084:GOM983084 GYH983084:GYI983084 HID983084:HIE983084 HRZ983084:HSA983084 IBV983084:IBW983084 ILR983084:ILS983084 IVN983084:IVO983084 JFJ983084:JFK983084 JPF983084:JPG983084 JZB983084:JZC983084 KIX983084:KIY983084 KST983084:KSU983084 LCP983084:LCQ983084 LML983084:LMM983084 LWH983084:LWI983084 MGD983084:MGE983084 MPZ983084:MQA983084 MZV983084:MZW983084 NJR983084:NJS983084 NTN983084:NTO983084 ODJ983084:ODK983084 ONF983084:ONG983084 OXB983084:OXC983084 PGX983084:PGY983084 PQT983084:PQU983084 QAP983084:QAQ983084 QKL983084:QKM983084 QUH983084:QUI983084 RED983084:REE983084 RNZ983084:ROA983084 RXV983084:RXW983084 SHR983084:SHS983084 SRN983084:SRO983084 TBJ983084:TBK983084 TLF983084:TLG983084 TVB983084:TVC983084 UEX983084:UEY983084 UOT983084:UOU983084 UYP983084:UYQ983084 VIL983084:VIM983084 VSH983084:VSI983084 WCD983084:WCE983084 WLZ983084:WMA983084 WVV983084:WVW983084 N52:O57 JJ52:JK57 TF52:TG57 ADB52:ADC57 AMX52:AMY57 AWT52:AWU57 BGP52:BGQ57 BQL52:BQM57 CAH52:CAI57 CKD52:CKE57 CTZ52:CUA57 DDV52:DDW57 DNR52:DNS57 DXN52:DXO57 EHJ52:EHK57 ERF52:ERG57 FBB52:FBC57 FKX52:FKY57 FUT52:FUU57 GEP52:GEQ57 GOL52:GOM57 GYH52:GYI57 HID52:HIE57 HRZ52:HSA57 IBV52:IBW57 ILR52:ILS57 IVN52:IVO57 JFJ52:JFK57 JPF52:JPG57 JZB52:JZC57 KIX52:KIY57 KST52:KSU57 LCP52:LCQ57 LML52:LMM57 LWH52:LWI57 MGD52:MGE57 MPZ52:MQA57 MZV52:MZW57 NJR52:NJS57 NTN52:NTO57 ODJ52:ODK57 ONF52:ONG57 OXB52:OXC57 PGX52:PGY57 PQT52:PQU57 QAP52:QAQ57 QKL52:QKM57 QUH52:QUI57 RED52:REE57 RNZ52:ROA57 RXV52:RXW57 SHR52:SHS57 SRN52:SRO57 TBJ52:TBK57 TLF52:TLG57 TVB52:TVC57 UEX52:UEY57 UOT52:UOU57 UYP52:UYQ57 VIL52:VIM57 VSH52:VSI57 WCD52:WCE57 WLZ52:WMA57 WVV52:WVW57 N65588:O65593 JJ65588:JK65593 TF65588:TG65593 ADB65588:ADC65593 AMX65588:AMY65593 AWT65588:AWU65593 BGP65588:BGQ65593 BQL65588:BQM65593 CAH65588:CAI65593 CKD65588:CKE65593 CTZ65588:CUA65593 DDV65588:DDW65593 DNR65588:DNS65593 DXN65588:DXO65593 EHJ65588:EHK65593 ERF65588:ERG65593 FBB65588:FBC65593 FKX65588:FKY65593 FUT65588:FUU65593 GEP65588:GEQ65593 GOL65588:GOM65593 GYH65588:GYI65593 HID65588:HIE65593 HRZ65588:HSA65593 IBV65588:IBW65593 ILR65588:ILS65593 IVN65588:IVO65593 JFJ65588:JFK65593 JPF65588:JPG65593 JZB65588:JZC65593 KIX65588:KIY65593 KST65588:KSU65593 LCP65588:LCQ65593 LML65588:LMM65593 LWH65588:LWI65593 MGD65588:MGE65593 MPZ65588:MQA65593 MZV65588:MZW65593 NJR65588:NJS65593 NTN65588:NTO65593 ODJ65588:ODK65593 ONF65588:ONG65593 OXB65588:OXC65593 PGX65588:PGY65593 PQT65588:PQU65593 QAP65588:QAQ65593 QKL65588:QKM65593 QUH65588:QUI65593 RED65588:REE65593 RNZ65588:ROA65593 RXV65588:RXW65593 SHR65588:SHS65593 SRN65588:SRO65593 TBJ65588:TBK65593 TLF65588:TLG65593 TVB65588:TVC65593 UEX65588:UEY65593 UOT65588:UOU65593 UYP65588:UYQ65593 VIL65588:VIM65593 VSH65588:VSI65593 WCD65588:WCE65593 WLZ65588:WMA65593 WVV65588:WVW65593 N131124:O131129 JJ131124:JK131129 TF131124:TG131129 ADB131124:ADC131129 AMX131124:AMY131129 AWT131124:AWU131129 BGP131124:BGQ131129 BQL131124:BQM131129 CAH131124:CAI131129 CKD131124:CKE131129 CTZ131124:CUA131129 DDV131124:DDW131129 DNR131124:DNS131129 DXN131124:DXO131129 EHJ131124:EHK131129 ERF131124:ERG131129 FBB131124:FBC131129 FKX131124:FKY131129 FUT131124:FUU131129 GEP131124:GEQ131129 GOL131124:GOM131129 GYH131124:GYI131129 HID131124:HIE131129 HRZ131124:HSA131129 IBV131124:IBW131129 ILR131124:ILS131129 IVN131124:IVO131129 JFJ131124:JFK131129 JPF131124:JPG131129 JZB131124:JZC131129 KIX131124:KIY131129 KST131124:KSU131129 LCP131124:LCQ131129 LML131124:LMM131129 LWH131124:LWI131129 MGD131124:MGE131129 MPZ131124:MQA131129 MZV131124:MZW131129 NJR131124:NJS131129 NTN131124:NTO131129 ODJ131124:ODK131129 ONF131124:ONG131129 OXB131124:OXC131129 PGX131124:PGY131129 PQT131124:PQU131129 QAP131124:QAQ131129 QKL131124:QKM131129 QUH131124:QUI131129 RED131124:REE131129 RNZ131124:ROA131129 RXV131124:RXW131129 SHR131124:SHS131129 SRN131124:SRO131129 TBJ131124:TBK131129 TLF131124:TLG131129 TVB131124:TVC131129 UEX131124:UEY131129 UOT131124:UOU131129 UYP131124:UYQ131129 VIL131124:VIM131129 VSH131124:VSI131129 WCD131124:WCE131129 WLZ131124:WMA131129 WVV131124:WVW131129 N196660:O196665 JJ196660:JK196665 TF196660:TG196665 ADB196660:ADC196665 AMX196660:AMY196665 AWT196660:AWU196665 BGP196660:BGQ196665 BQL196660:BQM196665 CAH196660:CAI196665 CKD196660:CKE196665 CTZ196660:CUA196665 DDV196660:DDW196665 DNR196660:DNS196665 DXN196660:DXO196665 EHJ196660:EHK196665 ERF196660:ERG196665 FBB196660:FBC196665 FKX196660:FKY196665 FUT196660:FUU196665 GEP196660:GEQ196665 GOL196660:GOM196665 GYH196660:GYI196665 HID196660:HIE196665 HRZ196660:HSA196665 IBV196660:IBW196665 ILR196660:ILS196665 IVN196660:IVO196665 JFJ196660:JFK196665 JPF196660:JPG196665 JZB196660:JZC196665 KIX196660:KIY196665 KST196660:KSU196665 LCP196660:LCQ196665 LML196660:LMM196665 LWH196660:LWI196665 MGD196660:MGE196665 MPZ196660:MQA196665 MZV196660:MZW196665 NJR196660:NJS196665 NTN196660:NTO196665 ODJ196660:ODK196665 ONF196660:ONG196665 OXB196660:OXC196665 PGX196660:PGY196665 PQT196660:PQU196665 QAP196660:QAQ196665 QKL196660:QKM196665 QUH196660:QUI196665 RED196660:REE196665 RNZ196660:ROA196665 RXV196660:RXW196665 SHR196660:SHS196665 SRN196660:SRO196665 TBJ196660:TBK196665 TLF196660:TLG196665 TVB196660:TVC196665 UEX196660:UEY196665 UOT196660:UOU196665 UYP196660:UYQ196665 VIL196660:VIM196665 VSH196660:VSI196665 WCD196660:WCE196665 WLZ196660:WMA196665 WVV196660:WVW196665 N262196:O262201 JJ262196:JK262201 TF262196:TG262201 ADB262196:ADC262201 AMX262196:AMY262201 AWT262196:AWU262201 BGP262196:BGQ262201 BQL262196:BQM262201 CAH262196:CAI262201 CKD262196:CKE262201 CTZ262196:CUA262201 DDV262196:DDW262201 DNR262196:DNS262201 DXN262196:DXO262201 EHJ262196:EHK262201 ERF262196:ERG262201 FBB262196:FBC262201 FKX262196:FKY262201 FUT262196:FUU262201 GEP262196:GEQ262201 GOL262196:GOM262201 GYH262196:GYI262201 HID262196:HIE262201 HRZ262196:HSA262201 IBV262196:IBW262201 ILR262196:ILS262201 IVN262196:IVO262201 JFJ262196:JFK262201 JPF262196:JPG262201 JZB262196:JZC262201 KIX262196:KIY262201 KST262196:KSU262201 LCP262196:LCQ262201 LML262196:LMM262201 LWH262196:LWI262201 MGD262196:MGE262201 MPZ262196:MQA262201 MZV262196:MZW262201 NJR262196:NJS262201 NTN262196:NTO262201 ODJ262196:ODK262201 ONF262196:ONG262201 OXB262196:OXC262201 PGX262196:PGY262201 PQT262196:PQU262201 QAP262196:QAQ262201 QKL262196:QKM262201 QUH262196:QUI262201 RED262196:REE262201 RNZ262196:ROA262201 RXV262196:RXW262201 SHR262196:SHS262201 SRN262196:SRO262201 TBJ262196:TBK262201 TLF262196:TLG262201 TVB262196:TVC262201 UEX262196:UEY262201 UOT262196:UOU262201 UYP262196:UYQ262201 VIL262196:VIM262201 VSH262196:VSI262201 WCD262196:WCE262201 WLZ262196:WMA262201 WVV262196:WVW262201 N327732:O327737 JJ327732:JK327737 TF327732:TG327737 ADB327732:ADC327737 AMX327732:AMY327737 AWT327732:AWU327737 BGP327732:BGQ327737 BQL327732:BQM327737 CAH327732:CAI327737 CKD327732:CKE327737 CTZ327732:CUA327737 DDV327732:DDW327737 DNR327732:DNS327737 DXN327732:DXO327737 EHJ327732:EHK327737 ERF327732:ERG327737 FBB327732:FBC327737 FKX327732:FKY327737 FUT327732:FUU327737 GEP327732:GEQ327737 GOL327732:GOM327737 GYH327732:GYI327737 HID327732:HIE327737 HRZ327732:HSA327737 IBV327732:IBW327737 ILR327732:ILS327737 IVN327732:IVO327737 JFJ327732:JFK327737 JPF327732:JPG327737 JZB327732:JZC327737 KIX327732:KIY327737 KST327732:KSU327737 LCP327732:LCQ327737 LML327732:LMM327737 LWH327732:LWI327737 MGD327732:MGE327737 MPZ327732:MQA327737 MZV327732:MZW327737 NJR327732:NJS327737 NTN327732:NTO327737 ODJ327732:ODK327737 ONF327732:ONG327737 OXB327732:OXC327737 PGX327732:PGY327737 PQT327732:PQU327737 QAP327732:QAQ327737 QKL327732:QKM327737 QUH327732:QUI327737 RED327732:REE327737 RNZ327732:ROA327737 RXV327732:RXW327737 SHR327732:SHS327737 SRN327732:SRO327737 TBJ327732:TBK327737 TLF327732:TLG327737 TVB327732:TVC327737 UEX327732:UEY327737 UOT327732:UOU327737 UYP327732:UYQ327737 VIL327732:VIM327737 VSH327732:VSI327737 WCD327732:WCE327737 WLZ327732:WMA327737 WVV327732:WVW327737 N393268:O393273 JJ393268:JK393273 TF393268:TG393273 ADB393268:ADC393273 AMX393268:AMY393273 AWT393268:AWU393273 BGP393268:BGQ393273 BQL393268:BQM393273 CAH393268:CAI393273 CKD393268:CKE393273 CTZ393268:CUA393273 DDV393268:DDW393273 DNR393268:DNS393273 DXN393268:DXO393273 EHJ393268:EHK393273 ERF393268:ERG393273 FBB393268:FBC393273 FKX393268:FKY393273 FUT393268:FUU393273 GEP393268:GEQ393273 GOL393268:GOM393273 GYH393268:GYI393273 HID393268:HIE393273 HRZ393268:HSA393273 IBV393268:IBW393273 ILR393268:ILS393273 IVN393268:IVO393273 JFJ393268:JFK393273 JPF393268:JPG393273 JZB393268:JZC393273 KIX393268:KIY393273 KST393268:KSU393273 LCP393268:LCQ393273 LML393268:LMM393273 LWH393268:LWI393273 MGD393268:MGE393273 MPZ393268:MQA393273 MZV393268:MZW393273 NJR393268:NJS393273 NTN393268:NTO393273 ODJ393268:ODK393273 ONF393268:ONG393273 OXB393268:OXC393273 PGX393268:PGY393273 PQT393268:PQU393273 QAP393268:QAQ393273 QKL393268:QKM393273 QUH393268:QUI393273 RED393268:REE393273 RNZ393268:ROA393273 RXV393268:RXW393273 SHR393268:SHS393273 SRN393268:SRO393273 TBJ393268:TBK393273 TLF393268:TLG393273 TVB393268:TVC393273 UEX393268:UEY393273 UOT393268:UOU393273 UYP393268:UYQ393273 VIL393268:VIM393273 VSH393268:VSI393273 WCD393268:WCE393273 WLZ393268:WMA393273 WVV393268:WVW393273 N458804:O458809 JJ458804:JK458809 TF458804:TG458809 ADB458804:ADC458809 AMX458804:AMY458809 AWT458804:AWU458809 BGP458804:BGQ458809 BQL458804:BQM458809 CAH458804:CAI458809 CKD458804:CKE458809 CTZ458804:CUA458809 DDV458804:DDW458809 DNR458804:DNS458809 DXN458804:DXO458809 EHJ458804:EHK458809 ERF458804:ERG458809 FBB458804:FBC458809 FKX458804:FKY458809 FUT458804:FUU458809 GEP458804:GEQ458809 GOL458804:GOM458809 GYH458804:GYI458809 HID458804:HIE458809 HRZ458804:HSA458809 IBV458804:IBW458809 ILR458804:ILS458809 IVN458804:IVO458809 JFJ458804:JFK458809 JPF458804:JPG458809 JZB458804:JZC458809 KIX458804:KIY458809 KST458804:KSU458809 LCP458804:LCQ458809 LML458804:LMM458809 LWH458804:LWI458809 MGD458804:MGE458809 MPZ458804:MQA458809 MZV458804:MZW458809 NJR458804:NJS458809 NTN458804:NTO458809 ODJ458804:ODK458809 ONF458804:ONG458809 OXB458804:OXC458809 PGX458804:PGY458809 PQT458804:PQU458809 QAP458804:QAQ458809 QKL458804:QKM458809 QUH458804:QUI458809 RED458804:REE458809 RNZ458804:ROA458809 RXV458804:RXW458809 SHR458804:SHS458809 SRN458804:SRO458809 TBJ458804:TBK458809 TLF458804:TLG458809 TVB458804:TVC458809 UEX458804:UEY458809 UOT458804:UOU458809 UYP458804:UYQ458809 VIL458804:VIM458809 VSH458804:VSI458809 WCD458804:WCE458809 WLZ458804:WMA458809 WVV458804:WVW458809 N524340:O524345 JJ524340:JK524345 TF524340:TG524345 ADB524340:ADC524345 AMX524340:AMY524345 AWT524340:AWU524345 BGP524340:BGQ524345 BQL524340:BQM524345 CAH524340:CAI524345 CKD524340:CKE524345 CTZ524340:CUA524345 DDV524340:DDW524345 DNR524340:DNS524345 DXN524340:DXO524345 EHJ524340:EHK524345 ERF524340:ERG524345 FBB524340:FBC524345 FKX524340:FKY524345 FUT524340:FUU524345 GEP524340:GEQ524345 GOL524340:GOM524345 GYH524340:GYI524345 HID524340:HIE524345 HRZ524340:HSA524345 IBV524340:IBW524345 ILR524340:ILS524345 IVN524340:IVO524345 JFJ524340:JFK524345 JPF524340:JPG524345 JZB524340:JZC524345 KIX524340:KIY524345 KST524340:KSU524345 LCP524340:LCQ524345 LML524340:LMM524345 LWH524340:LWI524345 MGD524340:MGE524345 MPZ524340:MQA524345 MZV524340:MZW524345 NJR524340:NJS524345 NTN524340:NTO524345 ODJ524340:ODK524345 ONF524340:ONG524345 OXB524340:OXC524345 PGX524340:PGY524345 PQT524340:PQU524345 QAP524340:QAQ524345 QKL524340:QKM524345 QUH524340:QUI524345 RED524340:REE524345 RNZ524340:ROA524345 RXV524340:RXW524345 SHR524340:SHS524345 SRN524340:SRO524345 TBJ524340:TBK524345 TLF524340:TLG524345 TVB524340:TVC524345 UEX524340:UEY524345 UOT524340:UOU524345 UYP524340:UYQ524345 VIL524340:VIM524345 VSH524340:VSI524345 WCD524340:WCE524345 WLZ524340:WMA524345 WVV524340:WVW524345 N589876:O589881 JJ589876:JK589881 TF589876:TG589881 ADB589876:ADC589881 AMX589876:AMY589881 AWT589876:AWU589881 BGP589876:BGQ589881 BQL589876:BQM589881 CAH589876:CAI589881 CKD589876:CKE589881 CTZ589876:CUA589881 DDV589876:DDW589881 DNR589876:DNS589881 DXN589876:DXO589881 EHJ589876:EHK589881 ERF589876:ERG589881 FBB589876:FBC589881 FKX589876:FKY589881 FUT589876:FUU589881 GEP589876:GEQ589881 GOL589876:GOM589881 GYH589876:GYI589881 HID589876:HIE589881 HRZ589876:HSA589881 IBV589876:IBW589881 ILR589876:ILS589881 IVN589876:IVO589881 JFJ589876:JFK589881 JPF589876:JPG589881 JZB589876:JZC589881 KIX589876:KIY589881 KST589876:KSU589881 LCP589876:LCQ589881 LML589876:LMM589881 LWH589876:LWI589881 MGD589876:MGE589881 MPZ589876:MQA589881 MZV589876:MZW589881 NJR589876:NJS589881 NTN589876:NTO589881 ODJ589876:ODK589881 ONF589876:ONG589881 OXB589876:OXC589881 PGX589876:PGY589881 PQT589876:PQU589881 QAP589876:QAQ589881 QKL589876:QKM589881 QUH589876:QUI589881 RED589876:REE589881 RNZ589876:ROA589881 RXV589876:RXW589881 SHR589876:SHS589881 SRN589876:SRO589881 TBJ589876:TBK589881 TLF589876:TLG589881 TVB589876:TVC589881 UEX589876:UEY589881 UOT589876:UOU589881 UYP589876:UYQ589881 VIL589876:VIM589881 VSH589876:VSI589881 WCD589876:WCE589881 WLZ589876:WMA589881 WVV589876:WVW589881 N655412:O655417 JJ655412:JK655417 TF655412:TG655417 ADB655412:ADC655417 AMX655412:AMY655417 AWT655412:AWU655417 BGP655412:BGQ655417 BQL655412:BQM655417 CAH655412:CAI655417 CKD655412:CKE655417 CTZ655412:CUA655417 DDV655412:DDW655417 DNR655412:DNS655417 DXN655412:DXO655417 EHJ655412:EHK655417 ERF655412:ERG655417 FBB655412:FBC655417 FKX655412:FKY655417 FUT655412:FUU655417 GEP655412:GEQ655417 GOL655412:GOM655417 GYH655412:GYI655417 HID655412:HIE655417 HRZ655412:HSA655417 IBV655412:IBW655417 ILR655412:ILS655417 IVN655412:IVO655417 JFJ655412:JFK655417 JPF655412:JPG655417 JZB655412:JZC655417 KIX655412:KIY655417 KST655412:KSU655417 LCP655412:LCQ655417 LML655412:LMM655417 LWH655412:LWI655417 MGD655412:MGE655417 MPZ655412:MQA655417 MZV655412:MZW655417 NJR655412:NJS655417 NTN655412:NTO655417 ODJ655412:ODK655417 ONF655412:ONG655417 OXB655412:OXC655417 PGX655412:PGY655417 PQT655412:PQU655417 QAP655412:QAQ655417 QKL655412:QKM655417 QUH655412:QUI655417 RED655412:REE655417 RNZ655412:ROA655417 RXV655412:RXW655417 SHR655412:SHS655417 SRN655412:SRO655417 TBJ655412:TBK655417 TLF655412:TLG655417 TVB655412:TVC655417 UEX655412:UEY655417 UOT655412:UOU655417 UYP655412:UYQ655417 VIL655412:VIM655417 VSH655412:VSI655417 WCD655412:WCE655417 WLZ655412:WMA655417 WVV655412:WVW655417 N720948:O720953 JJ720948:JK720953 TF720948:TG720953 ADB720948:ADC720953 AMX720948:AMY720953 AWT720948:AWU720953 BGP720948:BGQ720953 BQL720948:BQM720953 CAH720948:CAI720953 CKD720948:CKE720953 CTZ720948:CUA720953 DDV720948:DDW720953 DNR720948:DNS720953 DXN720948:DXO720953 EHJ720948:EHK720953 ERF720948:ERG720953 FBB720948:FBC720953 FKX720948:FKY720953 FUT720948:FUU720953 GEP720948:GEQ720953 GOL720948:GOM720953 GYH720948:GYI720953 HID720948:HIE720953 HRZ720948:HSA720953 IBV720948:IBW720953 ILR720948:ILS720953 IVN720948:IVO720953 JFJ720948:JFK720953 JPF720948:JPG720953 JZB720948:JZC720953 KIX720948:KIY720953 KST720948:KSU720953 LCP720948:LCQ720953 LML720948:LMM720953 LWH720948:LWI720953 MGD720948:MGE720953 MPZ720948:MQA720953 MZV720948:MZW720953 NJR720948:NJS720953 NTN720948:NTO720953 ODJ720948:ODK720953 ONF720948:ONG720953 OXB720948:OXC720953 PGX720948:PGY720953 PQT720948:PQU720953 QAP720948:QAQ720953 QKL720948:QKM720953 QUH720948:QUI720953 RED720948:REE720953 RNZ720948:ROA720953 RXV720948:RXW720953 SHR720948:SHS720953 SRN720948:SRO720953 TBJ720948:TBK720953 TLF720948:TLG720953 TVB720948:TVC720953 UEX720948:UEY720953 UOT720948:UOU720953 UYP720948:UYQ720953 VIL720948:VIM720953 VSH720948:VSI720953 WCD720948:WCE720953 WLZ720948:WMA720953 WVV720948:WVW720953 N786484:O786489 JJ786484:JK786489 TF786484:TG786489 ADB786484:ADC786489 AMX786484:AMY786489 AWT786484:AWU786489 BGP786484:BGQ786489 BQL786484:BQM786489 CAH786484:CAI786489 CKD786484:CKE786489 CTZ786484:CUA786489 DDV786484:DDW786489 DNR786484:DNS786489 DXN786484:DXO786489 EHJ786484:EHK786489 ERF786484:ERG786489 FBB786484:FBC786489 FKX786484:FKY786489 FUT786484:FUU786489 GEP786484:GEQ786489 GOL786484:GOM786489 GYH786484:GYI786489 HID786484:HIE786489 HRZ786484:HSA786489 IBV786484:IBW786489 ILR786484:ILS786489 IVN786484:IVO786489 JFJ786484:JFK786489 JPF786484:JPG786489 JZB786484:JZC786489 KIX786484:KIY786489 KST786484:KSU786489 LCP786484:LCQ786489 LML786484:LMM786489 LWH786484:LWI786489 MGD786484:MGE786489 MPZ786484:MQA786489 MZV786484:MZW786489 NJR786484:NJS786489 NTN786484:NTO786489 ODJ786484:ODK786489 ONF786484:ONG786489 OXB786484:OXC786489 PGX786484:PGY786489 PQT786484:PQU786489 QAP786484:QAQ786489 QKL786484:QKM786489 QUH786484:QUI786489 RED786484:REE786489 RNZ786484:ROA786489 RXV786484:RXW786489 SHR786484:SHS786489 SRN786484:SRO786489 TBJ786484:TBK786489 TLF786484:TLG786489 TVB786484:TVC786489 UEX786484:UEY786489 UOT786484:UOU786489 UYP786484:UYQ786489 VIL786484:VIM786489 VSH786484:VSI786489 WCD786484:WCE786489 WLZ786484:WMA786489 WVV786484:WVW786489 N852020:O852025 JJ852020:JK852025 TF852020:TG852025 ADB852020:ADC852025 AMX852020:AMY852025 AWT852020:AWU852025 BGP852020:BGQ852025 BQL852020:BQM852025 CAH852020:CAI852025 CKD852020:CKE852025 CTZ852020:CUA852025 DDV852020:DDW852025 DNR852020:DNS852025 DXN852020:DXO852025 EHJ852020:EHK852025 ERF852020:ERG852025 FBB852020:FBC852025 FKX852020:FKY852025 FUT852020:FUU852025 GEP852020:GEQ852025 GOL852020:GOM852025 GYH852020:GYI852025 HID852020:HIE852025 HRZ852020:HSA852025 IBV852020:IBW852025 ILR852020:ILS852025 IVN852020:IVO852025 JFJ852020:JFK852025 JPF852020:JPG852025 JZB852020:JZC852025 KIX852020:KIY852025 KST852020:KSU852025 LCP852020:LCQ852025 LML852020:LMM852025 LWH852020:LWI852025 MGD852020:MGE852025 MPZ852020:MQA852025 MZV852020:MZW852025 NJR852020:NJS852025 NTN852020:NTO852025 ODJ852020:ODK852025 ONF852020:ONG852025 OXB852020:OXC852025 PGX852020:PGY852025 PQT852020:PQU852025 QAP852020:QAQ852025 QKL852020:QKM852025 QUH852020:QUI852025 RED852020:REE852025 RNZ852020:ROA852025 RXV852020:RXW852025 SHR852020:SHS852025 SRN852020:SRO852025 TBJ852020:TBK852025 TLF852020:TLG852025 TVB852020:TVC852025 UEX852020:UEY852025 UOT852020:UOU852025 UYP852020:UYQ852025 VIL852020:VIM852025 VSH852020:VSI852025 WCD852020:WCE852025 WLZ852020:WMA852025 WVV852020:WVW852025 N917556:O917561 JJ917556:JK917561 TF917556:TG917561 ADB917556:ADC917561 AMX917556:AMY917561 AWT917556:AWU917561 BGP917556:BGQ917561 BQL917556:BQM917561 CAH917556:CAI917561 CKD917556:CKE917561 CTZ917556:CUA917561 DDV917556:DDW917561 DNR917556:DNS917561 DXN917556:DXO917561 EHJ917556:EHK917561 ERF917556:ERG917561 FBB917556:FBC917561 FKX917556:FKY917561 FUT917556:FUU917561 GEP917556:GEQ917561 GOL917556:GOM917561 GYH917556:GYI917561 HID917556:HIE917561 HRZ917556:HSA917561 IBV917556:IBW917561 ILR917556:ILS917561 IVN917556:IVO917561 JFJ917556:JFK917561 JPF917556:JPG917561 JZB917556:JZC917561 KIX917556:KIY917561 KST917556:KSU917561 LCP917556:LCQ917561 LML917556:LMM917561 LWH917556:LWI917561 MGD917556:MGE917561 MPZ917556:MQA917561 MZV917556:MZW917561 NJR917556:NJS917561 NTN917556:NTO917561 ODJ917556:ODK917561 ONF917556:ONG917561 OXB917556:OXC917561 PGX917556:PGY917561 PQT917556:PQU917561 QAP917556:QAQ917561 QKL917556:QKM917561 QUH917556:QUI917561 RED917556:REE917561 RNZ917556:ROA917561 RXV917556:RXW917561 SHR917556:SHS917561 SRN917556:SRO917561 TBJ917556:TBK917561 TLF917556:TLG917561 TVB917556:TVC917561 UEX917556:UEY917561 UOT917556:UOU917561 UYP917556:UYQ917561 VIL917556:VIM917561 VSH917556:VSI917561 WCD917556:WCE917561 WLZ917556:WMA917561 WVV917556:WVW917561 N983092:O983097 JJ983092:JK983097 TF983092:TG983097 ADB983092:ADC983097 AMX983092:AMY983097 AWT983092:AWU983097 BGP983092:BGQ983097 BQL983092:BQM983097 CAH983092:CAI983097 CKD983092:CKE983097 CTZ983092:CUA983097 DDV983092:DDW983097 DNR983092:DNS983097 DXN983092:DXO983097 EHJ983092:EHK983097 ERF983092:ERG983097 FBB983092:FBC983097 FKX983092:FKY983097 FUT983092:FUU983097 GEP983092:GEQ983097 GOL983092:GOM983097 GYH983092:GYI983097 HID983092:HIE983097 HRZ983092:HSA983097 IBV983092:IBW983097 ILR983092:ILS983097 IVN983092:IVO983097 JFJ983092:JFK983097 JPF983092:JPG983097 JZB983092:JZC983097 KIX983092:KIY983097 KST983092:KSU983097 LCP983092:LCQ983097 LML983092:LMM983097 LWH983092:LWI983097 MGD983092:MGE983097 MPZ983092:MQA983097 MZV983092:MZW983097 NJR983092:NJS983097 NTN983092:NTO983097 ODJ983092:ODK983097 ONF983092:ONG983097 OXB983092:OXC983097 PGX983092:PGY983097 PQT983092:PQU983097 QAP983092:QAQ983097 QKL983092:QKM983097 QUH983092:QUI983097 RED983092:REE983097 RNZ983092:ROA983097 RXV983092:RXW983097 SHR983092:SHS983097 SRN983092:SRO983097 TBJ983092:TBK983097 TLF983092:TLG983097 TVB983092:TVC983097 UEX983092:UEY983097 UOT983092:UOU983097 UYP983092:UYQ983097 VIL983092:VIM983097 VSH983092:VSI983097 WCD983092:WCE983097 WLZ983092:WMA983097 WVV983092:WVW983097 N59:O62 JJ59:JK62 TF59:TG62 ADB59:ADC62 AMX59:AMY62 AWT59:AWU62 BGP59:BGQ62 BQL59:BQM62 CAH59:CAI62 CKD59:CKE62 CTZ59:CUA62 DDV59:DDW62 DNR59:DNS62 DXN59:DXO62 EHJ59:EHK62 ERF59:ERG62 FBB59:FBC62 FKX59:FKY62 FUT59:FUU62 GEP59:GEQ62 GOL59:GOM62 GYH59:GYI62 HID59:HIE62 HRZ59:HSA62 IBV59:IBW62 ILR59:ILS62 IVN59:IVO62 JFJ59:JFK62 JPF59:JPG62 JZB59:JZC62 KIX59:KIY62 KST59:KSU62 LCP59:LCQ62 LML59:LMM62 LWH59:LWI62 MGD59:MGE62 MPZ59:MQA62 MZV59:MZW62 NJR59:NJS62 NTN59:NTO62 ODJ59:ODK62 ONF59:ONG62 OXB59:OXC62 PGX59:PGY62 PQT59:PQU62 QAP59:QAQ62 QKL59:QKM62 QUH59:QUI62 RED59:REE62 RNZ59:ROA62 RXV59:RXW62 SHR59:SHS62 SRN59:SRO62 TBJ59:TBK62 TLF59:TLG62 TVB59:TVC62 UEX59:UEY62 UOT59:UOU62 UYP59:UYQ62 VIL59:VIM62 VSH59:VSI62 WCD59:WCE62 WLZ59:WMA62 WVV59:WVW62 N65595:O65598 JJ65595:JK65598 TF65595:TG65598 ADB65595:ADC65598 AMX65595:AMY65598 AWT65595:AWU65598 BGP65595:BGQ65598 BQL65595:BQM65598 CAH65595:CAI65598 CKD65595:CKE65598 CTZ65595:CUA65598 DDV65595:DDW65598 DNR65595:DNS65598 DXN65595:DXO65598 EHJ65595:EHK65598 ERF65595:ERG65598 FBB65595:FBC65598 FKX65595:FKY65598 FUT65595:FUU65598 GEP65595:GEQ65598 GOL65595:GOM65598 GYH65595:GYI65598 HID65595:HIE65598 HRZ65595:HSA65598 IBV65595:IBW65598 ILR65595:ILS65598 IVN65595:IVO65598 JFJ65595:JFK65598 JPF65595:JPG65598 JZB65595:JZC65598 KIX65595:KIY65598 KST65595:KSU65598 LCP65595:LCQ65598 LML65595:LMM65598 LWH65595:LWI65598 MGD65595:MGE65598 MPZ65595:MQA65598 MZV65595:MZW65598 NJR65595:NJS65598 NTN65595:NTO65598 ODJ65595:ODK65598 ONF65595:ONG65598 OXB65595:OXC65598 PGX65595:PGY65598 PQT65595:PQU65598 QAP65595:QAQ65598 QKL65595:QKM65598 QUH65595:QUI65598 RED65595:REE65598 RNZ65595:ROA65598 RXV65595:RXW65598 SHR65595:SHS65598 SRN65595:SRO65598 TBJ65595:TBK65598 TLF65595:TLG65598 TVB65595:TVC65598 UEX65595:UEY65598 UOT65595:UOU65598 UYP65595:UYQ65598 VIL65595:VIM65598 VSH65595:VSI65598 WCD65595:WCE65598 WLZ65595:WMA65598 WVV65595:WVW65598 N131131:O131134 JJ131131:JK131134 TF131131:TG131134 ADB131131:ADC131134 AMX131131:AMY131134 AWT131131:AWU131134 BGP131131:BGQ131134 BQL131131:BQM131134 CAH131131:CAI131134 CKD131131:CKE131134 CTZ131131:CUA131134 DDV131131:DDW131134 DNR131131:DNS131134 DXN131131:DXO131134 EHJ131131:EHK131134 ERF131131:ERG131134 FBB131131:FBC131134 FKX131131:FKY131134 FUT131131:FUU131134 GEP131131:GEQ131134 GOL131131:GOM131134 GYH131131:GYI131134 HID131131:HIE131134 HRZ131131:HSA131134 IBV131131:IBW131134 ILR131131:ILS131134 IVN131131:IVO131134 JFJ131131:JFK131134 JPF131131:JPG131134 JZB131131:JZC131134 KIX131131:KIY131134 KST131131:KSU131134 LCP131131:LCQ131134 LML131131:LMM131134 LWH131131:LWI131134 MGD131131:MGE131134 MPZ131131:MQA131134 MZV131131:MZW131134 NJR131131:NJS131134 NTN131131:NTO131134 ODJ131131:ODK131134 ONF131131:ONG131134 OXB131131:OXC131134 PGX131131:PGY131134 PQT131131:PQU131134 QAP131131:QAQ131134 QKL131131:QKM131134 QUH131131:QUI131134 RED131131:REE131134 RNZ131131:ROA131134 RXV131131:RXW131134 SHR131131:SHS131134 SRN131131:SRO131134 TBJ131131:TBK131134 TLF131131:TLG131134 TVB131131:TVC131134 UEX131131:UEY131134 UOT131131:UOU131134 UYP131131:UYQ131134 VIL131131:VIM131134 VSH131131:VSI131134 WCD131131:WCE131134 WLZ131131:WMA131134 WVV131131:WVW131134 N196667:O196670 JJ196667:JK196670 TF196667:TG196670 ADB196667:ADC196670 AMX196667:AMY196670 AWT196667:AWU196670 BGP196667:BGQ196670 BQL196667:BQM196670 CAH196667:CAI196670 CKD196667:CKE196670 CTZ196667:CUA196670 DDV196667:DDW196670 DNR196667:DNS196670 DXN196667:DXO196670 EHJ196667:EHK196670 ERF196667:ERG196670 FBB196667:FBC196670 FKX196667:FKY196670 FUT196667:FUU196670 GEP196667:GEQ196670 GOL196667:GOM196670 GYH196667:GYI196670 HID196667:HIE196670 HRZ196667:HSA196670 IBV196667:IBW196670 ILR196667:ILS196670 IVN196667:IVO196670 JFJ196667:JFK196670 JPF196667:JPG196670 JZB196667:JZC196670 KIX196667:KIY196670 KST196667:KSU196670 LCP196667:LCQ196670 LML196667:LMM196670 LWH196667:LWI196670 MGD196667:MGE196670 MPZ196667:MQA196670 MZV196667:MZW196670 NJR196667:NJS196670 NTN196667:NTO196670 ODJ196667:ODK196670 ONF196667:ONG196670 OXB196667:OXC196670 PGX196667:PGY196670 PQT196667:PQU196670 QAP196667:QAQ196670 QKL196667:QKM196670 QUH196667:QUI196670 RED196667:REE196670 RNZ196667:ROA196670 RXV196667:RXW196670 SHR196667:SHS196670 SRN196667:SRO196670 TBJ196667:TBK196670 TLF196667:TLG196670 TVB196667:TVC196670 UEX196667:UEY196670 UOT196667:UOU196670 UYP196667:UYQ196670 VIL196667:VIM196670 VSH196667:VSI196670 WCD196667:WCE196670 WLZ196667:WMA196670 WVV196667:WVW196670 N262203:O262206 JJ262203:JK262206 TF262203:TG262206 ADB262203:ADC262206 AMX262203:AMY262206 AWT262203:AWU262206 BGP262203:BGQ262206 BQL262203:BQM262206 CAH262203:CAI262206 CKD262203:CKE262206 CTZ262203:CUA262206 DDV262203:DDW262206 DNR262203:DNS262206 DXN262203:DXO262206 EHJ262203:EHK262206 ERF262203:ERG262206 FBB262203:FBC262206 FKX262203:FKY262206 FUT262203:FUU262206 GEP262203:GEQ262206 GOL262203:GOM262206 GYH262203:GYI262206 HID262203:HIE262206 HRZ262203:HSA262206 IBV262203:IBW262206 ILR262203:ILS262206 IVN262203:IVO262206 JFJ262203:JFK262206 JPF262203:JPG262206 JZB262203:JZC262206 KIX262203:KIY262206 KST262203:KSU262206 LCP262203:LCQ262206 LML262203:LMM262206 LWH262203:LWI262206 MGD262203:MGE262206 MPZ262203:MQA262206 MZV262203:MZW262206 NJR262203:NJS262206 NTN262203:NTO262206 ODJ262203:ODK262206 ONF262203:ONG262206 OXB262203:OXC262206 PGX262203:PGY262206 PQT262203:PQU262206 QAP262203:QAQ262206 QKL262203:QKM262206 QUH262203:QUI262206 RED262203:REE262206 RNZ262203:ROA262206 RXV262203:RXW262206 SHR262203:SHS262206 SRN262203:SRO262206 TBJ262203:TBK262206 TLF262203:TLG262206 TVB262203:TVC262206 UEX262203:UEY262206 UOT262203:UOU262206 UYP262203:UYQ262206 VIL262203:VIM262206 VSH262203:VSI262206 WCD262203:WCE262206 WLZ262203:WMA262206 WVV262203:WVW262206 N327739:O327742 JJ327739:JK327742 TF327739:TG327742 ADB327739:ADC327742 AMX327739:AMY327742 AWT327739:AWU327742 BGP327739:BGQ327742 BQL327739:BQM327742 CAH327739:CAI327742 CKD327739:CKE327742 CTZ327739:CUA327742 DDV327739:DDW327742 DNR327739:DNS327742 DXN327739:DXO327742 EHJ327739:EHK327742 ERF327739:ERG327742 FBB327739:FBC327742 FKX327739:FKY327742 FUT327739:FUU327742 GEP327739:GEQ327742 GOL327739:GOM327742 GYH327739:GYI327742 HID327739:HIE327742 HRZ327739:HSA327742 IBV327739:IBW327742 ILR327739:ILS327742 IVN327739:IVO327742 JFJ327739:JFK327742 JPF327739:JPG327742 JZB327739:JZC327742 KIX327739:KIY327742 KST327739:KSU327742 LCP327739:LCQ327742 LML327739:LMM327742 LWH327739:LWI327742 MGD327739:MGE327742 MPZ327739:MQA327742 MZV327739:MZW327742 NJR327739:NJS327742 NTN327739:NTO327742 ODJ327739:ODK327742 ONF327739:ONG327742 OXB327739:OXC327742 PGX327739:PGY327742 PQT327739:PQU327742 QAP327739:QAQ327742 QKL327739:QKM327742 QUH327739:QUI327742 RED327739:REE327742 RNZ327739:ROA327742 RXV327739:RXW327742 SHR327739:SHS327742 SRN327739:SRO327742 TBJ327739:TBK327742 TLF327739:TLG327742 TVB327739:TVC327742 UEX327739:UEY327742 UOT327739:UOU327742 UYP327739:UYQ327742 VIL327739:VIM327742 VSH327739:VSI327742 WCD327739:WCE327742 WLZ327739:WMA327742 WVV327739:WVW327742 N393275:O393278 JJ393275:JK393278 TF393275:TG393278 ADB393275:ADC393278 AMX393275:AMY393278 AWT393275:AWU393278 BGP393275:BGQ393278 BQL393275:BQM393278 CAH393275:CAI393278 CKD393275:CKE393278 CTZ393275:CUA393278 DDV393275:DDW393278 DNR393275:DNS393278 DXN393275:DXO393278 EHJ393275:EHK393278 ERF393275:ERG393278 FBB393275:FBC393278 FKX393275:FKY393278 FUT393275:FUU393278 GEP393275:GEQ393278 GOL393275:GOM393278 GYH393275:GYI393278 HID393275:HIE393278 HRZ393275:HSA393278 IBV393275:IBW393278 ILR393275:ILS393278 IVN393275:IVO393278 JFJ393275:JFK393278 JPF393275:JPG393278 JZB393275:JZC393278 KIX393275:KIY393278 KST393275:KSU393278 LCP393275:LCQ393278 LML393275:LMM393278 LWH393275:LWI393278 MGD393275:MGE393278 MPZ393275:MQA393278 MZV393275:MZW393278 NJR393275:NJS393278 NTN393275:NTO393278 ODJ393275:ODK393278 ONF393275:ONG393278 OXB393275:OXC393278 PGX393275:PGY393278 PQT393275:PQU393278 QAP393275:QAQ393278 QKL393275:QKM393278 QUH393275:QUI393278 RED393275:REE393278 RNZ393275:ROA393278 RXV393275:RXW393278 SHR393275:SHS393278 SRN393275:SRO393278 TBJ393275:TBK393278 TLF393275:TLG393278 TVB393275:TVC393278 UEX393275:UEY393278 UOT393275:UOU393278 UYP393275:UYQ393278 VIL393275:VIM393278 VSH393275:VSI393278 WCD393275:WCE393278 WLZ393275:WMA393278 WVV393275:WVW393278 N458811:O458814 JJ458811:JK458814 TF458811:TG458814 ADB458811:ADC458814 AMX458811:AMY458814 AWT458811:AWU458814 BGP458811:BGQ458814 BQL458811:BQM458814 CAH458811:CAI458814 CKD458811:CKE458814 CTZ458811:CUA458814 DDV458811:DDW458814 DNR458811:DNS458814 DXN458811:DXO458814 EHJ458811:EHK458814 ERF458811:ERG458814 FBB458811:FBC458814 FKX458811:FKY458814 FUT458811:FUU458814 GEP458811:GEQ458814 GOL458811:GOM458814 GYH458811:GYI458814 HID458811:HIE458814 HRZ458811:HSA458814 IBV458811:IBW458814 ILR458811:ILS458814 IVN458811:IVO458814 JFJ458811:JFK458814 JPF458811:JPG458814 JZB458811:JZC458814 KIX458811:KIY458814 KST458811:KSU458814 LCP458811:LCQ458814 LML458811:LMM458814 LWH458811:LWI458814 MGD458811:MGE458814 MPZ458811:MQA458814 MZV458811:MZW458814 NJR458811:NJS458814 NTN458811:NTO458814 ODJ458811:ODK458814 ONF458811:ONG458814 OXB458811:OXC458814 PGX458811:PGY458814 PQT458811:PQU458814 QAP458811:QAQ458814 QKL458811:QKM458814 QUH458811:QUI458814 RED458811:REE458814 RNZ458811:ROA458814 RXV458811:RXW458814 SHR458811:SHS458814 SRN458811:SRO458814 TBJ458811:TBK458814 TLF458811:TLG458814 TVB458811:TVC458814 UEX458811:UEY458814 UOT458811:UOU458814 UYP458811:UYQ458814 VIL458811:VIM458814 VSH458811:VSI458814 WCD458811:WCE458814 WLZ458811:WMA458814 WVV458811:WVW458814 N524347:O524350 JJ524347:JK524350 TF524347:TG524350 ADB524347:ADC524350 AMX524347:AMY524350 AWT524347:AWU524350 BGP524347:BGQ524350 BQL524347:BQM524350 CAH524347:CAI524350 CKD524347:CKE524350 CTZ524347:CUA524350 DDV524347:DDW524350 DNR524347:DNS524350 DXN524347:DXO524350 EHJ524347:EHK524350 ERF524347:ERG524350 FBB524347:FBC524350 FKX524347:FKY524350 FUT524347:FUU524350 GEP524347:GEQ524350 GOL524347:GOM524350 GYH524347:GYI524350 HID524347:HIE524350 HRZ524347:HSA524350 IBV524347:IBW524350 ILR524347:ILS524350 IVN524347:IVO524350 JFJ524347:JFK524350 JPF524347:JPG524350 JZB524347:JZC524350 KIX524347:KIY524350 KST524347:KSU524350 LCP524347:LCQ524350 LML524347:LMM524350 LWH524347:LWI524350 MGD524347:MGE524350 MPZ524347:MQA524350 MZV524347:MZW524350 NJR524347:NJS524350 NTN524347:NTO524350 ODJ524347:ODK524350 ONF524347:ONG524350 OXB524347:OXC524350 PGX524347:PGY524350 PQT524347:PQU524350 QAP524347:QAQ524350 QKL524347:QKM524350 QUH524347:QUI524350 RED524347:REE524350 RNZ524347:ROA524350 RXV524347:RXW524350 SHR524347:SHS524350 SRN524347:SRO524350 TBJ524347:TBK524350 TLF524347:TLG524350 TVB524347:TVC524350 UEX524347:UEY524350 UOT524347:UOU524350 UYP524347:UYQ524350 VIL524347:VIM524350 VSH524347:VSI524350 WCD524347:WCE524350 WLZ524347:WMA524350 WVV524347:WVW524350 N589883:O589886 JJ589883:JK589886 TF589883:TG589886 ADB589883:ADC589886 AMX589883:AMY589886 AWT589883:AWU589886 BGP589883:BGQ589886 BQL589883:BQM589886 CAH589883:CAI589886 CKD589883:CKE589886 CTZ589883:CUA589886 DDV589883:DDW589886 DNR589883:DNS589886 DXN589883:DXO589886 EHJ589883:EHK589886 ERF589883:ERG589886 FBB589883:FBC589886 FKX589883:FKY589886 FUT589883:FUU589886 GEP589883:GEQ589886 GOL589883:GOM589886 GYH589883:GYI589886 HID589883:HIE589886 HRZ589883:HSA589886 IBV589883:IBW589886 ILR589883:ILS589886 IVN589883:IVO589886 JFJ589883:JFK589886 JPF589883:JPG589886 JZB589883:JZC589886 KIX589883:KIY589886 KST589883:KSU589886 LCP589883:LCQ589886 LML589883:LMM589886 LWH589883:LWI589886 MGD589883:MGE589886 MPZ589883:MQA589886 MZV589883:MZW589886 NJR589883:NJS589886 NTN589883:NTO589886 ODJ589883:ODK589886 ONF589883:ONG589886 OXB589883:OXC589886 PGX589883:PGY589886 PQT589883:PQU589886 QAP589883:QAQ589886 QKL589883:QKM589886 QUH589883:QUI589886 RED589883:REE589886 RNZ589883:ROA589886 RXV589883:RXW589886 SHR589883:SHS589886 SRN589883:SRO589886 TBJ589883:TBK589886 TLF589883:TLG589886 TVB589883:TVC589886 UEX589883:UEY589886 UOT589883:UOU589886 UYP589883:UYQ589886 VIL589883:VIM589886 VSH589883:VSI589886 WCD589883:WCE589886 WLZ589883:WMA589886 WVV589883:WVW589886 N655419:O655422 JJ655419:JK655422 TF655419:TG655422 ADB655419:ADC655422 AMX655419:AMY655422 AWT655419:AWU655422 BGP655419:BGQ655422 BQL655419:BQM655422 CAH655419:CAI655422 CKD655419:CKE655422 CTZ655419:CUA655422 DDV655419:DDW655422 DNR655419:DNS655422 DXN655419:DXO655422 EHJ655419:EHK655422 ERF655419:ERG655422 FBB655419:FBC655422 FKX655419:FKY655422 FUT655419:FUU655422 GEP655419:GEQ655422 GOL655419:GOM655422 GYH655419:GYI655422 HID655419:HIE655422 HRZ655419:HSA655422 IBV655419:IBW655422 ILR655419:ILS655422 IVN655419:IVO655422 JFJ655419:JFK655422 JPF655419:JPG655422 JZB655419:JZC655422 KIX655419:KIY655422 KST655419:KSU655422 LCP655419:LCQ655422 LML655419:LMM655422 LWH655419:LWI655422 MGD655419:MGE655422 MPZ655419:MQA655422 MZV655419:MZW655422 NJR655419:NJS655422 NTN655419:NTO655422 ODJ655419:ODK655422 ONF655419:ONG655422 OXB655419:OXC655422 PGX655419:PGY655422 PQT655419:PQU655422 QAP655419:QAQ655422 QKL655419:QKM655422 QUH655419:QUI655422 RED655419:REE655422 RNZ655419:ROA655422 RXV655419:RXW655422 SHR655419:SHS655422 SRN655419:SRO655422 TBJ655419:TBK655422 TLF655419:TLG655422 TVB655419:TVC655422 UEX655419:UEY655422 UOT655419:UOU655422 UYP655419:UYQ655422 VIL655419:VIM655422 VSH655419:VSI655422 WCD655419:WCE655422 WLZ655419:WMA655422 WVV655419:WVW655422 N720955:O720958 JJ720955:JK720958 TF720955:TG720958 ADB720955:ADC720958 AMX720955:AMY720958 AWT720955:AWU720958 BGP720955:BGQ720958 BQL720955:BQM720958 CAH720955:CAI720958 CKD720955:CKE720958 CTZ720955:CUA720958 DDV720955:DDW720958 DNR720955:DNS720958 DXN720955:DXO720958 EHJ720955:EHK720958 ERF720955:ERG720958 FBB720955:FBC720958 FKX720955:FKY720958 FUT720955:FUU720958 GEP720955:GEQ720958 GOL720955:GOM720958 GYH720955:GYI720958 HID720955:HIE720958 HRZ720955:HSA720958 IBV720955:IBW720958 ILR720955:ILS720958 IVN720955:IVO720958 JFJ720955:JFK720958 JPF720955:JPG720958 JZB720955:JZC720958 KIX720955:KIY720958 KST720955:KSU720958 LCP720955:LCQ720958 LML720955:LMM720958 LWH720955:LWI720958 MGD720955:MGE720958 MPZ720955:MQA720958 MZV720955:MZW720958 NJR720955:NJS720958 NTN720955:NTO720958 ODJ720955:ODK720958 ONF720955:ONG720958 OXB720955:OXC720958 PGX720955:PGY720958 PQT720955:PQU720958 QAP720955:QAQ720958 QKL720955:QKM720958 QUH720955:QUI720958 RED720955:REE720958 RNZ720955:ROA720958 RXV720955:RXW720958 SHR720955:SHS720958 SRN720955:SRO720958 TBJ720955:TBK720958 TLF720955:TLG720958 TVB720955:TVC720958 UEX720955:UEY720958 UOT720955:UOU720958 UYP720955:UYQ720958 VIL720955:VIM720958 VSH720955:VSI720958 WCD720955:WCE720958 WLZ720955:WMA720958 WVV720955:WVW720958 N786491:O786494 JJ786491:JK786494 TF786491:TG786494 ADB786491:ADC786494 AMX786491:AMY786494 AWT786491:AWU786494 BGP786491:BGQ786494 BQL786491:BQM786494 CAH786491:CAI786494 CKD786491:CKE786494 CTZ786491:CUA786494 DDV786491:DDW786494 DNR786491:DNS786494 DXN786491:DXO786494 EHJ786491:EHK786494 ERF786491:ERG786494 FBB786491:FBC786494 FKX786491:FKY786494 FUT786491:FUU786494 GEP786491:GEQ786494 GOL786491:GOM786494 GYH786491:GYI786494 HID786491:HIE786494 HRZ786491:HSA786494 IBV786491:IBW786494 ILR786491:ILS786494 IVN786491:IVO786494 JFJ786491:JFK786494 JPF786491:JPG786494 JZB786491:JZC786494 KIX786491:KIY786494 KST786491:KSU786494 LCP786491:LCQ786494 LML786491:LMM786494 LWH786491:LWI786494 MGD786491:MGE786494 MPZ786491:MQA786494 MZV786491:MZW786494 NJR786491:NJS786494 NTN786491:NTO786494 ODJ786491:ODK786494 ONF786491:ONG786494 OXB786491:OXC786494 PGX786491:PGY786494 PQT786491:PQU786494 QAP786491:QAQ786494 QKL786491:QKM786494 QUH786491:QUI786494 RED786491:REE786494 RNZ786491:ROA786494 RXV786491:RXW786494 SHR786491:SHS786494 SRN786491:SRO786494 TBJ786491:TBK786494 TLF786491:TLG786494 TVB786491:TVC786494 UEX786491:UEY786494 UOT786491:UOU786494 UYP786491:UYQ786494 VIL786491:VIM786494 VSH786491:VSI786494 WCD786491:WCE786494 WLZ786491:WMA786494 WVV786491:WVW786494 N852027:O852030 JJ852027:JK852030 TF852027:TG852030 ADB852027:ADC852030 AMX852027:AMY852030 AWT852027:AWU852030 BGP852027:BGQ852030 BQL852027:BQM852030 CAH852027:CAI852030 CKD852027:CKE852030 CTZ852027:CUA852030 DDV852027:DDW852030 DNR852027:DNS852030 DXN852027:DXO852030 EHJ852027:EHK852030 ERF852027:ERG852030 FBB852027:FBC852030 FKX852027:FKY852030 FUT852027:FUU852030 GEP852027:GEQ852030 GOL852027:GOM852030 GYH852027:GYI852030 HID852027:HIE852030 HRZ852027:HSA852030 IBV852027:IBW852030 ILR852027:ILS852030 IVN852027:IVO852030 JFJ852027:JFK852030 JPF852027:JPG852030 JZB852027:JZC852030 KIX852027:KIY852030 KST852027:KSU852030 LCP852027:LCQ852030 LML852027:LMM852030 LWH852027:LWI852030 MGD852027:MGE852030 MPZ852027:MQA852030 MZV852027:MZW852030 NJR852027:NJS852030 NTN852027:NTO852030 ODJ852027:ODK852030 ONF852027:ONG852030 OXB852027:OXC852030 PGX852027:PGY852030 PQT852027:PQU852030 QAP852027:QAQ852030 QKL852027:QKM852030 QUH852027:QUI852030 RED852027:REE852030 RNZ852027:ROA852030 RXV852027:RXW852030 SHR852027:SHS852030 SRN852027:SRO852030 TBJ852027:TBK852030 TLF852027:TLG852030 TVB852027:TVC852030 UEX852027:UEY852030 UOT852027:UOU852030 UYP852027:UYQ852030 VIL852027:VIM852030 VSH852027:VSI852030 WCD852027:WCE852030 WLZ852027:WMA852030 WVV852027:WVW852030 N917563:O917566 JJ917563:JK917566 TF917563:TG917566 ADB917563:ADC917566 AMX917563:AMY917566 AWT917563:AWU917566 BGP917563:BGQ917566 BQL917563:BQM917566 CAH917563:CAI917566 CKD917563:CKE917566 CTZ917563:CUA917566 DDV917563:DDW917566 DNR917563:DNS917566 DXN917563:DXO917566 EHJ917563:EHK917566 ERF917563:ERG917566 FBB917563:FBC917566 FKX917563:FKY917566 FUT917563:FUU917566 GEP917563:GEQ917566 GOL917563:GOM917566 GYH917563:GYI917566 HID917563:HIE917566 HRZ917563:HSA917566 IBV917563:IBW917566 ILR917563:ILS917566 IVN917563:IVO917566 JFJ917563:JFK917566 JPF917563:JPG917566 JZB917563:JZC917566 KIX917563:KIY917566 KST917563:KSU917566 LCP917563:LCQ917566 LML917563:LMM917566 LWH917563:LWI917566 MGD917563:MGE917566 MPZ917563:MQA917566 MZV917563:MZW917566 NJR917563:NJS917566 NTN917563:NTO917566 ODJ917563:ODK917566 ONF917563:ONG917566 OXB917563:OXC917566 PGX917563:PGY917566 PQT917563:PQU917566 QAP917563:QAQ917566 QKL917563:QKM917566 QUH917563:QUI917566 RED917563:REE917566 RNZ917563:ROA917566 RXV917563:RXW917566 SHR917563:SHS917566 SRN917563:SRO917566 TBJ917563:TBK917566 TLF917563:TLG917566 TVB917563:TVC917566 UEX917563:UEY917566 UOT917563:UOU917566 UYP917563:UYQ917566 VIL917563:VIM917566 VSH917563:VSI917566 WCD917563:WCE917566 WLZ917563:WMA917566 WVV917563:WVW917566 N983099:O983102 JJ983099:JK983102 TF983099:TG983102 ADB983099:ADC983102 AMX983099:AMY983102 AWT983099:AWU983102 BGP983099:BGQ983102 BQL983099:BQM983102 CAH983099:CAI983102 CKD983099:CKE983102 CTZ983099:CUA983102 DDV983099:DDW983102 DNR983099:DNS983102 DXN983099:DXO983102 EHJ983099:EHK983102 ERF983099:ERG983102 FBB983099:FBC983102 FKX983099:FKY983102 FUT983099:FUU983102 GEP983099:GEQ983102 GOL983099:GOM983102 GYH983099:GYI983102 HID983099:HIE983102 HRZ983099:HSA983102 IBV983099:IBW983102 ILR983099:ILS983102 IVN983099:IVO983102 JFJ983099:JFK983102 JPF983099:JPG983102 JZB983099:JZC983102 KIX983099:KIY983102 KST983099:KSU983102 LCP983099:LCQ983102 LML983099:LMM983102 LWH983099:LWI983102 MGD983099:MGE983102 MPZ983099:MQA983102 MZV983099:MZW983102 NJR983099:NJS983102 NTN983099:NTO983102 ODJ983099:ODK983102 ONF983099:ONG983102 OXB983099:OXC983102 PGX983099:PGY983102 PQT983099:PQU983102 QAP983099:QAQ983102 QKL983099:QKM983102 QUH983099:QUI983102 RED983099:REE983102 RNZ983099:ROA983102 RXV983099:RXW983102 SHR983099:SHS983102 SRN983099:SRO983102 TBJ983099:TBK983102 TLF983099:TLG983102 TVB983099:TVC983102 UEX983099:UEY983102 UOT983099:UOU983102 UYP983099:UYQ983102 VIL983099:VIM983102 VSH983099:VSI983102 WCD983099:WCE983102 WLZ983099:WMA983102 WVV983099:WVW983102 O63:O64 JK63:JK64 TG63:TG64 ADC63:ADC64 AMY63:AMY64 AWU63:AWU64 BGQ63:BGQ64 BQM63:BQM64 CAI63:CAI64 CKE63:CKE64 CUA63:CUA64 DDW63:DDW64 DNS63:DNS64 DXO63:DXO64 EHK63:EHK64 ERG63:ERG64 FBC63:FBC64 FKY63:FKY64 FUU63:FUU64 GEQ63:GEQ64 GOM63:GOM64 GYI63:GYI64 HIE63:HIE64 HSA63:HSA64 IBW63:IBW64 ILS63:ILS64 IVO63:IVO64 JFK63:JFK64 JPG63:JPG64 JZC63:JZC64 KIY63:KIY64 KSU63:KSU64 LCQ63:LCQ64 LMM63:LMM64 LWI63:LWI64 MGE63:MGE64 MQA63:MQA64 MZW63:MZW64 NJS63:NJS64 NTO63:NTO64 ODK63:ODK64 ONG63:ONG64 OXC63:OXC64 PGY63:PGY64 PQU63:PQU64 QAQ63:QAQ64 QKM63:QKM64 QUI63:QUI64 REE63:REE64 ROA63:ROA64 RXW63:RXW64 SHS63:SHS64 SRO63:SRO64 TBK63:TBK64 TLG63:TLG64 TVC63:TVC64 UEY63:UEY64 UOU63:UOU64 UYQ63:UYQ64 VIM63:VIM64 VSI63:VSI64 WCE63:WCE64 WMA63:WMA64 WVW63:WVW64 O65599:O65600 JK65599:JK65600 TG65599:TG65600 ADC65599:ADC65600 AMY65599:AMY65600 AWU65599:AWU65600 BGQ65599:BGQ65600 BQM65599:BQM65600 CAI65599:CAI65600 CKE65599:CKE65600 CUA65599:CUA65600 DDW65599:DDW65600 DNS65599:DNS65600 DXO65599:DXO65600 EHK65599:EHK65600 ERG65599:ERG65600 FBC65599:FBC65600 FKY65599:FKY65600 FUU65599:FUU65600 GEQ65599:GEQ65600 GOM65599:GOM65600 GYI65599:GYI65600 HIE65599:HIE65600 HSA65599:HSA65600 IBW65599:IBW65600 ILS65599:ILS65600 IVO65599:IVO65600 JFK65599:JFK65600 JPG65599:JPG65600 JZC65599:JZC65600 KIY65599:KIY65600 KSU65599:KSU65600 LCQ65599:LCQ65600 LMM65599:LMM65600 LWI65599:LWI65600 MGE65599:MGE65600 MQA65599:MQA65600 MZW65599:MZW65600 NJS65599:NJS65600 NTO65599:NTO65600 ODK65599:ODK65600 ONG65599:ONG65600 OXC65599:OXC65600 PGY65599:PGY65600 PQU65599:PQU65600 QAQ65599:QAQ65600 QKM65599:QKM65600 QUI65599:QUI65600 REE65599:REE65600 ROA65599:ROA65600 RXW65599:RXW65600 SHS65599:SHS65600 SRO65599:SRO65600 TBK65599:TBK65600 TLG65599:TLG65600 TVC65599:TVC65600 UEY65599:UEY65600 UOU65599:UOU65600 UYQ65599:UYQ65600 VIM65599:VIM65600 VSI65599:VSI65600 WCE65599:WCE65600 WMA65599:WMA65600 WVW65599:WVW65600 O131135:O131136 JK131135:JK131136 TG131135:TG131136 ADC131135:ADC131136 AMY131135:AMY131136 AWU131135:AWU131136 BGQ131135:BGQ131136 BQM131135:BQM131136 CAI131135:CAI131136 CKE131135:CKE131136 CUA131135:CUA131136 DDW131135:DDW131136 DNS131135:DNS131136 DXO131135:DXO131136 EHK131135:EHK131136 ERG131135:ERG131136 FBC131135:FBC131136 FKY131135:FKY131136 FUU131135:FUU131136 GEQ131135:GEQ131136 GOM131135:GOM131136 GYI131135:GYI131136 HIE131135:HIE131136 HSA131135:HSA131136 IBW131135:IBW131136 ILS131135:ILS131136 IVO131135:IVO131136 JFK131135:JFK131136 JPG131135:JPG131136 JZC131135:JZC131136 KIY131135:KIY131136 KSU131135:KSU131136 LCQ131135:LCQ131136 LMM131135:LMM131136 LWI131135:LWI131136 MGE131135:MGE131136 MQA131135:MQA131136 MZW131135:MZW131136 NJS131135:NJS131136 NTO131135:NTO131136 ODK131135:ODK131136 ONG131135:ONG131136 OXC131135:OXC131136 PGY131135:PGY131136 PQU131135:PQU131136 QAQ131135:QAQ131136 QKM131135:QKM131136 QUI131135:QUI131136 REE131135:REE131136 ROA131135:ROA131136 RXW131135:RXW131136 SHS131135:SHS131136 SRO131135:SRO131136 TBK131135:TBK131136 TLG131135:TLG131136 TVC131135:TVC131136 UEY131135:UEY131136 UOU131135:UOU131136 UYQ131135:UYQ131136 VIM131135:VIM131136 VSI131135:VSI131136 WCE131135:WCE131136 WMA131135:WMA131136 WVW131135:WVW131136 O196671:O196672 JK196671:JK196672 TG196671:TG196672 ADC196671:ADC196672 AMY196671:AMY196672 AWU196671:AWU196672 BGQ196671:BGQ196672 BQM196671:BQM196672 CAI196671:CAI196672 CKE196671:CKE196672 CUA196671:CUA196672 DDW196671:DDW196672 DNS196671:DNS196672 DXO196671:DXO196672 EHK196671:EHK196672 ERG196671:ERG196672 FBC196671:FBC196672 FKY196671:FKY196672 FUU196671:FUU196672 GEQ196671:GEQ196672 GOM196671:GOM196672 GYI196671:GYI196672 HIE196671:HIE196672 HSA196671:HSA196672 IBW196671:IBW196672 ILS196671:ILS196672 IVO196671:IVO196672 JFK196671:JFK196672 JPG196671:JPG196672 JZC196671:JZC196672 KIY196671:KIY196672 KSU196671:KSU196672 LCQ196671:LCQ196672 LMM196671:LMM196672 LWI196671:LWI196672 MGE196671:MGE196672 MQA196671:MQA196672 MZW196671:MZW196672 NJS196671:NJS196672 NTO196671:NTO196672 ODK196671:ODK196672 ONG196671:ONG196672 OXC196671:OXC196672 PGY196671:PGY196672 PQU196671:PQU196672 QAQ196671:QAQ196672 QKM196671:QKM196672 QUI196671:QUI196672 REE196671:REE196672 ROA196671:ROA196672 RXW196671:RXW196672 SHS196671:SHS196672 SRO196671:SRO196672 TBK196671:TBK196672 TLG196671:TLG196672 TVC196671:TVC196672 UEY196671:UEY196672 UOU196671:UOU196672 UYQ196671:UYQ196672 VIM196671:VIM196672 VSI196671:VSI196672 WCE196671:WCE196672 WMA196671:WMA196672 WVW196671:WVW196672 O262207:O262208 JK262207:JK262208 TG262207:TG262208 ADC262207:ADC262208 AMY262207:AMY262208 AWU262207:AWU262208 BGQ262207:BGQ262208 BQM262207:BQM262208 CAI262207:CAI262208 CKE262207:CKE262208 CUA262207:CUA262208 DDW262207:DDW262208 DNS262207:DNS262208 DXO262207:DXO262208 EHK262207:EHK262208 ERG262207:ERG262208 FBC262207:FBC262208 FKY262207:FKY262208 FUU262207:FUU262208 GEQ262207:GEQ262208 GOM262207:GOM262208 GYI262207:GYI262208 HIE262207:HIE262208 HSA262207:HSA262208 IBW262207:IBW262208 ILS262207:ILS262208 IVO262207:IVO262208 JFK262207:JFK262208 JPG262207:JPG262208 JZC262207:JZC262208 KIY262207:KIY262208 KSU262207:KSU262208 LCQ262207:LCQ262208 LMM262207:LMM262208 LWI262207:LWI262208 MGE262207:MGE262208 MQA262207:MQA262208 MZW262207:MZW262208 NJS262207:NJS262208 NTO262207:NTO262208 ODK262207:ODK262208 ONG262207:ONG262208 OXC262207:OXC262208 PGY262207:PGY262208 PQU262207:PQU262208 QAQ262207:QAQ262208 QKM262207:QKM262208 QUI262207:QUI262208 REE262207:REE262208 ROA262207:ROA262208 RXW262207:RXW262208 SHS262207:SHS262208 SRO262207:SRO262208 TBK262207:TBK262208 TLG262207:TLG262208 TVC262207:TVC262208 UEY262207:UEY262208 UOU262207:UOU262208 UYQ262207:UYQ262208 VIM262207:VIM262208 VSI262207:VSI262208 WCE262207:WCE262208 WMA262207:WMA262208 WVW262207:WVW262208 O327743:O327744 JK327743:JK327744 TG327743:TG327744 ADC327743:ADC327744 AMY327743:AMY327744 AWU327743:AWU327744 BGQ327743:BGQ327744 BQM327743:BQM327744 CAI327743:CAI327744 CKE327743:CKE327744 CUA327743:CUA327744 DDW327743:DDW327744 DNS327743:DNS327744 DXO327743:DXO327744 EHK327743:EHK327744 ERG327743:ERG327744 FBC327743:FBC327744 FKY327743:FKY327744 FUU327743:FUU327744 GEQ327743:GEQ327744 GOM327743:GOM327744 GYI327743:GYI327744 HIE327743:HIE327744 HSA327743:HSA327744 IBW327743:IBW327744 ILS327743:ILS327744 IVO327743:IVO327744 JFK327743:JFK327744 JPG327743:JPG327744 JZC327743:JZC327744 KIY327743:KIY327744 KSU327743:KSU327744 LCQ327743:LCQ327744 LMM327743:LMM327744 LWI327743:LWI327744 MGE327743:MGE327744 MQA327743:MQA327744 MZW327743:MZW327744 NJS327743:NJS327744 NTO327743:NTO327744 ODK327743:ODK327744 ONG327743:ONG327744 OXC327743:OXC327744 PGY327743:PGY327744 PQU327743:PQU327744 QAQ327743:QAQ327744 QKM327743:QKM327744 QUI327743:QUI327744 REE327743:REE327744 ROA327743:ROA327744 RXW327743:RXW327744 SHS327743:SHS327744 SRO327743:SRO327744 TBK327743:TBK327744 TLG327743:TLG327744 TVC327743:TVC327744 UEY327743:UEY327744 UOU327743:UOU327744 UYQ327743:UYQ327744 VIM327743:VIM327744 VSI327743:VSI327744 WCE327743:WCE327744 WMA327743:WMA327744 WVW327743:WVW327744 O393279:O393280 JK393279:JK393280 TG393279:TG393280 ADC393279:ADC393280 AMY393279:AMY393280 AWU393279:AWU393280 BGQ393279:BGQ393280 BQM393279:BQM393280 CAI393279:CAI393280 CKE393279:CKE393280 CUA393279:CUA393280 DDW393279:DDW393280 DNS393279:DNS393280 DXO393279:DXO393280 EHK393279:EHK393280 ERG393279:ERG393280 FBC393279:FBC393280 FKY393279:FKY393280 FUU393279:FUU393280 GEQ393279:GEQ393280 GOM393279:GOM393280 GYI393279:GYI393280 HIE393279:HIE393280 HSA393279:HSA393280 IBW393279:IBW393280 ILS393279:ILS393280 IVO393279:IVO393280 JFK393279:JFK393280 JPG393279:JPG393280 JZC393279:JZC393280 KIY393279:KIY393280 KSU393279:KSU393280 LCQ393279:LCQ393280 LMM393279:LMM393280 LWI393279:LWI393280 MGE393279:MGE393280 MQA393279:MQA393280 MZW393279:MZW393280 NJS393279:NJS393280 NTO393279:NTO393280 ODK393279:ODK393280 ONG393279:ONG393280 OXC393279:OXC393280 PGY393279:PGY393280 PQU393279:PQU393280 QAQ393279:QAQ393280 QKM393279:QKM393280 QUI393279:QUI393280 REE393279:REE393280 ROA393279:ROA393280 RXW393279:RXW393280 SHS393279:SHS393280 SRO393279:SRO393280 TBK393279:TBK393280 TLG393279:TLG393280 TVC393279:TVC393280 UEY393279:UEY393280 UOU393279:UOU393280 UYQ393279:UYQ393280 VIM393279:VIM393280 VSI393279:VSI393280 WCE393279:WCE393280 WMA393279:WMA393280 WVW393279:WVW393280 O458815:O458816 JK458815:JK458816 TG458815:TG458816 ADC458815:ADC458816 AMY458815:AMY458816 AWU458815:AWU458816 BGQ458815:BGQ458816 BQM458815:BQM458816 CAI458815:CAI458816 CKE458815:CKE458816 CUA458815:CUA458816 DDW458815:DDW458816 DNS458815:DNS458816 DXO458815:DXO458816 EHK458815:EHK458816 ERG458815:ERG458816 FBC458815:FBC458816 FKY458815:FKY458816 FUU458815:FUU458816 GEQ458815:GEQ458816 GOM458815:GOM458816 GYI458815:GYI458816 HIE458815:HIE458816 HSA458815:HSA458816 IBW458815:IBW458816 ILS458815:ILS458816 IVO458815:IVO458816 JFK458815:JFK458816 JPG458815:JPG458816 JZC458815:JZC458816 KIY458815:KIY458816 KSU458815:KSU458816 LCQ458815:LCQ458816 LMM458815:LMM458816 LWI458815:LWI458816 MGE458815:MGE458816 MQA458815:MQA458816 MZW458815:MZW458816 NJS458815:NJS458816 NTO458815:NTO458816 ODK458815:ODK458816 ONG458815:ONG458816 OXC458815:OXC458816 PGY458815:PGY458816 PQU458815:PQU458816 QAQ458815:QAQ458816 QKM458815:QKM458816 QUI458815:QUI458816 REE458815:REE458816 ROA458815:ROA458816 RXW458815:RXW458816 SHS458815:SHS458816 SRO458815:SRO458816 TBK458815:TBK458816 TLG458815:TLG458816 TVC458815:TVC458816 UEY458815:UEY458816 UOU458815:UOU458816 UYQ458815:UYQ458816 VIM458815:VIM458816 VSI458815:VSI458816 WCE458815:WCE458816 WMA458815:WMA458816 WVW458815:WVW458816 O524351:O524352 JK524351:JK524352 TG524351:TG524352 ADC524351:ADC524352 AMY524351:AMY524352 AWU524351:AWU524352 BGQ524351:BGQ524352 BQM524351:BQM524352 CAI524351:CAI524352 CKE524351:CKE524352 CUA524351:CUA524352 DDW524351:DDW524352 DNS524351:DNS524352 DXO524351:DXO524352 EHK524351:EHK524352 ERG524351:ERG524352 FBC524351:FBC524352 FKY524351:FKY524352 FUU524351:FUU524352 GEQ524351:GEQ524352 GOM524351:GOM524352 GYI524351:GYI524352 HIE524351:HIE524352 HSA524351:HSA524352 IBW524351:IBW524352 ILS524351:ILS524352 IVO524351:IVO524352 JFK524351:JFK524352 JPG524351:JPG524352 JZC524351:JZC524352 KIY524351:KIY524352 KSU524351:KSU524352 LCQ524351:LCQ524352 LMM524351:LMM524352 LWI524351:LWI524352 MGE524351:MGE524352 MQA524351:MQA524352 MZW524351:MZW524352 NJS524351:NJS524352 NTO524351:NTO524352 ODK524351:ODK524352 ONG524351:ONG524352 OXC524351:OXC524352 PGY524351:PGY524352 PQU524351:PQU524352 QAQ524351:QAQ524352 QKM524351:QKM524352 QUI524351:QUI524352 REE524351:REE524352 ROA524351:ROA524352 RXW524351:RXW524352 SHS524351:SHS524352 SRO524351:SRO524352 TBK524351:TBK524352 TLG524351:TLG524352 TVC524351:TVC524352 UEY524351:UEY524352 UOU524351:UOU524352 UYQ524351:UYQ524352 VIM524351:VIM524352 VSI524351:VSI524352 WCE524351:WCE524352 WMA524351:WMA524352 WVW524351:WVW524352 O589887:O589888 JK589887:JK589888 TG589887:TG589888 ADC589887:ADC589888 AMY589887:AMY589888 AWU589887:AWU589888 BGQ589887:BGQ589888 BQM589887:BQM589888 CAI589887:CAI589888 CKE589887:CKE589888 CUA589887:CUA589888 DDW589887:DDW589888 DNS589887:DNS589888 DXO589887:DXO589888 EHK589887:EHK589888 ERG589887:ERG589888 FBC589887:FBC589888 FKY589887:FKY589888 FUU589887:FUU589888 GEQ589887:GEQ589888 GOM589887:GOM589888 GYI589887:GYI589888 HIE589887:HIE589888 HSA589887:HSA589888 IBW589887:IBW589888 ILS589887:ILS589888 IVO589887:IVO589888 JFK589887:JFK589888 JPG589887:JPG589888 JZC589887:JZC589888 KIY589887:KIY589888 KSU589887:KSU589888 LCQ589887:LCQ589888 LMM589887:LMM589888 LWI589887:LWI589888 MGE589887:MGE589888 MQA589887:MQA589888 MZW589887:MZW589888 NJS589887:NJS589888 NTO589887:NTO589888 ODK589887:ODK589888 ONG589887:ONG589888 OXC589887:OXC589888 PGY589887:PGY589888 PQU589887:PQU589888 QAQ589887:QAQ589888 QKM589887:QKM589888 QUI589887:QUI589888 REE589887:REE589888 ROA589887:ROA589888 RXW589887:RXW589888 SHS589887:SHS589888 SRO589887:SRO589888 TBK589887:TBK589888 TLG589887:TLG589888 TVC589887:TVC589888 UEY589887:UEY589888 UOU589887:UOU589888 UYQ589887:UYQ589888 VIM589887:VIM589888 VSI589887:VSI589888 WCE589887:WCE589888 WMA589887:WMA589888 WVW589887:WVW589888 O655423:O655424 JK655423:JK655424 TG655423:TG655424 ADC655423:ADC655424 AMY655423:AMY655424 AWU655423:AWU655424 BGQ655423:BGQ655424 BQM655423:BQM655424 CAI655423:CAI655424 CKE655423:CKE655424 CUA655423:CUA655424 DDW655423:DDW655424 DNS655423:DNS655424 DXO655423:DXO655424 EHK655423:EHK655424 ERG655423:ERG655424 FBC655423:FBC655424 FKY655423:FKY655424 FUU655423:FUU655424 GEQ655423:GEQ655424 GOM655423:GOM655424 GYI655423:GYI655424 HIE655423:HIE655424 HSA655423:HSA655424 IBW655423:IBW655424 ILS655423:ILS655424 IVO655423:IVO655424 JFK655423:JFK655424 JPG655423:JPG655424 JZC655423:JZC655424 KIY655423:KIY655424 KSU655423:KSU655424 LCQ655423:LCQ655424 LMM655423:LMM655424 LWI655423:LWI655424 MGE655423:MGE655424 MQA655423:MQA655424 MZW655423:MZW655424 NJS655423:NJS655424 NTO655423:NTO655424 ODK655423:ODK655424 ONG655423:ONG655424 OXC655423:OXC655424 PGY655423:PGY655424 PQU655423:PQU655424 QAQ655423:QAQ655424 QKM655423:QKM655424 QUI655423:QUI655424 REE655423:REE655424 ROA655423:ROA655424 RXW655423:RXW655424 SHS655423:SHS655424 SRO655423:SRO655424 TBK655423:TBK655424 TLG655423:TLG655424 TVC655423:TVC655424 UEY655423:UEY655424 UOU655423:UOU655424 UYQ655423:UYQ655424 VIM655423:VIM655424 VSI655423:VSI655424 WCE655423:WCE655424 WMA655423:WMA655424 WVW655423:WVW655424 O720959:O720960 JK720959:JK720960 TG720959:TG720960 ADC720959:ADC720960 AMY720959:AMY720960 AWU720959:AWU720960 BGQ720959:BGQ720960 BQM720959:BQM720960 CAI720959:CAI720960 CKE720959:CKE720960 CUA720959:CUA720960 DDW720959:DDW720960 DNS720959:DNS720960 DXO720959:DXO720960 EHK720959:EHK720960 ERG720959:ERG720960 FBC720959:FBC720960 FKY720959:FKY720960 FUU720959:FUU720960 GEQ720959:GEQ720960 GOM720959:GOM720960 GYI720959:GYI720960 HIE720959:HIE720960 HSA720959:HSA720960 IBW720959:IBW720960 ILS720959:ILS720960 IVO720959:IVO720960 JFK720959:JFK720960 JPG720959:JPG720960 JZC720959:JZC720960 KIY720959:KIY720960 KSU720959:KSU720960 LCQ720959:LCQ720960 LMM720959:LMM720960 LWI720959:LWI720960 MGE720959:MGE720960 MQA720959:MQA720960 MZW720959:MZW720960 NJS720959:NJS720960 NTO720959:NTO720960 ODK720959:ODK720960 ONG720959:ONG720960 OXC720959:OXC720960 PGY720959:PGY720960 PQU720959:PQU720960 QAQ720959:QAQ720960 QKM720959:QKM720960 QUI720959:QUI720960 REE720959:REE720960 ROA720959:ROA720960 RXW720959:RXW720960 SHS720959:SHS720960 SRO720959:SRO720960 TBK720959:TBK720960 TLG720959:TLG720960 TVC720959:TVC720960 UEY720959:UEY720960 UOU720959:UOU720960 UYQ720959:UYQ720960 VIM720959:VIM720960 VSI720959:VSI720960 WCE720959:WCE720960 WMA720959:WMA720960 WVW720959:WVW720960 O786495:O786496 JK786495:JK786496 TG786495:TG786496 ADC786495:ADC786496 AMY786495:AMY786496 AWU786495:AWU786496 BGQ786495:BGQ786496 BQM786495:BQM786496 CAI786495:CAI786496 CKE786495:CKE786496 CUA786495:CUA786496 DDW786495:DDW786496 DNS786495:DNS786496 DXO786495:DXO786496 EHK786495:EHK786496 ERG786495:ERG786496 FBC786495:FBC786496 FKY786495:FKY786496 FUU786495:FUU786496 GEQ786495:GEQ786496 GOM786495:GOM786496 GYI786495:GYI786496 HIE786495:HIE786496 HSA786495:HSA786496 IBW786495:IBW786496 ILS786495:ILS786496 IVO786495:IVO786496 JFK786495:JFK786496 JPG786495:JPG786496 JZC786495:JZC786496 KIY786495:KIY786496 KSU786495:KSU786496 LCQ786495:LCQ786496 LMM786495:LMM786496 LWI786495:LWI786496 MGE786495:MGE786496 MQA786495:MQA786496 MZW786495:MZW786496 NJS786495:NJS786496 NTO786495:NTO786496 ODK786495:ODK786496 ONG786495:ONG786496 OXC786495:OXC786496 PGY786495:PGY786496 PQU786495:PQU786496 QAQ786495:QAQ786496 QKM786495:QKM786496 QUI786495:QUI786496 REE786495:REE786496 ROA786495:ROA786496 RXW786495:RXW786496 SHS786495:SHS786496 SRO786495:SRO786496 TBK786495:TBK786496 TLG786495:TLG786496 TVC786495:TVC786496 UEY786495:UEY786496 UOU786495:UOU786496 UYQ786495:UYQ786496 VIM786495:VIM786496 VSI786495:VSI786496 WCE786495:WCE786496 WMA786495:WMA786496 WVW786495:WVW786496 O852031:O852032 JK852031:JK852032 TG852031:TG852032 ADC852031:ADC852032 AMY852031:AMY852032 AWU852031:AWU852032 BGQ852031:BGQ852032 BQM852031:BQM852032 CAI852031:CAI852032 CKE852031:CKE852032 CUA852031:CUA852032 DDW852031:DDW852032 DNS852031:DNS852032 DXO852031:DXO852032 EHK852031:EHK852032 ERG852031:ERG852032 FBC852031:FBC852032 FKY852031:FKY852032 FUU852031:FUU852032 GEQ852031:GEQ852032 GOM852031:GOM852032 GYI852031:GYI852032 HIE852031:HIE852032 HSA852031:HSA852032 IBW852031:IBW852032 ILS852031:ILS852032 IVO852031:IVO852032 JFK852031:JFK852032 JPG852031:JPG852032 JZC852031:JZC852032 KIY852031:KIY852032 KSU852031:KSU852032 LCQ852031:LCQ852032 LMM852031:LMM852032 LWI852031:LWI852032 MGE852031:MGE852032 MQA852031:MQA852032 MZW852031:MZW852032 NJS852031:NJS852032 NTO852031:NTO852032 ODK852031:ODK852032 ONG852031:ONG852032 OXC852031:OXC852032 PGY852031:PGY852032 PQU852031:PQU852032 QAQ852031:QAQ852032 QKM852031:QKM852032 QUI852031:QUI852032 REE852031:REE852032 ROA852031:ROA852032 RXW852031:RXW852032 SHS852031:SHS852032 SRO852031:SRO852032 TBK852031:TBK852032 TLG852031:TLG852032 TVC852031:TVC852032 UEY852031:UEY852032 UOU852031:UOU852032 UYQ852031:UYQ852032 VIM852031:VIM852032 VSI852031:VSI852032 WCE852031:WCE852032 WMA852031:WMA852032 WVW852031:WVW852032 O917567:O917568 JK917567:JK917568 TG917567:TG917568 ADC917567:ADC917568 AMY917567:AMY917568 AWU917567:AWU917568 BGQ917567:BGQ917568 BQM917567:BQM917568 CAI917567:CAI917568 CKE917567:CKE917568 CUA917567:CUA917568 DDW917567:DDW917568 DNS917567:DNS917568 DXO917567:DXO917568 EHK917567:EHK917568 ERG917567:ERG917568 FBC917567:FBC917568 FKY917567:FKY917568 FUU917567:FUU917568 GEQ917567:GEQ917568 GOM917567:GOM917568 GYI917567:GYI917568 HIE917567:HIE917568 HSA917567:HSA917568 IBW917567:IBW917568 ILS917567:ILS917568 IVO917567:IVO917568 JFK917567:JFK917568 JPG917567:JPG917568 JZC917567:JZC917568 KIY917567:KIY917568 KSU917567:KSU917568 LCQ917567:LCQ917568 LMM917567:LMM917568 LWI917567:LWI917568 MGE917567:MGE917568 MQA917567:MQA917568 MZW917567:MZW917568 NJS917567:NJS917568 NTO917567:NTO917568 ODK917567:ODK917568 ONG917567:ONG917568 OXC917567:OXC917568 PGY917567:PGY917568 PQU917567:PQU917568 QAQ917567:QAQ917568 QKM917567:QKM917568 QUI917567:QUI917568 REE917567:REE917568 ROA917567:ROA917568 RXW917567:RXW917568 SHS917567:SHS917568 SRO917567:SRO917568 TBK917567:TBK917568 TLG917567:TLG917568 TVC917567:TVC917568 UEY917567:UEY917568 UOU917567:UOU917568 UYQ917567:UYQ917568 VIM917567:VIM917568 VSI917567:VSI917568 WCE917567:WCE917568 WMA917567:WMA917568 WVW917567:WVW917568 O983103:O983104 JK983103:JK983104 TG983103:TG983104 ADC983103:ADC983104 AMY983103:AMY983104 AWU983103:AWU983104 BGQ983103:BGQ983104 BQM983103:BQM983104 CAI983103:CAI983104 CKE983103:CKE983104 CUA983103:CUA983104 DDW983103:DDW983104 DNS983103:DNS983104 DXO983103:DXO983104 EHK983103:EHK983104 ERG983103:ERG983104 FBC983103:FBC983104 FKY983103:FKY983104 FUU983103:FUU983104 GEQ983103:GEQ983104 GOM983103:GOM983104 GYI983103:GYI983104 HIE983103:HIE983104 HSA983103:HSA983104 IBW983103:IBW983104 ILS983103:ILS983104 IVO983103:IVO983104 JFK983103:JFK983104 JPG983103:JPG983104 JZC983103:JZC983104 KIY983103:KIY983104 KSU983103:KSU983104 LCQ983103:LCQ983104 LMM983103:LMM983104 LWI983103:LWI983104 MGE983103:MGE983104 MQA983103:MQA983104 MZW983103:MZW983104 NJS983103:NJS983104 NTO983103:NTO983104 ODK983103:ODK983104 ONG983103:ONG983104 OXC983103:OXC983104 PGY983103:PGY983104 PQU983103:PQU983104 QAQ983103:QAQ983104 QKM983103:QKM983104 QUI983103:QUI983104 REE983103:REE983104 ROA983103:ROA983104 RXW983103:RXW983104 SHS983103:SHS983104 SRO983103:SRO983104 TBK983103:TBK983104 TLG983103:TLG983104 TVC983103:TVC983104 UEY983103:UEY983104 UOU983103:UOU983104 UYQ983103:UYQ983104 VIM983103:VIM983104 VSI983103:VSI983104 WCE983103:WCE983104 WMA983103:WMA983104 WVW983103:WVW983104 N66:O68 JJ66:JK68 TF66:TG68 ADB66:ADC68 AMX66:AMY68 AWT66:AWU68 BGP66:BGQ68 BQL66:BQM68 CAH66:CAI68 CKD66:CKE68 CTZ66:CUA68 DDV66:DDW68 DNR66:DNS68 DXN66:DXO68 EHJ66:EHK68 ERF66:ERG68 FBB66:FBC68 FKX66:FKY68 FUT66:FUU68 GEP66:GEQ68 GOL66:GOM68 GYH66:GYI68 HID66:HIE68 HRZ66:HSA68 IBV66:IBW68 ILR66:ILS68 IVN66:IVO68 JFJ66:JFK68 JPF66:JPG68 JZB66:JZC68 KIX66:KIY68 KST66:KSU68 LCP66:LCQ68 LML66:LMM68 LWH66:LWI68 MGD66:MGE68 MPZ66:MQA68 MZV66:MZW68 NJR66:NJS68 NTN66:NTO68 ODJ66:ODK68 ONF66:ONG68 OXB66:OXC68 PGX66:PGY68 PQT66:PQU68 QAP66:QAQ68 QKL66:QKM68 QUH66:QUI68 RED66:REE68 RNZ66:ROA68 RXV66:RXW68 SHR66:SHS68 SRN66:SRO68 TBJ66:TBK68 TLF66:TLG68 TVB66:TVC68 UEX66:UEY68 UOT66:UOU68 UYP66:UYQ68 VIL66:VIM68 VSH66:VSI68 WCD66:WCE68 WLZ66:WMA68 WVV66:WVW68 N65602:O65604 JJ65602:JK65604 TF65602:TG65604 ADB65602:ADC65604 AMX65602:AMY65604 AWT65602:AWU65604 BGP65602:BGQ65604 BQL65602:BQM65604 CAH65602:CAI65604 CKD65602:CKE65604 CTZ65602:CUA65604 DDV65602:DDW65604 DNR65602:DNS65604 DXN65602:DXO65604 EHJ65602:EHK65604 ERF65602:ERG65604 FBB65602:FBC65604 FKX65602:FKY65604 FUT65602:FUU65604 GEP65602:GEQ65604 GOL65602:GOM65604 GYH65602:GYI65604 HID65602:HIE65604 HRZ65602:HSA65604 IBV65602:IBW65604 ILR65602:ILS65604 IVN65602:IVO65604 JFJ65602:JFK65604 JPF65602:JPG65604 JZB65602:JZC65604 KIX65602:KIY65604 KST65602:KSU65604 LCP65602:LCQ65604 LML65602:LMM65604 LWH65602:LWI65604 MGD65602:MGE65604 MPZ65602:MQA65604 MZV65602:MZW65604 NJR65602:NJS65604 NTN65602:NTO65604 ODJ65602:ODK65604 ONF65602:ONG65604 OXB65602:OXC65604 PGX65602:PGY65604 PQT65602:PQU65604 QAP65602:QAQ65604 QKL65602:QKM65604 QUH65602:QUI65604 RED65602:REE65604 RNZ65602:ROA65604 RXV65602:RXW65604 SHR65602:SHS65604 SRN65602:SRO65604 TBJ65602:TBK65604 TLF65602:TLG65604 TVB65602:TVC65604 UEX65602:UEY65604 UOT65602:UOU65604 UYP65602:UYQ65604 VIL65602:VIM65604 VSH65602:VSI65604 WCD65602:WCE65604 WLZ65602:WMA65604 WVV65602:WVW65604 N131138:O131140 JJ131138:JK131140 TF131138:TG131140 ADB131138:ADC131140 AMX131138:AMY131140 AWT131138:AWU131140 BGP131138:BGQ131140 BQL131138:BQM131140 CAH131138:CAI131140 CKD131138:CKE131140 CTZ131138:CUA131140 DDV131138:DDW131140 DNR131138:DNS131140 DXN131138:DXO131140 EHJ131138:EHK131140 ERF131138:ERG131140 FBB131138:FBC131140 FKX131138:FKY131140 FUT131138:FUU131140 GEP131138:GEQ131140 GOL131138:GOM131140 GYH131138:GYI131140 HID131138:HIE131140 HRZ131138:HSA131140 IBV131138:IBW131140 ILR131138:ILS131140 IVN131138:IVO131140 JFJ131138:JFK131140 JPF131138:JPG131140 JZB131138:JZC131140 KIX131138:KIY131140 KST131138:KSU131140 LCP131138:LCQ131140 LML131138:LMM131140 LWH131138:LWI131140 MGD131138:MGE131140 MPZ131138:MQA131140 MZV131138:MZW131140 NJR131138:NJS131140 NTN131138:NTO131140 ODJ131138:ODK131140 ONF131138:ONG131140 OXB131138:OXC131140 PGX131138:PGY131140 PQT131138:PQU131140 QAP131138:QAQ131140 QKL131138:QKM131140 QUH131138:QUI131140 RED131138:REE131140 RNZ131138:ROA131140 RXV131138:RXW131140 SHR131138:SHS131140 SRN131138:SRO131140 TBJ131138:TBK131140 TLF131138:TLG131140 TVB131138:TVC131140 UEX131138:UEY131140 UOT131138:UOU131140 UYP131138:UYQ131140 VIL131138:VIM131140 VSH131138:VSI131140 WCD131138:WCE131140 WLZ131138:WMA131140 WVV131138:WVW131140 N196674:O196676 JJ196674:JK196676 TF196674:TG196676 ADB196674:ADC196676 AMX196674:AMY196676 AWT196674:AWU196676 BGP196674:BGQ196676 BQL196674:BQM196676 CAH196674:CAI196676 CKD196674:CKE196676 CTZ196674:CUA196676 DDV196674:DDW196676 DNR196674:DNS196676 DXN196674:DXO196676 EHJ196674:EHK196676 ERF196674:ERG196676 FBB196674:FBC196676 FKX196674:FKY196676 FUT196674:FUU196676 GEP196674:GEQ196676 GOL196674:GOM196676 GYH196674:GYI196676 HID196674:HIE196676 HRZ196674:HSA196676 IBV196674:IBW196676 ILR196674:ILS196676 IVN196674:IVO196676 JFJ196674:JFK196676 JPF196674:JPG196676 JZB196674:JZC196676 KIX196674:KIY196676 KST196674:KSU196676 LCP196674:LCQ196676 LML196674:LMM196676 LWH196674:LWI196676 MGD196674:MGE196676 MPZ196674:MQA196676 MZV196674:MZW196676 NJR196674:NJS196676 NTN196674:NTO196676 ODJ196674:ODK196676 ONF196674:ONG196676 OXB196674:OXC196676 PGX196674:PGY196676 PQT196674:PQU196676 QAP196674:QAQ196676 QKL196674:QKM196676 QUH196674:QUI196676 RED196674:REE196676 RNZ196674:ROA196676 RXV196674:RXW196676 SHR196674:SHS196676 SRN196674:SRO196676 TBJ196674:TBK196676 TLF196674:TLG196676 TVB196674:TVC196676 UEX196674:UEY196676 UOT196674:UOU196676 UYP196674:UYQ196676 VIL196674:VIM196676 VSH196674:VSI196676 WCD196674:WCE196676 WLZ196674:WMA196676 WVV196674:WVW196676 N262210:O262212 JJ262210:JK262212 TF262210:TG262212 ADB262210:ADC262212 AMX262210:AMY262212 AWT262210:AWU262212 BGP262210:BGQ262212 BQL262210:BQM262212 CAH262210:CAI262212 CKD262210:CKE262212 CTZ262210:CUA262212 DDV262210:DDW262212 DNR262210:DNS262212 DXN262210:DXO262212 EHJ262210:EHK262212 ERF262210:ERG262212 FBB262210:FBC262212 FKX262210:FKY262212 FUT262210:FUU262212 GEP262210:GEQ262212 GOL262210:GOM262212 GYH262210:GYI262212 HID262210:HIE262212 HRZ262210:HSA262212 IBV262210:IBW262212 ILR262210:ILS262212 IVN262210:IVO262212 JFJ262210:JFK262212 JPF262210:JPG262212 JZB262210:JZC262212 KIX262210:KIY262212 KST262210:KSU262212 LCP262210:LCQ262212 LML262210:LMM262212 LWH262210:LWI262212 MGD262210:MGE262212 MPZ262210:MQA262212 MZV262210:MZW262212 NJR262210:NJS262212 NTN262210:NTO262212 ODJ262210:ODK262212 ONF262210:ONG262212 OXB262210:OXC262212 PGX262210:PGY262212 PQT262210:PQU262212 QAP262210:QAQ262212 QKL262210:QKM262212 QUH262210:QUI262212 RED262210:REE262212 RNZ262210:ROA262212 RXV262210:RXW262212 SHR262210:SHS262212 SRN262210:SRO262212 TBJ262210:TBK262212 TLF262210:TLG262212 TVB262210:TVC262212 UEX262210:UEY262212 UOT262210:UOU262212 UYP262210:UYQ262212 VIL262210:VIM262212 VSH262210:VSI262212 WCD262210:WCE262212 WLZ262210:WMA262212 WVV262210:WVW262212 N327746:O327748 JJ327746:JK327748 TF327746:TG327748 ADB327746:ADC327748 AMX327746:AMY327748 AWT327746:AWU327748 BGP327746:BGQ327748 BQL327746:BQM327748 CAH327746:CAI327748 CKD327746:CKE327748 CTZ327746:CUA327748 DDV327746:DDW327748 DNR327746:DNS327748 DXN327746:DXO327748 EHJ327746:EHK327748 ERF327746:ERG327748 FBB327746:FBC327748 FKX327746:FKY327748 FUT327746:FUU327748 GEP327746:GEQ327748 GOL327746:GOM327748 GYH327746:GYI327748 HID327746:HIE327748 HRZ327746:HSA327748 IBV327746:IBW327748 ILR327746:ILS327748 IVN327746:IVO327748 JFJ327746:JFK327748 JPF327746:JPG327748 JZB327746:JZC327748 KIX327746:KIY327748 KST327746:KSU327748 LCP327746:LCQ327748 LML327746:LMM327748 LWH327746:LWI327748 MGD327746:MGE327748 MPZ327746:MQA327748 MZV327746:MZW327748 NJR327746:NJS327748 NTN327746:NTO327748 ODJ327746:ODK327748 ONF327746:ONG327748 OXB327746:OXC327748 PGX327746:PGY327748 PQT327746:PQU327748 QAP327746:QAQ327748 QKL327746:QKM327748 QUH327746:QUI327748 RED327746:REE327748 RNZ327746:ROA327748 RXV327746:RXW327748 SHR327746:SHS327748 SRN327746:SRO327748 TBJ327746:TBK327748 TLF327746:TLG327748 TVB327746:TVC327748 UEX327746:UEY327748 UOT327746:UOU327748 UYP327746:UYQ327748 VIL327746:VIM327748 VSH327746:VSI327748 WCD327746:WCE327748 WLZ327746:WMA327748 WVV327746:WVW327748 N393282:O393284 JJ393282:JK393284 TF393282:TG393284 ADB393282:ADC393284 AMX393282:AMY393284 AWT393282:AWU393284 BGP393282:BGQ393284 BQL393282:BQM393284 CAH393282:CAI393284 CKD393282:CKE393284 CTZ393282:CUA393284 DDV393282:DDW393284 DNR393282:DNS393284 DXN393282:DXO393284 EHJ393282:EHK393284 ERF393282:ERG393284 FBB393282:FBC393284 FKX393282:FKY393284 FUT393282:FUU393284 GEP393282:GEQ393284 GOL393282:GOM393284 GYH393282:GYI393284 HID393282:HIE393284 HRZ393282:HSA393284 IBV393282:IBW393284 ILR393282:ILS393284 IVN393282:IVO393284 JFJ393282:JFK393284 JPF393282:JPG393284 JZB393282:JZC393284 KIX393282:KIY393284 KST393282:KSU393284 LCP393282:LCQ393284 LML393282:LMM393284 LWH393282:LWI393284 MGD393282:MGE393284 MPZ393282:MQA393284 MZV393282:MZW393284 NJR393282:NJS393284 NTN393282:NTO393284 ODJ393282:ODK393284 ONF393282:ONG393284 OXB393282:OXC393284 PGX393282:PGY393284 PQT393282:PQU393284 QAP393282:QAQ393284 QKL393282:QKM393284 QUH393282:QUI393284 RED393282:REE393284 RNZ393282:ROA393284 RXV393282:RXW393284 SHR393282:SHS393284 SRN393282:SRO393284 TBJ393282:TBK393284 TLF393282:TLG393284 TVB393282:TVC393284 UEX393282:UEY393284 UOT393282:UOU393284 UYP393282:UYQ393284 VIL393282:VIM393284 VSH393282:VSI393284 WCD393282:WCE393284 WLZ393282:WMA393284 WVV393282:WVW393284 N458818:O458820 JJ458818:JK458820 TF458818:TG458820 ADB458818:ADC458820 AMX458818:AMY458820 AWT458818:AWU458820 BGP458818:BGQ458820 BQL458818:BQM458820 CAH458818:CAI458820 CKD458818:CKE458820 CTZ458818:CUA458820 DDV458818:DDW458820 DNR458818:DNS458820 DXN458818:DXO458820 EHJ458818:EHK458820 ERF458818:ERG458820 FBB458818:FBC458820 FKX458818:FKY458820 FUT458818:FUU458820 GEP458818:GEQ458820 GOL458818:GOM458820 GYH458818:GYI458820 HID458818:HIE458820 HRZ458818:HSA458820 IBV458818:IBW458820 ILR458818:ILS458820 IVN458818:IVO458820 JFJ458818:JFK458820 JPF458818:JPG458820 JZB458818:JZC458820 KIX458818:KIY458820 KST458818:KSU458820 LCP458818:LCQ458820 LML458818:LMM458820 LWH458818:LWI458820 MGD458818:MGE458820 MPZ458818:MQA458820 MZV458818:MZW458820 NJR458818:NJS458820 NTN458818:NTO458820 ODJ458818:ODK458820 ONF458818:ONG458820 OXB458818:OXC458820 PGX458818:PGY458820 PQT458818:PQU458820 QAP458818:QAQ458820 QKL458818:QKM458820 QUH458818:QUI458820 RED458818:REE458820 RNZ458818:ROA458820 RXV458818:RXW458820 SHR458818:SHS458820 SRN458818:SRO458820 TBJ458818:TBK458820 TLF458818:TLG458820 TVB458818:TVC458820 UEX458818:UEY458820 UOT458818:UOU458820 UYP458818:UYQ458820 VIL458818:VIM458820 VSH458818:VSI458820 WCD458818:WCE458820 WLZ458818:WMA458820 WVV458818:WVW458820 N524354:O524356 JJ524354:JK524356 TF524354:TG524356 ADB524354:ADC524356 AMX524354:AMY524356 AWT524354:AWU524356 BGP524354:BGQ524356 BQL524354:BQM524356 CAH524354:CAI524356 CKD524354:CKE524356 CTZ524354:CUA524356 DDV524354:DDW524356 DNR524354:DNS524356 DXN524354:DXO524356 EHJ524354:EHK524356 ERF524354:ERG524356 FBB524354:FBC524356 FKX524354:FKY524356 FUT524354:FUU524356 GEP524354:GEQ524356 GOL524354:GOM524356 GYH524354:GYI524356 HID524354:HIE524356 HRZ524354:HSA524356 IBV524354:IBW524356 ILR524354:ILS524356 IVN524354:IVO524356 JFJ524354:JFK524356 JPF524354:JPG524356 JZB524354:JZC524356 KIX524354:KIY524356 KST524354:KSU524356 LCP524354:LCQ524356 LML524354:LMM524356 LWH524354:LWI524356 MGD524354:MGE524356 MPZ524354:MQA524356 MZV524354:MZW524356 NJR524354:NJS524356 NTN524354:NTO524356 ODJ524354:ODK524356 ONF524354:ONG524356 OXB524354:OXC524356 PGX524354:PGY524356 PQT524354:PQU524356 QAP524354:QAQ524356 QKL524354:QKM524356 QUH524354:QUI524356 RED524354:REE524356 RNZ524354:ROA524356 RXV524354:RXW524356 SHR524354:SHS524356 SRN524354:SRO524356 TBJ524354:TBK524356 TLF524354:TLG524356 TVB524354:TVC524356 UEX524354:UEY524356 UOT524354:UOU524356 UYP524354:UYQ524356 VIL524354:VIM524356 VSH524354:VSI524356 WCD524354:WCE524356 WLZ524354:WMA524356 WVV524354:WVW524356 N589890:O589892 JJ589890:JK589892 TF589890:TG589892 ADB589890:ADC589892 AMX589890:AMY589892 AWT589890:AWU589892 BGP589890:BGQ589892 BQL589890:BQM589892 CAH589890:CAI589892 CKD589890:CKE589892 CTZ589890:CUA589892 DDV589890:DDW589892 DNR589890:DNS589892 DXN589890:DXO589892 EHJ589890:EHK589892 ERF589890:ERG589892 FBB589890:FBC589892 FKX589890:FKY589892 FUT589890:FUU589892 GEP589890:GEQ589892 GOL589890:GOM589892 GYH589890:GYI589892 HID589890:HIE589892 HRZ589890:HSA589892 IBV589890:IBW589892 ILR589890:ILS589892 IVN589890:IVO589892 JFJ589890:JFK589892 JPF589890:JPG589892 JZB589890:JZC589892 KIX589890:KIY589892 KST589890:KSU589892 LCP589890:LCQ589892 LML589890:LMM589892 LWH589890:LWI589892 MGD589890:MGE589892 MPZ589890:MQA589892 MZV589890:MZW589892 NJR589890:NJS589892 NTN589890:NTO589892 ODJ589890:ODK589892 ONF589890:ONG589892 OXB589890:OXC589892 PGX589890:PGY589892 PQT589890:PQU589892 QAP589890:QAQ589892 QKL589890:QKM589892 QUH589890:QUI589892 RED589890:REE589892 RNZ589890:ROA589892 RXV589890:RXW589892 SHR589890:SHS589892 SRN589890:SRO589892 TBJ589890:TBK589892 TLF589890:TLG589892 TVB589890:TVC589892 UEX589890:UEY589892 UOT589890:UOU589892 UYP589890:UYQ589892 VIL589890:VIM589892 VSH589890:VSI589892 WCD589890:WCE589892 WLZ589890:WMA589892 WVV589890:WVW589892 N655426:O655428 JJ655426:JK655428 TF655426:TG655428 ADB655426:ADC655428 AMX655426:AMY655428 AWT655426:AWU655428 BGP655426:BGQ655428 BQL655426:BQM655428 CAH655426:CAI655428 CKD655426:CKE655428 CTZ655426:CUA655428 DDV655426:DDW655428 DNR655426:DNS655428 DXN655426:DXO655428 EHJ655426:EHK655428 ERF655426:ERG655428 FBB655426:FBC655428 FKX655426:FKY655428 FUT655426:FUU655428 GEP655426:GEQ655428 GOL655426:GOM655428 GYH655426:GYI655428 HID655426:HIE655428 HRZ655426:HSA655428 IBV655426:IBW655428 ILR655426:ILS655428 IVN655426:IVO655428 JFJ655426:JFK655428 JPF655426:JPG655428 JZB655426:JZC655428 KIX655426:KIY655428 KST655426:KSU655428 LCP655426:LCQ655428 LML655426:LMM655428 LWH655426:LWI655428 MGD655426:MGE655428 MPZ655426:MQA655428 MZV655426:MZW655428 NJR655426:NJS655428 NTN655426:NTO655428 ODJ655426:ODK655428 ONF655426:ONG655428 OXB655426:OXC655428 PGX655426:PGY655428 PQT655426:PQU655428 QAP655426:QAQ655428 QKL655426:QKM655428 QUH655426:QUI655428 RED655426:REE655428 RNZ655426:ROA655428 RXV655426:RXW655428 SHR655426:SHS655428 SRN655426:SRO655428 TBJ655426:TBK655428 TLF655426:TLG655428 TVB655426:TVC655428 UEX655426:UEY655428 UOT655426:UOU655428 UYP655426:UYQ655428 VIL655426:VIM655428 VSH655426:VSI655428 WCD655426:WCE655428 WLZ655426:WMA655428 WVV655426:WVW655428 N720962:O720964 JJ720962:JK720964 TF720962:TG720964 ADB720962:ADC720964 AMX720962:AMY720964 AWT720962:AWU720964 BGP720962:BGQ720964 BQL720962:BQM720964 CAH720962:CAI720964 CKD720962:CKE720964 CTZ720962:CUA720964 DDV720962:DDW720964 DNR720962:DNS720964 DXN720962:DXO720964 EHJ720962:EHK720964 ERF720962:ERG720964 FBB720962:FBC720964 FKX720962:FKY720964 FUT720962:FUU720964 GEP720962:GEQ720964 GOL720962:GOM720964 GYH720962:GYI720964 HID720962:HIE720964 HRZ720962:HSA720964 IBV720962:IBW720964 ILR720962:ILS720964 IVN720962:IVO720964 JFJ720962:JFK720964 JPF720962:JPG720964 JZB720962:JZC720964 KIX720962:KIY720964 KST720962:KSU720964 LCP720962:LCQ720964 LML720962:LMM720964 LWH720962:LWI720964 MGD720962:MGE720964 MPZ720962:MQA720964 MZV720962:MZW720964 NJR720962:NJS720964 NTN720962:NTO720964 ODJ720962:ODK720964 ONF720962:ONG720964 OXB720962:OXC720964 PGX720962:PGY720964 PQT720962:PQU720964 QAP720962:QAQ720964 QKL720962:QKM720964 QUH720962:QUI720964 RED720962:REE720964 RNZ720962:ROA720964 RXV720962:RXW720964 SHR720962:SHS720964 SRN720962:SRO720964 TBJ720962:TBK720964 TLF720962:TLG720964 TVB720962:TVC720964 UEX720962:UEY720964 UOT720962:UOU720964 UYP720962:UYQ720964 VIL720962:VIM720964 VSH720962:VSI720964 WCD720962:WCE720964 WLZ720962:WMA720964 WVV720962:WVW720964 N786498:O786500 JJ786498:JK786500 TF786498:TG786500 ADB786498:ADC786500 AMX786498:AMY786500 AWT786498:AWU786500 BGP786498:BGQ786500 BQL786498:BQM786500 CAH786498:CAI786500 CKD786498:CKE786500 CTZ786498:CUA786500 DDV786498:DDW786500 DNR786498:DNS786500 DXN786498:DXO786500 EHJ786498:EHK786500 ERF786498:ERG786500 FBB786498:FBC786500 FKX786498:FKY786500 FUT786498:FUU786500 GEP786498:GEQ786500 GOL786498:GOM786500 GYH786498:GYI786500 HID786498:HIE786500 HRZ786498:HSA786500 IBV786498:IBW786500 ILR786498:ILS786500 IVN786498:IVO786500 JFJ786498:JFK786500 JPF786498:JPG786500 JZB786498:JZC786500 KIX786498:KIY786500 KST786498:KSU786500 LCP786498:LCQ786500 LML786498:LMM786500 LWH786498:LWI786500 MGD786498:MGE786500 MPZ786498:MQA786500 MZV786498:MZW786500 NJR786498:NJS786500 NTN786498:NTO786500 ODJ786498:ODK786500 ONF786498:ONG786500 OXB786498:OXC786500 PGX786498:PGY786500 PQT786498:PQU786500 QAP786498:QAQ786500 QKL786498:QKM786500 QUH786498:QUI786500 RED786498:REE786500 RNZ786498:ROA786500 RXV786498:RXW786500 SHR786498:SHS786500 SRN786498:SRO786500 TBJ786498:TBK786500 TLF786498:TLG786500 TVB786498:TVC786500 UEX786498:UEY786500 UOT786498:UOU786500 UYP786498:UYQ786500 VIL786498:VIM786500 VSH786498:VSI786500 WCD786498:WCE786500 WLZ786498:WMA786500 WVV786498:WVW786500 N852034:O852036 JJ852034:JK852036 TF852034:TG852036 ADB852034:ADC852036 AMX852034:AMY852036 AWT852034:AWU852036 BGP852034:BGQ852036 BQL852034:BQM852036 CAH852034:CAI852036 CKD852034:CKE852036 CTZ852034:CUA852036 DDV852034:DDW852036 DNR852034:DNS852036 DXN852034:DXO852036 EHJ852034:EHK852036 ERF852034:ERG852036 FBB852034:FBC852036 FKX852034:FKY852036 FUT852034:FUU852036 GEP852034:GEQ852036 GOL852034:GOM852036 GYH852034:GYI852036 HID852034:HIE852036 HRZ852034:HSA852036 IBV852034:IBW852036 ILR852034:ILS852036 IVN852034:IVO852036 JFJ852034:JFK852036 JPF852034:JPG852036 JZB852034:JZC852036 KIX852034:KIY852036 KST852034:KSU852036 LCP852034:LCQ852036 LML852034:LMM852036 LWH852034:LWI852036 MGD852034:MGE852036 MPZ852034:MQA852036 MZV852034:MZW852036 NJR852034:NJS852036 NTN852034:NTO852036 ODJ852034:ODK852036 ONF852034:ONG852036 OXB852034:OXC852036 PGX852034:PGY852036 PQT852034:PQU852036 QAP852034:QAQ852036 QKL852034:QKM852036 QUH852034:QUI852036 RED852034:REE852036 RNZ852034:ROA852036 RXV852034:RXW852036 SHR852034:SHS852036 SRN852034:SRO852036 TBJ852034:TBK852036 TLF852034:TLG852036 TVB852034:TVC852036 UEX852034:UEY852036 UOT852034:UOU852036 UYP852034:UYQ852036 VIL852034:VIM852036 VSH852034:VSI852036 WCD852034:WCE852036 WLZ852034:WMA852036 WVV852034:WVW852036 N917570:O917572 JJ917570:JK917572 TF917570:TG917572 ADB917570:ADC917572 AMX917570:AMY917572 AWT917570:AWU917572 BGP917570:BGQ917572 BQL917570:BQM917572 CAH917570:CAI917572 CKD917570:CKE917572 CTZ917570:CUA917572 DDV917570:DDW917572 DNR917570:DNS917572 DXN917570:DXO917572 EHJ917570:EHK917572 ERF917570:ERG917572 FBB917570:FBC917572 FKX917570:FKY917572 FUT917570:FUU917572 GEP917570:GEQ917572 GOL917570:GOM917572 GYH917570:GYI917572 HID917570:HIE917572 HRZ917570:HSA917572 IBV917570:IBW917572 ILR917570:ILS917572 IVN917570:IVO917572 JFJ917570:JFK917572 JPF917570:JPG917572 JZB917570:JZC917572 KIX917570:KIY917572 KST917570:KSU917572 LCP917570:LCQ917572 LML917570:LMM917572 LWH917570:LWI917572 MGD917570:MGE917572 MPZ917570:MQA917572 MZV917570:MZW917572 NJR917570:NJS917572 NTN917570:NTO917572 ODJ917570:ODK917572 ONF917570:ONG917572 OXB917570:OXC917572 PGX917570:PGY917572 PQT917570:PQU917572 QAP917570:QAQ917572 QKL917570:QKM917572 QUH917570:QUI917572 RED917570:REE917572 RNZ917570:ROA917572 RXV917570:RXW917572 SHR917570:SHS917572 SRN917570:SRO917572 TBJ917570:TBK917572 TLF917570:TLG917572 TVB917570:TVC917572 UEX917570:UEY917572 UOT917570:UOU917572 UYP917570:UYQ917572 VIL917570:VIM917572 VSH917570:VSI917572 WCD917570:WCE917572 WLZ917570:WMA917572 WVV917570:WVW917572 N983106:O983108 JJ983106:JK983108 TF983106:TG983108 ADB983106:ADC983108 AMX983106:AMY983108 AWT983106:AWU983108 BGP983106:BGQ983108 BQL983106:BQM983108 CAH983106:CAI983108 CKD983106:CKE983108 CTZ983106:CUA983108 DDV983106:DDW983108 DNR983106:DNS983108 DXN983106:DXO983108 EHJ983106:EHK983108 ERF983106:ERG983108 FBB983106:FBC983108 FKX983106:FKY983108 FUT983106:FUU983108 GEP983106:GEQ983108 GOL983106:GOM983108 GYH983106:GYI983108 HID983106:HIE983108 HRZ983106:HSA983108 IBV983106:IBW983108 ILR983106:ILS983108 IVN983106:IVO983108 JFJ983106:JFK983108 JPF983106:JPG983108 JZB983106:JZC983108 KIX983106:KIY983108 KST983106:KSU983108 LCP983106:LCQ983108 LML983106:LMM983108 LWH983106:LWI983108 MGD983106:MGE983108 MPZ983106:MQA983108 MZV983106:MZW983108 NJR983106:NJS983108 NTN983106:NTO983108 ODJ983106:ODK983108 ONF983106:ONG983108 OXB983106:OXC983108 PGX983106:PGY983108 PQT983106:PQU983108 QAP983106:QAQ983108 QKL983106:QKM983108 QUH983106:QUI983108 RED983106:REE983108 RNZ983106:ROA983108 RXV983106:RXW983108 SHR983106:SHS983108 SRN983106:SRO983108 TBJ983106:TBK983108 TLF983106:TLG983108 TVB983106:TVC983108 UEX983106:UEY983108 UOT983106:UOU983108 UYP983106:UYQ983108 VIL983106:VIM983108 VSH983106:VSI983108 WCD983106:WCE983108 WLZ983106:WMA983108 WVV983106:WVW983108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N71:O71 JJ71:JK71 TF71:TG71 ADB71:ADC71 AMX71:AMY71 AWT71:AWU71 BGP71:BGQ71 BQL71:BQM71 CAH71:CAI71 CKD71:CKE71 CTZ71:CUA71 DDV71:DDW71 DNR71:DNS71 DXN71:DXO71 EHJ71:EHK71 ERF71:ERG71 FBB71:FBC71 FKX71:FKY71 FUT71:FUU71 GEP71:GEQ71 GOL71:GOM71 GYH71:GYI71 HID71:HIE71 HRZ71:HSA71 IBV71:IBW71 ILR71:ILS71 IVN71:IVO71 JFJ71:JFK71 JPF71:JPG71 JZB71:JZC71 KIX71:KIY71 KST71:KSU71 LCP71:LCQ71 LML71:LMM71 LWH71:LWI71 MGD71:MGE71 MPZ71:MQA71 MZV71:MZW71 NJR71:NJS71 NTN71:NTO71 ODJ71:ODK71 ONF71:ONG71 OXB71:OXC71 PGX71:PGY71 PQT71:PQU71 QAP71:QAQ71 QKL71:QKM71 QUH71:QUI71 RED71:REE71 RNZ71:ROA71 RXV71:RXW71 SHR71:SHS71 SRN71:SRO71 TBJ71:TBK71 TLF71:TLG71 TVB71:TVC71 UEX71:UEY71 UOT71:UOU71 UYP71:UYQ71 VIL71:VIM71 VSH71:VSI71 WCD71:WCE71 WLZ71:WMA71 WVV71:WVW71 N65607:O65607 JJ65607:JK65607 TF65607:TG65607 ADB65607:ADC65607 AMX65607:AMY65607 AWT65607:AWU65607 BGP65607:BGQ65607 BQL65607:BQM65607 CAH65607:CAI65607 CKD65607:CKE65607 CTZ65607:CUA65607 DDV65607:DDW65607 DNR65607:DNS65607 DXN65607:DXO65607 EHJ65607:EHK65607 ERF65607:ERG65607 FBB65607:FBC65607 FKX65607:FKY65607 FUT65607:FUU65607 GEP65607:GEQ65607 GOL65607:GOM65607 GYH65607:GYI65607 HID65607:HIE65607 HRZ65607:HSA65607 IBV65607:IBW65607 ILR65607:ILS65607 IVN65607:IVO65607 JFJ65607:JFK65607 JPF65607:JPG65607 JZB65607:JZC65607 KIX65607:KIY65607 KST65607:KSU65607 LCP65607:LCQ65607 LML65607:LMM65607 LWH65607:LWI65607 MGD65607:MGE65607 MPZ65607:MQA65607 MZV65607:MZW65607 NJR65607:NJS65607 NTN65607:NTO65607 ODJ65607:ODK65607 ONF65607:ONG65607 OXB65607:OXC65607 PGX65607:PGY65607 PQT65607:PQU65607 QAP65607:QAQ65607 QKL65607:QKM65607 QUH65607:QUI65607 RED65607:REE65607 RNZ65607:ROA65607 RXV65607:RXW65607 SHR65607:SHS65607 SRN65607:SRO65607 TBJ65607:TBK65607 TLF65607:TLG65607 TVB65607:TVC65607 UEX65607:UEY65607 UOT65607:UOU65607 UYP65607:UYQ65607 VIL65607:VIM65607 VSH65607:VSI65607 WCD65607:WCE65607 WLZ65607:WMA65607 WVV65607:WVW65607 N131143:O131143 JJ131143:JK131143 TF131143:TG131143 ADB131143:ADC131143 AMX131143:AMY131143 AWT131143:AWU131143 BGP131143:BGQ131143 BQL131143:BQM131143 CAH131143:CAI131143 CKD131143:CKE131143 CTZ131143:CUA131143 DDV131143:DDW131143 DNR131143:DNS131143 DXN131143:DXO131143 EHJ131143:EHK131143 ERF131143:ERG131143 FBB131143:FBC131143 FKX131143:FKY131143 FUT131143:FUU131143 GEP131143:GEQ131143 GOL131143:GOM131143 GYH131143:GYI131143 HID131143:HIE131143 HRZ131143:HSA131143 IBV131143:IBW131143 ILR131143:ILS131143 IVN131143:IVO131143 JFJ131143:JFK131143 JPF131143:JPG131143 JZB131143:JZC131143 KIX131143:KIY131143 KST131143:KSU131143 LCP131143:LCQ131143 LML131143:LMM131143 LWH131143:LWI131143 MGD131143:MGE131143 MPZ131143:MQA131143 MZV131143:MZW131143 NJR131143:NJS131143 NTN131143:NTO131143 ODJ131143:ODK131143 ONF131143:ONG131143 OXB131143:OXC131143 PGX131143:PGY131143 PQT131143:PQU131143 QAP131143:QAQ131143 QKL131143:QKM131143 QUH131143:QUI131143 RED131143:REE131143 RNZ131143:ROA131143 RXV131143:RXW131143 SHR131143:SHS131143 SRN131143:SRO131143 TBJ131143:TBK131143 TLF131143:TLG131143 TVB131143:TVC131143 UEX131143:UEY131143 UOT131143:UOU131143 UYP131143:UYQ131143 VIL131143:VIM131143 VSH131143:VSI131143 WCD131143:WCE131143 WLZ131143:WMA131143 WVV131143:WVW131143 N196679:O196679 JJ196679:JK196679 TF196679:TG196679 ADB196679:ADC196679 AMX196679:AMY196679 AWT196679:AWU196679 BGP196679:BGQ196679 BQL196679:BQM196679 CAH196679:CAI196679 CKD196679:CKE196679 CTZ196679:CUA196679 DDV196679:DDW196679 DNR196679:DNS196679 DXN196679:DXO196679 EHJ196679:EHK196679 ERF196679:ERG196679 FBB196679:FBC196679 FKX196679:FKY196679 FUT196679:FUU196679 GEP196679:GEQ196679 GOL196679:GOM196679 GYH196679:GYI196679 HID196679:HIE196679 HRZ196679:HSA196679 IBV196679:IBW196679 ILR196679:ILS196679 IVN196679:IVO196679 JFJ196679:JFK196679 JPF196679:JPG196679 JZB196679:JZC196679 KIX196679:KIY196679 KST196679:KSU196679 LCP196679:LCQ196679 LML196679:LMM196679 LWH196679:LWI196679 MGD196679:MGE196679 MPZ196679:MQA196679 MZV196679:MZW196679 NJR196679:NJS196679 NTN196679:NTO196679 ODJ196679:ODK196679 ONF196679:ONG196679 OXB196679:OXC196679 PGX196679:PGY196679 PQT196679:PQU196679 QAP196679:QAQ196679 QKL196679:QKM196679 QUH196679:QUI196679 RED196679:REE196679 RNZ196679:ROA196679 RXV196679:RXW196679 SHR196679:SHS196679 SRN196679:SRO196679 TBJ196679:TBK196679 TLF196679:TLG196679 TVB196679:TVC196679 UEX196679:UEY196679 UOT196679:UOU196679 UYP196679:UYQ196679 VIL196679:VIM196679 VSH196679:VSI196679 WCD196679:WCE196679 WLZ196679:WMA196679 WVV196679:WVW196679 N262215:O262215 JJ262215:JK262215 TF262215:TG262215 ADB262215:ADC262215 AMX262215:AMY262215 AWT262215:AWU262215 BGP262215:BGQ262215 BQL262215:BQM262215 CAH262215:CAI262215 CKD262215:CKE262215 CTZ262215:CUA262215 DDV262215:DDW262215 DNR262215:DNS262215 DXN262215:DXO262215 EHJ262215:EHK262215 ERF262215:ERG262215 FBB262215:FBC262215 FKX262215:FKY262215 FUT262215:FUU262215 GEP262215:GEQ262215 GOL262215:GOM262215 GYH262215:GYI262215 HID262215:HIE262215 HRZ262215:HSA262215 IBV262215:IBW262215 ILR262215:ILS262215 IVN262215:IVO262215 JFJ262215:JFK262215 JPF262215:JPG262215 JZB262215:JZC262215 KIX262215:KIY262215 KST262215:KSU262215 LCP262215:LCQ262215 LML262215:LMM262215 LWH262215:LWI262215 MGD262215:MGE262215 MPZ262215:MQA262215 MZV262215:MZW262215 NJR262215:NJS262215 NTN262215:NTO262215 ODJ262215:ODK262215 ONF262215:ONG262215 OXB262215:OXC262215 PGX262215:PGY262215 PQT262215:PQU262215 QAP262215:QAQ262215 QKL262215:QKM262215 QUH262215:QUI262215 RED262215:REE262215 RNZ262215:ROA262215 RXV262215:RXW262215 SHR262215:SHS262215 SRN262215:SRO262215 TBJ262215:TBK262215 TLF262215:TLG262215 TVB262215:TVC262215 UEX262215:UEY262215 UOT262215:UOU262215 UYP262215:UYQ262215 VIL262215:VIM262215 VSH262215:VSI262215 WCD262215:WCE262215 WLZ262215:WMA262215 WVV262215:WVW262215 N327751:O327751 JJ327751:JK327751 TF327751:TG327751 ADB327751:ADC327751 AMX327751:AMY327751 AWT327751:AWU327751 BGP327751:BGQ327751 BQL327751:BQM327751 CAH327751:CAI327751 CKD327751:CKE327751 CTZ327751:CUA327751 DDV327751:DDW327751 DNR327751:DNS327751 DXN327751:DXO327751 EHJ327751:EHK327751 ERF327751:ERG327751 FBB327751:FBC327751 FKX327751:FKY327751 FUT327751:FUU327751 GEP327751:GEQ327751 GOL327751:GOM327751 GYH327751:GYI327751 HID327751:HIE327751 HRZ327751:HSA327751 IBV327751:IBW327751 ILR327751:ILS327751 IVN327751:IVO327751 JFJ327751:JFK327751 JPF327751:JPG327751 JZB327751:JZC327751 KIX327751:KIY327751 KST327751:KSU327751 LCP327751:LCQ327751 LML327751:LMM327751 LWH327751:LWI327751 MGD327751:MGE327751 MPZ327751:MQA327751 MZV327751:MZW327751 NJR327751:NJS327751 NTN327751:NTO327751 ODJ327751:ODK327751 ONF327751:ONG327751 OXB327751:OXC327751 PGX327751:PGY327751 PQT327751:PQU327751 QAP327751:QAQ327751 QKL327751:QKM327751 QUH327751:QUI327751 RED327751:REE327751 RNZ327751:ROA327751 RXV327751:RXW327751 SHR327751:SHS327751 SRN327751:SRO327751 TBJ327751:TBK327751 TLF327751:TLG327751 TVB327751:TVC327751 UEX327751:UEY327751 UOT327751:UOU327751 UYP327751:UYQ327751 VIL327751:VIM327751 VSH327751:VSI327751 WCD327751:WCE327751 WLZ327751:WMA327751 WVV327751:WVW327751 N393287:O393287 JJ393287:JK393287 TF393287:TG393287 ADB393287:ADC393287 AMX393287:AMY393287 AWT393287:AWU393287 BGP393287:BGQ393287 BQL393287:BQM393287 CAH393287:CAI393287 CKD393287:CKE393287 CTZ393287:CUA393287 DDV393287:DDW393287 DNR393287:DNS393287 DXN393287:DXO393287 EHJ393287:EHK393287 ERF393287:ERG393287 FBB393287:FBC393287 FKX393287:FKY393287 FUT393287:FUU393287 GEP393287:GEQ393287 GOL393287:GOM393287 GYH393287:GYI393287 HID393287:HIE393287 HRZ393287:HSA393287 IBV393287:IBW393287 ILR393287:ILS393287 IVN393287:IVO393287 JFJ393287:JFK393287 JPF393287:JPG393287 JZB393287:JZC393287 KIX393287:KIY393287 KST393287:KSU393287 LCP393287:LCQ393287 LML393287:LMM393287 LWH393287:LWI393287 MGD393287:MGE393287 MPZ393287:MQA393287 MZV393287:MZW393287 NJR393287:NJS393287 NTN393287:NTO393287 ODJ393287:ODK393287 ONF393287:ONG393287 OXB393287:OXC393287 PGX393287:PGY393287 PQT393287:PQU393287 QAP393287:QAQ393287 QKL393287:QKM393287 QUH393287:QUI393287 RED393287:REE393287 RNZ393287:ROA393287 RXV393287:RXW393287 SHR393287:SHS393287 SRN393287:SRO393287 TBJ393287:TBK393287 TLF393287:TLG393287 TVB393287:TVC393287 UEX393287:UEY393287 UOT393287:UOU393287 UYP393287:UYQ393287 VIL393287:VIM393287 VSH393287:VSI393287 WCD393287:WCE393287 WLZ393287:WMA393287 WVV393287:WVW393287 N458823:O458823 JJ458823:JK458823 TF458823:TG458823 ADB458823:ADC458823 AMX458823:AMY458823 AWT458823:AWU458823 BGP458823:BGQ458823 BQL458823:BQM458823 CAH458823:CAI458823 CKD458823:CKE458823 CTZ458823:CUA458823 DDV458823:DDW458823 DNR458823:DNS458823 DXN458823:DXO458823 EHJ458823:EHK458823 ERF458823:ERG458823 FBB458823:FBC458823 FKX458823:FKY458823 FUT458823:FUU458823 GEP458823:GEQ458823 GOL458823:GOM458823 GYH458823:GYI458823 HID458823:HIE458823 HRZ458823:HSA458823 IBV458823:IBW458823 ILR458823:ILS458823 IVN458823:IVO458823 JFJ458823:JFK458823 JPF458823:JPG458823 JZB458823:JZC458823 KIX458823:KIY458823 KST458823:KSU458823 LCP458823:LCQ458823 LML458823:LMM458823 LWH458823:LWI458823 MGD458823:MGE458823 MPZ458823:MQA458823 MZV458823:MZW458823 NJR458823:NJS458823 NTN458823:NTO458823 ODJ458823:ODK458823 ONF458823:ONG458823 OXB458823:OXC458823 PGX458823:PGY458823 PQT458823:PQU458823 QAP458823:QAQ458823 QKL458823:QKM458823 QUH458823:QUI458823 RED458823:REE458823 RNZ458823:ROA458823 RXV458823:RXW458823 SHR458823:SHS458823 SRN458823:SRO458823 TBJ458823:TBK458823 TLF458823:TLG458823 TVB458823:TVC458823 UEX458823:UEY458823 UOT458823:UOU458823 UYP458823:UYQ458823 VIL458823:VIM458823 VSH458823:VSI458823 WCD458823:WCE458823 WLZ458823:WMA458823 WVV458823:WVW458823 N524359:O524359 JJ524359:JK524359 TF524359:TG524359 ADB524359:ADC524359 AMX524359:AMY524359 AWT524359:AWU524359 BGP524359:BGQ524359 BQL524359:BQM524359 CAH524359:CAI524359 CKD524359:CKE524359 CTZ524359:CUA524359 DDV524359:DDW524359 DNR524359:DNS524359 DXN524359:DXO524359 EHJ524359:EHK524359 ERF524359:ERG524359 FBB524359:FBC524359 FKX524359:FKY524359 FUT524359:FUU524359 GEP524359:GEQ524359 GOL524359:GOM524359 GYH524359:GYI524359 HID524359:HIE524359 HRZ524359:HSA524359 IBV524359:IBW524359 ILR524359:ILS524359 IVN524359:IVO524359 JFJ524359:JFK524359 JPF524359:JPG524359 JZB524359:JZC524359 KIX524359:KIY524359 KST524359:KSU524359 LCP524359:LCQ524359 LML524359:LMM524359 LWH524359:LWI524359 MGD524359:MGE524359 MPZ524359:MQA524359 MZV524359:MZW524359 NJR524359:NJS524359 NTN524359:NTO524359 ODJ524359:ODK524359 ONF524359:ONG524359 OXB524359:OXC524359 PGX524359:PGY524359 PQT524359:PQU524359 QAP524359:QAQ524359 QKL524359:QKM524359 QUH524359:QUI524359 RED524359:REE524359 RNZ524359:ROA524359 RXV524359:RXW524359 SHR524359:SHS524359 SRN524359:SRO524359 TBJ524359:TBK524359 TLF524359:TLG524359 TVB524359:TVC524359 UEX524359:UEY524359 UOT524359:UOU524359 UYP524359:UYQ524359 VIL524359:VIM524359 VSH524359:VSI524359 WCD524359:WCE524359 WLZ524359:WMA524359 WVV524359:WVW524359 N589895:O589895 JJ589895:JK589895 TF589895:TG589895 ADB589895:ADC589895 AMX589895:AMY589895 AWT589895:AWU589895 BGP589895:BGQ589895 BQL589895:BQM589895 CAH589895:CAI589895 CKD589895:CKE589895 CTZ589895:CUA589895 DDV589895:DDW589895 DNR589895:DNS589895 DXN589895:DXO589895 EHJ589895:EHK589895 ERF589895:ERG589895 FBB589895:FBC589895 FKX589895:FKY589895 FUT589895:FUU589895 GEP589895:GEQ589895 GOL589895:GOM589895 GYH589895:GYI589895 HID589895:HIE589895 HRZ589895:HSA589895 IBV589895:IBW589895 ILR589895:ILS589895 IVN589895:IVO589895 JFJ589895:JFK589895 JPF589895:JPG589895 JZB589895:JZC589895 KIX589895:KIY589895 KST589895:KSU589895 LCP589895:LCQ589895 LML589895:LMM589895 LWH589895:LWI589895 MGD589895:MGE589895 MPZ589895:MQA589895 MZV589895:MZW589895 NJR589895:NJS589895 NTN589895:NTO589895 ODJ589895:ODK589895 ONF589895:ONG589895 OXB589895:OXC589895 PGX589895:PGY589895 PQT589895:PQU589895 QAP589895:QAQ589895 QKL589895:QKM589895 QUH589895:QUI589895 RED589895:REE589895 RNZ589895:ROA589895 RXV589895:RXW589895 SHR589895:SHS589895 SRN589895:SRO589895 TBJ589895:TBK589895 TLF589895:TLG589895 TVB589895:TVC589895 UEX589895:UEY589895 UOT589895:UOU589895 UYP589895:UYQ589895 VIL589895:VIM589895 VSH589895:VSI589895 WCD589895:WCE589895 WLZ589895:WMA589895 WVV589895:WVW589895 N655431:O655431 JJ655431:JK655431 TF655431:TG655431 ADB655431:ADC655431 AMX655431:AMY655431 AWT655431:AWU655431 BGP655431:BGQ655431 BQL655431:BQM655431 CAH655431:CAI655431 CKD655431:CKE655431 CTZ655431:CUA655431 DDV655431:DDW655431 DNR655431:DNS655431 DXN655431:DXO655431 EHJ655431:EHK655431 ERF655431:ERG655431 FBB655431:FBC655431 FKX655431:FKY655431 FUT655431:FUU655431 GEP655431:GEQ655431 GOL655431:GOM655431 GYH655431:GYI655431 HID655431:HIE655431 HRZ655431:HSA655431 IBV655431:IBW655431 ILR655431:ILS655431 IVN655431:IVO655431 JFJ655431:JFK655431 JPF655431:JPG655431 JZB655431:JZC655431 KIX655431:KIY655431 KST655431:KSU655431 LCP655431:LCQ655431 LML655431:LMM655431 LWH655431:LWI655431 MGD655431:MGE655431 MPZ655431:MQA655431 MZV655431:MZW655431 NJR655431:NJS655431 NTN655431:NTO655431 ODJ655431:ODK655431 ONF655431:ONG655431 OXB655431:OXC655431 PGX655431:PGY655431 PQT655431:PQU655431 QAP655431:QAQ655431 QKL655431:QKM655431 QUH655431:QUI655431 RED655431:REE655431 RNZ655431:ROA655431 RXV655431:RXW655431 SHR655431:SHS655431 SRN655431:SRO655431 TBJ655431:TBK655431 TLF655431:TLG655431 TVB655431:TVC655431 UEX655431:UEY655431 UOT655431:UOU655431 UYP655431:UYQ655431 VIL655431:VIM655431 VSH655431:VSI655431 WCD655431:WCE655431 WLZ655431:WMA655431 WVV655431:WVW655431 N720967:O720967 JJ720967:JK720967 TF720967:TG720967 ADB720967:ADC720967 AMX720967:AMY720967 AWT720967:AWU720967 BGP720967:BGQ720967 BQL720967:BQM720967 CAH720967:CAI720967 CKD720967:CKE720967 CTZ720967:CUA720967 DDV720967:DDW720967 DNR720967:DNS720967 DXN720967:DXO720967 EHJ720967:EHK720967 ERF720967:ERG720967 FBB720967:FBC720967 FKX720967:FKY720967 FUT720967:FUU720967 GEP720967:GEQ720967 GOL720967:GOM720967 GYH720967:GYI720967 HID720967:HIE720967 HRZ720967:HSA720967 IBV720967:IBW720967 ILR720967:ILS720967 IVN720967:IVO720967 JFJ720967:JFK720967 JPF720967:JPG720967 JZB720967:JZC720967 KIX720967:KIY720967 KST720967:KSU720967 LCP720967:LCQ720967 LML720967:LMM720967 LWH720967:LWI720967 MGD720967:MGE720967 MPZ720967:MQA720967 MZV720967:MZW720967 NJR720967:NJS720967 NTN720967:NTO720967 ODJ720967:ODK720967 ONF720967:ONG720967 OXB720967:OXC720967 PGX720967:PGY720967 PQT720967:PQU720967 QAP720967:QAQ720967 QKL720967:QKM720967 QUH720967:QUI720967 RED720967:REE720967 RNZ720967:ROA720967 RXV720967:RXW720967 SHR720967:SHS720967 SRN720967:SRO720967 TBJ720967:TBK720967 TLF720967:TLG720967 TVB720967:TVC720967 UEX720967:UEY720967 UOT720967:UOU720967 UYP720967:UYQ720967 VIL720967:VIM720967 VSH720967:VSI720967 WCD720967:WCE720967 WLZ720967:WMA720967 WVV720967:WVW720967 N786503:O786503 JJ786503:JK786503 TF786503:TG786503 ADB786503:ADC786503 AMX786503:AMY786503 AWT786503:AWU786503 BGP786503:BGQ786503 BQL786503:BQM786503 CAH786503:CAI786503 CKD786503:CKE786503 CTZ786503:CUA786503 DDV786503:DDW786503 DNR786503:DNS786503 DXN786503:DXO786503 EHJ786503:EHK786503 ERF786503:ERG786503 FBB786503:FBC786503 FKX786503:FKY786503 FUT786503:FUU786503 GEP786503:GEQ786503 GOL786503:GOM786503 GYH786503:GYI786503 HID786503:HIE786503 HRZ786503:HSA786503 IBV786503:IBW786503 ILR786503:ILS786503 IVN786503:IVO786503 JFJ786503:JFK786503 JPF786503:JPG786503 JZB786503:JZC786503 KIX786503:KIY786503 KST786503:KSU786503 LCP786503:LCQ786503 LML786503:LMM786503 LWH786503:LWI786503 MGD786503:MGE786503 MPZ786503:MQA786503 MZV786503:MZW786503 NJR786503:NJS786503 NTN786503:NTO786503 ODJ786503:ODK786503 ONF786503:ONG786503 OXB786503:OXC786503 PGX786503:PGY786503 PQT786503:PQU786503 QAP786503:QAQ786503 QKL786503:QKM786503 QUH786503:QUI786503 RED786503:REE786503 RNZ786503:ROA786503 RXV786503:RXW786503 SHR786503:SHS786503 SRN786503:SRO786503 TBJ786503:TBK786503 TLF786503:TLG786503 TVB786503:TVC786503 UEX786503:UEY786503 UOT786503:UOU786503 UYP786503:UYQ786503 VIL786503:VIM786503 VSH786503:VSI786503 WCD786503:WCE786503 WLZ786503:WMA786503 WVV786503:WVW786503 N852039:O852039 JJ852039:JK852039 TF852039:TG852039 ADB852039:ADC852039 AMX852039:AMY852039 AWT852039:AWU852039 BGP852039:BGQ852039 BQL852039:BQM852039 CAH852039:CAI852039 CKD852039:CKE852039 CTZ852039:CUA852039 DDV852039:DDW852039 DNR852039:DNS852039 DXN852039:DXO852039 EHJ852039:EHK852039 ERF852039:ERG852039 FBB852039:FBC852039 FKX852039:FKY852039 FUT852039:FUU852039 GEP852039:GEQ852039 GOL852039:GOM852039 GYH852039:GYI852039 HID852039:HIE852039 HRZ852039:HSA852039 IBV852039:IBW852039 ILR852039:ILS852039 IVN852039:IVO852039 JFJ852039:JFK852039 JPF852039:JPG852039 JZB852039:JZC852039 KIX852039:KIY852039 KST852039:KSU852039 LCP852039:LCQ852039 LML852039:LMM852039 LWH852039:LWI852039 MGD852039:MGE852039 MPZ852039:MQA852039 MZV852039:MZW852039 NJR852039:NJS852039 NTN852039:NTO852039 ODJ852039:ODK852039 ONF852039:ONG852039 OXB852039:OXC852039 PGX852039:PGY852039 PQT852039:PQU852039 QAP852039:QAQ852039 QKL852039:QKM852039 QUH852039:QUI852039 RED852039:REE852039 RNZ852039:ROA852039 RXV852039:RXW852039 SHR852039:SHS852039 SRN852039:SRO852039 TBJ852039:TBK852039 TLF852039:TLG852039 TVB852039:TVC852039 UEX852039:UEY852039 UOT852039:UOU852039 UYP852039:UYQ852039 VIL852039:VIM852039 VSH852039:VSI852039 WCD852039:WCE852039 WLZ852039:WMA852039 WVV852039:WVW852039 N917575:O917575 JJ917575:JK917575 TF917575:TG917575 ADB917575:ADC917575 AMX917575:AMY917575 AWT917575:AWU917575 BGP917575:BGQ917575 BQL917575:BQM917575 CAH917575:CAI917575 CKD917575:CKE917575 CTZ917575:CUA917575 DDV917575:DDW917575 DNR917575:DNS917575 DXN917575:DXO917575 EHJ917575:EHK917575 ERF917575:ERG917575 FBB917575:FBC917575 FKX917575:FKY917575 FUT917575:FUU917575 GEP917575:GEQ917575 GOL917575:GOM917575 GYH917575:GYI917575 HID917575:HIE917575 HRZ917575:HSA917575 IBV917575:IBW917575 ILR917575:ILS917575 IVN917575:IVO917575 JFJ917575:JFK917575 JPF917575:JPG917575 JZB917575:JZC917575 KIX917575:KIY917575 KST917575:KSU917575 LCP917575:LCQ917575 LML917575:LMM917575 LWH917575:LWI917575 MGD917575:MGE917575 MPZ917575:MQA917575 MZV917575:MZW917575 NJR917575:NJS917575 NTN917575:NTO917575 ODJ917575:ODK917575 ONF917575:ONG917575 OXB917575:OXC917575 PGX917575:PGY917575 PQT917575:PQU917575 QAP917575:QAQ917575 QKL917575:QKM917575 QUH917575:QUI917575 RED917575:REE917575 RNZ917575:ROA917575 RXV917575:RXW917575 SHR917575:SHS917575 SRN917575:SRO917575 TBJ917575:TBK917575 TLF917575:TLG917575 TVB917575:TVC917575 UEX917575:UEY917575 UOT917575:UOU917575 UYP917575:UYQ917575 VIL917575:VIM917575 VSH917575:VSI917575 WCD917575:WCE917575 WLZ917575:WMA917575 WVV917575:WVW917575 N983111:O983111 JJ983111:JK983111 TF983111:TG983111 ADB983111:ADC983111 AMX983111:AMY983111 AWT983111:AWU983111 BGP983111:BGQ983111 BQL983111:BQM983111 CAH983111:CAI983111 CKD983111:CKE983111 CTZ983111:CUA983111 DDV983111:DDW983111 DNR983111:DNS983111 DXN983111:DXO983111 EHJ983111:EHK983111 ERF983111:ERG983111 FBB983111:FBC983111 FKX983111:FKY983111 FUT983111:FUU983111 GEP983111:GEQ983111 GOL983111:GOM983111 GYH983111:GYI983111 HID983111:HIE983111 HRZ983111:HSA983111 IBV983111:IBW983111 ILR983111:ILS983111 IVN983111:IVO983111 JFJ983111:JFK983111 JPF983111:JPG983111 JZB983111:JZC983111 KIX983111:KIY983111 KST983111:KSU983111 LCP983111:LCQ983111 LML983111:LMM983111 LWH983111:LWI983111 MGD983111:MGE983111 MPZ983111:MQA983111 MZV983111:MZW983111 NJR983111:NJS983111 NTN983111:NTO983111 ODJ983111:ODK983111 ONF983111:ONG983111 OXB983111:OXC983111 PGX983111:PGY983111 PQT983111:PQU983111 QAP983111:QAQ983111 QKL983111:QKM983111 QUH983111:QUI983111 RED983111:REE983111 RNZ983111:ROA983111 RXV983111:RXW983111 SHR983111:SHS983111 SRN983111:SRO983111 TBJ983111:TBK983111 TLF983111:TLG983111 TVB983111:TVC983111 UEX983111:UEY983111 UOT983111:UOU983111 UYP983111:UYQ983111 VIL983111:VIM983111 VSH983111:VSI983111 WCD983111:WCE983111 WLZ983111:WMA983111 WVV983111:WVW983111 O72:O74 JK72:JK74 TG72:TG74 ADC72:ADC74 AMY72:AMY74 AWU72:AWU74 BGQ72:BGQ74 BQM72:BQM74 CAI72:CAI74 CKE72:CKE74 CUA72:CUA74 DDW72:DDW74 DNS72:DNS74 DXO72:DXO74 EHK72:EHK74 ERG72:ERG74 FBC72:FBC74 FKY72:FKY74 FUU72:FUU74 GEQ72:GEQ74 GOM72:GOM74 GYI72:GYI74 HIE72:HIE74 HSA72:HSA74 IBW72:IBW74 ILS72:ILS74 IVO72:IVO74 JFK72:JFK74 JPG72:JPG74 JZC72:JZC74 KIY72:KIY74 KSU72:KSU74 LCQ72:LCQ74 LMM72:LMM74 LWI72:LWI74 MGE72:MGE74 MQA72:MQA74 MZW72:MZW74 NJS72:NJS74 NTO72:NTO74 ODK72:ODK74 ONG72:ONG74 OXC72:OXC74 PGY72:PGY74 PQU72:PQU74 QAQ72:QAQ74 QKM72:QKM74 QUI72:QUI74 REE72:REE74 ROA72:ROA74 RXW72:RXW74 SHS72:SHS74 SRO72:SRO74 TBK72:TBK74 TLG72:TLG74 TVC72:TVC74 UEY72:UEY74 UOU72:UOU74 UYQ72:UYQ74 VIM72:VIM74 VSI72:VSI74 WCE72:WCE74 WMA72:WMA74 WVW72:WVW74 O65608:O65610 JK65608:JK65610 TG65608:TG65610 ADC65608:ADC65610 AMY65608:AMY65610 AWU65608:AWU65610 BGQ65608:BGQ65610 BQM65608:BQM65610 CAI65608:CAI65610 CKE65608:CKE65610 CUA65608:CUA65610 DDW65608:DDW65610 DNS65608:DNS65610 DXO65608:DXO65610 EHK65608:EHK65610 ERG65608:ERG65610 FBC65608:FBC65610 FKY65608:FKY65610 FUU65608:FUU65610 GEQ65608:GEQ65610 GOM65608:GOM65610 GYI65608:GYI65610 HIE65608:HIE65610 HSA65608:HSA65610 IBW65608:IBW65610 ILS65608:ILS65610 IVO65608:IVO65610 JFK65608:JFK65610 JPG65608:JPG65610 JZC65608:JZC65610 KIY65608:KIY65610 KSU65608:KSU65610 LCQ65608:LCQ65610 LMM65608:LMM65610 LWI65608:LWI65610 MGE65608:MGE65610 MQA65608:MQA65610 MZW65608:MZW65610 NJS65608:NJS65610 NTO65608:NTO65610 ODK65608:ODK65610 ONG65608:ONG65610 OXC65608:OXC65610 PGY65608:PGY65610 PQU65608:PQU65610 QAQ65608:QAQ65610 QKM65608:QKM65610 QUI65608:QUI65610 REE65608:REE65610 ROA65608:ROA65610 RXW65608:RXW65610 SHS65608:SHS65610 SRO65608:SRO65610 TBK65608:TBK65610 TLG65608:TLG65610 TVC65608:TVC65610 UEY65608:UEY65610 UOU65608:UOU65610 UYQ65608:UYQ65610 VIM65608:VIM65610 VSI65608:VSI65610 WCE65608:WCE65610 WMA65608:WMA65610 WVW65608:WVW65610 O131144:O131146 JK131144:JK131146 TG131144:TG131146 ADC131144:ADC131146 AMY131144:AMY131146 AWU131144:AWU131146 BGQ131144:BGQ131146 BQM131144:BQM131146 CAI131144:CAI131146 CKE131144:CKE131146 CUA131144:CUA131146 DDW131144:DDW131146 DNS131144:DNS131146 DXO131144:DXO131146 EHK131144:EHK131146 ERG131144:ERG131146 FBC131144:FBC131146 FKY131144:FKY131146 FUU131144:FUU131146 GEQ131144:GEQ131146 GOM131144:GOM131146 GYI131144:GYI131146 HIE131144:HIE131146 HSA131144:HSA131146 IBW131144:IBW131146 ILS131144:ILS131146 IVO131144:IVO131146 JFK131144:JFK131146 JPG131144:JPG131146 JZC131144:JZC131146 KIY131144:KIY131146 KSU131144:KSU131146 LCQ131144:LCQ131146 LMM131144:LMM131146 LWI131144:LWI131146 MGE131144:MGE131146 MQA131144:MQA131146 MZW131144:MZW131146 NJS131144:NJS131146 NTO131144:NTO131146 ODK131144:ODK131146 ONG131144:ONG131146 OXC131144:OXC131146 PGY131144:PGY131146 PQU131144:PQU131146 QAQ131144:QAQ131146 QKM131144:QKM131146 QUI131144:QUI131146 REE131144:REE131146 ROA131144:ROA131146 RXW131144:RXW131146 SHS131144:SHS131146 SRO131144:SRO131146 TBK131144:TBK131146 TLG131144:TLG131146 TVC131144:TVC131146 UEY131144:UEY131146 UOU131144:UOU131146 UYQ131144:UYQ131146 VIM131144:VIM131146 VSI131144:VSI131146 WCE131144:WCE131146 WMA131144:WMA131146 WVW131144:WVW131146 O196680:O196682 JK196680:JK196682 TG196680:TG196682 ADC196680:ADC196682 AMY196680:AMY196682 AWU196680:AWU196682 BGQ196680:BGQ196682 BQM196680:BQM196682 CAI196680:CAI196682 CKE196680:CKE196682 CUA196680:CUA196682 DDW196680:DDW196682 DNS196680:DNS196682 DXO196680:DXO196682 EHK196680:EHK196682 ERG196680:ERG196682 FBC196680:FBC196682 FKY196680:FKY196682 FUU196680:FUU196682 GEQ196680:GEQ196682 GOM196680:GOM196682 GYI196680:GYI196682 HIE196680:HIE196682 HSA196680:HSA196682 IBW196680:IBW196682 ILS196680:ILS196682 IVO196680:IVO196682 JFK196680:JFK196682 JPG196680:JPG196682 JZC196680:JZC196682 KIY196680:KIY196682 KSU196680:KSU196682 LCQ196680:LCQ196682 LMM196680:LMM196682 LWI196680:LWI196682 MGE196680:MGE196682 MQA196680:MQA196682 MZW196680:MZW196682 NJS196680:NJS196682 NTO196680:NTO196682 ODK196680:ODK196682 ONG196680:ONG196682 OXC196680:OXC196682 PGY196680:PGY196682 PQU196680:PQU196682 QAQ196680:QAQ196682 QKM196680:QKM196682 QUI196680:QUI196682 REE196680:REE196682 ROA196680:ROA196682 RXW196680:RXW196682 SHS196680:SHS196682 SRO196680:SRO196682 TBK196680:TBK196682 TLG196680:TLG196682 TVC196680:TVC196682 UEY196680:UEY196682 UOU196680:UOU196682 UYQ196680:UYQ196682 VIM196680:VIM196682 VSI196680:VSI196682 WCE196680:WCE196682 WMA196680:WMA196682 WVW196680:WVW196682 O262216:O262218 JK262216:JK262218 TG262216:TG262218 ADC262216:ADC262218 AMY262216:AMY262218 AWU262216:AWU262218 BGQ262216:BGQ262218 BQM262216:BQM262218 CAI262216:CAI262218 CKE262216:CKE262218 CUA262216:CUA262218 DDW262216:DDW262218 DNS262216:DNS262218 DXO262216:DXO262218 EHK262216:EHK262218 ERG262216:ERG262218 FBC262216:FBC262218 FKY262216:FKY262218 FUU262216:FUU262218 GEQ262216:GEQ262218 GOM262216:GOM262218 GYI262216:GYI262218 HIE262216:HIE262218 HSA262216:HSA262218 IBW262216:IBW262218 ILS262216:ILS262218 IVO262216:IVO262218 JFK262216:JFK262218 JPG262216:JPG262218 JZC262216:JZC262218 KIY262216:KIY262218 KSU262216:KSU262218 LCQ262216:LCQ262218 LMM262216:LMM262218 LWI262216:LWI262218 MGE262216:MGE262218 MQA262216:MQA262218 MZW262216:MZW262218 NJS262216:NJS262218 NTO262216:NTO262218 ODK262216:ODK262218 ONG262216:ONG262218 OXC262216:OXC262218 PGY262216:PGY262218 PQU262216:PQU262218 QAQ262216:QAQ262218 QKM262216:QKM262218 QUI262216:QUI262218 REE262216:REE262218 ROA262216:ROA262218 RXW262216:RXW262218 SHS262216:SHS262218 SRO262216:SRO262218 TBK262216:TBK262218 TLG262216:TLG262218 TVC262216:TVC262218 UEY262216:UEY262218 UOU262216:UOU262218 UYQ262216:UYQ262218 VIM262216:VIM262218 VSI262216:VSI262218 WCE262216:WCE262218 WMA262216:WMA262218 WVW262216:WVW262218 O327752:O327754 JK327752:JK327754 TG327752:TG327754 ADC327752:ADC327754 AMY327752:AMY327754 AWU327752:AWU327754 BGQ327752:BGQ327754 BQM327752:BQM327754 CAI327752:CAI327754 CKE327752:CKE327754 CUA327752:CUA327754 DDW327752:DDW327754 DNS327752:DNS327754 DXO327752:DXO327754 EHK327752:EHK327754 ERG327752:ERG327754 FBC327752:FBC327754 FKY327752:FKY327754 FUU327752:FUU327754 GEQ327752:GEQ327754 GOM327752:GOM327754 GYI327752:GYI327754 HIE327752:HIE327754 HSA327752:HSA327754 IBW327752:IBW327754 ILS327752:ILS327754 IVO327752:IVO327754 JFK327752:JFK327754 JPG327752:JPG327754 JZC327752:JZC327754 KIY327752:KIY327754 KSU327752:KSU327754 LCQ327752:LCQ327754 LMM327752:LMM327754 LWI327752:LWI327754 MGE327752:MGE327754 MQA327752:MQA327754 MZW327752:MZW327754 NJS327752:NJS327754 NTO327752:NTO327754 ODK327752:ODK327754 ONG327752:ONG327754 OXC327752:OXC327754 PGY327752:PGY327754 PQU327752:PQU327754 QAQ327752:QAQ327754 QKM327752:QKM327754 QUI327752:QUI327754 REE327752:REE327754 ROA327752:ROA327754 RXW327752:RXW327754 SHS327752:SHS327754 SRO327752:SRO327754 TBK327752:TBK327754 TLG327752:TLG327754 TVC327752:TVC327754 UEY327752:UEY327754 UOU327752:UOU327754 UYQ327752:UYQ327754 VIM327752:VIM327754 VSI327752:VSI327754 WCE327752:WCE327754 WMA327752:WMA327754 WVW327752:WVW327754 O393288:O393290 JK393288:JK393290 TG393288:TG393290 ADC393288:ADC393290 AMY393288:AMY393290 AWU393288:AWU393290 BGQ393288:BGQ393290 BQM393288:BQM393290 CAI393288:CAI393290 CKE393288:CKE393290 CUA393288:CUA393290 DDW393288:DDW393290 DNS393288:DNS393290 DXO393288:DXO393290 EHK393288:EHK393290 ERG393288:ERG393290 FBC393288:FBC393290 FKY393288:FKY393290 FUU393288:FUU393290 GEQ393288:GEQ393290 GOM393288:GOM393290 GYI393288:GYI393290 HIE393288:HIE393290 HSA393288:HSA393290 IBW393288:IBW393290 ILS393288:ILS393290 IVO393288:IVO393290 JFK393288:JFK393290 JPG393288:JPG393290 JZC393288:JZC393290 KIY393288:KIY393290 KSU393288:KSU393290 LCQ393288:LCQ393290 LMM393288:LMM393290 LWI393288:LWI393290 MGE393288:MGE393290 MQA393288:MQA393290 MZW393288:MZW393290 NJS393288:NJS393290 NTO393288:NTO393290 ODK393288:ODK393290 ONG393288:ONG393290 OXC393288:OXC393290 PGY393288:PGY393290 PQU393288:PQU393290 QAQ393288:QAQ393290 QKM393288:QKM393290 QUI393288:QUI393290 REE393288:REE393290 ROA393288:ROA393290 RXW393288:RXW393290 SHS393288:SHS393290 SRO393288:SRO393290 TBK393288:TBK393290 TLG393288:TLG393290 TVC393288:TVC393290 UEY393288:UEY393290 UOU393288:UOU393290 UYQ393288:UYQ393290 VIM393288:VIM393290 VSI393288:VSI393290 WCE393288:WCE393290 WMA393288:WMA393290 WVW393288:WVW393290 O458824:O458826 JK458824:JK458826 TG458824:TG458826 ADC458824:ADC458826 AMY458824:AMY458826 AWU458824:AWU458826 BGQ458824:BGQ458826 BQM458824:BQM458826 CAI458824:CAI458826 CKE458824:CKE458826 CUA458824:CUA458826 DDW458824:DDW458826 DNS458824:DNS458826 DXO458824:DXO458826 EHK458824:EHK458826 ERG458824:ERG458826 FBC458824:FBC458826 FKY458824:FKY458826 FUU458824:FUU458826 GEQ458824:GEQ458826 GOM458824:GOM458826 GYI458824:GYI458826 HIE458824:HIE458826 HSA458824:HSA458826 IBW458824:IBW458826 ILS458824:ILS458826 IVO458824:IVO458826 JFK458824:JFK458826 JPG458824:JPG458826 JZC458824:JZC458826 KIY458824:KIY458826 KSU458824:KSU458826 LCQ458824:LCQ458826 LMM458824:LMM458826 LWI458824:LWI458826 MGE458824:MGE458826 MQA458824:MQA458826 MZW458824:MZW458826 NJS458824:NJS458826 NTO458824:NTO458826 ODK458824:ODK458826 ONG458824:ONG458826 OXC458824:OXC458826 PGY458824:PGY458826 PQU458824:PQU458826 QAQ458824:QAQ458826 QKM458824:QKM458826 QUI458824:QUI458826 REE458824:REE458826 ROA458824:ROA458826 RXW458824:RXW458826 SHS458824:SHS458826 SRO458824:SRO458826 TBK458824:TBK458826 TLG458824:TLG458826 TVC458824:TVC458826 UEY458824:UEY458826 UOU458824:UOU458826 UYQ458824:UYQ458826 VIM458824:VIM458826 VSI458824:VSI458826 WCE458824:WCE458826 WMA458824:WMA458826 WVW458824:WVW458826 O524360:O524362 JK524360:JK524362 TG524360:TG524362 ADC524360:ADC524362 AMY524360:AMY524362 AWU524360:AWU524362 BGQ524360:BGQ524362 BQM524360:BQM524362 CAI524360:CAI524362 CKE524360:CKE524362 CUA524360:CUA524362 DDW524360:DDW524362 DNS524360:DNS524362 DXO524360:DXO524362 EHK524360:EHK524362 ERG524360:ERG524362 FBC524360:FBC524362 FKY524360:FKY524362 FUU524360:FUU524362 GEQ524360:GEQ524362 GOM524360:GOM524362 GYI524360:GYI524362 HIE524360:HIE524362 HSA524360:HSA524362 IBW524360:IBW524362 ILS524360:ILS524362 IVO524360:IVO524362 JFK524360:JFK524362 JPG524360:JPG524362 JZC524360:JZC524362 KIY524360:KIY524362 KSU524360:KSU524362 LCQ524360:LCQ524362 LMM524360:LMM524362 LWI524360:LWI524362 MGE524360:MGE524362 MQA524360:MQA524362 MZW524360:MZW524362 NJS524360:NJS524362 NTO524360:NTO524362 ODK524360:ODK524362 ONG524360:ONG524362 OXC524360:OXC524362 PGY524360:PGY524362 PQU524360:PQU524362 QAQ524360:QAQ524362 QKM524360:QKM524362 QUI524360:QUI524362 REE524360:REE524362 ROA524360:ROA524362 RXW524360:RXW524362 SHS524360:SHS524362 SRO524360:SRO524362 TBK524360:TBK524362 TLG524360:TLG524362 TVC524360:TVC524362 UEY524360:UEY524362 UOU524360:UOU524362 UYQ524360:UYQ524362 VIM524360:VIM524362 VSI524360:VSI524362 WCE524360:WCE524362 WMA524360:WMA524362 WVW524360:WVW524362 O589896:O589898 JK589896:JK589898 TG589896:TG589898 ADC589896:ADC589898 AMY589896:AMY589898 AWU589896:AWU589898 BGQ589896:BGQ589898 BQM589896:BQM589898 CAI589896:CAI589898 CKE589896:CKE589898 CUA589896:CUA589898 DDW589896:DDW589898 DNS589896:DNS589898 DXO589896:DXO589898 EHK589896:EHK589898 ERG589896:ERG589898 FBC589896:FBC589898 FKY589896:FKY589898 FUU589896:FUU589898 GEQ589896:GEQ589898 GOM589896:GOM589898 GYI589896:GYI589898 HIE589896:HIE589898 HSA589896:HSA589898 IBW589896:IBW589898 ILS589896:ILS589898 IVO589896:IVO589898 JFK589896:JFK589898 JPG589896:JPG589898 JZC589896:JZC589898 KIY589896:KIY589898 KSU589896:KSU589898 LCQ589896:LCQ589898 LMM589896:LMM589898 LWI589896:LWI589898 MGE589896:MGE589898 MQA589896:MQA589898 MZW589896:MZW589898 NJS589896:NJS589898 NTO589896:NTO589898 ODK589896:ODK589898 ONG589896:ONG589898 OXC589896:OXC589898 PGY589896:PGY589898 PQU589896:PQU589898 QAQ589896:QAQ589898 QKM589896:QKM589898 QUI589896:QUI589898 REE589896:REE589898 ROA589896:ROA589898 RXW589896:RXW589898 SHS589896:SHS589898 SRO589896:SRO589898 TBK589896:TBK589898 TLG589896:TLG589898 TVC589896:TVC589898 UEY589896:UEY589898 UOU589896:UOU589898 UYQ589896:UYQ589898 VIM589896:VIM589898 VSI589896:VSI589898 WCE589896:WCE589898 WMA589896:WMA589898 WVW589896:WVW589898 O655432:O655434 JK655432:JK655434 TG655432:TG655434 ADC655432:ADC655434 AMY655432:AMY655434 AWU655432:AWU655434 BGQ655432:BGQ655434 BQM655432:BQM655434 CAI655432:CAI655434 CKE655432:CKE655434 CUA655432:CUA655434 DDW655432:DDW655434 DNS655432:DNS655434 DXO655432:DXO655434 EHK655432:EHK655434 ERG655432:ERG655434 FBC655432:FBC655434 FKY655432:FKY655434 FUU655432:FUU655434 GEQ655432:GEQ655434 GOM655432:GOM655434 GYI655432:GYI655434 HIE655432:HIE655434 HSA655432:HSA655434 IBW655432:IBW655434 ILS655432:ILS655434 IVO655432:IVO655434 JFK655432:JFK655434 JPG655432:JPG655434 JZC655432:JZC655434 KIY655432:KIY655434 KSU655432:KSU655434 LCQ655432:LCQ655434 LMM655432:LMM655434 LWI655432:LWI655434 MGE655432:MGE655434 MQA655432:MQA655434 MZW655432:MZW655434 NJS655432:NJS655434 NTO655432:NTO655434 ODK655432:ODK655434 ONG655432:ONG655434 OXC655432:OXC655434 PGY655432:PGY655434 PQU655432:PQU655434 QAQ655432:QAQ655434 QKM655432:QKM655434 QUI655432:QUI655434 REE655432:REE655434 ROA655432:ROA655434 RXW655432:RXW655434 SHS655432:SHS655434 SRO655432:SRO655434 TBK655432:TBK655434 TLG655432:TLG655434 TVC655432:TVC655434 UEY655432:UEY655434 UOU655432:UOU655434 UYQ655432:UYQ655434 VIM655432:VIM655434 VSI655432:VSI655434 WCE655432:WCE655434 WMA655432:WMA655434 WVW655432:WVW655434 O720968:O720970 JK720968:JK720970 TG720968:TG720970 ADC720968:ADC720970 AMY720968:AMY720970 AWU720968:AWU720970 BGQ720968:BGQ720970 BQM720968:BQM720970 CAI720968:CAI720970 CKE720968:CKE720970 CUA720968:CUA720970 DDW720968:DDW720970 DNS720968:DNS720970 DXO720968:DXO720970 EHK720968:EHK720970 ERG720968:ERG720970 FBC720968:FBC720970 FKY720968:FKY720970 FUU720968:FUU720970 GEQ720968:GEQ720970 GOM720968:GOM720970 GYI720968:GYI720970 HIE720968:HIE720970 HSA720968:HSA720970 IBW720968:IBW720970 ILS720968:ILS720970 IVO720968:IVO720970 JFK720968:JFK720970 JPG720968:JPG720970 JZC720968:JZC720970 KIY720968:KIY720970 KSU720968:KSU720970 LCQ720968:LCQ720970 LMM720968:LMM720970 LWI720968:LWI720970 MGE720968:MGE720970 MQA720968:MQA720970 MZW720968:MZW720970 NJS720968:NJS720970 NTO720968:NTO720970 ODK720968:ODK720970 ONG720968:ONG720970 OXC720968:OXC720970 PGY720968:PGY720970 PQU720968:PQU720970 QAQ720968:QAQ720970 QKM720968:QKM720970 QUI720968:QUI720970 REE720968:REE720970 ROA720968:ROA720970 RXW720968:RXW720970 SHS720968:SHS720970 SRO720968:SRO720970 TBK720968:TBK720970 TLG720968:TLG720970 TVC720968:TVC720970 UEY720968:UEY720970 UOU720968:UOU720970 UYQ720968:UYQ720970 VIM720968:VIM720970 VSI720968:VSI720970 WCE720968:WCE720970 WMA720968:WMA720970 WVW720968:WVW720970 O786504:O786506 JK786504:JK786506 TG786504:TG786506 ADC786504:ADC786506 AMY786504:AMY786506 AWU786504:AWU786506 BGQ786504:BGQ786506 BQM786504:BQM786506 CAI786504:CAI786506 CKE786504:CKE786506 CUA786504:CUA786506 DDW786504:DDW786506 DNS786504:DNS786506 DXO786504:DXO786506 EHK786504:EHK786506 ERG786504:ERG786506 FBC786504:FBC786506 FKY786504:FKY786506 FUU786504:FUU786506 GEQ786504:GEQ786506 GOM786504:GOM786506 GYI786504:GYI786506 HIE786504:HIE786506 HSA786504:HSA786506 IBW786504:IBW786506 ILS786504:ILS786506 IVO786504:IVO786506 JFK786504:JFK786506 JPG786504:JPG786506 JZC786504:JZC786506 KIY786504:KIY786506 KSU786504:KSU786506 LCQ786504:LCQ786506 LMM786504:LMM786506 LWI786504:LWI786506 MGE786504:MGE786506 MQA786504:MQA786506 MZW786504:MZW786506 NJS786504:NJS786506 NTO786504:NTO786506 ODK786504:ODK786506 ONG786504:ONG786506 OXC786504:OXC786506 PGY786504:PGY786506 PQU786504:PQU786506 QAQ786504:QAQ786506 QKM786504:QKM786506 QUI786504:QUI786506 REE786504:REE786506 ROA786504:ROA786506 RXW786504:RXW786506 SHS786504:SHS786506 SRO786504:SRO786506 TBK786504:TBK786506 TLG786504:TLG786506 TVC786504:TVC786506 UEY786504:UEY786506 UOU786504:UOU786506 UYQ786504:UYQ786506 VIM786504:VIM786506 VSI786504:VSI786506 WCE786504:WCE786506 WMA786504:WMA786506 WVW786504:WVW786506 O852040:O852042 JK852040:JK852042 TG852040:TG852042 ADC852040:ADC852042 AMY852040:AMY852042 AWU852040:AWU852042 BGQ852040:BGQ852042 BQM852040:BQM852042 CAI852040:CAI852042 CKE852040:CKE852042 CUA852040:CUA852042 DDW852040:DDW852042 DNS852040:DNS852042 DXO852040:DXO852042 EHK852040:EHK852042 ERG852040:ERG852042 FBC852040:FBC852042 FKY852040:FKY852042 FUU852040:FUU852042 GEQ852040:GEQ852042 GOM852040:GOM852042 GYI852040:GYI852042 HIE852040:HIE852042 HSA852040:HSA852042 IBW852040:IBW852042 ILS852040:ILS852042 IVO852040:IVO852042 JFK852040:JFK852042 JPG852040:JPG852042 JZC852040:JZC852042 KIY852040:KIY852042 KSU852040:KSU852042 LCQ852040:LCQ852042 LMM852040:LMM852042 LWI852040:LWI852042 MGE852040:MGE852042 MQA852040:MQA852042 MZW852040:MZW852042 NJS852040:NJS852042 NTO852040:NTO852042 ODK852040:ODK852042 ONG852040:ONG852042 OXC852040:OXC852042 PGY852040:PGY852042 PQU852040:PQU852042 QAQ852040:QAQ852042 QKM852040:QKM852042 QUI852040:QUI852042 REE852040:REE852042 ROA852040:ROA852042 RXW852040:RXW852042 SHS852040:SHS852042 SRO852040:SRO852042 TBK852040:TBK852042 TLG852040:TLG852042 TVC852040:TVC852042 UEY852040:UEY852042 UOU852040:UOU852042 UYQ852040:UYQ852042 VIM852040:VIM852042 VSI852040:VSI852042 WCE852040:WCE852042 WMA852040:WMA852042 WVW852040:WVW852042 O917576:O917578 JK917576:JK917578 TG917576:TG917578 ADC917576:ADC917578 AMY917576:AMY917578 AWU917576:AWU917578 BGQ917576:BGQ917578 BQM917576:BQM917578 CAI917576:CAI917578 CKE917576:CKE917578 CUA917576:CUA917578 DDW917576:DDW917578 DNS917576:DNS917578 DXO917576:DXO917578 EHK917576:EHK917578 ERG917576:ERG917578 FBC917576:FBC917578 FKY917576:FKY917578 FUU917576:FUU917578 GEQ917576:GEQ917578 GOM917576:GOM917578 GYI917576:GYI917578 HIE917576:HIE917578 HSA917576:HSA917578 IBW917576:IBW917578 ILS917576:ILS917578 IVO917576:IVO917578 JFK917576:JFK917578 JPG917576:JPG917578 JZC917576:JZC917578 KIY917576:KIY917578 KSU917576:KSU917578 LCQ917576:LCQ917578 LMM917576:LMM917578 LWI917576:LWI917578 MGE917576:MGE917578 MQA917576:MQA917578 MZW917576:MZW917578 NJS917576:NJS917578 NTO917576:NTO917578 ODK917576:ODK917578 ONG917576:ONG917578 OXC917576:OXC917578 PGY917576:PGY917578 PQU917576:PQU917578 QAQ917576:QAQ917578 QKM917576:QKM917578 QUI917576:QUI917578 REE917576:REE917578 ROA917576:ROA917578 RXW917576:RXW917578 SHS917576:SHS917578 SRO917576:SRO917578 TBK917576:TBK917578 TLG917576:TLG917578 TVC917576:TVC917578 UEY917576:UEY917578 UOU917576:UOU917578 UYQ917576:UYQ917578 VIM917576:VIM917578 VSI917576:VSI917578 WCE917576:WCE917578 WMA917576:WMA917578 WVW917576:WVW917578 O983112:O983114 JK983112:JK983114 TG983112:TG983114 ADC983112:ADC983114 AMY983112:AMY983114 AWU983112:AWU983114 BGQ983112:BGQ983114 BQM983112:BQM983114 CAI983112:CAI983114 CKE983112:CKE983114 CUA983112:CUA983114 DDW983112:DDW983114 DNS983112:DNS983114 DXO983112:DXO983114 EHK983112:EHK983114 ERG983112:ERG983114 FBC983112:FBC983114 FKY983112:FKY983114 FUU983112:FUU983114 GEQ983112:GEQ983114 GOM983112:GOM983114 GYI983112:GYI983114 HIE983112:HIE983114 HSA983112:HSA983114 IBW983112:IBW983114 ILS983112:ILS983114 IVO983112:IVO983114 JFK983112:JFK983114 JPG983112:JPG983114 JZC983112:JZC983114 KIY983112:KIY983114 KSU983112:KSU983114 LCQ983112:LCQ983114 LMM983112:LMM983114 LWI983112:LWI983114 MGE983112:MGE983114 MQA983112:MQA983114 MZW983112:MZW983114 NJS983112:NJS983114 NTO983112:NTO983114 ODK983112:ODK983114 ONG983112:ONG983114 OXC983112:OXC983114 PGY983112:PGY983114 PQU983112:PQU983114 QAQ983112:QAQ983114 QKM983112:QKM983114 QUI983112:QUI983114 REE983112:REE983114 ROA983112:ROA983114 RXW983112:RXW983114 SHS983112:SHS983114 SRO983112:SRO983114 TBK983112:TBK983114 TLG983112:TLG983114 TVC983112:TVC983114 UEY983112:UEY983114 UOU983112:UOU983114 UYQ983112:UYQ983114 VIM983112:VIM983114 VSI983112:VSI983114 WCE983112:WCE983114 WMA983112:WMA983114 WVW983112:WVW983114 N46:O50 JJ46:JK50 TF46:TG50 ADB46:ADC50 AMX46:AMY50 AWT46:AWU50 BGP46:BGQ50 BQL46:BQM50 CAH46:CAI50 CKD46:CKE50 CTZ46:CUA50 DDV46:DDW50 DNR46:DNS50 DXN46:DXO50 EHJ46:EHK50 ERF46:ERG50 FBB46:FBC50 FKX46:FKY50 FUT46:FUU50 GEP46:GEQ50 GOL46:GOM50 GYH46:GYI50 HID46:HIE50 HRZ46:HSA50 IBV46:IBW50 ILR46:ILS50 IVN46:IVO50 JFJ46:JFK50 JPF46:JPG50 JZB46:JZC50 KIX46:KIY50 KST46:KSU50 LCP46:LCQ50 LML46:LMM50 LWH46:LWI50 MGD46:MGE50 MPZ46:MQA50 MZV46:MZW50 NJR46:NJS50 NTN46:NTO50 ODJ46:ODK50 ONF46:ONG50 OXB46:OXC50 PGX46:PGY50 PQT46:PQU50 QAP46:QAQ50 QKL46:QKM50 QUH46:QUI50 RED46:REE50 RNZ46:ROA50 RXV46:RXW50 SHR46:SHS50 SRN46:SRO50 TBJ46:TBK50 TLF46:TLG50 TVB46:TVC50 UEX46:UEY50 UOT46:UOU50 UYP46:UYQ50 VIL46:VIM50 VSH46:VSI50 WCD46:WCE50 WLZ46:WMA50 WVV46:WVW50 N65582:O65586 JJ65582:JK65586 TF65582:TG65586 ADB65582:ADC65586 AMX65582:AMY65586 AWT65582:AWU65586 BGP65582:BGQ65586 BQL65582:BQM65586 CAH65582:CAI65586 CKD65582:CKE65586 CTZ65582:CUA65586 DDV65582:DDW65586 DNR65582:DNS65586 DXN65582:DXO65586 EHJ65582:EHK65586 ERF65582:ERG65586 FBB65582:FBC65586 FKX65582:FKY65586 FUT65582:FUU65586 GEP65582:GEQ65586 GOL65582:GOM65586 GYH65582:GYI65586 HID65582:HIE65586 HRZ65582:HSA65586 IBV65582:IBW65586 ILR65582:ILS65586 IVN65582:IVO65586 JFJ65582:JFK65586 JPF65582:JPG65586 JZB65582:JZC65586 KIX65582:KIY65586 KST65582:KSU65586 LCP65582:LCQ65586 LML65582:LMM65586 LWH65582:LWI65586 MGD65582:MGE65586 MPZ65582:MQA65586 MZV65582:MZW65586 NJR65582:NJS65586 NTN65582:NTO65586 ODJ65582:ODK65586 ONF65582:ONG65586 OXB65582:OXC65586 PGX65582:PGY65586 PQT65582:PQU65586 QAP65582:QAQ65586 QKL65582:QKM65586 QUH65582:QUI65586 RED65582:REE65586 RNZ65582:ROA65586 RXV65582:RXW65586 SHR65582:SHS65586 SRN65582:SRO65586 TBJ65582:TBK65586 TLF65582:TLG65586 TVB65582:TVC65586 UEX65582:UEY65586 UOT65582:UOU65586 UYP65582:UYQ65586 VIL65582:VIM65586 VSH65582:VSI65586 WCD65582:WCE65586 WLZ65582:WMA65586 WVV65582:WVW65586 N131118:O131122 JJ131118:JK131122 TF131118:TG131122 ADB131118:ADC131122 AMX131118:AMY131122 AWT131118:AWU131122 BGP131118:BGQ131122 BQL131118:BQM131122 CAH131118:CAI131122 CKD131118:CKE131122 CTZ131118:CUA131122 DDV131118:DDW131122 DNR131118:DNS131122 DXN131118:DXO131122 EHJ131118:EHK131122 ERF131118:ERG131122 FBB131118:FBC131122 FKX131118:FKY131122 FUT131118:FUU131122 GEP131118:GEQ131122 GOL131118:GOM131122 GYH131118:GYI131122 HID131118:HIE131122 HRZ131118:HSA131122 IBV131118:IBW131122 ILR131118:ILS131122 IVN131118:IVO131122 JFJ131118:JFK131122 JPF131118:JPG131122 JZB131118:JZC131122 KIX131118:KIY131122 KST131118:KSU131122 LCP131118:LCQ131122 LML131118:LMM131122 LWH131118:LWI131122 MGD131118:MGE131122 MPZ131118:MQA131122 MZV131118:MZW131122 NJR131118:NJS131122 NTN131118:NTO131122 ODJ131118:ODK131122 ONF131118:ONG131122 OXB131118:OXC131122 PGX131118:PGY131122 PQT131118:PQU131122 QAP131118:QAQ131122 QKL131118:QKM131122 QUH131118:QUI131122 RED131118:REE131122 RNZ131118:ROA131122 RXV131118:RXW131122 SHR131118:SHS131122 SRN131118:SRO131122 TBJ131118:TBK131122 TLF131118:TLG131122 TVB131118:TVC131122 UEX131118:UEY131122 UOT131118:UOU131122 UYP131118:UYQ131122 VIL131118:VIM131122 VSH131118:VSI131122 WCD131118:WCE131122 WLZ131118:WMA131122 WVV131118:WVW131122 N196654:O196658 JJ196654:JK196658 TF196654:TG196658 ADB196654:ADC196658 AMX196654:AMY196658 AWT196654:AWU196658 BGP196654:BGQ196658 BQL196654:BQM196658 CAH196654:CAI196658 CKD196654:CKE196658 CTZ196654:CUA196658 DDV196654:DDW196658 DNR196654:DNS196658 DXN196654:DXO196658 EHJ196654:EHK196658 ERF196654:ERG196658 FBB196654:FBC196658 FKX196654:FKY196658 FUT196654:FUU196658 GEP196654:GEQ196658 GOL196654:GOM196658 GYH196654:GYI196658 HID196654:HIE196658 HRZ196654:HSA196658 IBV196654:IBW196658 ILR196654:ILS196658 IVN196654:IVO196658 JFJ196654:JFK196658 JPF196654:JPG196658 JZB196654:JZC196658 KIX196654:KIY196658 KST196654:KSU196658 LCP196654:LCQ196658 LML196654:LMM196658 LWH196654:LWI196658 MGD196654:MGE196658 MPZ196654:MQA196658 MZV196654:MZW196658 NJR196654:NJS196658 NTN196654:NTO196658 ODJ196654:ODK196658 ONF196654:ONG196658 OXB196654:OXC196658 PGX196654:PGY196658 PQT196654:PQU196658 QAP196654:QAQ196658 QKL196654:QKM196658 QUH196654:QUI196658 RED196654:REE196658 RNZ196654:ROA196658 RXV196654:RXW196658 SHR196654:SHS196658 SRN196654:SRO196658 TBJ196654:TBK196658 TLF196654:TLG196658 TVB196654:TVC196658 UEX196654:UEY196658 UOT196654:UOU196658 UYP196654:UYQ196658 VIL196654:VIM196658 VSH196654:VSI196658 WCD196654:WCE196658 WLZ196654:WMA196658 WVV196654:WVW196658 N262190:O262194 JJ262190:JK262194 TF262190:TG262194 ADB262190:ADC262194 AMX262190:AMY262194 AWT262190:AWU262194 BGP262190:BGQ262194 BQL262190:BQM262194 CAH262190:CAI262194 CKD262190:CKE262194 CTZ262190:CUA262194 DDV262190:DDW262194 DNR262190:DNS262194 DXN262190:DXO262194 EHJ262190:EHK262194 ERF262190:ERG262194 FBB262190:FBC262194 FKX262190:FKY262194 FUT262190:FUU262194 GEP262190:GEQ262194 GOL262190:GOM262194 GYH262190:GYI262194 HID262190:HIE262194 HRZ262190:HSA262194 IBV262190:IBW262194 ILR262190:ILS262194 IVN262190:IVO262194 JFJ262190:JFK262194 JPF262190:JPG262194 JZB262190:JZC262194 KIX262190:KIY262194 KST262190:KSU262194 LCP262190:LCQ262194 LML262190:LMM262194 LWH262190:LWI262194 MGD262190:MGE262194 MPZ262190:MQA262194 MZV262190:MZW262194 NJR262190:NJS262194 NTN262190:NTO262194 ODJ262190:ODK262194 ONF262190:ONG262194 OXB262190:OXC262194 PGX262190:PGY262194 PQT262190:PQU262194 QAP262190:QAQ262194 QKL262190:QKM262194 QUH262190:QUI262194 RED262190:REE262194 RNZ262190:ROA262194 RXV262190:RXW262194 SHR262190:SHS262194 SRN262190:SRO262194 TBJ262190:TBK262194 TLF262190:TLG262194 TVB262190:TVC262194 UEX262190:UEY262194 UOT262190:UOU262194 UYP262190:UYQ262194 VIL262190:VIM262194 VSH262190:VSI262194 WCD262190:WCE262194 WLZ262190:WMA262194 WVV262190:WVW262194 N327726:O327730 JJ327726:JK327730 TF327726:TG327730 ADB327726:ADC327730 AMX327726:AMY327730 AWT327726:AWU327730 BGP327726:BGQ327730 BQL327726:BQM327730 CAH327726:CAI327730 CKD327726:CKE327730 CTZ327726:CUA327730 DDV327726:DDW327730 DNR327726:DNS327730 DXN327726:DXO327730 EHJ327726:EHK327730 ERF327726:ERG327730 FBB327726:FBC327730 FKX327726:FKY327730 FUT327726:FUU327730 GEP327726:GEQ327730 GOL327726:GOM327730 GYH327726:GYI327730 HID327726:HIE327730 HRZ327726:HSA327730 IBV327726:IBW327730 ILR327726:ILS327730 IVN327726:IVO327730 JFJ327726:JFK327730 JPF327726:JPG327730 JZB327726:JZC327730 KIX327726:KIY327730 KST327726:KSU327730 LCP327726:LCQ327730 LML327726:LMM327730 LWH327726:LWI327730 MGD327726:MGE327730 MPZ327726:MQA327730 MZV327726:MZW327730 NJR327726:NJS327730 NTN327726:NTO327730 ODJ327726:ODK327730 ONF327726:ONG327730 OXB327726:OXC327730 PGX327726:PGY327730 PQT327726:PQU327730 QAP327726:QAQ327730 QKL327726:QKM327730 QUH327726:QUI327730 RED327726:REE327730 RNZ327726:ROA327730 RXV327726:RXW327730 SHR327726:SHS327730 SRN327726:SRO327730 TBJ327726:TBK327730 TLF327726:TLG327730 TVB327726:TVC327730 UEX327726:UEY327730 UOT327726:UOU327730 UYP327726:UYQ327730 VIL327726:VIM327730 VSH327726:VSI327730 WCD327726:WCE327730 WLZ327726:WMA327730 WVV327726:WVW327730 N393262:O393266 JJ393262:JK393266 TF393262:TG393266 ADB393262:ADC393266 AMX393262:AMY393266 AWT393262:AWU393266 BGP393262:BGQ393266 BQL393262:BQM393266 CAH393262:CAI393266 CKD393262:CKE393266 CTZ393262:CUA393266 DDV393262:DDW393266 DNR393262:DNS393266 DXN393262:DXO393266 EHJ393262:EHK393266 ERF393262:ERG393266 FBB393262:FBC393266 FKX393262:FKY393266 FUT393262:FUU393266 GEP393262:GEQ393266 GOL393262:GOM393266 GYH393262:GYI393266 HID393262:HIE393266 HRZ393262:HSA393266 IBV393262:IBW393266 ILR393262:ILS393266 IVN393262:IVO393266 JFJ393262:JFK393266 JPF393262:JPG393266 JZB393262:JZC393266 KIX393262:KIY393266 KST393262:KSU393266 LCP393262:LCQ393266 LML393262:LMM393266 LWH393262:LWI393266 MGD393262:MGE393266 MPZ393262:MQA393266 MZV393262:MZW393266 NJR393262:NJS393266 NTN393262:NTO393266 ODJ393262:ODK393266 ONF393262:ONG393266 OXB393262:OXC393266 PGX393262:PGY393266 PQT393262:PQU393266 QAP393262:QAQ393266 QKL393262:QKM393266 QUH393262:QUI393266 RED393262:REE393266 RNZ393262:ROA393266 RXV393262:RXW393266 SHR393262:SHS393266 SRN393262:SRO393266 TBJ393262:TBK393266 TLF393262:TLG393266 TVB393262:TVC393266 UEX393262:UEY393266 UOT393262:UOU393266 UYP393262:UYQ393266 VIL393262:VIM393266 VSH393262:VSI393266 WCD393262:WCE393266 WLZ393262:WMA393266 WVV393262:WVW393266 N458798:O458802 JJ458798:JK458802 TF458798:TG458802 ADB458798:ADC458802 AMX458798:AMY458802 AWT458798:AWU458802 BGP458798:BGQ458802 BQL458798:BQM458802 CAH458798:CAI458802 CKD458798:CKE458802 CTZ458798:CUA458802 DDV458798:DDW458802 DNR458798:DNS458802 DXN458798:DXO458802 EHJ458798:EHK458802 ERF458798:ERG458802 FBB458798:FBC458802 FKX458798:FKY458802 FUT458798:FUU458802 GEP458798:GEQ458802 GOL458798:GOM458802 GYH458798:GYI458802 HID458798:HIE458802 HRZ458798:HSA458802 IBV458798:IBW458802 ILR458798:ILS458802 IVN458798:IVO458802 JFJ458798:JFK458802 JPF458798:JPG458802 JZB458798:JZC458802 KIX458798:KIY458802 KST458798:KSU458802 LCP458798:LCQ458802 LML458798:LMM458802 LWH458798:LWI458802 MGD458798:MGE458802 MPZ458798:MQA458802 MZV458798:MZW458802 NJR458798:NJS458802 NTN458798:NTO458802 ODJ458798:ODK458802 ONF458798:ONG458802 OXB458798:OXC458802 PGX458798:PGY458802 PQT458798:PQU458802 QAP458798:QAQ458802 QKL458798:QKM458802 QUH458798:QUI458802 RED458798:REE458802 RNZ458798:ROA458802 RXV458798:RXW458802 SHR458798:SHS458802 SRN458798:SRO458802 TBJ458798:TBK458802 TLF458798:TLG458802 TVB458798:TVC458802 UEX458798:UEY458802 UOT458798:UOU458802 UYP458798:UYQ458802 VIL458798:VIM458802 VSH458798:VSI458802 WCD458798:WCE458802 WLZ458798:WMA458802 WVV458798:WVW458802 N524334:O524338 JJ524334:JK524338 TF524334:TG524338 ADB524334:ADC524338 AMX524334:AMY524338 AWT524334:AWU524338 BGP524334:BGQ524338 BQL524334:BQM524338 CAH524334:CAI524338 CKD524334:CKE524338 CTZ524334:CUA524338 DDV524334:DDW524338 DNR524334:DNS524338 DXN524334:DXO524338 EHJ524334:EHK524338 ERF524334:ERG524338 FBB524334:FBC524338 FKX524334:FKY524338 FUT524334:FUU524338 GEP524334:GEQ524338 GOL524334:GOM524338 GYH524334:GYI524338 HID524334:HIE524338 HRZ524334:HSA524338 IBV524334:IBW524338 ILR524334:ILS524338 IVN524334:IVO524338 JFJ524334:JFK524338 JPF524334:JPG524338 JZB524334:JZC524338 KIX524334:KIY524338 KST524334:KSU524338 LCP524334:LCQ524338 LML524334:LMM524338 LWH524334:LWI524338 MGD524334:MGE524338 MPZ524334:MQA524338 MZV524334:MZW524338 NJR524334:NJS524338 NTN524334:NTO524338 ODJ524334:ODK524338 ONF524334:ONG524338 OXB524334:OXC524338 PGX524334:PGY524338 PQT524334:PQU524338 QAP524334:QAQ524338 QKL524334:QKM524338 QUH524334:QUI524338 RED524334:REE524338 RNZ524334:ROA524338 RXV524334:RXW524338 SHR524334:SHS524338 SRN524334:SRO524338 TBJ524334:TBK524338 TLF524334:TLG524338 TVB524334:TVC524338 UEX524334:UEY524338 UOT524334:UOU524338 UYP524334:UYQ524338 VIL524334:VIM524338 VSH524334:VSI524338 WCD524334:WCE524338 WLZ524334:WMA524338 WVV524334:WVW524338 N589870:O589874 JJ589870:JK589874 TF589870:TG589874 ADB589870:ADC589874 AMX589870:AMY589874 AWT589870:AWU589874 BGP589870:BGQ589874 BQL589870:BQM589874 CAH589870:CAI589874 CKD589870:CKE589874 CTZ589870:CUA589874 DDV589870:DDW589874 DNR589870:DNS589874 DXN589870:DXO589874 EHJ589870:EHK589874 ERF589870:ERG589874 FBB589870:FBC589874 FKX589870:FKY589874 FUT589870:FUU589874 GEP589870:GEQ589874 GOL589870:GOM589874 GYH589870:GYI589874 HID589870:HIE589874 HRZ589870:HSA589874 IBV589870:IBW589874 ILR589870:ILS589874 IVN589870:IVO589874 JFJ589870:JFK589874 JPF589870:JPG589874 JZB589870:JZC589874 KIX589870:KIY589874 KST589870:KSU589874 LCP589870:LCQ589874 LML589870:LMM589874 LWH589870:LWI589874 MGD589870:MGE589874 MPZ589870:MQA589874 MZV589870:MZW589874 NJR589870:NJS589874 NTN589870:NTO589874 ODJ589870:ODK589874 ONF589870:ONG589874 OXB589870:OXC589874 PGX589870:PGY589874 PQT589870:PQU589874 QAP589870:QAQ589874 QKL589870:QKM589874 QUH589870:QUI589874 RED589870:REE589874 RNZ589870:ROA589874 RXV589870:RXW589874 SHR589870:SHS589874 SRN589870:SRO589874 TBJ589870:TBK589874 TLF589870:TLG589874 TVB589870:TVC589874 UEX589870:UEY589874 UOT589870:UOU589874 UYP589870:UYQ589874 VIL589870:VIM589874 VSH589870:VSI589874 WCD589870:WCE589874 WLZ589870:WMA589874 WVV589870:WVW589874 N655406:O655410 JJ655406:JK655410 TF655406:TG655410 ADB655406:ADC655410 AMX655406:AMY655410 AWT655406:AWU655410 BGP655406:BGQ655410 BQL655406:BQM655410 CAH655406:CAI655410 CKD655406:CKE655410 CTZ655406:CUA655410 DDV655406:DDW655410 DNR655406:DNS655410 DXN655406:DXO655410 EHJ655406:EHK655410 ERF655406:ERG655410 FBB655406:FBC655410 FKX655406:FKY655410 FUT655406:FUU655410 GEP655406:GEQ655410 GOL655406:GOM655410 GYH655406:GYI655410 HID655406:HIE655410 HRZ655406:HSA655410 IBV655406:IBW655410 ILR655406:ILS655410 IVN655406:IVO655410 JFJ655406:JFK655410 JPF655406:JPG655410 JZB655406:JZC655410 KIX655406:KIY655410 KST655406:KSU655410 LCP655406:LCQ655410 LML655406:LMM655410 LWH655406:LWI655410 MGD655406:MGE655410 MPZ655406:MQA655410 MZV655406:MZW655410 NJR655406:NJS655410 NTN655406:NTO655410 ODJ655406:ODK655410 ONF655406:ONG655410 OXB655406:OXC655410 PGX655406:PGY655410 PQT655406:PQU655410 QAP655406:QAQ655410 QKL655406:QKM655410 QUH655406:QUI655410 RED655406:REE655410 RNZ655406:ROA655410 RXV655406:RXW655410 SHR655406:SHS655410 SRN655406:SRO655410 TBJ655406:TBK655410 TLF655406:TLG655410 TVB655406:TVC655410 UEX655406:UEY655410 UOT655406:UOU655410 UYP655406:UYQ655410 VIL655406:VIM655410 VSH655406:VSI655410 WCD655406:WCE655410 WLZ655406:WMA655410 WVV655406:WVW655410 N720942:O720946 JJ720942:JK720946 TF720942:TG720946 ADB720942:ADC720946 AMX720942:AMY720946 AWT720942:AWU720946 BGP720942:BGQ720946 BQL720942:BQM720946 CAH720942:CAI720946 CKD720942:CKE720946 CTZ720942:CUA720946 DDV720942:DDW720946 DNR720942:DNS720946 DXN720942:DXO720946 EHJ720942:EHK720946 ERF720942:ERG720946 FBB720942:FBC720946 FKX720942:FKY720946 FUT720942:FUU720946 GEP720942:GEQ720946 GOL720942:GOM720946 GYH720942:GYI720946 HID720942:HIE720946 HRZ720942:HSA720946 IBV720942:IBW720946 ILR720942:ILS720946 IVN720942:IVO720946 JFJ720942:JFK720946 JPF720942:JPG720946 JZB720942:JZC720946 KIX720942:KIY720946 KST720942:KSU720946 LCP720942:LCQ720946 LML720942:LMM720946 LWH720942:LWI720946 MGD720942:MGE720946 MPZ720942:MQA720946 MZV720942:MZW720946 NJR720942:NJS720946 NTN720942:NTO720946 ODJ720942:ODK720946 ONF720942:ONG720946 OXB720942:OXC720946 PGX720942:PGY720946 PQT720942:PQU720946 QAP720942:QAQ720946 QKL720942:QKM720946 QUH720942:QUI720946 RED720942:REE720946 RNZ720942:ROA720946 RXV720942:RXW720946 SHR720942:SHS720946 SRN720942:SRO720946 TBJ720942:TBK720946 TLF720942:TLG720946 TVB720942:TVC720946 UEX720942:UEY720946 UOT720942:UOU720946 UYP720942:UYQ720946 VIL720942:VIM720946 VSH720942:VSI720946 WCD720942:WCE720946 WLZ720942:WMA720946 WVV720942:WVW720946 N786478:O786482 JJ786478:JK786482 TF786478:TG786482 ADB786478:ADC786482 AMX786478:AMY786482 AWT786478:AWU786482 BGP786478:BGQ786482 BQL786478:BQM786482 CAH786478:CAI786482 CKD786478:CKE786482 CTZ786478:CUA786482 DDV786478:DDW786482 DNR786478:DNS786482 DXN786478:DXO786482 EHJ786478:EHK786482 ERF786478:ERG786482 FBB786478:FBC786482 FKX786478:FKY786482 FUT786478:FUU786482 GEP786478:GEQ786482 GOL786478:GOM786482 GYH786478:GYI786482 HID786478:HIE786482 HRZ786478:HSA786482 IBV786478:IBW786482 ILR786478:ILS786482 IVN786478:IVO786482 JFJ786478:JFK786482 JPF786478:JPG786482 JZB786478:JZC786482 KIX786478:KIY786482 KST786478:KSU786482 LCP786478:LCQ786482 LML786478:LMM786482 LWH786478:LWI786482 MGD786478:MGE786482 MPZ786478:MQA786482 MZV786478:MZW786482 NJR786478:NJS786482 NTN786478:NTO786482 ODJ786478:ODK786482 ONF786478:ONG786482 OXB786478:OXC786482 PGX786478:PGY786482 PQT786478:PQU786482 QAP786478:QAQ786482 QKL786478:QKM786482 QUH786478:QUI786482 RED786478:REE786482 RNZ786478:ROA786482 RXV786478:RXW786482 SHR786478:SHS786482 SRN786478:SRO786482 TBJ786478:TBK786482 TLF786478:TLG786482 TVB786478:TVC786482 UEX786478:UEY786482 UOT786478:UOU786482 UYP786478:UYQ786482 VIL786478:VIM786482 VSH786478:VSI786482 WCD786478:WCE786482 WLZ786478:WMA786482 WVV786478:WVW786482 N852014:O852018 JJ852014:JK852018 TF852014:TG852018 ADB852014:ADC852018 AMX852014:AMY852018 AWT852014:AWU852018 BGP852014:BGQ852018 BQL852014:BQM852018 CAH852014:CAI852018 CKD852014:CKE852018 CTZ852014:CUA852018 DDV852014:DDW852018 DNR852014:DNS852018 DXN852014:DXO852018 EHJ852014:EHK852018 ERF852014:ERG852018 FBB852014:FBC852018 FKX852014:FKY852018 FUT852014:FUU852018 GEP852014:GEQ852018 GOL852014:GOM852018 GYH852014:GYI852018 HID852014:HIE852018 HRZ852014:HSA852018 IBV852014:IBW852018 ILR852014:ILS852018 IVN852014:IVO852018 JFJ852014:JFK852018 JPF852014:JPG852018 JZB852014:JZC852018 KIX852014:KIY852018 KST852014:KSU852018 LCP852014:LCQ852018 LML852014:LMM852018 LWH852014:LWI852018 MGD852014:MGE852018 MPZ852014:MQA852018 MZV852014:MZW852018 NJR852014:NJS852018 NTN852014:NTO852018 ODJ852014:ODK852018 ONF852014:ONG852018 OXB852014:OXC852018 PGX852014:PGY852018 PQT852014:PQU852018 QAP852014:QAQ852018 QKL852014:QKM852018 QUH852014:QUI852018 RED852014:REE852018 RNZ852014:ROA852018 RXV852014:RXW852018 SHR852014:SHS852018 SRN852014:SRO852018 TBJ852014:TBK852018 TLF852014:TLG852018 TVB852014:TVC852018 UEX852014:UEY852018 UOT852014:UOU852018 UYP852014:UYQ852018 VIL852014:VIM852018 VSH852014:VSI852018 WCD852014:WCE852018 WLZ852014:WMA852018 WVV852014:WVW852018 N917550:O917554 JJ917550:JK917554 TF917550:TG917554 ADB917550:ADC917554 AMX917550:AMY917554 AWT917550:AWU917554 BGP917550:BGQ917554 BQL917550:BQM917554 CAH917550:CAI917554 CKD917550:CKE917554 CTZ917550:CUA917554 DDV917550:DDW917554 DNR917550:DNS917554 DXN917550:DXO917554 EHJ917550:EHK917554 ERF917550:ERG917554 FBB917550:FBC917554 FKX917550:FKY917554 FUT917550:FUU917554 GEP917550:GEQ917554 GOL917550:GOM917554 GYH917550:GYI917554 HID917550:HIE917554 HRZ917550:HSA917554 IBV917550:IBW917554 ILR917550:ILS917554 IVN917550:IVO917554 JFJ917550:JFK917554 JPF917550:JPG917554 JZB917550:JZC917554 KIX917550:KIY917554 KST917550:KSU917554 LCP917550:LCQ917554 LML917550:LMM917554 LWH917550:LWI917554 MGD917550:MGE917554 MPZ917550:MQA917554 MZV917550:MZW917554 NJR917550:NJS917554 NTN917550:NTO917554 ODJ917550:ODK917554 ONF917550:ONG917554 OXB917550:OXC917554 PGX917550:PGY917554 PQT917550:PQU917554 QAP917550:QAQ917554 QKL917550:QKM917554 QUH917550:QUI917554 RED917550:REE917554 RNZ917550:ROA917554 RXV917550:RXW917554 SHR917550:SHS917554 SRN917550:SRO917554 TBJ917550:TBK917554 TLF917550:TLG917554 TVB917550:TVC917554 UEX917550:UEY917554 UOT917550:UOU917554 UYP917550:UYQ917554 VIL917550:VIM917554 VSH917550:VSI917554 WCD917550:WCE917554 WLZ917550:WMA917554 WVV917550:WVW917554 N983086:O983090 JJ983086:JK983090 TF983086:TG983090 ADB983086:ADC983090 AMX983086:AMY983090 AWT983086:AWU983090 BGP983086:BGQ983090 BQL983086:BQM983090 CAH983086:CAI983090 CKD983086:CKE983090 CTZ983086:CUA983090 DDV983086:DDW983090 DNR983086:DNS983090 DXN983086:DXO983090 EHJ983086:EHK983090 ERF983086:ERG983090 FBB983086:FBC983090 FKX983086:FKY983090 FUT983086:FUU983090 GEP983086:GEQ983090 GOL983086:GOM983090 GYH983086:GYI983090 HID983086:HIE983090 HRZ983086:HSA983090 IBV983086:IBW983090 ILR983086:ILS983090 IVN983086:IVO983090 JFJ983086:JFK983090 JPF983086:JPG983090 JZB983086:JZC983090 KIX983086:KIY983090 KST983086:KSU983090 LCP983086:LCQ983090 LML983086:LMM983090 LWH983086:LWI983090 MGD983086:MGE983090 MPZ983086:MQA983090 MZV983086:MZW983090 NJR983086:NJS983090 NTN983086:NTO983090 ODJ983086:ODK983090 ONF983086:ONG983090 OXB983086:OXC983090 PGX983086:PGY983090 PQT983086:PQU983090 QAP983086:QAQ983090 QKL983086:QKM983090 QUH983086:QUI983090 RED983086:REE983090 RNZ983086:ROA983090 RXV983086:RXW983090 SHR983086:SHS983090 SRN983086:SRO983090 TBJ983086:TBK983090 TLF983086:TLG983090 TVB983086:TVC983090 UEX983086:UEY983090 UOT983086:UOU983090 UYP983086:UYQ983090 VIL983086:VIM983090 VSH983086:VSI983090 WCD983086:WCE983090 WLZ983086:WMA983090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66FF33"/>
  </sheetPr>
  <dimension ref="A1:BU180"/>
  <sheetViews>
    <sheetView showGridLines="0" view="pageBreakPreview" zoomScaleNormal="75" zoomScaleSheetLayoutView="100" workbookViewId="0">
      <selection activeCell="B1" sqref="B1"/>
    </sheetView>
  </sheetViews>
  <sheetFormatPr defaultRowHeight="12.75"/>
  <cols>
    <col min="1" max="1" width="9.140625" style="953" customWidth="1"/>
    <col min="2" max="2" width="20" style="953" customWidth="1"/>
    <col min="3" max="3" width="29.5703125" style="953" customWidth="1"/>
    <col min="4" max="4" width="25.140625" style="953" customWidth="1"/>
    <col min="5" max="5" width="12.42578125" style="953" customWidth="1"/>
    <col min="6" max="6" width="8.5703125" style="953" customWidth="1"/>
    <col min="7" max="8" width="9" style="953" customWidth="1"/>
    <col min="9" max="9" width="12.85546875" style="953" customWidth="1"/>
    <col min="10" max="10" width="11" style="953" customWidth="1"/>
    <col min="11" max="11" width="14.5703125" style="953" customWidth="1"/>
    <col min="12" max="12" width="7.7109375" style="953" customWidth="1"/>
    <col min="13" max="13" width="11.42578125" style="953" customWidth="1"/>
    <col min="14" max="14" width="12.28515625" style="953" customWidth="1"/>
    <col min="15" max="15" width="5.7109375" style="953" customWidth="1"/>
    <col min="16" max="16" width="7.28515625" style="953" customWidth="1"/>
    <col min="17" max="17" width="33" style="953" customWidth="1"/>
    <col min="18" max="20" width="9.140625" style="953"/>
    <col min="21" max="21" width="9.140625" style="953" hidden="1" customWidth="1"/>
    <col min="22" max="256" width="9.140625" style="953"/>
    <col min="257" max="257" width="9.140625" style="953" customWidth="1"/>
    <col min="258" max="258" width="20" style="953" customWidth="1"/>
    <col min="259" max="259" width="29.5703125" style="953" customWidth="1"/>
    <col min="260" max="260" width="25.140625" style="953" customWidth="1"/>
    <col min="261" max="261" width="12.42578125" style="953" customWidth="1"/>
    <col min="262" max="262" width="8.5703125" style="953" customWidth="1"/>
    <col min="263" max="264" width="9" style="953" customWidth="1"/>
    <col min="265" max="265" width="12.85546875" style="953" customWidth="1"/>
    <col min="266" max="266" width="11" style="953" customWidth="1"/>
    <col min="267" max="267" width="14.5703125" style="953" customWidth="1"/>
    <col min="268" max="268" width="7.7109375" style="953" customWidth="1"/>
    <col min="269" max="269" width="11.42578125" style="953" customWidth="1"/>
    <col min="270" max="270" width="12.28515625" style="953" customWidth="1"/>
    <col min="271" max="271" width="5.7109375" style="953" customWidth="1"/>
    <col min="272" max="272" width="7.28515625" style="953" customWidth="1"/>
    <col min="273" max="273" width="33" style="953" customWidth="1"/>
    <col min="274" max="276" width="9.140625" style="953"/>
    <col min="277" max="277" width="0" style="953" hidden="1" customWidth="1"/>
    <col min="278" max="512" width="9.140625" style="953"/>
    <col min="513" max="513" width="9.140625" style="953" customWidth="1"/>
    <col min="514" max="514" width="20" style="953" customWidth="1"/>
    <col min="515" max="515" width="29.5703125" style="953" customWidth="1"/>
    <col min="516" max="516" width="25.140625" style="953" customWidth="1"/>
    <col min="517" max="517" width="12.42578125" style="953" customWidth="1"/>
    <col min="518" max="518" width="8.5703125" style="953" customWidth="1"/>
    <col min="519" max="520" width="9" style="953" customWidth="1"/>
    <col min="521" max="521" width="12.85546875" style="953" customWidth="1"/>
    <col min="522" max="522" width="11" style="953" customWidth="1"/>
    <col min="523" max="523" width="14.5703125" style="953" customWidth="1"/>
    <col min="524" max="524" width="7.7109375" style="953" customWidth="1"/>
    <col min="525" max="525" width="11.42578125" style="953" customWidth="1"/>
    <col min="526" max="526" width="12.28515625" style="953" customWidth="1"/>
    <col min="527" max="527" width="5.7109375" style="953" customWidth="1"/>
    <col min="528" max="528" width="7.28515625" style="953" customWidth="1"/>
    <col min="529" max="529" width="33" style="953" customWidth="1"/>
    <col min="530" max="532" width="9.140625" style="953"/>
    <col min="533" max="533" width="0" style="953" hidden="1" customWidth="1"/>
    <col min="534" max="768" width="9.140625" style="953"/>
    <col min="769" max="769" width="9.140625" style="953" customWidth="1"/>
    <col min="770" max="770" width="20" style="953" customWidth="1"/>
    <col min="771" max="771" width="29.5703125" style="953" customWidth="1"/>
    <col min="772" max="772" width="25.140625" style="953" customWidth="1"/>
    <col min="773" max="773" width="12.42578125" style="953" customWidth="1"/>
    <col min="774" max="774" width="8.5703125" style="953" customWidth="1"/>
    <col min="775" max="776" width="9" style="953" customWidth="1"/>
    <col min="777" max="777" width="12.85546875" style="953" customWidth="1"/>
    <col min="778" max="778" width="11" style="953" customWidth="1"/>
    <col min="779" max="779" width="14.5703125" style="953" customWidth="1"/>
    <col min="780" max="780" width="7.7109375" style="953" customWidth="1"/>
    <col min="781" max="781" width="11.42578125" style="953" customWidth="1"/>
    <col min="782" max="782" width="12.28515625" style="953" customWidth="1"/>
    <col min="783" max="783" width="5.7109375" style="953" customWidth="1"/>
    <col min="784" max="784" width="7.28515625" style="953" customWidth="1"/>
    <col min="785" max="785" width="33" style="953" customWidth="1"/>
    <col min="786" max="788" width="9.140625" style="953"/>
    <col min="789" max="789" width="0" style="953" hidden="1" customWidth="1"/>
    <col min="790" max="1024" width="9.140625" style="953"/>
    <col min="1025" max="1025" width="9.140625" style="953" customWidth="1"/>
    <col min="1026" max="1026" width="20" style="953" customWidth="1"/>
    <col min="1027" max="1027" width="29.5703125" style="953" customWidth="1"/>
    <col min="1028" max="1028" width="25.140625" style="953" customWidth="1"/>
    <col min="1029" max="1029" width="12.42578125" style="953" customWidth="1"/>
    <col min="1030" max="1030" width="8.5703125" style="953" customWidth="1"/>
    <col min="1031" max="1032" width="9" style="953" customWidth="1"/>
    <col min="1033" max="1033" width="12.85546875" style="953" customWidth="1"/>
    <col min="1034" max="1034" width="11" style="953" customWidth="1"/>
    <col min="1035" max="1035" width="14.5703125" style="953" customWidth="1"/>
    <col min="1036" max="1036" width="7.7109375" style="953" customWidth="1"/>
    <col min="1037" max="1037" width="11.42578125" style="953" customWidth="1"/>
    <col min="1038" max="1038" width="12.28515625" style="953" customWidth="1"/>
    <col min="1039" max="1039" width="5.7109375" style="953" customWidth="1"/>
    <col min="1040" max="1040" width="7.28515625" style="953" customWidth="1"/>
    <col min="1041" max="1041" width="33" style="953" customWidth="1"/>
    <col min="1042" max="1044" width="9.140625" style="953"/>
    <col min="1045" max="1045" width="0" style="953" hidden="1" customWidth="1"/>
    <col min="1046" max="1280" width="9.140625" style="953"/>
    <col min="1281" max="1281" width="9.140625" style="953" customWidth="1"/>
    <col min="1282" max="1282" width="20" style="953" customWidth="1"/>
    <col min="1283" max="1283" width="29.5703125" style="953" customWidth="1"/>
    <col min="1284" max="1284" width="25.140625" style="953" customWidth="1"/>
    <col min="1285" max="1285" width="12.42578125" style="953" customWidth="1"/>
    <col min="1286" max="1286" width="8.5703125" style="953" customWidth="1"/>
    <col min="1287" max="1288" width="9" style="953" customWidth="1"/>
    <col min="1289" max="1289" width="12.85546875" style="953" customWidth="1"/>
    <col min="1290" max="1290" width="11" style="953" customWidth="1"/>
    <col min="1291" max="1291" width="14.5703125" style="953" customWidth="1"/>
    <col min="1292" max="1292" width="7.7109375" style="953" customWidth="1"/>
    <col min="1293" max="1293" width="11.42578125" style="953" customWidth="1"/>
    <col min="1294" max="1294" width="12.28515625" style="953" customWidth="1"/>
    <col min="1295" max="1295" width="5.7109375" style="953" customWidth="1"/>
    <col min="1296" max="1296" width="7.28515625" style="953" customWidth="1"/>
    <col min="1297" max="1297" width="33" style="953" customWidth="1"/>
    <col min="1298" max="1300" width="9.140625" style="953"/>
    <col min="1301" max="1301" width="0" style="953" hidden="1" customWidth="1"/>
    <col min="1302" max="1536" width="9.140625" style="953"/>
    <col min="1537" max="1537" width="9.140625" style="953" customWidth="1"/>
    <col min="1538" max="1538" width="20" style="953" customWidth="1"/>
    <col min="1539" max="1539" width="29.5703125" style="953" customWidth="1"/>
    <col min="1540" max="1540" width="25.140625" style="953" customWidth="1"/>
    <col min="1541" max="1541" width="12.42578125" style="953" customWidth="1"/>
    <col min="1542" max="1542" width="8.5703125" style="953" customWidth="1"/>
    <col min="1543" max="1544" width="9" style="953" customWidth="1"/>
    <col min="1545" max="1545" width="12.85546875" style="953" customWidth="1"/>
    <col min="1546" max="1546" width="11" style="953" customWidth="1"/>
    <col min="1547" max="1547" width="14.5703125" style="953" customWidth="1"/>
    <col min="1548" max="1548" width="7.7109375" style="953" customWidth="1"/>
    <col min="1549" max="1549" width="11.42578125" style="953" customWidth="1"/>
    <col min="1550" max="1550" width="12.28515625" style="953" customWidth="1"/>
    <col min="1551" max="1551" width="5.7109375" style="953" customWidth="1"/>
    <col min="1552" max="1552" width="7.28515625" style="953" customWidth="1"/>
    <col min="1553" max="1553" width="33" style="953" customWidth="1"/>
    <col min="1554" max="1556" width="9.140625" style="953"/>
    <col min="1557" max="1557" width="0" style="953" hidden="1" customWidth="1"/>
    <col min="1558" max="1792" width="9.140625" style="953"/>
    <col min="1793" max="1793" width="9.140625" style="953" customWidth="1"/>
    <col min="1794" max="1794" width="20" style="953" customWidth="1"/>
    <col min="1795" max="1795" width="29.5703125" style="953" customWidth="1"/>
    <col min="1796" max="1796" width="25.140625" style="953" customWidth="1"/>
    <col min="1797" max="1797" width="12.42578125" style="953" customWidth="1"/>
    <col min="1798" max="1798" width="8.5703125" style="953" customWidth="1"/>
    <col min="1799" max="1800" width="9" style="953" customWidth="1"/>
    <col min="1801" max="1801" width="12.85546875" style="953" customWidth="1"/>
    <col min="1802" max="1802" width="11" style="953" customWidth="1"/>
    <col min="1803" max="1803" width="14.5703125" style="953" customWidth="1"/>
    <col min="1804" max="1804" width="7.7109375" style="953" customWidth="1"/>
    <col min="1805" max="1805" width="11.42578125" style="953" customWidth="1"/>
    <col min="1806" max="1806" width="12.28515625" style="953" customWidth="1"/>
    <col min="1807" max="1807" width="5.7109375" style="953" customWidth="1"/>
    <col min="1808" max="1808" width="7.28515625" style="953" customWidth="1"/>
    <col min="1809" max="1809" width="33" style="953" customWidth="1"/>
    <col min="1810" max="1812" width="9.140625" style="953"/>
    <col min="1813" max="1813" width="0" style="953" hidden="1" customWidth="1"/>
    <col min="1814" max="2048" width="9.140625" style="953"/>
    <col min="2049" max="2049" width="9.140625" style="953" customWidth="1"/>
    <col min="2050" max="2050" width="20" style="953" customWidth="1"/>
    <col min="2051" max="2051" width="29.5703125" style="953" customWidth="1"/>
    <col min="2052" max="2052" width="25.140625" style="953" customWidth="1"/>
    <col min="2053" max="2053" width="12.42578125" style="953" customWidth="1"/>
    <col min="2054" max="2054" width="8.5703125" style="953" customWidth="1"/>
    <col min="2055" max="2056" width="9" style="953" customWidth="1"/>
    <col min="2057" max="2057" width="12.85546875" style="953" customWidth="1"/>
    <col min="2058" max="2058" width="11" style="953" customWidth="1"/>
    <col min="2059" max="2059" width="14.5703125" style="953" customWidth="1"/>
    <col min="2060" max="2060" width="7.7109375" style="953" customWidth="1"/>
    <col min="2061" max="2061" width="11.42578125" style="953" customWidth="1"/>
    <col min="2062" max="2062" width="12.28515625" style="953" customWidth="1"/>
    <col min="2063" max="2063" width="5.7109375" style="953" customWidth="1"/>
    <col min="2064" max="2064" width="7.28515625" style="953" customWidth="1"/>
    <col min="2065" max="2065" width="33" style="953" customWidth="1"/>
    <col min="2066" max="2068" width="9.140625" style="953"/>
    <col min="2069" max="2069" width="0" style="953" hidden="1" customWidth="1"/>
    <col min="2070" max="2304" width="9.140625" style="953"/>
    <col min="2305" max="2305" width="9.140625" style="953" customWidth="1"/>
    <col min="2306" max="2306" width="20" style="953" customWidth="1"/>
    <col min="2307" max="2307" width="29.5703125" style="953" customWidth="1"/>
    <col min="2308" max="2308" width="25.140625" style="953" customWidth="1"/>
    <col min="2309" max="2309" width="12.42578125" style="953" customWidth="1"/>
    <col min="2310" max="2310" width="8.5703125" style="953" customWidth="1"/>
    <col min="2311" max="2312" width="9" style="953" customWidth="1"/>
    <col min="2313" max="2313" width="12.85546875" style="953" customWidth="1"/>
    <col min="2314" max="2314" width="11" style="953" customWidth="1"/>
    <col min="2315" max="2315" width="14.5703125" style="953" customWidth="1"/>
    <col min="2316" max="2316" width="7.7109375" style="953" customWidth="1"/>
    <col min="2317" max="2317" width="11.42578125" style="953" customWidth="1"/>
    <col min="2318" max="2318" width="12.28515625" style="953" customWidth="1"/>
    <col min="2319" max="2319" width="5.7109375" style="953" customWidth="1"/>
    <col min="2320" max="2320" width="7.28515625" style="953" customWidth="1"/>
    <col min="2321" max="2321" width="33" style="953" customWidth="1"/>
    <col min="2322" max="2324" width="9.140625" style="953"/>
    <col min="2325" max="2325" width="0" style="953" hidden="1" customWidth="1"/>
    <col min="2326" max="2560" width="9.140625" style="953"/>
    <col min="2561" max="2561" width="9.140625" style="953" customWidth="1"/>
    <col min="2562" max="2562" width="20" style="953" customWidth="1"/>
    <col min="2563" max="2563" width="29.5703125" style="953" customWidth="1"/>
    <col min="2564" max="2564" width="25.140625" style="953" customWidth="1"/>
    <col min="2565" max="2565" width="12.42578125" style="953" customWidth="1"/>
    <col min="2566" max="2566" width="8.5703125" style="953" customWidth="1"/>
    <col min="2567" max="2568" width="9" style="953" customWidth="1"/>
    <col min="2569" max="2569" width="12.85546875" style="953" customWidth="1"/>
    <col min="2570" max="2570" width="11" style="953" customWidth="1"/>
    <col min="2571" max="2571" width="14.5703125" style="953" customWidth="1"/>
    <col min="2572" max="2572" width="7.7109375" style="953" customWidth="1"/>
    <col min="2573" max="2573" width="11.42578125" style="953" customWidth="1"/>
    <col min="2574" max="2574" width="12.28515625" style="953" customWidth="1"/>
    <col min="2575" max="2575" width="5.7109375" style="953" customWidth="1"/>
    <col min="2576" max="2576" width="7.28515625" style="953" customWidth="1"/>
    <col min="2577" max="2577" width="33" style="953" customWidth="1"/>
    <col min="2578" max="2580" width="9.140625" style="953"/>
    <col min="2581" max="2581" width="0" style="953" hidden="1" customWidth="1"/>
    <col min="2582" max="2816" width="9.140625" style="953"/>
    <col min="2817" max="2817" width="9.140625" style="953" customWidth="1"/>
    <col min="2818" max="2818" width="20" style="953" customWidth="1"/>
    <col min="2819" max="2819" width="29.5703125" style="953" customWidth="1"/>
    <col min="2820" max="2820" width="25.140625" style="953" customWidth="1"/>
    <col min="2821" max="2821" width="12.42578125" style="953" customWidth="1"/>
    <col min="2822" max="2822" width="8.5703125" style="953" customWidth="1"/>
    <col min="2823" max="2824" width="9" style="953" customWidth="1"/>
    <col min="2825" max="2825" width="12.85546875" style="953" customWidth="1"/>
    <col min="2826" max="2826" width="11" style="953" customWidth="1"/>
    <col min="2827" max="2827" width="14.5703125" style="953" customWidth="1"/>
    <col min="2828" max="2828" width="7.7109375" style="953" customWidth="1"/>
    <col min="2829" max="2829" width="11.42578125" style="953" customWidth="1"/>
    <col min="2830" max="2830" width="12.28515625" style="953" customWidth="1"/>
    <col min="2831" max="2831" width="5.7109375" style="953" customWidth="1"/>
    <col min="2832" max="2832" width="7.28515625" style="953" customWidth="1"/>
    <col min="2833" max="2833" width="33" style="953" customWidth="1"/>
    <col min="2834" max="2836" width="9.140625" style="953"/>
    <col min="2837" max="2837" width="0" style="953" hidden="1" customWidth="1"/>
    <col min="2838" max="3072" width="9.140625" style="953"/>
    <col min="3073" max="3073" width="9.140625" style="953" customWidth="1"/>
    <col min="3074" max="3074" width="20" style="953" customWidth="1"/>
    <col min="3075" max="3075" width="29.5703125" style="953" customWidth="1"/>
    <col min="3076" max="3076" width="25.140625" style="953" customWidth="1"/>
    <col min="3077" max="3077" width="12.42578125" style="953" customWidth="1"/>
    <col min="3078" max="3078" width="8.5703125" style="953" customWidth="1"/>
    <col min="3079" max="3080" width="9" style="953" customWidth="1"/>
    <col min="3081" max="3081" width="12.85546875" style="953" customWidth="1"/>
    <col min="3082" max="3082" width="11" style="953" customWidth="1"/>
    <col min="3083" max="3083" width="14.5703125" style="953" customWidth="1"/>
    <col min="3084" max="3084" width="7.7109375" style="953" customWidth="1"/>
    <col min="3085" max="3085" width="11.42578125" style="953" customWidth="1"/>
    <col min="3086" max="3086" width="12.28515625" style="953" customWidth="1"/>
    <col min="3087" max="3087" width="5.7109375" style="953" customWidth="1"/>
    <col min="3088" max="3088" width="7.28515625" style="953" customWidth="1"/>
    <col min="3089" max="3089" width="33" style="953" customWidth="1"/>
    <col min="3090" max="3092" width="9.140625" style="953"/>
    <col min="3093" max="3093" width="0" style="953" hidden="1" customWidth="1"/>
    <col min="3094" max="3328" width="9.140625" style="953"/>
    <col min="3329" max="3329" width="9.140625" style="953" customWidth="1"/>
    <col min="3330" max="3330" width="20" style="953" customWidth="1"/>
    <col min="3331" max="3331" width="29.5703125" style="953" customWidth="1"/>
    <col min="3332" max="3332" width="25.140625" style="953" customWidth="1"/>
    <col min="3333" max="3333" width="12.42578125" style="953" customWidth="1"/>
    <col min="3334" max="3334" width="8.5703125" style="953" customWidth="1"/>
    <col min="3335" max="3336" width="9" style="953" customWidth="1"/>
    <col min="3337" max="3337" width="12.85546875" style="953" customWidth="1"/>
    <col min="3338" max="3338" width="11" style="953" customWidth="1"/>
    <col min="3339" max="3339" width="14.5703125" style="953" customWidth="1"/>
    <col min="3340" max="3340" width="7.7109375" style="953" customWidth="1"/>
    <col min="3341" max="3341" width="11.42578125" style="953" customWidth="1"/>
    <col min="3342" max="3342" width="12.28515625" style="953" customWidth="1"/>
    <col min="3343" max="3343" width="5.7109375" style="953" customWidth="1"/>
    <col min="3344" max="3344" width="7.28515625" style="953" customWidth="1"/>
    <col min="3345" max="3345" width="33" style="953" customWidth="1"/>
    <col min="3346" max="3348" width="9.140625" style="953"/>
    <col min="3349" max="3349" width="0" style="953" hidden="1" customWidth="1"/>
    <col min="3350" max="3584" width="9.140625" style="953"/>
    <col min="3585" max="3585" width="9.140625" style="953" customWidth="1"/>
    <col min="3586" max="3586" width="20" style="953" customWidth="1"/>
    <col min="3587" max="3587" width="29.5703125" style="953" customWidth="1"/>
    <col min="3588" max="3588" width="25.140625" style="953" customWidth="1"/>
    <col min="3589" max="3589" width="12.42578125" style="953" customWidth="1"/>
    <col min="3590" max="3590" width="8.5703125" style="953" customWidth="1"/>
    <col min="3591" max="3592" width="9" style="953" customWidth="1"/>
    <col min="3593" max="3593" width="12.85546875" style="953" customWidth="1"/>
    <col min="3594" max="3594" width="11" style="953" customWidth="1"/>
    <col min="3595" max="3595" width="14.5703125" style="953" customWidth="1"/>
    <col min="3596" max="3596" width="7.7109375" style="953" customWidth="1"/>
    <col min="3597" max="3597" width="11.42578125" style="953" customWidth="1"/>
    <col min="3598" max="3598" width="12.28515625" style="953" customWidth="1"/>
    <col min="3599" max="3599" width="5.7109375" style="953" customWidth="1"/>
    <col min="3600" max="3600" width="7.28515625" style="953" customWidth="1"/>
    <col min="3601" max="3601" width="33" style="953" customWidth="1"/>
    <col min="3602" max="3604" width="9.140625" style="953"/>
    <col min="3605" max="3605" width="0" style="953" hidden="1" customWidth="1"/>
    <col min="3606" max="3840" width="9.140625" style="953"/>
    <col min="3841" max="3841" width="9.140625" style="953" customWidth="1"/>
    <col min="3842" max="3842" width="20" style="953" customWidth="1"/>
    <col min="3843" max="3843" width="29.5703125" style="953" customWidth="1"/>
    <col min="3844" max="3844" width="25.140625" style="953" customWidth="1"/>
    <col min="3845" max="3845" width="12.42578125" style="953" customWidth="1"/>
    <col min="3846" max="3846" width="8.5703125" style="953" customWidth="1"/>
    <col min="3847" max="3848" width="9" style="953" customWidth="1"/>
    <col min="3849" max="3849" width="12.85546875" style="953" customWidth="1"/>
    <col min="3850" max="3850" width="11" style="953" customWidth="1"/>
    <col min="3851" max="3851" width="14.5703125" style="953" customWidth="1"/>
    <col min="3852" max="3852" width="7.7109375" style="953" customWidth="1"/>
    <col min="3853" max="3853" width="11.42578125" style="953" customWidth="1"/>
    <col min="3854" max="3854" width="12.28515625" style="953" customWidth="1"/>
    <col min="3855" max="3855" width="5.7109375" style="953" customWidth="1"/>
    <col min="3856" max="3856" width="7.28515625" style="953" customWidth="1"/>
    <col min="3857" max="3857" width="33" style="953" customWidth="1"/>
    <col min="3858" max="3860" width="9.140625" style="953"/>
    <col min="3861" max="3861" width="0" style="953" hidden="1" customWidth="1"/>
    <col min="3862" max="4096" width="9.140625" style="953"/>
    <col min="4097" max="4097" width="9.140625" style="953" customWidth="1"/>
    <col min="4098" max="4098" width="20" style="953" customWidth="1"/>
    <col min="4099" max="4099" width="29.5703125" style="953" customWidth="1"/>
    <col min="4100" max="4100" width="25.140625" style="953" customWidth="1"/>
    <col min="4101" max="4101" width="12.42578125" style="953" customWidth="1"/>
    <col min="4102" max="4102" width="8.5703125" style="953" customWidth="1"/>
    <col min="4103" max="4104" width="9" style="953" customWidth="1"/>
    <col min="4105" max="4105" width="12.85546875" style="953" customWidth="1"/>
    <col min="4106" max="4106" width="11" style="953" customWidth="1"/>
    <col min="4107" max="4107" width="14.5703125" style="953" customWidth="1"/>
    <col min="4108" max="4108" width="7.7109375" style="953" customWidth="1"/>
    <col min="4109" max="4109" width="11.42578125" style="953" customWidth="1"/>
    <col min="4110" max="4110" width="12.28515625" style="953" customWidth="1"/>
    <col min="4111" max="4111" width="5.7109375" style="953" customWidth="1"/>
    <col min="4112" max="4112" width="7.28515625" style="953" customWidth="1"/>
    <col min="4113" max="4113" width="33" style="953" customWidth="1"/>
    <col min="4114" max="4116" width="9.140625" style="953"/>
    <col min="4117" max="4117" width="0" style="953" hidden="1" customWidth="1"/>
    <col min="4118" max="4352" width="9.140625" style="953"/>
    <col min="4353" max="4353" width="9.140625" style="953" customWidth="1"/>
    <col min="4354" max="4354" width="20" style="953" customWidth="1"/>
    <col min="4355" max="4355" width="29.5703125" style="953" customWidth="1"/>
    <col min="4356" max="4356" width="25.140625" style="953" customWidth="1"/>
    <col min="4357" max="4357" width="12.42578125" style="953" customWidth="1"/>
    <col min="4358" max="4358" width="8.5703125" style="953" customWidth="1"/>
    <col min="4359" max="4360" width="9" style="953" customWidth="1"/>
    <col min="4361" max="4361" width="12.85546875" style="953" customWidth="1"/>
    <col min="4362" max="4362" width="11" style="953" customWidth="1"/>
    <col min="4363" max="4363" width="14.5703125" style="953" customWidth="1"/>
    <col min="4364" max="4364" width="7.7109375" style="953" customWidth="1"/>
    <col min="4365" max="4365" width="11.42578125" style="953" customWidth="1"/>
    <col min="4366" max="4366" width="12.28515625" style="953" customWidth="1"/>
    <col min="4367" max="4367" width="5.7109375" style="953" customWidth="1"/>
    <col min="4368" max="4368" width="7.28515625" style="953" customWidth="1"/>
    <col min="4369" max="4369" width="33" style="953" customWidth="1"/>
    <col min="4370" max="4372" width="9.140625" style="953"/>
    <col min="4373" max="4373" width="0" style="953" hidden="1" customWidth="1"/>
    <col min="4374" max="4608" width="9.140625" style="953"/>
    <col min="4609" max="4609" width="9.140625" style="953" customWidth="1"/>
    <col min="4610" max="4610" width="20" style="953" customWidth="1"/>
    <col min="4611" max="4611" width="29.5703125" style="953" customWidth="1"/>
    <col min="4612" max="4612" width="25.140625" style="953" customWidth="1"/>
    <col min="4613" max="4613" width="12.42578125" style="953" customWidth="1"/>
    <col min="4614" max="4614" width="8.5703125" style="953" customWidth="1"/>
    <col min="4615" max="4616" width="9" style="953" customWidth="1"/>
    <col min="4617" max="4617" width="12.85546875" style="953" customWidth="1"/>
    <col min="4618" max="4618" width="11" style="953" customWidth="1"/>
    <col min="4619" max="4619" width="14.5703125" style="953" customWidth="1"/>
    <col min="4620" max="4620" width="7.7109375" style="953" customWidth="1"/>
    <col min="4621" max="4621" width="11.42578125" style="953" customWidth="1"/>
    <col min="4622" max="4622" width="12.28515625" style="953" customWidth="1"/>
    <col min="4623" max="4623" width="5.7109375" style="953" customWidth="1"/>
    <col min="4624" max="4624" width="7.28515625" style="953" customWidth="1"/>
    <col min="4625" max="4625" width="33" style="953" customWidth="1"/>
    <col min="4626" max="4628" width="9.140625" style="953"/>
    <col min="4629" max="4629" width="0" style="953" hidden="1" customWidth="1"/>
    <col min="4630" max="4864" width="9.140625" style="953"/>
    <col min="4865" max="4865" width="9.140625" style="953" customWidth="1"/>
    <col min="4866" max="4866" width="20" style="953" customWidth="1"/>
    <col min="4867" max="4867" width="29.5703125" style="953" customWidth="1"/>
    <col min="4868" max="4868" width="25.140625" style="953" customWidth="1"/>
    <col min="4869" max="4869" width="12.42578125" style="953" customWidth="1"/>
    <col min="4870" max="4870" width="8.5703125" style="953" customWidth="1"/>
    <col min="4871" max="4872" width="9" style="953" customWidth="1"/>
    <col min="4873" max="4873" width="12.85546875" style="953" customWidth="1"/>
    <col min="4874" max="4874" width="11" style="953" customWidth="1"/>
    <col min="4875" max="4875" width="14.5703125" style="953" customWidth="1"/>
    <col min="4876" max="4876" width="7.7109375" style="953" customWidth="1"/>
    <col min="4877" max="4877" width="11.42578125" style="953" customWidth="1"/>
    <col min="4878" max="4878" width="12.28515625" style="953" customWidth="1"/>
    <col min="4879" max="4879" width="5.7109375" style="953" customWidth="1"/>
    <col min="4880" max="4880" width="7.28515625" style="953" customWidth="1"/>
    <col min="4881" max="4881" width="33" style="953" customWidth="1"/>
    <col min="4882" max="4884" width="9.140625" style="953"/>
    <col min="4885" max="4885" width="0" style="953" hidden="1" customWidth="1"/>
    <col min="4886" max="5120" width="9.140625" style="953"/>
    <col min="5121" max="5121" width="9.140625" style="953" customWidth="1"/>
    <col min="5122" max="5122" width="20" style="953" customWidth="1"/>
    <col min="5123" max="5123" width="29.5703125" style="953" customWidth="1"/>
    <col min="5124" max="5124" width="25.140625" style="953" customWidth="1"/>
    <col min="5125" max="5125" width="12.42578125" style="953" customWidth="1"/>
    <col min="5126" max="5126" width="8.5703125" style="953" customWidth="1"/>
    <col min="5127" max="5128" width="9" style="953" customWidth="1"/>
    <col min="5129" max="5129" width="12.85546875" style="953" customWidth="1"/>
    <col min="5130" max="5130" width="11" style="953" customWidth="1"/>
    <col min="5131" max="5131" width="14.5703125" style="953" customWidth="1"/>
    <col min="5132" max="5132" width="7.7109375" style="953" customWidth="1"/>
    <col min="5133" max="5133" width="11.42578125" style="953" customWidth="1"/>
    <col min="5134" max="5134" width="12.28515625" style="953" customWidth="1"/>
    <col min="5135" max="5135" width="5.7109375" style="953" customWidth="1"/>
    <col min="5136" max="5136" width="7.28515625" style="953" customWidth="1"/>
    <col min="5137" max="5137" width="33" style="953" customWidth="1"/>
    <col min="5138" max="5140" width="9.140625" style="953"/>
    <col min="5141" max="5141" width="0" style="953" hidden="1" customWidth="1"/>
    <col min="5142" max="5376" width="9.140625" style="953"/>
    <col min="5377" max="5377" width="9.140625" style="953" customWidth="1"/>
    <col min="5378" max="5378" width="20" style="953" customWidth="1"/>
    <col min="5379" max="5379" width="29.5703125" style="953" customWidth="1"/>
    <col min="5380" max="5380" width="25.140625" style="953" customWidth="1"/>
    <col min="5381" max="5381" width="12.42578125" style="953" customWidth="1"/>
    <col min="5382" max="5382" width="8.5703125" style="953" customWidth="1"/>
    <col min="5383" max="5384" width="9" style="953" customWidth="1"/>
    <col min="5385" max="5385" width="12.85546875" style="953" customWidth="1"/>
    <col min="5386" max="5386" width="11" style="953" customWidth="1"/>
    <col min="5387" max="5387" width="14.5703125" style="953" customWidth="1"/>
    <col min="5388" max="5388" width="7.7109375" style="953" customWidth="1"/>
    <col min="5389" max="5389" width="11.42578125" style="953" customWidth="1"/>
    <col min="5390" max="5390" width="12.28515625" style="953" customWidth="1"/>
    <col min="5391" max="5391" width="5.7109375" style="953" customWidth="1"/>
    <col min="5392" max="5392" width="7.28515625" style="953" customWidth="1"/>
    <col min="5393" max="5393" width="33" style="953" customWidth="1"/>
    <col min="5394" max="5396" width="9.140625" style="953"/>
    <col min="5397" max="5397" width="0" style="953" hidden="1" customWidth="1"/>
    <col min="5398" max="5632" width="9.140625" style="953"/>
    <col min="5633" max="5633" width="9.140625" style="953" customWidth="1"/>
    <col min="5634" max="5634" width="20" style="953" customWidth="1"/>
    <col min="5635" max="5635" width="29.5703125" style="953" customWidth="1"/>
    <col min="5636" max="5636" width="25.140625" style="953" customWidth="1"/>
    <col min="5637" max="5637" width="12.42578125" style="953" customWidth="1"/>
    <col min="5638" max="5638" width="8.5703125" style="953" customWidth="1"/>
    <col min="5639" max="5640" width="9" style="953" customWidth="1"/>
    <col min="5641" max="5641" width="12.85546875" style="953" customWidth="1"/>
    <col min="5642" max="5642" width="11" style="953" customWidth="1"/>
    <col min="5643" max="5643" width="14.5703125" style="953" customWidth="1"/>
    <col min="5644" max="5644" width="7.7109375" style="953" customWidth="1"/>
    <col min="5645" max="5645" width="11.42578125" style="953" customWidth="1"/>
    <col min="5646" max="5646" width="12.28515625" style="953" customWidth="1"/>
    <col min="5647" max="5647" width="5.7109375" style="953" customWidth="1"/>
    <col min="5648" max="5648" width="7.28515625" style="953" customWidth="1"/>
    <col min="5649" max="5649" width="33" style="953" customWidth="1"/>
    <col min="5650" max="5652" width="9.140625" style="953"/>
    <col min="5653" max="5653" width="0" style="953" hidden="1" customWidth="1"/>
    <col min="5654" max="5888" width="9.140625" style="953"/>
    <col min="5889" max="5889" width="9.140625" style="953" customWidth="1"/>
    <col min="5890" max="5890" width="20" style="953" customWidth="1"/>
    <col min="5891" max="5891" width="29.5703125" style="953" customWidth="1"/>
    <col min="5892" max="5892" width="25.140625" style="953" customWidth="1"/>
    <col min="5893" max="5893" width="12.42578125" style="953" customWidth="1"/>
    <col min="5894" max="5894" width="8.5703125" style="953" customWidth="1"/>
    <col min="5895" max="5896" width="9" style="953" customWidth="1"/>
    <col min="5897" max="5897" width="12.85546875" style="953" customWidth="1"/>
    <col min="5898" max="5898" width="11" style="953" customWidth="1"/>
    <col min="5899" max="5899" width="14.5703125" style="953" customWidth="1"/>
    <col min="5900" max="5900" width="7.7109375" style="953" customWidth="1"/>
    <col min="5901" max="5901" width="11.42578125" style="953" customWidth="1"/>
    <col min="5902" max="5902" width="12.28515625" style="953" customWidth="1"/>
    <col min="5903" max="5903" width="5.7109375" style="953" customWidth="1"/>
    <col min="5904" max="5904" width="7.28515625" style="953" customWidth="1"/>
    <col min="5905" max="5905" width="33" style="953" customWidth="1"/>
    <col min="5906" max="5908" width="9.140625" style="953"/>
    <col min="5909" max="5909" width="0" style="953" hidden="1" customWidth="1"/>
    <col min="5910" max="6144" width="9.140625" style="953"/>
    <col min="6145" max="6145" width="9.140625" style="953" customWidth="1"/>
    <col min="6146" max="6146" width="20" style="953" customWidth="1"/>
    <col min="6147" max="6147" width="29.5703125" style="953" customWidth="1"/>
    <col min="6148" max="6148" width="25.140625" style="953" customWidth="1"/>
    <col min="6149" max="6149" width="12.42578125" style="953" customWidth="1"/>
    <col min="6150" max="6150" width="8.5703125" style="953" customWidth="1"/>
    <col min="6151" max="6152" width="9" style="953" customWidth="1"/>
    <col min="6153" max="6153" width="12.85546875" style="953" customWidth="1"/>
    <col min="6154" max="6154" width="11" style="953" customWidth="1"/>
    <col min="6155" max="6155" width="14.5703125" style="953" customWidth="1"/>
    <col min="6156" max="6156" width="7.7109375" style="953" customWidth="1"/>
    <col min="6157" max="6157" width="11.42578125" style="953" customWidth="1"/>
    <col min="6158" max="6158" width="12.28515625" style="953" customWidth="1"/>
    <col min="6159" max="6159" width="5.7109375" style="953" customWidth="1"/>
    <col min="6160" max="6160" width="7.28515625" style="953" customWidth="1"/>
    <col min="6161" max="6161" width="33" style="953" customWidth="1"/>
    <col min="6162" max="6164" width="9.140625" style="953"/>
    <col min="6165" max="6165" width="0" style="953" hidden="1" customWidth="1"/>
    <col min="6166" max="6400" width="9.140625" style="953"/>
    <col min="6401" max="6401" width="9.140625" style="953" customWidth="1"/>
    <col min="6402" max="6402" width="20" style="953" customWidth="1"/>
    <col min="6403" max="6403" width="29.5703125" style="953" customWidth="1"/>
    <col min="6404" max="6404" width="25.140625" style="953" customWidth="1"/>
    <col min="6405" max="6405" width="12.42578125" style="953" customWidth="1"/>
    <col min="6406" max="6406" width="8.5703125" style="953" customWidth="1"/>
    <col min="6407" max="6408" width="9" style="953" customWidth="1"/>
    <col min="6409" max="6409" width="12.85546875" style="953" customWidth="1"/>
    <col min="6410" max="6410" width="11" style="953" customWidth="1"/>
    <col min="6411" max="6411" width="14.5703125" style="953" customWidth="1"/>
    <col min="6412" max="6412" width="7.7109375" style="953" customWidth="1"/>
    <col min="6413" max="6413" width="11.42578125" style="953" customWidth="1"/>
    <col min="6414" max="6414" width="12.28515625" style="953" customWidth="1"/>
    <col min="6415" max="6415" width="5.7109375" style="953" customWidth="1"/>
    <col min="6416" max="6416" width="7.28515625" style="953" customWidth="1"/>
    <col min="6417" max="6417" width="33" style="953" customWidth="1"/>
    <col min="6418" max="6420" width="9.140625" style="953"/>
    <col min="6421" max="6421" width="0" style="953" hidden="1" customWidth="1"/>
    <col min="6422" max="6656" width="9.140625" style="953"/>
    <col min="6657" max="6657" width="9.140625" style="953" customWidth="1"/>
    <col min="6658" max="6658" width="20" style="953" customWidth="1"/>
    <col min="6659" max="6659" width="29.5703125" style="953" customWidth="1"/>
    <col min="6660" max="6660" width="25.140625" style="953" customWidth="1"/>
    <col min="6661" max="6661" width="12.42578125" style="953" customWidth="1"/>
    <col min="6662" max="6662" width="8.5703125" style="953" customWidth="1"/>
    <col min="6663" max="6664" width="9" style="953" customWidth="1"/>
    <col min="6665" max="6665" width="12.85546875" style="953" customWidth="1"/>
    <col min="6666" max="6666" width="11" style="953" customWidth="1"/>
    <col min="6667" max="6667" width="14.5703125" style="953" customWidth="1"/>
    <col min="6668" max="6668" width="7.7109375" style="953" customWidth="1"/>
    <col min="6669" max="6669" width="11.42578125" style="953" customWidth="1"/>
    <col min="6670" max="6670" width="12.28515625" style="953" customWidth="1"/>
    <col min="6671" max="6671" width="5.7109375" style="953" customWidth="1"/>
    <col min="6672" max="6672" width="7.28515625" style="953" customWidth="1"/>
    <col min="6673" max="6673" width="33" style="953" customWidth="1"/>
    <col min="6674" max="6676" width="9.140625" style="953"/>
    <col min="6677" max="6677" width="0" style="953" hidden="1" customWidth="1"/>
    <col min="6678" max="6912" width="9.140625" style="953"/>
    <col min="6913" max="6913" width="9.140625" style="953" customWidth="1"/>
    <col min="6914" max="6914" width="20" style="953" customWidth="1"/>
    <col min="6915" max="6915" width="29.5703125" style="953" customWidth="1"/>
    <col min="6916" max="6916" width="25.140625" style="953" customWidth="1"/>
    <col min="6917" max="6917" width="12.42578125" style="953" customWidth="1"/>
    <col min="6918" max="6918" width="8.5703125" style="953" customWidth="1"/>
    <col min="6919" max="6920" width="9" style="953" customWidth="1"/>
    <col min="6921" max="6921" width="12.85546875" style="953" customWidth="1"/>
    <col min="6922" max="6922" width="11" style="953" customWidth="1"/>
    <col min="6923" max="6923" width="14.5703125" style="953" customWidth="1"/>
    <col min="6924" max="6924" width="7.7109375" style="953" customWidth="1"/>
    <col min="6925" max="6925" width="11.42578125" style="953" customWidth="1"/>
    <col min="6926" max="6926" width="12.28515625" style="953" customWidth="1"/>
    <col min="6927" max="6927" width="5.7109375" style="953" customWidth="1"/>
    <col min="6928" max="6928" width="7.28515625" style="953" customWidth="1"/>
    <col min="6929" max="6929" width="33" style="953" customWidth="1"/>
    <col min="6930" max="6932" width="9.140625" style="953"/>
    <col min="6933" max="6933" width="0" style="953" hidden="1" customWidth="1"/>
    <col min="6934" max="7168" width="9.140625" style="953"/>
    <col min="7169" max="7169" width="9.140625" style="953" customWidth="1"/>
    <col min="7170" max="7170" width="20" style="953" customWidth="1"/>
    <col min="7171" max="7171" width="29.5703125" style="953" customWidth="1"/>
    <col min="7172" max="7172" width="25.140625" style="953" customWidth="1"/>
    <col min="7173" max="7173" width="12.42578125" style="953" customWidth="1"/>
    <col min="7174" max="7174" width="8.5703125" style="953" customWidth="1"/>
    <col min="7175" max="7176" width="9" style="953" customWidth="1"/>
    <col min="7177" max="7177" width="12.85546875" style="953" customWidth="1"/>
    <col min="7178" max="7178" width="11" style="953" customWidth="1"/>
    <col min="7179" max="7179" width="14.5703125" style="953" customWidth="1"/>
    <col min="7180" max="7180" width="7.7109375" style="953" customWidth="1"/>
    <col min="7181" max="7181" width="11.42578125" style="953" customWidth="1"/>
    <col min="7182" max="7182" width="12.28515625" style="953" customWidth="1"/>
    <col min="7183" max="7183" width="5.7109375" style="953" customWidth="1"/>
    <col min="7184" max="7184" width="7.28515625" style="953" customWidth="1"/>
    <col min="7185" max="7185" width="33" style="953" customWidth="1"/>
    <col min="7186" max="7188" width="9.140625" style="953"/>
    <col min="7189" max="7189" width="0" style="953" hidden="1" customWidth="1"/>
    <col min="7190" max="7424" width="9.140625" style="953"/>
    <col min="7425" max="7425" width="9.140625" style="953" customWidth="1"/>
    <col min="7426" max="7426" width="20" style="953" customWidth="1"/>
    <col min="7427" max="7427" width="29.5703125" style="953" customWidth="1"/>
    <col min="7428" max="7428" width="25.140625" style="953" customWidth="1"/>
    <col min="7429" max="7429" width="12.42578125" style="953" customWidth="1"/>
    <col min="7430" max="7430" width="8.5703125" style="953" customWidth="1"/>
    <col min="7431" max="7432" width="9" style="953" customWidth="1"/>
    <col min="7433" max="7433" width="12.85546875" style="953" customWidth="1"/>
    <col min="7434" max="7434" width="11" style="953" customWidth="1"/>
    <col min="7435" max="7435" width="14.5703125" style="953" customWidth="1"/>
    <col min="7436" max="7436" width="7.7109375" style="953" customWidth="1"/>
    <col min="7437" max="7437" width="11.42578125" style="953" customWidth="1"/>
    <col min="7438" max="7438" width="12.28515625" style="953" customWidth="1"/>
    <col min="7439" max="7439" width="5.7109375" style="953" customWidth="1"/>
    <col min="7440" max="7440" width="7.28515625" style="953" customWidth="1"/>
    <col min="7441" max="7441" width="33" style="953" customWidth="1"/>
    <col min="7442" max="7444" width="9.140625" style="953"/>
    <col min="7445" max="7445" width="0" style="953" hidden="1" customWidth="1"/>
    <col min="7446" max="7680" width="9.140625" style="953"/>
    <col min="7681" max="7681" width="9.140625" style="953" customWidth="1"/>
    <col min="7682" max="7682" width="20" style="953" customWidth="1"/>
    <col min="7683" max="7683" width="29.5703125" style="953" customWidth="1"/>
    <col min="7684" max="7684" width="25.140625" style="953" customWidth="1"/>
    <col min="7685" max="7685" width="12.42578125" style="953" customWidth="1"/>
    <col min="7686" max="7686" width="8.5703125" style="953" customWidth="1"/>
    <col min="7687" max="7688" width="9" style="953" customWidth="1"/>
    <col min="7689" max="7689" width="12.85546875" style="953" customWidth="1"/>
    <col min="7690" max="7690" width="11" style="953" customWidth="1"/>
    <col min="7691" max="7691" width="14.5703125" style="953" customWidth="1"/>
    <col min="7692" max="7692" width="7.7109375" style="953" customWidth="1"/>
    <col min="7693" max="7693" width="11.42578125" style="953" customWidth="1"/>
    <col min="7694" max="7694" width="12.28515625" style="953" customWidth="1"/>
    <col min="7695" max="7695" width="5.7109375" style="953" customWidth="1"/>
    <col min="7696" max="7696" width="7.28515625" style="953" customWidth="1"/>
    <col min="7697" max="7697" width="33" style="953" customWidth="1"/>
    <col min="7698" max="7700" width="9.140625" style="953"/>
    <col min="7701" max="7701" width="0" style="953" hidden="1" customWidth="1"/>
    <col min="7702" max="7936" width="9.140625" style="953"/>
    <col min="7937" max="7937" width="9.140625" style="953" customWidth="1"/>
    <col min="7938" max="7938" width="20" style="953" customWidth="1"/>
    <col min="7939" max="7939" width="29.5703125" style="953" customWidth="1"/>
    <col min="7940" max="7940" width="25.140625" style="953" customWidth="1"/>
    <col min="7941" max="7941" width="12.42578125" style="953" customWidth="1"/>
    <col min="7942" max="7942" width="8.5703125" style="953" customWidth="1"/>
    <col min="7943" max="7944" width="9" style="953" customWidth="1"/>
    <col min="7945" max="7945" width="12.85546875" style="953" customWidth="1"/>
    <col min="7946" max="7946" width="11" style="953" customWidth="1"/>
    <col min="7947" max="7947" width="14.5703125" style="953" customWidth="1"/>
    <col min="7948" max="7948" width="7.7109375" style="953" customWidth="1"/>
    <col min="7949" max="7949" width="11.42578125" style="953" customWidth="1"/>
    <col min="7950" max="7950" width="12.28515625" style="953" customWidth="1"/>
    <col min="7951" max="7951" width="5.7109375" style="953" customWidth="1"/>
    <col min="7952" max="7952" width="7.28515625" style="953" customWidth="1"/>
    <col min="7953" max="7953" width="33" style="953" customWidth="1"/>
    <col min="7954" max="7956" width="9.140625" style="953"/>
    <col min="7957" max="7957" width="0" style="953" hidden="1" customWidth="1"/>
    <col min="7958" max="8192" width="9.140625" style="953"/>
    <col min="8193" max="8193" width="9.140625" style="953" customWidth="1"/>
    <col min="8194" max="8194" width="20" style="953" customWidth="1"/>
    <col min="8195" max="8195" width="29.5703125" style="953" customWidth="1"/>
    <col min="8196" max="8196" width="25.140625" style="953" customWidth="1"/>
    <col min="8197" max="8197" width="12.42578125" style="953" customWidth="1"/>
    <col min="8198" max="8198" width="8.5703125" style="953" customWidth="1"/>
    <col min="8199" max="8200" width="9" style="953" customWidth="1"/>
    <col min="8201" max="8201" width="12.85546875" style="953" customWidth="1"/>
    <col min="8202" max="8202" width="11" style="953" customWidth="1"/>
    <col min="8203" max="8203" width="14.5703125" style="953" customWidth="1"/>
    <col min="8204" max="8204" width="7.7109375" style="953" customWidth="1"/>
    <col min="8205" max="8205" width="11.42578125" style="953" customWidth="1"/>
    <col min="8206" max="8206" width="12.28515625" style="953" customWidth="1"/>
    <col min="8207" max="8207" width="5.7109375" style="953" customWidth="1"/>
    <col min="8208" max="8208" width="7.28515625" style="953" customWidth="1"/>
    <col min="8209" max="8209" width="33" style="953" customWidth="1"/>
    <col min="8210" max="8212" width="9.140625" style="953"/>
    <col min="8213" max="8213" width="0" style="953" hidden="1" customWidth="1"/>
    <col min="8214" max="8448" width="9.140625" style="953"/>
    <col min="8449" max="8449" width="9.140625" style="953" customWidth="1"/>
    <col min="8450" max="8450" width="20" style="953" customWidth="1"/>
    <col min="8451" max="8451" width="29.5703125" style="953" customWidth="1"/>
    <col min="8452" max="8452" width="25.140625" style="953" customWidth="1"/>
    <col min="8453" max="8453" width="12.42578125" style="953" customWidth="1"/>
    <col min="8454" max="8454" width="8.5703125" style="953" customWidth="1"/>
    <col min="8455" max="8456" width="9" style="953" customWidth="1"/>
    <col min="8457" max="8457" width="12.85546875" style="953" customWidth="1"/>
    <col min="8458" max="8458" width="11" style="953" customWidth="1"/>
    <col min="8459" max="8459" width="14.5703125" style="953" customWidth="1"/>
    <col min="8460" max="8460" width="7.7109375" style="953" customWidth="1"/>
    <col min="8461" max="8461" width="11.42578125" style="953" customWidth="1"/>
    <col min="8462" max="8462" width="12.28515625" style="953" customWidth="1"/>
    <col min="8463" max="8463" width="5.7109375" style="953" customWidth="1"/>
    <col min="8464" max="8464" width="7.28515625" style="953" customWidth="1"/>
    <col min="8465" max="8465" width="33" style="953" customWidth="1"/>
    <col min="8466" max="8468" width="9.140625" style="953"/>
    <col min="8469" max="8469" width="0" style="953" hidden="1" customWidth="1"/>
    <col min="8470" max="8704" width="9.140625" style="953"/>
    <col min="8705" max="8705" width="9.140625" style="953" customWidth="1"/>
    <col min="8706" max="8706" width="20" style="953" customWidth="1"/>
    <col min="8707" max="8707" width="29.5703125" style="953" customWidth="1"/>
    <col min="8708" max="8708" width="25.140625" style="953" customWidth="1"/>
    <col min="8709" max="8709" width="12.42578125" style="953" customWidth="1"/>
    <col min="8710" max="8710" width="8.5703125" style="953" customWidth="1"/>
    <col min="8711" max="8712" width="9" style="953" customWidth="1"/>
    <col min="8713" max="8713" width="12.85546875" style="953" customWidth="1"/>
    <col min="8714" max="8714" width="11" style="953" customWidth="1"/>
    <col min="8715" max="8715" width="14.5703125" style="953" customWidth="1"/>
    <col min="8716" max="8716" width="7.7109375" style="953" customWidth="1"/>
    <col min="8717" max="8717" width="11.42578125" style="953" customWidth="1"/>
    <col min="8718" max="8718" width="12.28515625" style="953" customWidth="1"/>
    <col min="8719" max="8719" width="5.7109375" style="953" customWidth="1"/>
    <col min="8720" max="8720" width="7.28515625" style="953" customWidth="1"/>
    <col min="8721" max="8721" width="33" style="953" customWidth="1"/>
    <col min="8722" max="8724" width="9.140625" style="953"/>
    <col min="8725" max="8725" width="0" style="953" hidden="1" customWidth="1"/>
    <col min="8726" max="8960" width="9.140625" style="953"/>
    <col min="8961" max="8961" width="9.140625" style="953" customWidth="1"/>
    <col min="8962" max="8962" width="20" style="953" customWidth="1"/>
    <col min="8963" max="8963" width="29.5703125" style="953" customWidth="1"/>
    <col min="8964" max="8964" width="25.140625" style="953" customWidth="1"/>
    <col min="8965" max="8965" width="12.42578125" style="953" customWidth="1"/>
    <col min="8966" max="8966" width="8.5703125" style="953" customWidth="1"/>
    <col min="8967" max="8968" width="9" style="953" customWidth="1"/>
    <col min="8969" max="8969" width="12.85546875" style="953" customWidth="1"/>
    <col min="8970" max="8970" width="11" style="953" customWidth="1"/>
    <col min="8971" max="8971" width="14.5703125" style="953" customWidth="1"/>
    <col min="8972" max="8972" width="7.7109375" style="953" customWidth="1"/>
    <col min="8973" max="8973" width="11.42578125" style="953" customWidth="1"/>
    <col min="8974" max="8974" width="12.28515625" style="953" customWidth="1"/>
    <col min="8975" max="8975" width="5.7109375" style="953" customWidth="1"/>
    <col min="8976" max="8976" width="7.28515625" style="953" customWidth="1"/>
    <col min="8977" max="8977" width="33" style="953" customWidth="1"/>
    <col min="8978" max="8980" width="9.140625" style="953"/>
    <col min="8981" max="8981" width="0" style="953" hidden="1" customWidth="1"/>
    <col min="8982" max="9216" width="9.140625" style="953"/>
    <col min="9217" max="9217" width="9.140625" style="953" customWidth="1"/>
    <col min="9218" max="9218" width="20" style="953" customWidth="1"/>
    <col min="9219" max="9219" width="29.5703125" style="953" customWidth="1"/>
    <col min="9220" max="9220" width="25.140625" style="953" customWidth="1"/>
    <col min="9221" max="9221" width="12.42578125" style="953" customWidth="1"/>
    <col min="9222" max="9222" width="8.5703125" style="953" customWidth="1"/>
    <col min="9223" max="9224" width="9" style="953" customWidth="1"/>
    <col min="9225" max="9225" width="12.85546875" style="953" customWidth="1"/>
    <col min="9226" max="9226" width="11" style="953" customWidth="1"/>
    <col min="9227" max="9227" width="14.5703125" style="953" customWidth="1"/>
    <col min="9228" max="9228" width="7.7109375" style="953" customWidth="1"/>
    <col min="9229" max="9229" width="11.42578125" style="953" customWidth="1"/>
    <col min="9230" max="9230" width="12.28515625" style="953" customWidth="1"/>
    <col min="9231" max="9231" width="5.7109375" style="953" customWidth="1"/>
    <col min="9232" max="9232" width="7.28515625" style="953" customWidth="1"/>
    <col min="9233" max="9233" width="33" style="953" customWidth="1"/>
    <col min="9234" max="9236" width="9.140625" style="953"/>
    <col min="9237" max="9237" width="0" style="953" hidden="1" customWidth="1"/>
    <col min="9238" max="9472" width="9.140625" style="953"/>
    <col min="9473" max="9473" width="9.140625" style="953" customWidth="1"/>
    <col min="9474" max="9474" width="20" style="953" customWidth="1"/>
    <col min="9475" max="9475" width="29.5703125" style="953" customWidth="1"/>
    <col min="9476" max="9476" width="25.140625" style="953" customWidth="1"/>
    <col min="9477" max="9477" width="12.42578125" style="953" customWidth="1"/>
    <col min="9478" max="9478" width="8.5703125" style="953" customWidth="1"/>
    <col min="9479" max="9480" width="9" style="953" customWidth="1"/>
    <col min="9481" max="9481" width="12.85546875" style="953" customWidth="1"/>
    <col min="9482" max="9482" width="11" style="953" customWidth="1"/>
    <col min="9483" max="9483" width="14.5703125" style="953" customWidth="1"/>
    <col min="9484" max="9484" width="7.7109375" style="953" customWidth="1"/>
    <col min="9485" max="9485" width="11.42578125" style="953" customWidth="1"/>
    <col min="9486" max="9486" width="12.28515625" style="953" customWidth="1"/>
    <col min="9487" max="9487" width="5.7109375" style="953" customWidth="1"/>
    <col min="9488" max="9488" width="7.28515625" style="953" customWidth="1"/>
    <col min="9489" max="9489" width="33" style="953" customWidth="1"/>
    <col min="9490" max="9492" width="9.140625" style="953"/>
    <col min="9493" max="9493" width="0" style="953" hidden="1" customWidth="1"/>
    <col min="9494" max="9728" width="9.140625" style="953"/>
    <col min="9729" max="9729" width="9.140625" style="953" customWidth="1"/>
    <col min="9730" max="9730" width="20" style="953" customWidth="1"/>
    <col min="9731" max="9731" width="29.5703125" style="953" customWidth="1"/>
    <col min="9732" max="9732" width="25.140625" style="953" customWidth="1"/>
    <col min="9733" max="9733" width="12.42578125" style="953" customWidth="1"/>
    <col min="9734" max="9734" width="8.5703125" style="953" customWidth="1"/>
    <col min="9735" max="9736" width="9" style="953" customWidth="1"/>
    <col min="9737" max="9737" width="12.85546875" style="953" customWidth="1"/>
    <col min="9738" max="9738" width="11" style="953" customWidth="1"/>
    <col min="9739" max="9739" width="14.5703125" style="953" customWidth="1"/>
    <col min="9740" max="9740" width="7.7109375" style="953" customWidth="1"/>
    <col min="9741" max="9741" width="11.42578125" style="953" customWidth="1"/>
    <col min="9742" max="9742" width="12.28515625" style="953" customWidth="1"/>
    <col min="9743" max="9743" width="5.7109375" style="953" customWidth="1"/>
    <col min="9744" max="9744" width="7.28515625" style="953" customWidth="1"/>
    <col min="9745" max="9745" width="33" style="953" customWidth="1"/>
    <col min="9746" max="9748" width="9.140625" style="953"/>
    <col min="9749" max="9749" width="0" style="953" hidden="1" customWidth="1"/>
    <col min="9750" max="9984" width="9.140625" style="953"/>
    <col min="9985" max="9985" width="9.140625" style="953" customWidth="1"/>
    <col min="9986" max="9986" width="20" style="953" customWidth="1"/>
    <col min="9987" max="9987" width="29.5703125" style="953" customWidth="1"/>
    <col min="9988" max="9988" width="25.140625" style="953" customWidth="1"/>
    <col min="9989" max="9989" width="12.42578125" style="953" customWidth="1"/>
    <col min="9990" max="9990" width="8.5703125" style="953" customWidth="1"/>
    <col min="9991" max="9992" width="9" style="953" customWidth="1"/>
    <col min="9993" max="9993" width="12.85546875" style="953" customWidth="1"/>
    <col min="9994" max="9994" width="11" style="953" customWidth="1"/>
    <col min="9995" max="9995" width="14.5703125" style="953" customWidth="1"/>
    <col min="9996" max="9996" width="7.7109375" style="953" customWidth="1"/>
    <col min="9997" max="9997" width="11.42578125" style="953" customWidth="1"/>
    <col min="9998" max="9998" width="12.28515625" style="953" customWidth="1"/>
    <col min="9999" max="9999" width="5.7109375" style="953" customWidth="1"/>
    <col min="10000" max="10000" width="7.28515625" style="953" customWidth="1"/>
    <col min="10001" max="10001" width="33" style="953" customWidth="1"/>
    <col min="10002" max="10004" width="9.140625" style="953"/>
    <col min="10005" max="10005" width="0" style="953" hidden="1" customWidth="1"/>
    <col min="10006" max="10240" width="9.140625" style="953"/>
    <col min="10241" max="10241" width="9.140625" style="953" customWidth="1"/>
    <col min="10242" max="10242" width="20" style="953" customWidth="1"/>
    <col min="10243" max="10243" width="29.5703125" style="953" customWidth="1"/>
    <col min="10244" max="10244" width="25.140625" style="953" customWidth="1"/>
    <col min="10245" max="10245" width="12.42578125" style="953" customWidth="1"/>
    <col min="10246" max="10246" width="8.5703125" style="953" customWidth="1"/>
    <col min="10247" max="10248" width="9" style="953" customWidth="1"/>
    <col min="10249" max="10249" width="12.85546875" style="953" customWidth="1"/>
    <col min="10250" max="10250" width="11" style="953" customWidth="1"/>
    <col min="10251" max="10251" width="14.5703125" style="953" customWidth="1"/>
    <col min="10252" max="10252" width="7.7109375" style="953" customWidth="1"/>
    <col min="10253" max="10253" width="11.42578125" style="953" customWidth="1"/>
    <col min="10254" max="10254" width="12.28515625" style="953" customWidth="1"/>
    <col min="10255" max="10255" width="5.7109375" style="953" customWidth="1"/>
    <col min="10256" max="10256" width="7.28515625" style="953" customWidth="1"/>
    <col min="10257" max="10257" width="33" style="953" customWidth="1"/>
    <col min="10258" max="10260" width="9.140625" style="953"/>
    <col min="10261" max="10261" width="0" style="953" hidden="1" customWidth="1"/>
    <col min="10262" max="10496" width="9.140625" style="953"/>
    <col min="10497" max="10497" width="9.140625" style="953" customWidth="1"/>
    <col min="10498" max="10498" width="20" style="953" customWidth="1"/>
    <col min="10499" max="10499" width="29.5703125" style="953" customWidth="1"/>
    <col min="10500" max="10500" width="25.140625" style="953" customWidth="1"/>
    <col min="10501" max="10501" width="12.42578125" style="953" customWidth="1"/>
    <col min="10502" max="10502" width="8.5703125" style="953" customWidth="1"/>
    <col min="10503" max="10504" width="9" style="953" customWidth="1"/>
    <col min="10505" max="10505" width="12.85546875" style="953" customWidth="1"/>
    <col min="10506" max="10506" width="11" style="953" customWidth="1"/>
    <col min="10507" max="10507" width="14.5703125" style="953" customWidth="1"/>
    <col min="10508" max="10508" width="7.7109375" style="953" customWidth="1"/>
    <col min="10509" max="10509" width="11.42578125" style="953" customWidth="1"/>
    <col min="10510" max="10510" width="12.28515625" style="953" customWidth="1"/>
    <col min="10511" max="10511" width="5.7109375" style="953" customWidth="1"/>
    <col min="10512" max="10512" width="7.28515625" style="953" customWidth="1"/>
    <col min="10513" max="10513" width="33" style="953" customWidth="1"/>
    <col min="10514" max="10516" width="9.140625" style="953"/>
    <col min="10517" max="10517" width="0" style="953" hidden="1" customWidth="1"/>
    <col min="10518" max="10752" width="9.140625" style="953"/>
    <col min="10753" max="10753" width="9.140625" style="953" customWidth="1"/>
    <col min="10754" max="10754" width="20" style="953" customWidth="1"/>
    <col min="10755" max="10755" width="29.5703125" style="953" customWidth="1"/>
    <col min="10756" max="10756" width="25.140625" style="953" customWidth="1"/>
    <col min="10757" max="10757" width="12.42578125" style="953" customWidth="1"/>
    <col min="10758" max="10758" width="8.5703125" style="953" customWidth="1"/>
    <col min="10759" max="10760" width="9" style="953" customWidth="1"/>
    <col min="10761" max="10761" width="12.85546875" style="953" customWidth="1"/>
    <col min="10762" max="10762" width="11" style="953" customWidth="1"/>
    <col min="10763" max="10763" width="14.5703125" style="953" customWidth="1"/>
    <col min="10764" max="10764" width="7.7109375" style="953" customWidth="1"/>
    <col min="10765" max="10765" width="11.42578125" style="953" customWidth="1"/>
    <col min="10766" max="10766" width="12.28515625" style="953" customWidth="1"/>
    <col min="10767" max="10767" width="5.7109375" style="953" customWidth="1"/>
    <col min="10768" max="10768" width="7.28515625" style="953" customWidth="1"/>
    <col min="10769" max="10769" width="33" style="953" customWidth="1"/>
    <col min="10770" max="10772" width="9.140625" style="953"/>
    <col min="10773" max="10773" width="0" style="953" hidden="1" customWidth="1"/>
    <col min="10774" max="11008" width="9.140625" style="953"/>
    <col min="11009" max="11009" width="9.140625" style="953" customWidth="1"/>
    <col min="11010" max="11010" width="20" style="953" customWidth="1"/>
    <col min="11011" max="11011" width="29.5703125" style="953" customWidth="1"/>
    <col min="11012" max="11012" width="25.140625" style="953" customWidth="1"/>
    <col min="11013" max="11013" width="12.42578125" style="953" customWidth="1"/>
    <col min="11014" max="11014" width="8.5703125" style="953" customWidth="1"/>
    <col min="11015" max="11016" width="9" style="953" customWidth="1"/>
    <col min="11017" max="11017" width="12.85546875" style="953" customWidth="1"/>
    <col min="11018" max="11018" width="11" style="953" customWidth="1"/>
    <col min="11019" max="11019" width="14.5703125" style="953" customWidth="1"/>
    <col min="11020" max="11020" width="7.7109375" style="953" customWidth="1"/>
    <col min="11021" max="11021" width="11.42578125" style="953" customWidth="1"/>
    <col min="11022" max="11022" width="12.28515625" style="953" customWidth="1"/>
    <col min="11023" max="11023" width="5.7109375" style="953" customWidth="1"/>
    <col min="11024" max="11024" width="7.28515625" style="953" customWidth="1"/>
    <col min="11025" max="11025" width="33" style="953" customWidth="1"/>
    <col min="11026" max="11028" width="9.140625" style="953"/>
    <col min="11029" max="11029" width="0" style="953" hidden="1" customWidth="1"/>
    <col min="11030" max="11264" width="9.140625" style="953"/>
    <col min="11265" max="11265" width="9.140625" style="953" customWidth="1"/>
    <col min="11266" max="11266" width="20" style="953" customWidth="1"/>
    <col min="11267" max="11267" width="29.5703125" style="953" customWidth="1"/>
    <col min="11268" max="11268" width="25.140625" style="953" customWidth="1"/>
    <col min="11269" max="11269" width="12.42578125" style="953" customWidth="1"/>
    <col min="11270" max="11270" width="8.5703125" style="953" customWidth="1"/>
    <col min="11271" max="11272" width="9" style="953" customWidth="1"/>
    <col min="11273" max="11273" width="12.85546875" style="953" customWidth="1"/>
    <col min="11274" max="11274" width="11" style="953" customWidth="1"/>
    <col min="11275" max="11275" width="14.5703125" style="953" customWidth="1"/>
    <col min="11276" max="11276" width="7.7109375" style="953" customWidth="1"/>
    <col min="11277" max="11277" width="11.42578125" style="953" customWidth="1"/>
    <col min="11278" max="11278" width="12.28515625" style="953" customWidth="1"/>
    <col min="11279" max="11279" width="5.7109375" style="953" customWidth="1"/>
    <col min="11280" max="11280" width="7.28515625" style="953" customWidth="1"/>
    <col min="11281" max="11281" width="33" style="953" customWidth="1"/>
    <col min="11282" max="11284" width="9.140625" style="953"/>
    <col min="11285" max="11285" width="0" style="953" hidden="1" customWidth="1"/>
    <col min="11286" max="11520" width="9.140625" style="953"/>
    <col min="11521" max="11521" width="9.140625" style="953" customWidth="1"/>
    <col min="11522" max="11522" width="20" style="953" customWidth="1"/>
    <col min="11523" max="11523" width="29.5703125" style="953" customWidth="1"/>
    <col min="11524" max="11524" width="25.140625" style="953" customWidth="1"/>
    <col min="11525" max="11525" width="12.42578125" style="953" customWidth="1"/>
    <col min="11526" max="11526" width="8.5703125" style="953" customWidth="1"/>
    <col min="11527" max="11528" width="9" style="953" customWidth="1"/>
    <col min="11529" max="11529" width="12.85546875" style="953" customWidth="1"/>
    <col min="11530" max="11530" width="11" style="953" customWidth="1"/>
    <col min="11531" max="11531" width="14.5703125" style="953" customWidth="1"/>
    <col min="11532" max="11532" width="7.7109375" style="953" customWidth="1"/>
    <col min="11533" max="11533" width="11.42578125" style="953" customWidth="1"/>
    <col min="11534" max="11534" width="12.28515625" style="953" customWidth="1"/>
    <col min="11535" max="11535" width="5.7109375" style="953" customWidth="1"/>
    <col min="11536" max="11536" width="7.28515625" style="953" customWidth="1"/>
    <col min="11537" max="11537" width="33" style="953" customWidth="1"/>
    <col min="11538" max="11540" width="9.140625" style="953"/>
    <col min="11541" max="11541" width="0" style="953" hidden="1" customWidth="1"/>
    <col min="11542" max="11776" width="9.140625" style="953"/>
    <col min="11777" max="11777" width="9.140625" style="953" customWidth="1"/>
    <col min="11778" max="11778" width="20" style="953" customWidth="1"/>
    <col min="11779" max="11779" width="29.5703125" style="953" customWidth="1"/>
    <col min="11780" max="11780" width="25.140625" style="953" customWidth="1"/>
    <col min="11781" max="11781" width="12.42578125" style="953" customWidth="1"/>
    <col min="11782" max="11782" width="8.5703125" style="953" customWidth="1"/>
    <col min="11783" max="11784" width="9" style="953" customWidth="1"/>
    <col min="11785" max="11785" width="12.85546875" style="953" customWidth="1"/>
    <col min="11786" max="11786" width="11" style="953" customWidth="1"/>
    <col min="11787" max="11787" width="14.5703125" style="953" customWidth="1"/>
    <col min="11788" max="11788" width="7.7109375" style="953" customWidth="1"/>
    <col min="11789" max="11789" width="11.42578125" style="953" customWidth="1"/>
    <col min="11790" max="11790" width="12.28515625" style="953" customWidth="1"/>
    <col min="11791" max="11791" width="5.7109375" style="953" customWidth="1"/>
    <col min="11792" max="11792" width="7.28515625" style="953" customWidth="1"/>
    <col min="11793" max="11793" width="33" style="953" customWidth="1"/>
    <col min="11794" max="11796" width="9.140625" style="953"/>
    <col min="11797" max="11797" width="0" style="953" hidden="1" customWidth="1"/>
    <col min="11798" max="12032" width="9.140625" style="953"/>
    <col min="12033" max="12033" width="9.140625" style="953" customWidth="1"/>
    <col min="12034" max="12034" width="20" style="953" customWidth="1"/>
    <col min="12035" max="12035" width="29.5703125" style="953" customWidth="1"/>
    <col min="12036" max="12036" width="25.140625" style="953" customWidth="1"/>
    <col min="12037" max="12037" width="12.42578125" style="953" customWidth="1"/>
    <col min="12038" max="12038" width="8.5703125" style="953" customWidth="1"/>
    <col min="12039" max="12040" width="9" style="953" customWidth="1"/>
    <col min="12041" max="12041" width="12.85546875" style="953" customWidth="1"/>
    <col min="12042" max="12042" width="11" style="953" customWidth="1"/>
    <col min="12043" max="12043" width="14.5703125" style="953" customWidth="1"/>
    <col min="12044" max="12044" width="7.7109375" style="953" customWidth="1"/>
    <col min="12045" max="12045" width="11.42578125" style="953" customWidth="1"/>
    <col min="12046" max="12046" width="12.28515625" style="953" customWidth="1"/>
    <col min="12047" max="12047" width="5.7109375" style="953" customWidth="1"/>
    <col min="12048" max="12048" width="7.28515625" style="953" customWidth="1"/>
    <col min="12049" max="12049" width="33" style="953" customWidth="1"/>
    <col min="12050" max="12052" width="9.140625" style="953"/>
    <col min="12053" max="12053" width="0" style="953" hidden="1" customWidth="1"/>
    <col min="12054" max="12288" width="9.140625" style="953"/>
    <col min="12289" max="12289" width="9.140625" style="953" customWidth="1"/>
    <col min="12290" max="12290" width="20" style="953" customWidth="1"/>
    <col min="12291" max="12291" width="29.5703125" style="953" customWidth="1"/>
    <col min="12292" max="12292" width="25.140625" style="953" customWidth="1"/>
    <col min="12293" max="12293" width="12.42578125" style="953" customWidth="1"/>
    <col min="12294" max="12294" width="8.5703125" style="953" customWidth="1"/>
    <col min="12295" max="12296" width="9" style="953" customWidth="1"/>
    <col min="12297" max="12297" width="12.85546875" style="953" customWidth="1"/>
    <col min="12298" max="12298" width="11" style="953" customWidth="1"/>
    <col min="12299" max="12299" width="14.5703125" style="953" customWidth="1"/>
    <col min="12300" max="12300" width="7.7109375" style="953" customWidth="1"/>
    <col min="12301" max="12301" width="11.42578125" style="953" customWidth="1"/>
    <col min="12302" max="12302" width="12.28515625" style="953" customWidth="1"/>
    <col min="12303" max="12303" width="5.7109375" style="953" customWidth="1"/>
    <col min="12304" max="12304" width="7.28515625" style="953" customWidth="1"/>
    <col min="12305" max="12305" width="33" style="953" customWidth="1"/>
    <col min="12306" max="12308" width="9.140625" style="953"/>
    <col min="12309" max="12309" width="0" style="953" hidden="1" customWidth="1"/>
    <col min="12310" max="12544" width="9.140625" style="953"/>
    <col min="12545" max="12545" width="9.140625" style="953" customWidth="1"/>
    <col min="12546" max="12546" width="20" style="953" customWidth="1"/>
    <col min="12547" max="12547" width="29.5703125" style="953" customWidth="1"/>
    <col min="12548" max="12548" width="25.140625" style="953" customWidth="1"/>
    <col min="12549" max="12549" width="12.42578125" style="953" customWidth="1"/>
    <col min="12550" max="12550" width="8.5703125" style="953" customWidth="1"/>
    <col min="12551" max="12552" width="9" style="953" customWidth="1"/>
    <col min="12553" max="12553" width="12.85546875" style="953" customWidth="1"/>
    <col min="12554" max="12554" width="11" style="953" customWidth="1"/>
    <col min="12555" max="12555" width="14.5703125" style="953" customWidth="1"/>
    <col min="12556" max="12556" width="7.7109375" style="953" customWidth="1"/>
    <col min="12557" max="12557" width="11.42578125" style="953" customWidth="1"/>
    <col min="12558" max="12558" width="12.28515625" style="953" customWidth="1"/>
    <col min="12559" max="12559" width="5.7109375" style="953" customWidth="1"/>
    <col min="12560" max="12560" width="7.28515625" style="953" customWidth="1"/>
    <col min="12561" max="12561" width="33" style="953" customWidth="1"/>
    <col min="12562" max="12564" width="9.140625" style="953"/>
    <col min="12565" max="12565" width="0" style="953" hidden="1" customWidth="1"/>
    <col min="12566" max="12800" width="9.140625" style="953"/>
    <col min="12801" max="12801" width="9.140625" style="953" customWidth="1"/>
    <col min="12802" max="12802" width="20" style="953" customWidth="1"/>
    <col min="12803" max="12803" width="29.5703125" style="953" customWidth="1"/>
    <col min="12804" max="12804" width="25.140625" style="953" customWidth="1"/>
    <col min="12805" max="12805" width="12.42578125" style="953" customWidth="1"/>
    <col min="12806" max="12806" width="8.5703125" style="953" customWidth="1"/>
    <col min="12807" max="12808" width="9" style="953" customWidth="1"/>
    <col min="12809" max="12809" width="12.85546875" style="953" customWidth="1"/>
    <col min="12810" max="12810" width="11" style="953" customWidth="1"/>
    <col min="12811" max="12811" width="14.5703125" style="953" customWidth="1"/>
    <col min="12812" max="12812" width="7.7109375" style="953" customWidth="1"/>
    <col min="12813" max="12813" width="11.42578125" style="953" customWidth="1"/>
    <col min="12814" max="12814" width="12.28515625" style="953" customWidth="1"/>
    <col min="12815" max="12815" width="5.7109375" style="953" customWidth="1"/>
    <col min="12816" max="12816" width="7.28515625" style="953" customWidth="1"/>
    <col min="12817" max="12817" width="33" style="953" customWidth="1"/>
    <col min="12818" max="12820" width="9.140625" style="953"/>
    <col min="12821" max="12821" width="0" style="953" hidden="1" customWidth="1"/>
    <col min="12822" max="13056" width="9.140625" style="953"/>
    <col min="13057" max="13057" width="9.140625" style="953" customWidth="1"/>
    <col min="13058" max="13058" width="20" style="953" customWidth="1"/>
    <col min="13059" max="13059" width="29.5703125" style="953" customWidth="1"/>
    <col min="13060" max="13060" width="25.140625" style="953" customWidth="1"/>
    <col min="13061" max="13061" width="12.42578125" style="953" customWidth="1"/>
    <col min="13062" max="13062" width="8.5703125" style="953" customWidth="1"/>
    <col min="13063" max="13064" width="9" style="953" customWidth="1"/>
    <col min="13065" max="13065" width="12.85546875" style="953" customWidth="1"/>
    <col min="13066" max="13066" width="11" style="953" customWidth="1"/>
    <col min="13067" max="13067" width="14.5703125" style="953" customWidth="1"/>
    <col min="13068" max="13068" width="7.7109375" style="953" customWidth="1"/>
    <col min="13069" max="13069" width="11.42578125" style="953" customWidth="1"/>
    <col min="13070" max="13070" width="12.28515625" style="953" customWidth="1"/>
    <col min="13071" max="13071" width="5.7109375" style="953" customWidth="1"/>
    <col min="13072" max="13072" width="7.28515625" style="953" customWidth="1"/>
    <col min="13073" max="13073" width="33" style="953" customWidth="1"/>
    <col min="13074" max="13076" width="9.140625" style="953"/>
    <col min="13077" max="13077" width="0" style="953" hidden="1" customWidth="1"/>
    <col min="13078" max="13312" width="9.140625" style="953"/>
    <col min="13313" max="13313" width="9.140625" style="953" customWidth="1"/>
    <col min="13314" max="13314" width="20" style="953" customWidth="1"/>
    <col min="13315" max="13315" width="29.5703125" style="953" customWidth="1"/>
    <col min="13316" max="13316" width="25.140625" style="953" customWidth="1"/>
    <col min="13317" max="13317" width="12.42578125" style="953" customWidth="1"/>
    <col min="13318" max="13318" width="8.5703125" style="953" customWidth="1"/>
    <col min="13319" max="13320" width="9" style="953" customWidth="1"/>
    <col min="13321" max="13321" width="12.85546875" style="953" customWidth="1"/>
    <col min="13322" max="13322" width="11" style="953" customWidth="1"/>
    <col min="13323" max="13323" width="14.5703125" style="953" customWidth="1"/>
    <col min="13324" max="13324" width="7.7109375" style="953" customWidth="1"/>
    <col min="13325" max="13325" width="11.42578125" style="953" customWidth="1"/>
    <col min="13326" max="13326" width="12.28515625" style="953" customWidth="1"/>
    <col min="13327" max="13327" width="5.7109375" style="953" customWidth="1"/>
    <col min="13328" max="13328" width="7.28515625" style="953" customWidth="1"/>
    <col min="13329" max="13329" width="33" style="953" customWidth="1"/>
    <col min="13330" max="13332" width="9.140625" style="953"/>
    <col min="13333" max="13333" width="0" style="953" hidden="1" customWidth="1"/>
    <col min="13334" max="13568" width="9.140625" style="953"/>
    <col min="13569" max="13569" width="9.140625" style="953" customWidth="1"/>
    <col min="13570" max="13570" width="20" style="953" customWidth="1"/>
    <col min="13571" max="13571" width="29.5703125" style="953" customWidth="1"/>
    <col min="13572" max="13572" width="25.140625" style="953" customWidth="1"/>
    <col min="13573" max="13573" width="12.42578125" style="953" customWidth="1"/>
    <col min="13574" max="13574" width="8.5703125" style="953" customWidth="1"/>
    <col min="13575" max="13576" width="9" style="953" customWidth="1"/>
    <col min="13577" max="13577" width="12.85546875" style="953" customWidth="1"/>
    <col min="13578" max="13578" width="11" style="953" customWidth="1"/>
    <col min="13579" max="13579" width="14.5703125" style="953" customWidth="1"/>
    <col min="13580" max="13580" width="7.7109375" style="953" customWidth="1"/>
    <col min="13581" max="13581" width="11.42578125" style="953" customWidth="1"/>
    <col min="13582" max="13582" width="12.28515625" style="953" customWidth="1"/>
    <col min="13583" max="13583" width="5.7109375" style="953" customWidth="1"/>
    <col min="13584" max="13584" width="7.28515625" style="953" customWidth="1"/>
    <col min="13585" max="13585" width="33" style="953" customWidth="1"/>
    <col min="13586" max="13588" width="9.140625" style="953"/>
    <col min="13589" max="13589" width="0" style="953" hidden="1" customWidth="1"/>
    <col min="13590" max="13824" width="9.140625" style="953"/>
    <col min="13825" max="13825" width="9.140625" style="953" customWidth="1"/>
    <col min="13826" max="13826" width="20" style="953" customWidth="1"/>
    <col min="13827" max="13827" width="29.5703125" style="953" customWidth="1"/>
    <col min="13828" max="13828" width="25.140625" style="953" customWidth="1"/>
    <col min="13829" max="13829" width="12.42578125" style="953" customWidth="1"/>
    <col min="13830" max="13830" width="8.5703125" style="953" customWidth="1"/>
    <col min="13831" max="13832" width="9" style="953" customWidth="1"/>
    <col min="13833" max="13833" width="12.85546875" style="953" customWidth="1"/>
    <col min="13834" max="13834" width="11" style="953" customWidth="1"/>
    <col min="13835" max="13835" width="14.5703125" style="953" customWidth="1"/>
    <col min="13836" max="13836" width="7.7109375" style="953" customWidth="1"/>
    <col min="13837" max="13837" width="11.42578125" style="953" customWidth="1"/>
    <col min="13838" max="13838" width="12.28515625" style="953" customWidth="1"/>
    <col min="13839" max="13839" width="5.7109375" style="953" customWidth="1"/>
    <col min="13840" max="13840" width="7.28515625" style="953" customWidth="1"/>
    <col min="13841" max="13841" width="33" style="953" customWidth="1"/>
    <col min="13842" max="13844" width="9.140625" style="953"/>
    <col min="13845" max="13845" width="0" style="953" hidden="1" customWidth="1"/>
    <col min="13846" max="14080" width="9.140625" style="953"/>
    <col min="14081" max="14081" width="9.140625" style="953" customWidth="1"/>
    <col min="14082" max="14082" width="20" style="953" customWidth="1"/>
    <col min="14083" max="14083" width="29.5703125" style="953" customWidth="1"/>
    <col min="14084" max="14084" width="25.140625" style="953" customWidth="1"/>
    <col min="14085" max="14085" width="12.42578125" style="953" customWidth="1"/>
    <col min="14086" max="14086" width="8.5703125" style="953" customWidth="1"/>
    <col min="14087" max="14088" width="9" style="953" customWidth="1"/>
    <col min="14089" max="14089" width="12.85546875" style="953" customWidth="1"/>
    <col min="14090" max="14090" width="11" style="953" customWidth="1"/>
    <col min="14091" max="14091" width="14.5703125" style="953" customWidth="1"/>
    <col min="14092" max="14092" width="7.7109375" style="953" customWidth="1"/>
    <col min="14093" max="14093" width="11.42578125" style="953" customWidth="1"/>
    <col min="14094" max="14094" width="12.28515625" style="953" customWidth="1"/>
    <col min="14095" max="14095" width="5.7109375" style="953" customWidth="1"/>
    <col min="14096" max="14096" width="7.28515625" style="953" customWidth="1"/>
    <col min="14097" max="14097" width="33" style="953" customWidth="1"/>
    <col min="14098" max="14100" width="9.140625" style="953"/>
    <col min="14101" max="14101" width="0" style="953" hidden="1" customWidth="1"/>
    <col min="14102" max="14336" width="9.140625" style="953"/>
    <col min="14337" max="14337" width="9.140625" style="953" customWidth="1"/>
    <col min="14338" max="14338" width="20" style="953" customWidth="1"/>
    <col min="14339" max="14339" width="29.5703125" style="953" customWidth="1"/>
    <col min="14340" max="14340" width="25.140625" style="953" customWidth="1"/>
    <col min="14341" max="14341" width="12.42578125" style="953" customWidth="1"/>
    <col min="14342" max="14342" width="8.5703125" style="953" customWidth="1"/>
    <col min="14343" max="14344" width="9" style="953" customWidth="1"/>
    <col min="14345" max="14345" width="12.85546875" style="953" customWidth="1"/>
    <col min="14346" max="14346" width="11" style="953" customWidth="1"/>
    <col min="14347" max="14347" width="14.5703125" style="953" customWidth="1"/>
    <col min="14348" max="14348" width="7.7109375" style="953" customWidth="1"/>
    <col min="14349" max="14349" width="11.42578125" style="953" customWidth="1"/>
    <col min="14350" max="14350" width="12.28515625" style="953" customWidth="1"/>
    <col min="14351" max="14351" width="5.7109375" style="953" customWidth="1"/>
    <col min="14352" max="14352" width="7.28515625" style="953" customWidth="1"/>
    <col min="14353" max="14353" width="33" style="953" customWidth="1"/>
    <col min="14354" max="14356" width="9.140625" style="953"/>
    <col min="14357" max="14357" width="0" style="953" hidden="1" customWidth="1"/>
    <col min="14358" max="14592" width="9.140625" style="953"/>
    <col min="14593" max="14593" width="9.140625" style="953" customWidth="1"/>
    <col min="14594" max="14594" width="20" style="953" customWidth="1"/>
    <col min="14595" max="14595" width="29.5703125" style="953" customWidth="1"/>
    <col min="14596" max="14596" width="25.140625" style="953" customWidth="1"/>
    <col min="14597" max="14597" width="12.42578125" style="953" customWidth="1"/>
    <col min="14598" max="14598" width="8.5703125" style="953" customWidth="1"/>
    <col min="14599" max="14600" width="9" style="953" customWidth="1"/>
    <col min="14601" max="14601" width="12.85546875" style="953" customWidth="1"/>
    <col min="14602" max="14602" width="11" style="953" customWidth="1"/>
    <col min="14603" max="14603" width="14.5703125" style="953" customWidth="1"/>
    <col min="14604" max="14604" width="7.7109375" style="953" customWidth="1"/>
    <col min="14605" max="14605" width="11.42578125" style="953" customWidth="1"/>
    <col min="14606" max="14606" width="12.28515625" style="953" customWidth="1"/>
    <col min="14607" max="14607" width="5.7109375" style="953" customWidth="1"/>
    <col min="14608" max="14608" width="7.28515625" style="953" customWidth="1"/>
    <col min="14609" max="14609" width="33" style="953" customWidth="1"/>
    <col min="14610" max="14612" width="9.140625" style="953"/>
    <col min="14613" max="14613" width="0" style="953" hidden="1" customWidth="1"/>
    <col min="14614" max="14848" width="9.140625" style="953"/>
    <col min="14849" max="14849" width="9.140625" style="953" customWidth="1"/>
    <col min="14850" max="14850" width="20" style="953" customWidth="1"/>
    <col min="14851" max="14851" width="29.5703125" style="953" customWidth="1"/>
    <col min="14852" max="14852" width="25.140625" style="953" customWidth="1"/>
    <col min="14853" max="14853" width="12.42578125" style="953" customWidth="1"/>
    <col min="14854" max="14854" width="8.5703125" style="953" customWidth="1"/>
    <col min="14855" max="14856" width="9" style="953" customWidth="1"/>
    <col min="14857" max="14857" width="12.85546875" style="953" customWidth="1"/>
    <col min="14858" max="14858" width="11" style="953" customWidth="1"/>
    <col min="14859" max="14859" width="14.5703125" style="953" customWidth="1"/>
    <col min="14860" max="14860" width="7.7109375" style="953" customWidth="1"/>
    <col min="14861" max="14861" width="11.42578125" style="953" customWidth="1"/>
    <col min="14862" max="14862" width="12.28515625" style="953" customWidth="1"/>
    <col min="14863" max="14863" width="5.7109375" style="953" customWidth="1"/>
    <col min="14864" max="14864" width="7.28515625" style="953" customWidth="1"/>
    <col min="14865" max="14865" width="33" style="953" customWidth="1"/>
    <col min="14866" max="14868" width="9.140625" style="953"/>
    <col min="14869" max="14869" width="0" style="953" hidden="1" customWidth="1"/>
    <col min="14870" max="15104" width="9.140625" style="953"/>
    <col min="15105" max="15105" width="9.140625" style="953" customWidth="1"/>
    <col min="15106" max="15106" width="20" style="953" customWidth="1"/>
    <col min="15107" max="15107" width="29.5703125" style="953" customWidth="1"/>
    <col min="15108" max="15108" width="25.140625" style="953" customWidth="1"/>
    <col min="15109" max="15109" width="12.42578125" style="953" customWidth="1"/>
    <col min="15110" max="15110" width="8.5703125" style="953" customWidth="1"/>
    <col min="15111" max="15112" width="9" style="953" customWidth="1"/>
    <col min="15113" max="15113" width="12.85546875" style="953" customWidth="1"/>
    <col min="15114" max="15114" width="11" style="953" customWidth="1"/>
    <col min="15115" max="15115" width="14.5703125" style="953" customWidth="1"/>
    <col min="15116" max="15116" width="7.7109375" style="953" customWidth="1"/>
    <col min="15117" max="15117" width="11.42578125" style="953" customWidth="1"/>
    <col min="15118" max="15118" width="12.28515625" style="953" customWidth="1"/>
    <col min="15119" max="15119" width="5.7109375" style="953" customWidth="1"/>
    <col min="15120" max="15120" width="7.28515625" style="953" customWidth="1"/>
    <col min="15121" max="15121" width="33" style="953" customWidth="1"/>
    <col min="15122" max="15124" width="9.140625" style="953"/>
    <col min="15125" max="15125" width="0" style="953" hidden="1" customWidth="1"/>
    <col min="15126" max="15360" width="9.140625" style="953"/>
    <col min="15361" max="15361" width="9.140625" style="953" customWidth="1"/>
    <col min="15362" max="15362" width="20" style="953" customWidth="1"/>
    <col min="15363" max="15363" width="29.5703125" style="953" customWidth="1"/>
    <col min="15364" max="15364" width="25.140625" style="953" customWidth="1"/>
    <col min="15365" max="15365" width="12.42578125" style="953" customWidth="1"/>
    <col min="15366" max="15366" width="8.5703125" style="953" customWidth="1"/>
    <col min="15367" max="15368" width="9" style="953" customWidth="1"/>
    <col min="15369" max="15369" width="12.85546875" style="953" customWidth="1"/>
    <col min="15370" max="15370" width="11" style="953" customWidth="1"/>
    <col min="15371" max="15371" width="14.5703125" style="953" customWidth="1"/>
    <col min="15372" max="15372" width="7.7109375" style="953" customWidth="1"/>
    <col min="15373" max="15373" width="11.42578125" style="953" customWidth="1"/>
    <col min="15374" max="15374" width="12.28515625" style="953" customWidth="1"/>
    <col min="15375" max="15375" width="5.7109375" style="953" customWidth="1"/>
    <col min="15376" max="15376" width="7.28515625" style="953" customWidth="1"/>
    <col min="15377" max="15377" width="33" style="953" customWidth="1"/>
    <col min="15378" max="15380" width="9.140625" style="953"/>
    <col min="15381" max="15381" width="0" style="953" hidden="1" customWidth="1"/>
    <col min="15382" max="15616" width="9.140625" style="953"/>
    <col min="15617" max="15617" width="9.140625" style="953" customWidth="1"/>
    <col min="15618" max="15618" width="20" style="953" customWidth="1"/>
    <col min="15619" max="15619" width="29.5703125" style="953" customWidth="1"/>
    <col min="15620" max="15620" width="25.140625" style="953" customWidth="1"/>
    <col min="15621" max="15621" width="12.42578125" style="953" customWidth="1"/>
    <col min="15622" max="15622" width="8.5703125" style="953" customWidth="1"/>
    <col min="15623" max="15624" width="9" style="953" customWidth="1"/>
    <col min="15625" max="15625" width="12.85546875" style="953" customWidth="1"/>
    <col min="15626" max="15626" width="11" style="953" customWidth="1"/>
    <col min="15627" max="15627" width="14.5703125" style="953" customWidth="1"/>
    <col min="15628" max="15628" width="7.7109375" style="953" customWidth="1"/>
    <col min="15629" max="15629" width="11.42578125" style="953" customWidth="1"/>
    <col min="15630" max="15630" width="12.28515625" style="953" customWidth="1"/>
    <col min="15631" max="15631" width="5.7109375" style="953" customWidth="1"/>
    <col min="15632" max="15632" width="7.28515625" style="953" customWidth="1"/>
    <col min="15633" max="15633" width="33" style="953" customWidth="1"/>
    <col min="15634" max="15636" width="9.140625" style="953"/>
    <col min="15637" max="15637" width="0" style="953" hidden="1" customWidth="1"/>
    <col min="15638" max="15872" width="9.140625" style="953"/>
    <col min="15873" max="15873" width="9.140625" style="953" customWidth="1"/>
    <col min="15874" max="15874" width="20" style="953" customWidth="1"/>
    <col min="15875" max="15875" width="29.5703125" style="953" customWidth="1"/>
    <col min="15876" max="15876" width="25.140625" style="953" customWidth="1"/>
    <col min="15877" max="15877" width="12.42578125" style="953" customWidth="1"/>
    <col min="15878" max="15878" width="8.5703125" style="953" customWidth="1"/>
    <col min="15879" max="15880" width="9" style="953" customWidth="1"/>
    <col min="15881" max="15881" width="12.85546875" style="953" customWidth="1"/>
    <col min="15882" max="15882" width="11" style="953" customWidth="1"/>
    <col min="15883" max="15883" width="14.5703125" style="953" customWidth="1"/>
    <col min="15884" max="15884" width="7.7109375" style="953" customWidth="1"/>
    <col min="15885" max="15885" width="11.42578125" style="953" customWidth="1"/>
    <col min="15886" max="15886" width="12.28515625" style="953" customWidth="1"/>
    <col min="15887" max="15887" width="5.7109375" style="953" customWidth="1"/>
    <col min="15888" max="15888" width="7.28515625" style="953" customWidth="1"/>
    <col min="15889" max="15889" width="33" style="953" customWidth="1"/>
    <col min="15890" max="15892" width="9.140625" style="953"/>
    <col min="15893" max="15893" width="0" style="953" hidden="1" customWidth="1"/>
    <col min="15894" max="16128" width="9.140625" style="953"/>
    <col min="16129" max="16129" width="9.140625" style="953" customWidth="1"/>
    <col min="16130" max="16130" width="20" style="953" customWidth="1"/>
    <col min="16131" max="16131" width="29.5703125" style="953" customWidth="1"/>
    <col min="16132" max="16132" width="25.140625" style="953" customWidth="1"/>
    <col min="16133" max="16133" width="12.42578125" style="953" customWidth="1"/>
    <col min="16134" max="16134" width="8.5703125" style="953" customWidth="1"/>
    <col min="16135" max="16136" width="9" style="953" customWidth="1"/>
    <col min="16137" max="16137" width="12.85546875" style="953" customWidth="1"/>
    <col min="16138" max="16138" width="11" style="953" customWidth="1"/>
    <col min="16139" max="16139" width="14.5703125" style="953" customWidth="1"/>
    <col min="16140" max="16140" width="7.7109375" style="953" customWidth="1"/>
    <col min="16141" max="16141" width="11.42578125" style="953" customWidth="1"/>
    <col min="16142" max="16142" width="12.28515625" style="953" customWidth="1"/>
    <col min="16143" max="16143" width="5.7109375" style="953" customWidth="1"/>
    <col min="16144" max="16144" width="7.28515625" style="953" customWidth="1"/>
    <col min="16145" max="16145" width="33" style="953" customWidth="1"/>
    <col min="16146" max="16148" width="9.140625" style="953"/>
    <col min="16149" max="16149" width="0" style="953" hidden="1" customWidth="1"/>
    <col min="16150" max="16384" width="9.140625" style="953"/>
  </cols>
  <sheetData>
    <row r="1" spans="1:66" ht="26.25" customHeight="1">
      <c r="A1" s="1437" t="s">
        <v>1597</v>
      </c>
      <c r="B1" s="1438" t="s">
        <v>1598</v>
      </c>
      <c r="C1" s="1439"/>
      <c r="D1" s="1439"/>
      <c r="E1" s="1439"/>
      <c r="F1" s="1441"/>
      <c r="G1" s="1439"/>
      <c r="H1" s="1439"/>
      <c r="I1" s="1439"/>
      <c r="J1" s="1439"/>
      <c r="K1" s="1439"/>
    </row>
    <row r="2" spans="1:66" ht="26.25" customHeight="1">
      <c r="B2" s="1438" t="s">
        <v>1599</v>
      </c>
      <c r="C2" s="1439"/>
      <c r="D2" s="1439"/>
      <c r="E2" s="1439"/>
      <c r="F2" s="1441"/>
      <c r="G2" s="1439"/>
      <c r="H2" s="1439"/>
      <c r="I2" s="1439"/>
      <c r="J2" s="1439"/>
      <c r="K2" s="1439"/>
    </row>
    <row r="3" spans="1:66" ht="26.25" customHeight="1">
      <c r="B3" s="1440" t="s">
        <v>409</v>
      </c>
      <c r="C3" s="1440">
        <f>'Project Info'!$C$3</f>
        <v>0</v>
      </c>
      <c r="D3" s="1440"/>
      <c r="E3" s="1439"/>
      <c r="F3" s="1441"/>
      <c r="G3" s="1439"/>
      <c r="H3" s="1439"/>
      <c r="I3" s="1439"/>
      <c r="J3" s="1439"/>
      <c r="K3" s="1439"/>
    </row>
    <row r="4" spans="1:66" ht="26.25" customHeight="1">
      <c r="A4" s="1469"/>
      <c r="B4" s="1439"/>
      <c r="C4" s="1440"/>
      <c r="D4" s="1440"/>
      <c r="E4" s="1439"/>
      <c r="F4" s="1613"/>
      <c r="G4" s="1439"/>
      <c r="H4" s="1439"/>
      <c r="I4" s="1439"/>
      <c r="J4" s="1439"/>
      <c r="K4" s="1441"/>
      <c r="L4" s="1439"/>
      <c r="M4" s="1449"/>
      <c r="N4" s="1449"/>
      <c r="O4" s="1449"/>
      <c r="P4" s="1439"/>
    </row>
    <row r="5" spans="1:66" s="1476" customFormat="1" ht="15.75">
      <c r="A5" s="1475"/>
      <c r="B5" s="1471" t="s">
        <v>1903</v>
      </c>
      <c r="C5" s="1472"/>
      <c r="D5" s="1473"/>
      <c r="E5" s="1472"/>
      <c r="F5" s="1472"/>
      <c r="G5" s="1472"/>
      <c r="H5" s="1472"/>
      <c r="I5" s="1472"/>
      <c r="J5" s="1472"/>
      <c r="K5" s="1472"/>
      <c r="L5" s="1472"/>
      <c r="M5" s="1474"/>
      <c r="N5" s="1614" t="s">
        <v>1601</v>
      </c>
      <c r="O5" s="1446"/>
      <c r="P5" s="2626" t="s">
        <v>1602</v>
      </c>
      <c r="Q5" s="2627"/>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row>
    <row r="6" spans="1:66">
      <c r="B6" s="1615"/>
      <c r="C6" s="1615"/>
      <c r="D6" s="1615"/>
      <c r="E6" s="1615"/>
      <c r="F6" s="1449"/>
      <c r="G6" s="1449"/>
      <c r="H6" s="1449"/>
      <c r="I6" s="1449"/>
      <c r="J6" s="2618"/>
      <c r="K6" s="2618"/>
      <c r="L6" s="2605"/>
      <c r="M6" s="2605"/>
      <c r="N6" s="2696" t="s">
        <v>1603</v>
      </c>
      <c r="O6" s="2637"/>
      <c r="P6" s="2634"/>
      <c r="Q6" s="2635"/>
    </row>
    <row r="7" spans="1:66">
      <c r="B7" s="2629" t="s">
        <v>1604</v>
      </c>
      <c r="C7" s="2630"/>
      <c r="D7" s="2631"/>
      <c r="E7" s="2631"/>
      <c r="F7" s="1449"/>
      <c r="G7" s="1449"/>
      <c r="H7" s="1449"/>
      <c r="I7" s="1449"/>
      <c r="J7" s="2618"/>
      <c r="K7" s="2618"/>
      <c r="L7" s="2605"/>
      <c r="M7" s="2605"/>
      <c r="N7" s="2636"/>
      <c r="O7" s="2637"/>
      <c r="P7" s="2635"/>
      <c r="Q7" s="2635"/>
    </row>
    <row r="8" spans="1:66" ht="26.25" customHeight="1">
      <c r="A8" s="1457"/>
      <c r="B8" s="2619" t="s">
        <v>1637</v>
      </c>
      <c r="C8" s="2619"/>
      <c r="D8" s="2619"/>
      <c r="E8" s="2619"/>
      <c r="F8" s="2619"/>
      <c r="G8" s="2619"/>
      <c r="H8" s="2619"/>
      <c r="I8" s="2619"/>
      <c r="J8" s="2619"/>
      <c r="K8" s="2619"/>
      <c r="L8" s="2605"/>
      <c r="M8" s="2605"/>
      <c r="N8" s="2624"/>
      <c r="O8" s="2624"/>
      <c r="P8" s="2625"/>
      <c r="Q8" s="2625"/>
    </row>
    <row r="9" spans="1:66" ht="27.75" customHeight="1">
      <c r="A9" s="1457"/>
      <c r="B9" s="2619" t="s">
        <v>1904</v>
      </c>
      <c r="C9" s="2619"/>
      <c r="D9" s="2619"/>
      <c r="E9" s="2619"/>
      <c r="F9" s="2619"/>
      <c r="G9" s="2619"/>
      <c r="H9" s="2619"/>
      <c r="I9" s="2619"/>
      <c r="J9" s="2619"/>
      <c r="K9" s="2619"/>
      <c r="L9" s="2605"/>
      <c r="M9" s="2605"/>
      <c r="N9" s="2623"/>
      <c r="O9" s="2623"/>
      <c r="P9" s="2605"/>
      <c r="Q9" s="2605"/>
    </row>
    <row r="10" spans="1:66" ht="12.75" customHeight="1">
      <c r="A10" s="1457"/>
      <c r="B10" s="2619" t="s">
        <v>1639</v>
      </c>
      <c r="C10" s="2619"/>
      <c r="D10" s="2619"/>
      <c r="E10" s="2619"/>
      <c r="F10" s="2619"/>
      <c r="G10" s="2619"/>
      <c r="H10" s="2619"/>
      <c r="I10" s="2619"/>
      <c r="J10" s="2619"/>
      <c r="K10" s="2619"/>
      <c r="L10" s="2605"/>
      <c r="M10" s="2605"/>
      <c r="N10" s="2605"/>
      <c r="O10" s="2605"/>
      <c r="P10" s="2605"/>
      <c r="Q10" s="2605"/>
      <c r="R10" s="1457"/>
    </row>
    <row r="11" spans="1:66">
      <c r="A11" s="1457"/>
      <c r="B11" s="1449"/>
      <c r="C11" s="1449"/>
      <c r="D11" s="1449"/>
      <c r="E11" s="1449"/>
      <c r="F11" s="1449"/>
      <c r="G11" s="1449"/>
      <c r="H11" s="1449"/>
      <c r="I11" s="1449"/>
      <c r="J11" s="2618"/>
      <c r="K11" s="2618"/>
      <c r="L11" s="2605"/>
      <c r="M11" s="2605"/>
      <c r="N11" s="1581"/>
      <c r="O11" s="1581"/>
      <c r="P11" s="2618"/>
      <c r="Q11" s="2618"/>
      <c r="R11" s="1457"/>
    </row>
    <row r="12" spans="1:66">
      <c r="A12" s="1457"/>
      <c r="B12" s="1451" t="s">
        <v>1607</v>
      </c>
      <c r="C12" s="1449"/>
      <c r="D12" s="1449"/>
      <c r="E12" s="1449"/>
      <c r="F12" s="1449"/>
      <c r="G12" s="1449"/>
      <c r="H12" s="1449"/>
      <c r="I12" s="1449"/>
      <c r="J12" s="2618"/>
      <c r="K12" s="2618"/>
      <c r="L12" s="2605"/>
      <c r="M12" s="2605"/>
      <c r="N12" s="1449"/>
      <c r="O12" s="1449"/>
      <c r="P12" s="1449"/>
      <c r="Q12" s="1457"/>
      <c r="R12" s="1457"/>
    </row>
    <row r="13" spans="1:66">
      <c r="A13" s="1457"/>
      <c r="B13" s="1455" t="s">
        <v>1905</v>
      </c>
      <c r="C13" s="1449"/>
      <c r="D13" s="1449"/>
      <c r="E13" s="1449"/>
      <c r="F13" s="1449"/>
      <c r="G13" s="1449"/>
      <c r="H13" s="1449"/>
      <c r="I13" s="1449"/>
      <c r="J13" s="1449"/>
      <c r="K13" s="1449"/>
      <c r="L13" s="1449"/>
      <c r="M13" s="1449"/>
      <c r="N13" s="1449"/>
      <c r="O13" s="1449"/>
      <c r="P13" s="1449"/>
      <c r="Q13" s="1457"/>
    </row>
    <row r="14" spans="1:66">
      <c r="A14" s="1457"/>
      <c r="B14" s="1455" t="s">
        <v>1643</v>
      </c>
      <c r="C14" s="1449"/>
      <c r="D14" s="1449"/>
      <c r="E14" s="1449"/>
      <c r="F14" s="1449"/>
      <c r="G14" s="1449"/>
      <c r="H14" s="1449"/>
      <c r="I14" s="1449"/>
      <c r="J14" s="1449"/>
      <c r="K14" s="1449"/>
      <c r="L14" s="1449"/>
      <c r="M14" s="1449"/>
      <c r="N14" s="1449"/>
      <c r="O14" s="1449"/>
      <c r="P14" s="1449"/>
      <c r="Q14" s="1457"/>
    </row>
    <row r="15" spans="1:66">
      <c r="A15" s="1457"/>
      <c r="B15" s="1449"/>
      <c r="C15" s="1449"/>
      <c r="D15" s="1449"/>
      <c r="E15" s="1449"/>
      <c r="F15" s="1449"/>
      <c r="G15" s="1449"/>
      <c r="H15" s="1449"/>
      <c r="I15" s="1449"/>
      <c r="J15" s="1449"/>
      <c r="K15" s="1449"/>
      <c r="L15" s="1449"/>
      <c r="M15" s="1449"/>
      <c r="N15" s="1449"/>
      <c r="O15" s="1449"/>
      <c r="P15" s="1449"/>
      <c r="Q15" s="1457"/>
    </row>
    <row r="16" spans="1:66">
      <c r="A16" s="1457"/>
      <c r="B16" s="1454" t="s">
        <v>1611</v>
      </c>
      <c r="C16" s="1449"/>
      <c r="D16" s="1449"/>
      <c r="E16" s="1449"/>
      <c r="F16" s="1449"/>
      <c r="G16" s="1449"/>
      <c r="H16" s="1449"/>
      <c r="I16" s="1449"/>
      <c r="J16" s="1449"/>
      <c r="K16" s="1449"/>
      <c r="L16" s="1449"/>
      <c r="M16" s="1449"/>
      <c r="N16" s="1449"/>
      <c r="O16" s="1449"/>
      <c r="P16" s="1449"/>
      <c r="Q16" s="1457"/>
    </row>
    <row r="17" spans="1:17">
      <c r="A17" s="1457"/>
      <c r="B17" s="1455" t="s">
        <v>1906</v>
      </c>
      <c r="C17" s="1455"/>
      <c r="D17" s="1455"/>
      <c r="E17" s="1455"/>
      <c r="F17" s="1455"/>
      <c r="G17" s="1455"/>
      <c r="H17" s="1455"/>
      <c r="I17" s="1455"/>
      <c r="J17" s="1455"/>
      <c r="K17" s="1455"/>
      <c r="L17" s="1449"/>
      <c r="M17" s="1449"/>
      <c r="N17" s="1449"/>
      <c r="O17" s="1449"/>
      <c r="P17" s="1449"/>
      <c r="Q17" s="1457"/>
    </row>
    <row r="18" spans="1:17" ht="25.5" customHeight="1">
      <c r="A18" s="1457"/>
      <c r="B18" s="2584" t="s">
        <v>1907</v>
      </c>
      <c r="C18" s="2584"/>
      <c r="D18" s="2584"/>
      <c r="E18" s="2584"/>
      <c r="F18" s="2584"/>
      <c r="G18" s="2584"/>
      <c r="H18" s="2584"/>
      <c r="I18" s="2584"/>
      <c r="J18" s="2584"/>
      <c r="K18" s="2584"/>
      <c r="L18" s="1449"/>
      <c r="M18" s="1449"/>
      <c r="N18" s="1449"/>
      <c r="O18" s="1449"/>
      <c r="P18" s="1449"/>
      <c r="Q18" s="1457"/>
    </row>
    <row r="19" spans="1:17">
      <c r="A19" s="1457"/>
      <c r="B19" s="1455" t="s">
        <v>1908</v>
      </c>
      <c r="C19" s="1455"/>
      <c r="D19" s="1455"/>
      <c r="E19" s="1455"/>
      <c r="F19" s="1455"/>
      <c r="G19" s="1455"/>
      <c r="H19" s="1455"/>
      <c r="I19" s="1455"/>
      <c r="J19" s="1455"/>
      <c r="K19" s="1455"/>
      <c r="L19" s="1449"/>
      <c r="M19" s="1449"/>
      <c r="N19" s="1449"/>
      <c r="O19" s="1449"/>
      <c r="P19" s="1449"/>
      <c r="Q19" s="1457"/>
    </row>
    <row r="20" spans="1:17">
      <c r="A20" s="1457"/>
      <c r="B20" s="1458" t="s">
        <v>1909</v>
      </c>
      <c r="C20" s="1455"/>
      <c r="D20" s="1455"/>
      <c r="E20" s="1455"/>
      <c r="F20" s="1455"/>
      <c r="G20" s="1455"/>
      <c r="H20" s="1455"/>
      <c r="I20" s="1455"/>
      <c r="J20" s="1455"/>
      <c r="K20" s="1455"/>
      <c r="L20" s="1449"/>
      <c r="M20" s="1449"/>
      <c r="N20" s="1449"/>
      <c r="O20" s="1449"/>
      <c r="P20" s="1449"/>
      <c r="Q20" s="1457"/>
    </row>
    <row r="21" spans="1:17" ht="81.75" customHeight="1">
      <c r="B21" s="1477" t="s">
        <v>1651</v>
      </c>
      <c r="C21" s="1477" t="s">
        <v>1652</v>
      </c>
      <c r="D21" s="1477" t="s">
        <v>1624</v>
      </c>
      <c r="E21" s="1477" t="s">
        <v>1623</v>
      </c>
      <c r="F21" s="1478" t="s">
        <v>1621</v>
      </c>
      <c r="G21" s="1478" t="s">
        <v>1622</v>
      </c>
      <c r="H21" s="1478" t="s">
        <v>1910</v>
      </c>
      <c r="I21" s="1478" t="s">
        <v>1911</v>
      </c>
      <c r="J21" s="1477" t="s">
        <v>1912</v>
      </c>
      <c r="K21" s="1477" t="s">
        <v>1655</v>
      </c>
      <c r="L21" s="1477" t="s">
        <v>1913</v>
      </c>
      <c r="M21" s="1479" t="s">
        <v>4</v>
      </c>
      <c r="N21" s="1459" t="s">
        <v>1627</v>
      </c>
      <c r="O21" s="1465" t="s">
        <v>1628</v>
      </c>
      <c r="P21" s="1465" t="s">
        <v>1629</v>
      </c>
      <c r="Q21" s="1459" t="s">
        <v>1914</v>
      </c>
    </row>
    <row r="22" spans="1:17">
      <c r="B22" s="1113"/>
      <c r="C22" s="1113"/>
      <c r="D22" s="1113"/>
      <c r="E22" s="1113"/>
      <c r="F22" s="1113"/>
      <c r="G22" s="1113"/>
      <c r="H22" s="1113"/>
      <c r="I22" s="1157"/>
      <c r="J22" s="1113"/>
      <c r="K22" s="1158"/>
      <c r="L22" s="1159"/>
      <c r="M22" s="1113"/>
      <c r="N22" s="1113"/>
      <c r="O22" s="1274"/>
      <c r="P22" s="1255"/>
      <c r="Q22" s="1255"/>
    </row>
    <row r="23" spans="1:17">
      <c r="B23" s="1113"/>
      <c r="C23" s="1113"/>
      <c r="D23" s="1113"/>
      <c r="E23" s="1113"/>
      <c r="F23" s="1113"/>
      <c r="G23" s="1113"/>
      <c r="H23" s="1113"/>
      <c r="I23" s="1157"/>
      <c r="J23" s="1113"/>
      <c r="K23" s="1113"/>
      <c r="L23" s="1159"/>
      <c r="M23" s="1113"/>
      <c r="N23" s="1113"/>
      <c r="O23" s="1274"/>
      <c r="P23" s="1255"/>
      <c r="Q23" s="1255"/>
    </row>
    <row r="24" spans="1:17">
      <c r="B24" s="1113"/>
      <c r="C24" s="1113"/>
      <c r="D24" s="1113"/>
      <c r="E24" s="1113"/>
      <c r="F24" s="1113"/>
      <c r="G24" s="1113"/>
      <c r="H24" s="1113"/>
      <c r="I24" s="1113"/>
      <c r="J24" s="1113"/>
      <c r="K24" s="1113"/>
      <c r="L24" s="1159"/>
      <c r="M24" s="1113"/>
      <c r="N24" s="1113"/>
      <c r="O24" s="1274"/>
      <c r="P24" s="1255"/>
      <c r="Q24" s="1255"/>
    </row>
    <row r="25" spans="1:17">
      <c r="B25" s="1113"/>
      <c r="C25" s="1113"/>
      <c r="D25" s="1113"/>
      <c r="E25" s="1113"/>
      <c r="F25" s="1113"/>
      <c r="G25" s="1113"/>
      <c r="H25" s="1113"/>
      <c r="I25" s="1113"/>
      <c r="J25" s="1113"/>
      <c r="K25" s="1113"/>
      <c r="L25" s="1159"/>
      <c r="M25" s="1113"/>
      <c r="N25" s="1113"/>
      <c r="O25" s="1274"/>
      <c r="P25" s="1255"/>
      <c r="Q25" s="1255"/>
    </row>
    <row r="26" spans="1:17">
      <c r="B26" s="1113"/>
      <c r="C26" s="1113"/>
      <c r="D26" s="1113"/>
      <c r="E26" s="1113"/>
      <c r="F26" s="1113"/>
      <c r="G26" s="1113"/>
      <c r="H26" s="1113"/>
      <c r="I26" s="1113"/>
      <c r="J26" s="1113"/>
      <c r="K26" s="1113"/>
      <c r="L26" s="1159"/>
      <c r="M26" s="1113"/>
      <c r="N26" s="1113"/>
      <c r="O26" s="1274"/>
      <c r="P26" s="1255"/>
      <c r="Q26" s="1255"/>
    </row>
    <row r="27" spans="1:17">
      <c r="B27" s="1113"/>
      <c r="C27" s="1113"/>
      <c r="D27" s="1113"/>
      <c r="E27" s="1113"/>
      <c r="F27" s="1113"/>
      <c r="G27" s="1113"/>
      <c r="H27" s="1113"/>
      <c r="I27" s="1113"/>
      <c r="J27" s="1113"/>
      <c r="K27" s="1113"/>
      <c r="L27" s="1159"/>
      <c r="M27" s="1113"/>
      <c r="N27" s="1113"/>
      <c r="O27" s="1274"/>
      <c r="P27" s="1255"/>
      <c r="Q27" s="1255"/>
    </row>
    <row r="28" spans="1:17">
      <c r="B28" s="1113"/>
      <c r="C28" s="1113"/>
      <c r="D28" s="1113"/>
      <c r="E28" s="1113"/>
      <c r="F28" s="1113"/>
      <c r="G28" s="1113"/>
      <c r="H28" s="1113"/>
      <c r="I28" s="1113"/>
      <c r="J28" s="1113"/>
      <c r="K28" s="1113"/>
      <c r="L28" s="1159"/>
      <c r="M28" s="1113"/>
      <c r="N28" s="1113"/>
      <c r="O28" s="1274"/>
      <c r="P28" s="1255"/>
      <c r="Q28" s="1255"/>
    </row>
    <row r="29" spans="1:17">
      <c r="B29" s="1113"/>
      <c r="C29" s="1113"/>
      <c r="D29" s="1113"/>
      <c r="E29" s="1113"/>
      <c r="F29" s="1113"/>
      <c r="G29" s="1113"/>
      <c r="H29" s="1113"/>
      <c r="I29" s="1113"/>
      <c r="J29" s="1113"/>
      <c r="K29" s="1113"/>
      <c r="L29" s="1159"/>
      <c r="M29" s="1113"/>
      <c r="N29" s="1113"/>
      <c r="O29" s="1274"/>
      <c r="P29" s="1255"/>
      <c r="Q29" s="1255"/>
    </row>
    <row r="30" spans="1:17">
      <c r="B30" s="1113"/>
      <c r="C30" s="1113"/>
      <c r="D30" s="1113"/>
      <c r="E30" s="1113"/>
      <c r="F30" s="1113"/>
      <c r="G30" s="1113"/>
      <c r="H30" s="1113"/>
      <c r="I30" s="1113"/>
      <c r="J30" s="1113"/>
      <c r="K30" s="1113"/>
      <c r="L30" s="1159"/>
      <c r="M30" s="1113"/>
      <c r="N30" s="1113"/>
      <c r="O30" s="1274"/>
      <c r="P30" s="1255"/>
      <c r="Q30" s="1255"/>
    </row>
    <row r="31" spans="1:17">
      <c r="B31" s="1113"/>
      <c r="C31" s="1113"/>
      <c r="D31" s="1113"/>
      <c r="E31" s="1113"/>
      <c r="F31" s="1113"/>
      <c r="G31" s="1113"/>
      <c r="H31" s="1113"/>
      <c r="I31" s="1113"/>
      <c r="J31" s="1113"/>
      <c r="K31" s="1113"/>
      <c r="L31" s="1159"/>
      <c r="M31" s="1113"/>
      <c r="N31" s="1113"/>
      <c r="O31" s="1274"/>
      <c r="P31" s="1255"/>
      <c r="Q31" s="1255"/>
    </row>
    <row r="32" spans="1:17" s="1466" customFormat="1" ht="84.75" customHeight="1">
      <c r="A32" s="1462"/>
      <c r="B32" s="1459" t="s">
        <v>1633</v>
      </c>
      <c r="C32" s="1487"/>
      <c r="D32" s="1459" t="s">
        <v>1619</v>
      </c>
      <c r="E32" s="2643" t="s">
        <v>1620</v>
      </c>
      <c r="F32" s="2643"/>
      <c r="G32" s="2572" t="s">
        <v>1626</v>
      </c>
      <c r="H32" s="2572"/>
      <c r="I32" s="2572"/>
      <c r="J32" s="2572"/>
      <c r="K32" s="2572"/>
      <c r="L32" s="2572"/>
      <c r="M32" s="2572"/>
      <c r="N32" s="1459" t="s">
        <v>1627</v>
      </c>
      <c r="O32" s="1465" t="s">
        <v>1628</v>
      </c>
      <c r="P32" s="1465" t="s">
        <v>1629</v>
      </c>
      <c r="Q32" s="1459" t="s">
        <v>1914</v>
      </c>
    </row>
    <row r="33" spans="1:66" ht="79.5" customHeight="1">
      <c r="A33" s="1494"/>
      <c r="B33" s="2611" t="s">
        <v>1915</v>
      </c>
      <c r="C33" s="2736"/>
      <c r="D33" s="1112" t="str">
        <f>IF('Project Info'!C4='Project Info'!P32,'Mod Prescriptive Path Checklist'!C57,IF('Project Info'!C4='Project Info'!P33,#REF!,"&lt;Select compliance path on the 'Project Info' tab&gt;"))</f>
        <v>The heating and cooling systems must comply with ASHRAE 90.1-2007 Sections 6.4 and 6.5.</v>
      </c>
      <c r="E33" s="2595" t="s">
        <v>1916</v>
      </c>
      <c r="F33" s="2638"/>
      <c r="G33" s="2590"/>
      <c r="H33" s="2590"/>
      <c r="I33" s="2590"/>
      <c r="J33" s="2590"/>
      <c r="K33" s="2590"/>
      <c r="L33" s="2590"/>
      <c r="M33" s="2590"/>
      <c r="N33" s="1263"/>
      <c r="O33" s="1284"/>
      <c r="P33" s="1278"/>
      <c r="Q33" s="1278"/>
    </row>
    <row r="34" spans="1:66" s="1476" customFormat="1" ht="15.75">
      <c r="A34" s="1475"/>
      <c r="B34" s="2599"/>
      <c r="C34" s="2600"/>
      <c r="D34" s="2600"/>
      <c r="E34" s="2600"/>
      <c r="F34" s="2600"/>
      <c r="G34" s="2601"/>
      <c r="H34" s="2601"/>
      <c r="I34" s="2601"/>
      <c r="J34" s="2601"/>
      <c r="K34" s="2601"/>
      <c r="L34" s="2601"/>
      <c r="M34" s="2601"/>
      <c r="N34" s="2601"/>
      <c r="O34" s="2601"/>
      <c r="P34" s="2601"/>
      <c r="Q34" s="2602"/>
      <c r="R34" s="1475"/>
      <c r="S34" s="1475"/>
      <c r="T34" s="1475"/>
      <c r="U34" s="1475"/>
      <c r="V34" s="1475"/>
      <c r="W34" s="1475"/>
      <c r="X34" s="1475"/>
      <c r="Y34" s="1475"/>
      <c r="Z34" s="1475"/>
      <c r="AA34" s="1475"/>
      <c r="AB34" s="1475"/>
      <c r="AC34" s="1475"/>
      <c r="AD34" s="1475"/>
      <c r="AE34" s="1475"/>
      <c r="AF34" s="1475"/>
      <c r="AG34" s="1475"/>
      <c r="AH34" s="1475"/>
      <c r="AI34" s="1475"/>
      <c r="AJ34" s="1475"/>
      <c r="AK34" s="1475"/>
      <c r="AL34" s="1475"/>
      <c r="AM34" s="1475"/>
      <c r="AN34" s="1475"/>
      <c r="AO34" s="1475"/>
      <c r="AP34" s="1475"/>
      <c r="AQ34" s="1475"/>
      <c r="AR34" s="1475"/>
      <c r="AS34" s="1475"/>
      <c r="AT34" s="1475"/>
      <c r="AU34" s="1475"/>
      <c r="AV34" s="1475"/>
      <c r="AW34" s="1475"/>
      <c r="AX34" s="1475"/>
      <c r="AY34" s="1475"/>
      <c r="AZ34" s="1475"/>
      <c r="BA34" s="1475"/>
      <c r="BB34" s="1475"/>
      <c r="BC34" s="1475"/>
      <c r="BD34" s="1475"/>
      <c r="BE34" s="1475"/>
      <c r="BF34" s="1475"/>
      <c r="BG34" s="1475"/>
      <c r="BH34" s="1475"/>
      <c r="BI34" s="1475"/>
      <c r="BJ34" s="1475"/>
      <c r="BK34" s="1475"/>
      <c r="BL34" s="1475"/>
      <c r="BM34" s="1475"/>
      <c r="BN34" s="1475"/>
    </row>
    <row r="35" spans="1:66" ht="313.5" customHeight="1">
      <c r="A35" s="1494"/>
      <c r="B35" s="2588" t="s">
        <v>1917</v>
      </c>
      <c r="C35" s="2735"/>
      <c r="D35" s="1112" t="str">
        <f>IF('Project Info'!C4='Project Info'!P32,'Mod Prescriptive Path Checklist'!C64,IF('Project Info'!C4='Project Info'!P33,#REF!,"&lt;Select compliance path on the 'Project Info' tab&gt;"))</f>
        <v>Load sizing calculations must reflect the design; installed capacity cannot exceed design by more than 20%, except when smaller sizes are not available.
Cooling loads shall be calculated, equipment capacity shall be selected, and duct systems shall be sized according to the latest editions of ACCA Manual J, S, &amp; D, respectively, ASHRAE 2009 Handbook of Fundamentals, or a substantively equivalent procedure. Indoor temperatures shall be 75°F for cooling, outdoor temperatures shall be the 1.0% design temperature, as published by the ASHRAE Handbook of Fundamentals.</v>
      </c>
      <c r="E35" s="2613">
        <f>ERMs!C39</f>
        <v>0</v>
      </c>
      <c r="F35" s="2690"/>
      <c r="G35" s="2685"/>
      <c r="H35" s="2733"/>
      <c r="I35" s="2733"/>
      <c r="J35" s="2733"/>
      <c r="K35" s="2733"/>
      <c r="L35" s="2733"/>
      <c r="M35" s="2734"/>
      <c r="N35" s="1263"/>
      <c r="O35" s="1284"/>
      <c r="P35" s="1278"/>
      <c r="Q35" s="1278"/>
      <c r="R35" s="1494"/>
    </row>
    <row r="36" spans="1:66" ht="186" customHeight="1">
      <c r="A36" s="1490"/>
      <c r="B36" s="2588" t="s">
        <v>1918</v>
      </c>
      <c r="C36" s="2589"/>
      <c r="D36" s="1112" t="str">
        <f>IF('Project Info'!C4='Project Info'!P32,'Mod Prescriptive Path Checklist'!C65,IF('Project Info'!C4='Project Info'!P33,"NA","&lt;Select compliance path on the 'Project Info' tab&gt;"))</f>
        <v>Based on the climate zone, the specified cooling equipment meets the Prescriptive requirements for efficiency.  Cooling equipment shall be ENERGY STAR qualified, where applicable.</v>
      </c>
      <c r="E36" s="2613">
        <f>ERMs!C38</f>
        <v>0</v>
      </c>
      <c r="F36" s="2690"/>
      <c r="G36" s="2685"/>
      <c r="H36" s="2733"/>
      <c r="I36" s="2733"/>
      <c r="J36" s="2733"/>
      <c r="K36" s="2733"/>
      <c r="L36" s="2733"/>
      <c r="M36" s="2734"/>
      <c r="N36" s="1263"/>
      <c r="O36" s="1284"/>
      <c r="P36" s="1278"/>
      <c r="Q36" s="1278"/>
    </row>
    <row r="37" spans="1:66" ht="42" customHeight="1">
      <c r="A37" s="1491"/>
      <c r="B37" s="2603" t="s">
        <v>1919</v>
      </c>
      <c r="C37" s="2604"/>
      <c r="D37" s="2732"/>
      <c r="E37" s="2595">
        <f>ERMs!C40</f>
        <v>0</v>
      </c>
      <c r="F37" s="2638"/>
      <c r="G37" s="2685"/>
      <c r="H37" s="2733"/>
      <c r="I37" s="2733"/>
      <c r="J37" s="2733"/>
      <c r="K37" s="2733"/>
      <c r="L37" s="2733"/>
      <c r="M37" s="2734"/>
      <c r="N37" s="1263"/>
      <c r="O37" s="1284"/>
      <c r="P37" s="1278"/>
      <c r="Q37" s="1278"/>
    </row>
    <row r="38" spans="1:66" s="1476" customFormat="1" ht="15.75">
      <c r="A38" s="1608"/>
      <c r="B38" s="2724" t="s">
        <v>1314</v>
      </c>
      <c r="C38" s="2725"/>
      <c r="D38" s="2725"/>
      <c r="E38" s="2725"/>
      <c r="F38" s="2725"/>
      <c r="G38" s="2601"/>
      <c r="H38" s="2601"/>
      <c r="I38" s="2601"/>
      <c r="J38" s="2601"/>
      <c r="K38" s="2601"/>
      <c r="L38" s="2601"/>
      <c r="M38" s="2601"/>
      <c r="N38" s="2601"/>
      <c r="O38" s="2601"/>
      <c r="P38" s="2601"/>
      <c r="Q38" s="2602"/>
      <c r="R38" s="1475"/>
      <c r="S38" s="1475"/>
      <c r="T38" s="1475"/>
      <c r="U38" s="1475"/>
      <c r="V38" s="1475"/>
      <c r="W38" s="1475"/>
      <c r="X38" s="1475"/>
      <c r="Y38" s="1475"/>
      <c r="Z38" s="1475"/>
      <c r="AA38" s="1475"/>
      <c r="AB38" s="1475"/>
      <c r="AC38" s="1475"/>
      <c r="AD38" s="1475"/>
      <c r="AE38" s="1475"/>
      <c r="AF38" s="1475"/>
      <c r="AG38" s="1475"/>
      <c r="AH38" s="1475"/>
      <c r="AI38" s="1475"/>
      <c r="AJ38" s="1475"/>
      <c r="AK38" s="1475"/>
      <c r="AL38" s="1475"/>
      <c r="AM38" s="1475"/>
      <c r="AN38" s="1475"/>
      <c r="AO38" s="1475"/>
      <c r="AP38" s="1475"/>
      <c r="AQ38" s="1475"/>
      <c r="AR38" s="1475"/>
      <c r="AS38" s="1475"/>
      <c r="AT38" s="1475"/>
      <c r="AU38" s="1475"/>
      <c r="AV38" s="1475"/>
      <c r="AW38" s="1475"/>
      <c r="AX38" s="1475"/>
      <c r="AY38" s="1475"/>
      <c r="AZ38" s="1475"/>
      <c r="BA38" s="1475"/>
      <c r="BB38" s="1475"/>
      <c r="BC38" s="1475"/>
      <c r="BD38" s="1475"/>
      <c r="BE38" s="1475"/>
      <c r="BF38" s="1475"/>
      <c r="BG38" s="1475"/>
      <c r="BH38" s="1475"/>
      <c r="BI38" s="1475"/>
      <c r="BJ38" s="1475"/>
      <c r="BK38" s="1475"/>
      <c r="BL38" s="1475"/>
      <c r="BM38" s="1475"/>
      <c r="BN38" s="1475"/>
    </row>
    <row r="39" spans="1:66" ht="118.5" customHeight="1">
      <c r="A39" s="1489"/>
      <c r="B39" s="2588" t="s">
        <v>1920</v>
      </c>
      <c r="C39" s="2589"/>
      <c r="D39" s="2589"/>
      <c r="E39" s="2589"/>
      <c r="F39" s="2589"/>
      <c r="G39" s="2590"/>
      <c r="H39" s="2590"/>
      <c r="I39" s="2707"/>
      <c r="J39" s="2707"/>
      <c r="K39" s="2707"/>
      <c r="L39" s="2707"/>
      <c r="M39" s="2707"/>
      <c r="N39" s="1263"/>
      <c r="O39" s="1284"/>
      <c r="P39" s="1278"/>
      <c r="Q39" s="1278"/>
    </row>
    <row r="40" spans="1:66" ht="56.25" customHeight="1">
      <c r="A40" s="1489"/>
      <c r="B40" s="2677" t="s">
        <v>1921</v>
      </c>
      <c r="C40" s="2678"/>
      <c r="D40" s="2678"/>
      <c r="E40" s="2678"/>
      <c r="F40" s="2678"/>
      <c r="G40" s="2590"/>
      <c r="H40" s="2590"/>
      <c r="I40" s="2707"/>
      <c r="J40" s="2707"/>
      <c r="K40" s="2707"/>
      <c r="L40" s="2707"/>
      <c r="M40" s="2707"/>
      <c r="N40" s="1263"/>
      <c r="O40" s="1284"/>
      <c r="P40" s="1278"/>
      <c r="Q40" s="1278"/>
    </row>
    <row r="41" spans="1:66" ht="69.75" customHeight="1">
      <c r="A41" s="1321"/>
      <c r="B41" s="2677" t="s">
        <v>1922</v>
      </c>
      <c r="C41" s="2678"/>
      <c r="D41" s="2678"/>
      <c r="E41" s="2678"/>
      <c r="F41" s="2678"/>
      <c r="G41" s="2590"/>
      <c r="H41" s="2590"/>
      <c r="I41" s="2707"/>
      <c r="J41" s="2707"/>
      <c r="K41" s="2707"/>
      <c r="L41" s="2707"/>
      <c r="M41" s="2707"/>
      <c r="N41" s="1263"/>
      <c r="O41" s="1284"/>
      <c r="P41" s="1278"/>
      <c r="Q41" s="1278"/>
    </row>
    <row r="42" spans="1:66" ht="64.5" customHeight="1">
      <c r="A42" s="1321"/>
      <c r="B42" s="2588" t="s">
        <v>1923</v>
      </c>
      <c r="C42" s="2589"/>
      <c r="D42" s="2589"/>
      <c r="E42" s="2589"/>
      <c r="F42" s="2589"/>
      <c r="G42" s="2590"/>
      <c r="H42" s="2590"/>
      <c r="I42" s="2707"/>
      <c r="J42" s="2707"/>
      <c r="K42" s="2707"/>
      <c r="L42" s="2707"/>
      <c r="M42" s="2707"/>
      <c r="N42" s="1263"/>
      <c r="O42" s="1284"/>
      <c r="P42" s="1278"/>
      <c r="Q42" s="1278"/>
    </row>
    <row r="43" spans="1:66" ht="66.75" customHeight="1">
      <c r="B43" s="2677" t="s">
        <v>1924</v>
      </c>
      <c r="C43" s="2678"/>
      <c r="D43" s="2678"/>
      <c r="E43" s="2678"/>
      <c r="F43" s="2678"/>
      <c r="G43" s="2590"/>
      <c r="H43" s="2590"/>
      <c r="I43" s="2707"/>
      <c r="J43" s="2707"/>
      <c r="K43" s="2707"/>
      <c r="L43" s="2707"/>
      <c r="M43" s="2707"/>
      <c r="N43" s="1263"/>
      <c r="O43" s="1284"/>
      <c r="P43" s="1278"/>
      <c r="Q43" s="1278"/>
    </row>
    <row r="44" spans="1:66" ht="29.25" customHeight="1">
      <c r="A44" s="1489"/>
      <c r="B44" s="2587" t="s">
        <v>1925</v>
      </c>
      <c r="C44" s="2587"/>
      <c r="D44" s="2587"/>
      <c r="E44" s="2587"/>
      <c r="F44" s="2587"/>
      <c r="G44" s="2641"/>
      <c r="H44" s="2641"/>
      <c r="I44" s="2641"/>
      <c r="J44" s="2641"/>
      <c r="K44" s="2641"/>
      <c r="L44" s="2641"/>
      <c r="M44" s="2641"/>
      <c r="N44" s="2641"/>
      <c r="O44" s="2655"/>
      <c r="P44" s="1278"/>
      <c r="Q44" s="1278"/>
    </row>
    <row r="45" spans="1:66" s="1476" customFormat="1" ht="15.75">
      <c r="A45" s="1608"/>
      <c r="B45" s="2724" t="s">
        <v>1926</v>
      </c>
      <c r="C45" s="2725"/>
      <c r="D45" s="2725"/>
      <c r="E45" s="2725"/>
      <c r="F45" s="2725"/>
      <c r="G45" s="2601"/>
      <c r="H45" s="2601"/>
      <c r="I45" s="2601"/>
      <c r="J45" s="2601"/>
      <c r="K45" s="2601"/>
      <c r="L45" s="2601"/>
      <c r="M45" s="2601"/>
      <c r="N45" s="2601"/>
      <c r="O45" s="2601"/>
      <c r="P45" s="2601"/>
      <c r="Q45" s="2602"/>
      <c r="R45" s="1475"/>
      <c r="S45" s="1475"/>
      <c r="T45" s="1475"/>
      <c r="U45" s="1475"/>
      <c r="V45" s="1475"/>
      <c r="W45" s="1475"/>
      <c r="X45" s="1475"/>
      <c r="Y45" s="1475"/>
      <c r="Z45" s="1475"/>
      <c r="AA45" s="1475"/>
      <c r="AB45" s="1475"/>
      <c r="AC45" s="1475"/>
      <c r="AD45" s="1475"/>
      <c r="AE45" s="1475"/>
      <c r="AF45" s="1475"/>
      <c r="AG45" s="1475"/>
      <c r="AH45" s="1475"/>
      <c r="AI45" s="1475"/>
      <c r="AJ45" s="1475"/>
      <c r="AK45" s="1475"/>
      <c r="AL45" s="1475"/>
      <c r="AM45" s="1475"/>
      <c r="AN45" s="1475"/>
      <c r="AO45" s="1475"/>
      <c r="AP45" s="1475"/>
      <c r="AQ45" s="1475"/>
      <c r="AR45" s="1475"/>
      <c r="AS45" s="1475"/>
      <c r="AT45" s="1475"/>
      <c r="AU45" s="1475"/>
      <c r="AV45" s="1475"/>
      <c r="AW45" s="1475"/>
      <c r="AX45" s="1475"/>
      <c r="AY45" s="1475"/>
      <c r="AZ45" s="1475"/>
      <c r="BA45" s="1475"/>
      <c r="BB45" s="1475"/>
      <c r="BC45" s="1475"/>
      <c r="BD45" s="1475"/>
      <c r="BE45" s="1475"/>
      <c r="BF45" s="1475"/>
      <c r="BG45" s="1475"/>
      <c r="BH45" s="1475"/>
      <c r="BI45" s="1475"/>
      <c r="BJ45" s="1475"/>
      <c r="BK45" s="1475"/>
      <c r="BL45" s="1475"/>
      <c r="BM45" s="1475"/>
      <c r="BN45" s="1475"/>
    </row>
    <row r="46" spans="1:66" ht="66.75" customHeight="1">
      <c r="A46" s="1491"/>
      <c r="B46" s="2603" t="s">
        <v>1927</v>
      </c>
      <c r="C46" s="2604"/>
      <c r="D46" s="2604"/>
      <c r="E46" s="2604"/>
      <c r="F46" s="2604"/>
      <c r="G46" s="2590"/>
      <c r="H46" s="2590"/>
      <c r="I46" s="2707"/>
      <c r="J46" s="2707"/>
      <c r="K46" s="2707"/>
      <c r="L46" s="2707"/>
      <c r="M46" s="2707"/>
      <c r="N46" s="1263"/>
      <c r="O46" s="1284"/>
      <c r="P46" s="1278"/>
      <c r="Q46" s="1278"/>
    </row>
    <row r="47" spans="1:66" ht="42" customHeight="1">
      <c r="A47" s="1491"/>
      <c r="B47" s="2603" t="s">
        <v>1928</v>
      </c>
      <c r="C47" s="2604"/>
      <c r="D47" s="2604"/>
      <c r="E47" s="2604"/>
      <c r="F47" s="2604"/>
      <c r="G47" s="2590"/>
      <c r="H47" s="2590"/>
      <c r="I47" s="2707"/>
      <c r="J47" s="2707"/>
      <c r="K47" s="2707"/>
      <c r="L47" s="2707"/>
      <c r="M47" s="2707"/>
      <c r="N47" s="1263"/>
      <c r="O47" s="1284"/>
      <c r="P47" s="1278"/>
      <c r="Q47" s="1278"/>
    </row>
    <row r="48" spans="1:66" ht="43.5" customHeight="1">
      <c r="B48" s="2588" t="s">
        <v>1929</v>
      </c>
      <c r="C48" s="2589"/>
      <c r="D48" s="2589"/>
      <c r="E48" s="2589"/>
      <c r="F48" s="2589"/>
      <c r="G48" s="2590"/>
      <c r="H48" s="2590"/>
      <c r="I48" s="2707"/>
      <c r="J48" s="2707"/>
      <c r="K48" s="2707"/>
      <c r="L48" s="2707"/>
      <c r="M48" s="2707"/>
      <c r="N48" s="1263"/>
      <c r="O48" s="1284"/>
      <c r="P48" s="1278"/>
      <c r="Q48" s="1278"/>
    </row>
    <row r="49" spans="1:73" ht="54.75" customHeight="1">
      <c r="A49" s="1321"/>
      <c r="B49" s="2677" t="s">
        <v>1930</v>
      </c>
      <c r="C49" s="2678"/>
      <c r="D49" s="2678"/>
      <c r="E49" s="2678"/>
      <c r="F49" s="2678"/>
      <c r="G49" s="2590"/>
      <c r="H49" s="2590"/>
      <c r="I49" s="2707"/>
      <c r="J49" s="2707"/>
      <c r="K49" s="2707"/>
      <c r="L49" s="2707"/>
      <c r="M49" s="2707"/>
      <c r="N49" s="1263"/>
      <c r="O49" s="1284"/>
      <c r="P49" s="1278"/>
      <c r="Q49" s="1278"/>
    </row>
    <row r="50" spans="1:73" ht="107.25" customHeight="1">
      <c r="B50" s="2587" t="s">
        <v>1931</v>
      </c>
      <c r="C50" s="2587"/>
      <c r="D50" s="2587"/>
      <c r="E50" s="2587"/>
      <c r="F50" s="2588"/>
      <c r="G50" s="2590"/>
      <c r="H50" s="2590"/>
      <c r="I50" s="2707"/>
      <c r="J50" s="2707"/>
      <c r="K50" s="2707"/>
      <c r="L50" s="2707"/>
      <c r="M50" s="2707"/>
      <c r="N50" s="1263"/>
      <c r="O50" s="1284"/>
      <c r="P50" s="1278"/>
      <c r="Q50" s="1278"/>
    </row>
    <row r="51" spans="1:73" ht="57" customHeight="1">
      <c r="A51" s="1321"/>
      <c r="B51" s="2587" t="s">
        <v>1932</v>
      </c>
      <c r="C51" s="2730"/>
      <c r="D51" s="2730"/>
      <c r="E51" s="2730"/>
      <c r="F51" s="2731"/>
      <c r="G51" s="2590"/>
      <c r="H51" s="2590"/>
      <c r="I51" s="2707"/>
      <c r="J51" s="2707"/>
      <c r="K51" s="2707"/>
      <c r="L51" s="2707"/>
      <c r="M51" s="2707"/>
      <c r="N51" s="1263"/>
      <c r="O51" s="1284"/>
      <c r="P51" s="1278"/>
      <c r="Q51" s="1278"/>
    </row>
    <row r="52" spans="1:73" ht="159" customHeight="1">
      <c r="A52" s="1489"/>
      <c r="B52" s="2588" t="s">
        <v>1933</v>
      </c>
      <c r="C52" s="2589"/>
      <c r="D52" s="2589"/>
      <c r="E52" s="2589"/>
      <c r="F52" s="2598"/>
      <c r="G52" s="2590"/>
      <c r="H52" s="2590"/>
      <c r="I52" s="2707"/>
      <c r="J52" s="2707"/>
      <c r="K52" s="2707"/>
      <c r="L52" s="2707"/>
      <c r="M52" s="2707"/>
      <c r="N52" s="1263"/>
      <c r="O52" s="1284"/>
      <c r="P52" s="1278"/>
      <c r="Q52" s="1278"/>
    </row>
    <row r="53" spans="1:73" ht="45" customHeight="1">
      <c r="A53" s="1490"/>
      <c r="B53" s="2587" t="s">
        <v>1934</v>
      </c>
      <c r="C53" s="2587"/>
      <c r="D53" s="2587"/>
      <c r="E53" s="2587"/>
      <c r="F53" s="2587"/>
      <c r="G53" s="2641"/>
      <c r="H53" s="2641"/>
      <c r="I53" s="2641"/>
      <c r="J53" s="2641"/>
      <c r="K53" s="2641"/>
      <c r="L53" s="2641"/>
      <c r="M53" s="2641"/>
      <c r="N53" s="2641"/>
      <c r="O53" s="2655"/>
      <c r="P53" s="1278"/>
      <c r="Q53" s="1278"/>
    </row>
    <row r="54" spans="1:73" s="1321" customFormat="1" ht="38.25" customHeight="1">
      <c r="A54" s="1321" t="s">
        <v>1935</v>
      </c>
      <c r="B54" s="2587" t="s">
        <v>1936</v>
      </c>
      <c r="C54" s="2587"/>
      <c r="D54" s="2587"/>
      <c r="E54" s="2587"/>
      <c r="F54" s="2587"/>
      <c r="G54" s="2587"/>
      <c r="H54" s="2587"/>
      <c r="I54" s="2587"/>
      <c r="J54" s="2587"/>
      <c r="K54" s="2587"/>
      <c r="L54" s="2587"/>
      <c r="M54" s="2587"/>
      <c r="N54" s="2587"/>
      <c r="O54" s="2588"/>
      <c r="P54" s="1278"/>
      <c r="Q54" s="1270"/>
    </row>
    <row r="55" spans="1:73" s="1476" customFormat="1" ht="15.75">
      <c r="A55" s="1475"/>
      <c r="B55" s="2720" t="s">
        <v>1346</v>
      </c>
      <c r="C55" s="2721"/>
      <c r="D55" s="2721"/>
      <c r="E55" s="2721"/>
      <c r="F55" s="2721"/>
      <c r="G55" s="2601"/>
      <c r="H55" s="2601"/>
      <c r="I55" s="2601"/>
      <c r="J55" s="2601"/>
      <c r="K55" s="2601"/>
      <c r="L55" s="2601"/>
      <c r="M55" s="2601"/>
      <c r="N55" s="2601"/>
      <c r="O55" s="2601"/>
      <c r="P55" s="2601"/>
      <c r="Q55" s="2602"/>
      <c r="R55" s="1475"/>
      <c r="S55" s="1475"/>
      <c r="T55" s="1475"/>
      <c r="U55" s="1475"/>
      <c r="V55" s="1475"/>
      <c r="W55" s="1475"/>
      <c r="X55" s="1475"/>
      <c r="Y55" s="1475"/>
      <c r="Z55" s="1475"/>
      <c r="AA55" s="1475"/>
      <c r="AB55" s="1475"/>
      <c r="AC55" s="1475"/>
      <c r="AD55" s="1475"/>
      <c r="AE55" s="1475"/>
      <c r="AF55" s="1475"/>
      <c r="AG55" s="1475"/>
      <c r="AH55" s="1475"/>
      <c r="AI55" s="1475"/>
      <c r="AJ55" s="1475"/>
      <c r="AK55" s="1475"/>
      <c r="AL55" s="1475"/>
      <c r="AM55" s="1475"/>
      <c r="AN55" s="1475"/>
      <c r="AO55" s="1475"/>
      <c r="AP55" s="1475"/>
      <c r="AQ55" s="1475"/>
      <c r="AR55" s="1475"/>
      <c r="AS55" s="1475"/>
      <c r="AT55" s="1475"/>
      <c r="AU55" s="1475"/>
      <c r="AV55" s="1475"/>
      <c r="AW55" s="1475"/>
      <c r="AX55" s="1475"/>
      <c r="AY55" s="1475"/>
      <c r="AZ55" s="1475"/>
      <c r="BA55" s="1475"/>
      <c r="BB55" s="1475"/>
      <c r="BC55" s="1475"/>
      <c r="BD55" s="1475"/>
      <c r="BE55" s="1475"/>
      <c r="BF55" s="1475"/>
      <c r="BG55" s="1475"/>
      <c r="BH55" s="1475"/>
      <c r="BI55" s="1475"/>
      <c r="BJ55" s="1475"/>
      <c r="BK55" s="1475"/>
      <c r="BL55" s="1475"/>
      <c r="BM55" s="1475"/>
      <c r="BN55" s="1475"/>
    </row>
    <row r="56" spans="1:73" ht="43.5" customHeight="1">
      <c r="B56" s="2587" t="s">
        <v>1937</v>
      </c>
      <c r="C56" s="2728"/>
      <c r="D56" s="2728"/>
      <c r="E56" s="2728"/>
      <c r="F56" s="2729"/>
      <c r="G56" s="2590"/>
      <c r="H56" s="2590"/>
      <c r="I56" s="2707"/>
      <c r="J56" s="2707"/>
      <c r="K56" s="2707"/>
      <c r="L56" s="2707"/>
      <c r="M56" s="2707"/>
      <c r="N56" s="1263"/>
      <c r="O56" s="1284"/>
      <c r="P56" s="1278"/>
      <c r="Q56" s="1278"/>
    </row>
    <row r="57" spans="1:73" ht="43.5" customHeight="1">
      <c r="A57" s="1489"/>
      <c r="B57" s="2588" t="s">
        <v>1938</v>
      </c>
      <c r="C57" s="2589"/>
      <c r="D57" s="2589"/>
      <c r="E57" s="2589"/>
      <c r="F57" s="2589"/>
      <c r="G57" s="2590"/>
      <c r="H57" s="2590"/>
      <c r="I57" s="2707"/>
      <c r="J57" s="2707"/>
      <c r="K57" s="2707"/>
      <c r="L57" s="2707"/>
      <c r="M57" s="2707"/>
      <c r="N57" s="1263"/>
      <c r="O57" s="1284"/>
      <c r="P57" s="1278"/>
      <c r="Q57" s="1278"/>
    </row>
    <row r="58" spans="1:73" ht="43.5" customHeight="1">
      <c r="B58" s="2587" t="s">
        <v>1939</v>
      </c>
      <c r="C58" s="2587"/>
      <c r="D58" s="2587"/>
      <c r="E58" s="2587"/>
      <c r="F58" s="2587"/>
      <c r="G58" s="2641"/>
      <c r="H58" s="2641"/>
      <c r="I58" s="2641"/>
      <c r="J58" s="2641"/>
      <c r="K58" s="2641"/>
      <c r="L58" s="2641"/>
      <c r="M58" s="2641"/>
      <c r="N58" s="2641"/>
      <c r="O58" s="2655"/>
      <c r="P58" s="1278"/>
      <c r="Q58" s="1278"/>
    </row>
    <row r="59" spans="1:73" ht="42" customHeight="1">
      <c r="A59" s="1321"/>
      <c r="B59" s="2587" t="s">
        <v>1940</v>
      </c>
      <c r="C59" s="2587"/>
      <c r="D59" s="2587"/>
      <c r="E59" s="2587"/>
      <c r="F59" s="2587"/>
      <c r="G59" s="2587"/>
      <c r="H59" s="2587"/>
      <c r="I59" s="2587"/>
      <c r="J59" s="2587"/>
      <c r="K59" s="2587"/>
      <c r="L59" s="2587"/>
      <c r="M59" s="2587"/>
      <c r="N59" s="2587"/>
      <c r="O59" s="2588"/>
      <c r="P59" s="1278"/>
      <c r="Q59" s="1278"/>
    </row>
    <row r="60" spans="1:73" ht="45" customHeight="1">
      <c r="A60" s="1489"/>
      <c r="B60" s="2591" t="s">
        <v>1941</v>
      </c>
      <c r="C60" s="2591"/>
      <c r="D60" s="2591"/>
      <c r="E60" s="2591"/>
      <c r="F60" s="2591"/>
      <c r="G60" s="2591"/>
      <c r="H60" s="2591"/>
      <c r="I60" s="2591"/>
      <c r="J60" s="2591"/>
      <c r="K60" s="2591"/>
      <c r="L60" s="2591"/>
      <c r="M60" s="2591"/>
      <c r="N60" s="2591"/>
      <c r="O60" s="2594"/>
      <c r="P60" s="1278"/>
      <c r="Q60" s="1278"/>
    </row>
    <row r="61" spans="1:73">
      <c r="U61" s="1321"/>
    </row>
    <row r="62" spans="1:73">
      <c r="B62" s="1319" t="s">
        <v>1893</v>
      </c>
      <c r="U62" s="1321"/>
    </row>
    <row r="63" spans="1:73">
      <c r="U63" s="1321"/>
    </row>
    <row r="64" spans="1:73" s="1460" customFormat="1" ht="91.5" customHeight="1">
      <c r="A64" s="1616"/>
      <c r="B64" s="1609" t="s">
        <v>1894</v>
      </c>
      <c r="C64" s="1609" t="s">
        <v>1895</v>
      </c>
      <c r="D64" s="1609" t="s">
        <v>1896</v>
      </c>
      <c r="E64" s="1609" t="s">
        <v>1897</v>
      </c>
      <c r="F64" s="1609" t="s">
        <v>1898</v>
      </c>
      <c r="G64" s="2717" t="s">
        <v>1899</v>
      </c>
      <c r="H64" s="2727"/>
      <c r="I64" s="2718"/>
      <c r="J64" s="1610" t="s">
        <v>1900</v>
      </c>
      <c r="K64" s="1610" t="s">
        <v>1942</v>
      </c>
      <c r="L64" s="2510" t="s">
        <v>1902</v>
      </c>
      <c r="M64" s="2510"/>
      <c r="N64" s="2510" t="s">
        <v>820</v>
      </c>
      <c r="O64" s="2510"/>
      <c r="P64" s="2510"/>
      <c r="Q64" s="2510"/>
      <c r="R64" s="1449"/>
      <c r="S64" s="1449"/>
      <c r="T64" s="1449"/>
      <c r="U64" s="1449"/>
      <c r="V64" s="1449"/>
      <c r="W64" s="1449"/>
      <c r="X64" s="1449"/>
      <c r="Y64" s="1449"/>
      <c r="Z64" s="1449"/>
      <c r="AA64" s="1449"/>
      <c r="AB64" s="1449"/>
      <c r="AC64" s="1449"/>
      <c r="AD64" s="1449"/>
      <c r="AE64" s="1449"/>
      <c r="AF64" s="1449"/>
      <c r="AG64" s="1449"/>
      <c r="AH64" s="1449"/>
      <c r="AI64" s="1449"/>
      <c r="AJ64" s="1449"/>
      <c r="AK64" s="1449"/>
      <c r="AL64" s="1449"/>
      <c r="AM64" s="1449"/>
      <c r="AN64" s="1449"/>
      <c r="AO64" s="1449"/>
      <c r="AP64" s="1449"/>
      <c r="AQ64" s="1449"/>
      <c r="AR64" s="1449"/>
      <c r="AS64" s="1449"/>
      <c r="AT64" s="1449"/>
      <c r="AU64" s="1449"/>
      <c r="AV64" s="1449"/>
      <c r="AW64" s="1449"/>
      <c r="AX64" s="1449"/>
      <c r="AY64" s="1449"/>
      <c r="AZ64" s="1449"/>
      <c r="BA64" s="1449"/>
      <c r="BB64" s="1449"/>
      <c r="BC64" s="1449"/>
      <c r="BD64" s="1449"/>
      <c r="BE64" s="1449"/>
      <c r="BF64" s="1449"/>
      <c r="BG64" s="1449"/>
      <c r="BH64" s="1449"/>
      <c r="BI64" s="1449"/>
      <c r="BJ64" s="1449"/>
      <c r="BK64" s="1449"/>
      <c r="BL64" s="1449"/>
      <c r="BM64" s="1449"/>
      <c r="BN64" s="1449"/>
      <c r="BO64" s="1449"/>
      <c r="BP64" s="1449"/>
      <c r="BQ64" s="1449"/>
      <c r="BR64" s="1449"/>
      <c r="BS64" s="1449"/>
      <c r="BT64" s="1449"/>
      <c r="BU64" s="1449"/>
    </row>
    <row r="65" spans="1:73" s="1460" customFormat="1" ht="29.25" customHeight="1">
      <c r="A65" s="1449"/>
      <c r="B65" s="1280"/>
      <c r="C65" s="1280"/>
      <c r="D65" s="1259"/>
      <c r="E65" s="1259"/>
      <c r="F65" s="1155"/>
      <c r="G65" s="2713"/>
      <c r="H65" s="2713"/>
      <c r="I65" s="2713"/>
      <c r="J65" s="1156"/>
      <c r="K65" s="1611" t="e">
        <f>J65/(F65/100)</f>
        <v>#DIV/0!</v>
      </c>
      <c r="L65" s="2714" t="e">
        <f t="shared" ref="L65:L73" si="0">J65/G65</f>
        <v>#DIV/0!</v>
      </c>
      <c r="M65" s="2715"/>
      <c r="N65" s="2716"/>
      <c r="O65" s="2716"/>
      <c r="P65" s="2716"/>
      <c r="Q65" s="2716"/>
      <c r="R65" s="1449"/>
      <c r="S65" s="1449"/>
      <c r="T65" s="1449"/>
      <c r="U65" s="1449"/>
      <c r="V65" s="1449"/>
      <c r="W65" s="1449"/>
      <c r="X65" s="1449"/>
      <c r="Y65" s="1449"/>
      <c r="Z65" s="1449"/>
      <c r="AA65" s="1449"/>
      <c r="AB65" s="1449"/>
      <c r="AC65" s="1449"/>
      <c r="AD65" s="1449"/>
      <c r="AE65" s="1449"/>
      <c r="AF65" s="1449"/>
      <c r="AG65" s="1449"/>
      <c r="AH65" s="1449"/>
      <c r="AI65" s="1449"/>
      <c r="AJ65" s="1449"/>
      <c r="AK65" s="1449"/>
      <c r="AL65" s="1449"/>
      <c r="AM65" s="1449"/>
      <c r="AN65" s="1449"/>
      <c r="AO65" s="1449"/>
      <c r="AP65" s="1449"/>
      <c r="AQ65" s="1449"/>
      <c r="AR65" s="1449"/>
      <c r="AS65" s="1449"/>
      <c r="AT65" s="1449"/>
      <c r="AU65" s="1449"/>
      <c r="AV65" s="1449"/>
      <c r="AW65" s="1449"/>
      <c r="AX65" s="1449"/>
      <c r="AY65" s="1449"/>
      <c r="AZ65" s="1449"/>
      <c r="BA65" s="1449"/>
      <c r="BB65" s="1449"/>
      <c r="BC65" s="1449"/>
      <c r="BD65" s="1449"/>
      <c r="BE65" s="1449"/>
      <c r="BF65" s="1449"/>
      <c r="BG65" s="1449"/>
      <c r="BH65" s="1449"/>
      <c r="BI65" s="1449"/>
      <c r="BJ65" s="1449"/>
      <c r="BK65" s="1449"/>
      <c r="BL65" s="1449"/>
      <c r="BM65" s="1449"/>
      <c r="BN65" s="1449"/>
      <c r="BO65" s="1449"/>
      <c r="BP65" s="1449"/>
      <c r="BQ65" s="1449"/>
      <c r="BR65" s="1449"/>
      <c r="BS65" s="1449"/>
      <c r="BT65" s="1449"/>
      <c r="BU65" s="1449"/>
    </row>
    <row r="66" spans="1:73" s="1460" customFormat="1" ht="29.25" customHeight="1">
      <c r="A66" s="1449"/>
      <c r="B66" s="1280"/>
      <c r="C66" s="1280"/>
      <c r="D66" s="1259"/>
      <c r="E66" s="1259"/>
      <c r="F66" s="1155"/>
      <c r="G66" s="2713"/>
      <c r="H66" s="2713"/>
      <c r="I66" s="2713"/>
      <c r="J66" s="1156"/>
      <c r="K66" s="1611" t="e">
        <f t="shared" ref="K66:K73" si="1">J66/(F66/100)</f>
        <v>#DIV/0!</v>
      </c>
      <c r="L66" s="2714" t="e">
        <f t="shared" si="0"/>
        <v>#DIV/0!</v>
      </c>
      <c r="M66" s="2715"/>
      <c r="N66" s="2716"/>
      <c r="O66" s="2716"/>
      <c r="P66" s="2716"/>
      <c r="Q66" s="2716"/>
      <c r="R66" s="1449"/>
      <c r="S66" s="1449"/>
      <c r="T66" s="1449"/>
      <c r="U66" s="1449"/>
      <c r="V66" s="1449"/>
      <c r="W66" s="1449"/>
      <c r="X66" s="1449"/>
      <c r="Y66" s="1449"/>
      <c r="Z66" s="1449"/>
      <c r="AA66" s="1449"/>
      <c r="AB66" s="1449"/>
      <c r="AC66" s="1449"/>
      <c r="AD66" s="1449"/>
      <c r="AE66" s="1449"/>
      <c r="AF66" s="1449"/>
      <c r="AG66" s="1449"/>
      <c r="AH66" s="1449"/>
      <c r="AI66" s="1449"/>
      <c r="AJ66" s="1449"/>
      <c r="AK66" s="1449"/>
      <c r="AL66" s="1449"/>
      <c r="AM66" s="1449"/>
      <c r="AN66" s="1449"/>
      <c r="AO66" s="1449"/>
      <c r="AP66" s="1449"/>
      <c r="AQ66" s="1449"/>
      <c r="AR66" s="1449"/>
      <c r="AS66" s="1449"/>
      <c r="AT66" s="1449"/>
      <c r="AU66" s="1449"/>
      <c r="AV66" s="1449"/>
      <c r="AW66" s="1449"/>
      <c r="AX66" s="1449"/>
      <c r="AY66" s="1449"/>
      <c r="AZ66" s="1449"/>
      <c r="BA66" s="1449"/>
      <c r="BB66" s="1449"/>
      <c r="BC66" s="1449"/>
      <c r="BD66" s="1449"/>
      <c r="BE66" s="1449"/>
      <c r="BF66" s="1449"/>
      <c r="BG66" s="1449"/>
      <c r="BH66" s="1449"/>
      <c r="BI66" s="1449"/>
      <c r="BJ66" s="1449"/>
      <c r="BK66" s="1449"/>
      <c r="BL66" s="1449"/>
      <c r="BM66" s="1449"/>
      <c r="BN66" s="1449"/>
      <c r="BO66" s="1449"/>
      <c r="BP66" s="1449"/>
      <c r="BQ66" s="1449"/>
      <c r="BR66" s="1449"/>
      <c r="BS66" s="1449"/>
      <c r="BT66" s="1449"/>
      <c r="BU66" s="1449"/>
    </row>
    <row r="67" spans="1:73" s="1460" customFormat="1" ht="29.25" customHeight="1">
      <c r="A67" s="1449"/>
      <c r="B67" s="1280"/>
      <c r="C67" s="1280"/>
      <c r="D67" s="1259"/>
      <c r="E67" s="1259"/>
      <c r="F67" s="1155"/>
      <c r="G67" s="2713"/>
      <c r="H67" s="2713"/>
      <c r="I67" s="2713"/>
      <c r="J67" s="1156"/>
      <c r="K67" s="1611" t="e">
        <f t="shared" si="1"/>
        <v>#DIV/0!</v>
      </c>
      <c r="L67" s="2714" t="e">
        <f t="shared" si="0"/>
        <v>#DIV/0!</v>
      </c>
      <c r="M67" s="2715"/>
      <c r="N67" s="2716"/>
      <c r="O67" s="2716"/>
      <c r="P67" s="2716"/>
      <c r="Q67" s="2716"/>
      <c r="R67" s="1449"/>
      <c r="S67" s="1449"/>
      <c r="T67" s="1449"/>
      <c r="U67" s="1449"/>
      <c r="V67" s="1449"/>
      <c r="W67" s="1449"/>
      <c r="X67" s="1449"/>
      <c r="Y67" s="1449"/>
      <c r="Z67" s="1449"/>
      <c r="AA67" s="1449"/>
      <c r="AB67" s="1449"/>
      <c r="AC67" s="1449"/>
      <c r="AD67" s="1449"/>
      <c r="AE67" s="1449"/>
      <c r="AF67" s="1449"/>
      <c r="AG67" s="1449"/>
      <c r="AH67" s="1449"/>
      <c r="AI67" s="1449"/>
      <c r="AJ67" s="1449"/>
      <c r="AK67" s="1449"/>
      <c r="AL67" s="1449"/>
      <c r="AM67" s="1449"/>
      <c r="AN67" s="1449"/>
      <c r="AO67" s="1449"/>
      <c r="AP67" s="1449"/>
      <c r="AQ67" s="1449"/>
      <c r="AR67" s="1449"/>
      <c r="AS67" s="1449"/>
      <c r="AT67" s="1449"/>
      <c r="AU67" s="1449"/>
      <c r="AV67" s="1449"/>
      <c r="AW67" s="1449"/>
      <c r="AX67" s="1449"/>
      <c r="AY67" s="1449"/>
      <c r="AZ67" s="1449"/>
      <c r="BA67" s="1449"/>
      <c r="BB67" s="1449"/>
      <c r="BC67" s="1449"/>
      <c r="BD67" s="1449"/>
      <c r="BE67" s="1449"/>
      <c r="BF67" s="1449"/>
      <c r="BG67" s="1449"/>
      <c r="BH67" s="1449"/>
      <c r="BI67" s="1449"/>
      <c r="BJ67" s="1449"/>
      <c r="BK67" s="1449"/>
      <c r="BL67" s="1449"/>
      <c r="BM67" s="1449"/>
      <c r="BN67" s="1449"/>
      <c r="BO67" s="1449"/>
      <c r="BP67" s="1449"/>
      <c r="BQ67" s="1449"/>
      <c r="BR67" s="1449"/>
      <c r="BS67" s="1449"/>
      <c r="BT67" s="1449"/>
      <c r="BU67" s="1449"/>
    </row>
    <row r="68" spans="1:73" s="1612" customFormat="1" ht="29.25" customHeight="1">
      <c r="A68" s="1475"/>
      <c r="B68" s="1280"/>
      <c r="C68" s="1280"/>
      <c r="D68" s="1259"/>
      <c r="E68" s="1259"/>
      <c r="F68" s="1155"/>
      <c r="G68" s="2713"/>
      <c r="H68" s="2713"/>
      <c r="I68" s="2713"/>
      <c r="J68" s="1156"/>
      <c r="K68" s="1611" t="e">
        <f t="shared" si="1"/>
        <v>#DIV/0!</v>
      </c>
      <c r="L68" s="2714" t="e">
        <f t="shared" si="0"/>
        <v>#DIV/0!</v>
      </c>
      <c r="M68" s="2715"/>
      <c r="N68" s="2716"/>
      <c r="O68" s="2716"/>
      <c r="P68" s="2716"/>
      <c r="Q68" s="2716"/>
      <c r="R68" s="1475"/>
      <c r="S68" s="1475"/>
      <c r="T68" s="1475"/>
      <c r="U68" s="1475"/>
      <c r="V68" s="1475"/>
      <c r="W68" s="1475"/>
      <c r="X68" s="1475"/>
      <c r="Y68" s="1475"/>
      <c r="Z68" s="1475"/>
      <c r="AA68" s="1475"/>
      <c r="AB68" s="1475"/>
      <c r="AC68" s="1475"/>
      <c r="AD68" s="1475"/>
      <c r="AE68" s="1475"/>
      <c r="AF68" s="1475"/>
      <c r="AG68" s="1475"/>
      <c r="AH68" s="1475"/>
      <c r="AI68" s="1475"/>
      <c r="AJ68" s="1475"/>
      <c r="AK68" s="1475"/>
      <c r="AL68" s="1475"/>
      <c r="AM68" s="1475"/>
      <c r="AN68" s="1475"/>
      <c r="AO68" s="1475"/>
      <c r="AP68" s="1475"/>
      <c r="AQ68" s="1475"/>
      <c r="AR68" s="1475"/>
      <c r="AS68" s="1475"/>
      <c r="AT68" s="1475"/>
      <c r="AU68" s="1475"/>
      <c r="AV68" s="1475"/>
      <c r="AW68" s="1475"/>
      <c r="AX68" s="1475"/>
      <c r="AY68" s="1475"/>
      <c r="AZ68" s="1475"/>
      <c r="BA68" s="1475"/>
      <c r="BB68" s="1475"/>
      <c r="BC68" s="1475"/>
      <c r="BD68" s="1475"/>
      <c r="BE68" s="1475"/>
      <c r="BF68" s="1475"/>
      <c r="BG68" s="1475"/>
      <c r="BH68" s="1475"/>
      <c r="BI68" s="1475"/>
      <c r="BJ68" s="1475"/>
      <c r="BK68" s="1475"/>
      <c r="BL68" s="1475"/>
      <c r="BM68" s="1475"/>
      <c r="BN68" s="1475"/>
      <c r="BO68" s="1475"/>
      <c r="BP68" s="1475"/>
      <c r="BQ68" s="1475"/>
      <c r="BR68" s="1475"/>
      <c r="BS68" s="1475"/>
      <c r="BT68" s="1475"/>
      <c r="BU68" s="1475"/>
    </row>
    <row r="69" spans="1:73" ht="29.25" customHeight="1">
      <c r="A69" s="1439"/>
      <c r="B69" s="1280"/>
      <c r="C69" s="1280"/>
      <c r="D69" s="1259"/>
      <c r="E69" s="1259"/>
      <c r="F69" s="1155"/>
      <c r="G69" s="2713"/>
      <c r="H69" s="2713"/>
      <c r="I69" s="2713"/>
      <c r="J69" s="1156"/>
      <c r="K69" s="1611" t="e">
        <f t="shared" si="1"/>
        <v>#DIV/0!</v>
      </c>
      <c r="L69" s="2714" t="e">
        <f t="shared" si="0"/>
        <v>#DIV/0!</v>
      </c>
      <c r="M69" s="2715"/>
      <c r="N69" s="2716"/>
      <c r="O69" s="2716"/>
      <c r="P69" s="2716"/>
      <c r="Q69" s="2716"/>
      <c r="R69" s="1439"/>
      <c r="S69" s="1439"/>
      <c r="T69" s="1439"/>
      <c r="U69" s="1439"/>
      <c r="V69" s="1439"/>
      <c r="W69" s="1439"/>
      <c r="X69" s="1439"/>
      <c r="Y69" s="1439"/>
      <c r="Z69" s="1439"/>
      <c r="AA69" s="1439"/>
      <c r="AB69" s="1439"/>
      <c r="AC69" s="1439"/>
      <c r="AD69" s="1439"/>
      <c r="AE69" s="1439"/>
      <c r="AF69" s="1439"/>
      <c r="AG69" s="1439"/>
      <c r="AH69" s="1439"/>
      <c r="AI69" s="1439"/>
      <c r="AJ69" s="1439"/>
      <c r="AK69" s="1439"/>
      <c r="AL69" s="1439"/>
      <c r="AM69" s="1439"/>
      <c r="AN69" s="1439"/>
      <c r="AO69" s="1439"/>
      <c r="AP69" s="1439"/>
      <c r="AQ69" s="1439"/>
      <c r="AR69" s="1439"/>
      <c r="AS69" s="1439"/>
      <c r="AT69" s="1439"/>
      <c r="AU69" s="1439"/>
      <c r="AV69" s="1439"/>
      <c r="AW69" s="1439"/>
      <c r="AX69" s="1439"/>
      <c r="AY69" s="1439"/>
      <c r="AZ69" s="1439"/>
      <c r="BA69" s="1439"/>
      <c r="BB69" s="1439"/>
      <c r="BC69" s="1439"/>
      <c r="BD69" s="1439"/>
      <c r="BE69" s="1439"/>
      <c r="BF69" s="1439"/>
      <c r="BG69" s="1439"/>
      <c r="BH69" s="1439"/>
      <c r="BI69" s="1439"/>
      <c r="BJ69" s="1439"/>
      <c r="BK69" s="1439"/>
      <c r="BL69" s="1439"/>
      <c r="BM69" s="1439"/>
      <c r="BN69" s="1439"/>
      <c r="BO69" s="1439"/>
      <c r="BP69" s="1439"/>
      <c r="BQ69" s="1439"/>
      <c r="BR69" s="1439"/>
      <c r="BS69" s="1439"/>
      <c r="BT69" s="1439"/>
      <c r="BU69" s="1439"/>
    </row>
    <row r="70" spans="1:73" ht="29.25" customHeight="1">
      <c r="A70" s="1439"/>
      <c r="B70" s="1280"/>
      <c r="C70" s="1280"/>
      <c r="D70" s="1259"/>
      <c r="E70" s="1259"/>
      <c r="F70" s="1155"/>
      <c r="G70" s="2713"/>
      <c r="H70" s="2713"/>
      <c r="I70" s="2713"/>
      <c r="J70" s="1156"/>
      <c r="K70" s="1611" t="e">
        <f t="shared" si="1"/>
        <v>#DIV/0!</v>
      </c>
      <c r="L70" s="2714" t="e">
        <f t="shared" si="0"/>
        <v>#DIV/0!</v>
      </c>
      <c r="M70" s="2715"/>
      <c r="N70" s="2716"/>
      <c r="O70" s="2716"/>
      <c r="P70" s="2716"/>
      <c r="Q70" s="2716"/>
      <c r="R70" s="1439"/>
      <c r="S70" s="1439"/>
      <c r="T70" s="1439"/>
      <c r="U70" s="1439"/>
      <c r="V70" s="1439"/>
      <c r="W70" s="1439"/>
      <c r="X70" s="1439"/>
      <c r="Y70" s="1439"/>
      <c r="Z70" s="1439"/>
      <c r="AA70" s="1439"/>
      <c r="AB70" s="1439"/>
      <c r="AC70" s="1439"/>
      <c r="AD70" s="1439"/>
      <c r="AE70" s="1439"/>
      <c r="AF70" s="1439"/>
      <c r="AG70" s="1439"/>
      <c r="AH70" s="1439"/>
      <c r="AI70" s="1439"/>
      <c r="AJ70" s="1439"/>
      <c r="AK70" s="1439"/>
      <c r="AL70" s="1439"/>
      <c r="AM70" s="1439"/>
      <c r="AN70" s="1439"/>
      <c r="AO70" s="1439"/>
      <c r="AP70" s="1439"/>
      <c r="AQ70" s="1439"/>
      <c r="AR70" s="1439"/>
      <c r="AS70" s="1439"/>
      <c r="AT70" s="1439"/>
      <c r="AU70" s="1439"/>
      <c r="AV70" s="1439"/>
      <c r="AW70" s="1439"/>
      <c r="AX70" s="1439"/>
      <c r="AY70" s="1439"/>
      <c r="AZ70" s="1439"/>
      <c r="BA70" s="1439"/>
      <c r="BB70" s="1439"/>
      <c r="BC70" s="1439"/>
      <c r="BD70" s="1439"/>
      <c r="BE70" s="1439"/>
      <c r="BF70" s="1439"/>
      <c r="BG70" s="1439"/>
      <c r="BH70" s="1439"/>
      <c r="BI70" s="1439"/>
      <c r="BJ70" s="1439"/>
      <c r="BK70" s="1439"/>
      <c r="BL70" s="1439"/>
      <c r="BM70" s="1439"/>
      <c r="BN70" s="1439"/>
      <c r="BO70" s="1439"/>
      <c r="BP70" s="1439"/>
      <c r="BQ70" s="1439"/>
      <c r="BR70" s="1439"/>
      <c r="BS70" s="1439"/>
      <c r="BT70" s="1439"/>
      <c r="BU70" s="1439"/>
    </row>
    <row r="71" spans="1:73" ht="29.25" customHeight="1">
      <c r="A71" s="1439"/>
      <c r="B71" s="1280"/>
      <c r="C71" s="1280"/>
      <c r="D71" s="1259"/>
      <c r="E71" s="1259"/>
      <c r="F71" s="1155"/>
      <c r="G71" s="2713"/>
      <c r="H71" s="2713"/>
      <c r="I71" s="2713"/>
      <c r="J71" s="1156"/>
      <c r="K71" s="1611" t="e">
        <f t="shared" si="1"/>
        <v>#DIV/0!</v>
      </c>
      <c r="L71" s="2714" t="e">
        <f t="shared" si="0"/>
        <v>#DIV/0!</v>
      </c>
      <c r="M71" s="2715"/>
      <c r="N71" s="2716"/>
      <c r="O71" s="2716"/>
      <c r="P71" s="2716"/>
      <c r="Q71" s="2716"/>
      <c r="R71" s="1439"/>
      <c r="S71" s="1439"/>
      <c r="T71" s="1439"/>
      <c r="U71" s="1439"/>
      <c r="V71" s="1439"/>
      <c r="W71" s="1439"/>
      <c r="X71" s="1439"/>
      <c r="Y71" s="1439"/>
      <c r="Z71" s="1439"/>
      <c r="AA71" s="1439"/>
      <c r="AB71" s="1439"/>
      <c r="AC71" s="1439"/>
      <c r="AD71" s="1439"/>
      <c r="AE71" s="1439"/>
      <c r="AF71" s="1439"/>
      <c r="AG71" s="1439"/>
      <c r="AH71" s="1439"/>
      <c r="AI71" s="1439"/>
      <c r="AJ71" s="1439"/>
      <c r="AK71" s="1439"/>
      <c r="AL71" s="1439"/>
      <c r="AM71" s="1439"/>
      <c r="AN71" s="1439"/>
      <c r="AO71" s="1439"/>
      <c r="AP71" s="1439"/>
      <c r="AQ71" s="1439"/>
      <c r="AR71" s="1439"/>
      <c r="AS71" s="1439"/>
      <c r="AT71" s="1439"/>
      <c r="AU71" s="1439"/>
      <c r="AV71" s="1439"/>
      <c r="AW71" s="1439"/>
      <c r="AX71" s="1439"/>
      <c r="AY71" s="1439"/>
      <c r="AZ71" s="1439"/>
      <c r="BA71" s="1439"/>
      <c r="BB71" s="1439"/>
      <c r="BC71" s="1439"/>
      <c r="BD71" s="1439"/>
      <c r="BE71" s="1439"/>
      <c r="BF71" s="1439"/>
      <c r="BG71" s="1439"/>
      <c r="BH71" s="1439"/>
      <c r="BI71" s="1439"/>
      <c r="BJ71" s="1439"/>
      <c r="BK71" s="1439"/>
      <c r="BL71" s="1439"/>
      <c r="BM71" s="1439"/>
      <c r="BN71" s="1439"/>
      <c r="BO71" s="1439"/>
      <c r="BP71" s="1439"/>
      <c r="BQ71" s="1439"/>
      <c r="BR71" s="1439"/>
      <c r="BS71" s="1439"/>
      <c r="BT71" s="1439"/>
      <c r="BU71" s="1439"/>
    </row>
    <row r="72" spans="1:73" ht="29.25" customHeight="1">
      <c r="A72" s="1439"/>
      <c r="B72" s="1280"/>
      <c r="C72" s="1280"/>
      <c r="D72" s="1259"/>
      <c r="E72" s="1259"/>
      <c r="F72" s="1160"/>
      <c r="G72" s="2713"/>
      <c r="H72" s="2713"/>
      <c r="I72" s="2713"/>
      <c r="J72" s="1161"/>
      <c r="K72" s="1611" t="e">
        <f t="shared" si="1"/>
        <v>#DIV/0!</v>
      </c>
      <c r="L72" s="2714" t="e">
        <f t="shared" si="0"/>
        <v>#DIV/0!</v>
      </c>
      <c r="M72" s="2715"/>
      <c r="N72" s="2716"/>
      <c r="O72" s="2716"/>
      <c r="P72" s="2716"/>
      <c r="Q72" s="2716"/>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1439"/>
      <c r="AV72" s="1439"/>
      <c r="AW72" s="1439"/>
      <c r="AX72" s="1439"/>
      <c r="AY72" s="1439"/>
      <c r="AZ72" s="1439"/>
      <c r="BA72" s="1439"/>
      <c r="BB72" s="1439"/>
      <c r="BC72" s="1439"/>
      <c r="BD72" s="1439"/>
      <c r="BE72" s="1439"/>
      <c r="BF72" s="1439"/>
      <c r="BG72" s="1439"/>
      <c r="BH72" s="1439"/>
      <c r="BI72" s="1439"/>
      <c r="BJ72" s="1439"/>
      <c r="BK72" s="1439"/>
      <c r="BL72" s="1439"/>
      <c r="BM72" s="1439"/>
      <c r="BN72" s="1439"/>
      <c r="BO72" s="1439"/>
      <c r="BP72" s="1439"/>
      <c r="BQ72" s="1439"/>
      <c r="BR72" s="1439"/>
      <c r="BS72" s="1439"/>
      <c r="BT72" s="1439"/>
      <c r="BU72" s="1439"/>
    </row>
    <row r="73" spans="1:73" ht="29.25" customHeight="1">
      <c r="A73" s="1439"/>
      <c r="B73" s="1280"/>
      <c r="C73" s="1280"/>
      <c r="D73" s="1259"/>
      <c r="E73" s="1259"/>
      <c r="F73" s="1160"/>
      <c r="G73" s="2713"/>
      <c r="H73" s="2713"/>
      <c r="I73" s="2713"/>
      <c r="J73" s="1161"/>
      <c r="K73" s="1611" t="e">
        <f t="shared" si="1"/>
        <v>#DIV/0!</v>
      </c>
      <c r="L73" s="2714" t="e">
        <f t="shared" si="0"/>
        <v>#DIV/0!</v>
      </c>
      <c r="M73" s="2715"/>
      <c r="N73" s="2716"/>
      <c r="O73" s="2716"/>
      <c r="P73" s="2716"/>
      <c r="Q73" s="2716"/>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1439"/>
      <c r="AV73" s="1439"/>
      <c r="AW73" s="1439"/>
      <c r="AX73" s="1439"/>
      <c r="AY73" s="1439"/>
      <c r="AZ73" s="1439"/>
      <c r="BA73" s="1439"/>
      <c r="BB73" s="1439"/>
      <c r="BC73" s="1439"/>
      <c r="BD73" s="1439"/>
      <c r="BE73" s="1439"/>
      <c r="BF73" s="1439"/>
      <c r="BG73" s="1439"/>
      <c r="BH73" s="1439"/>
      <c r="BI73" s="1439"/>
      <c r="BJ73" s="1439"/>
      <c r="BK73" s="1439"/>
      <c r="BL73" s="1439"/>
      <c r="BM73" s="1439"/>
      <c r="BN73" s="1439"/>
      <c r="BO73" s="1439"/>
      <c r="BP73" s="1439"/>
      <c r="BQ73" s="1439"/>
      <c r="BR73" s="1439"/>
      <c r="BS73" s="1439"/>
      <c r="BT73" s="1439"/>
      <c r="BU73" s="1439"/>
    </row>
    <row r="78" spans="1:73">
      <c r="U78" s="1321" t="s">
        <v>403</v>
      </c>
    </row>
    <row r="79" spans="1:73">
      <c r="B79" s="1321"/>
      <c r="U79" s="1321" t="s">
        <v>405</v>
      </c>
    </row>
    <row r="80" spans="1:73">
      <c r="U80" s="1321" t="s">
        <v>404</v>
      </c>
    </row>
    <row r="180" spans="2:2" ht="18">
      <c r="B180" s="1323"/>
    </row>
  </sheetData>
  <sheetProtection sheet="1" objects="1" scenarios="1" formatCells="0" formatColumns="0" formatRows="0" insertColumns="0" insertRows="0"/>
  <mergeCells count="110">
    <mergeCell ref="P5:Q5"/>
    <mergeCell ref="J6:K6"/>
    <mergeCell ref="L6:M6"/>
    <mergeCell ref="N6:O6"/>
    <mergeCell ref="P6:Q6"/>
    <mergeCell ref="B7:E7"/>
    <mergeCell ref="J7:K7"/>
    <mergeCell ref="L7:M7"/>
    <mergeCell ref="N7:O7"/>
    <mergeCell ref="P7:Q7"/>
    <mergeCell ref="B10:K10"/>
    <mergeCell ref="L10:M10"/>
    <mergeCell ref="N10:O10"/>
    <mergeCell ref="P10:Q10"/>
    <mergeCell ref="J11:K11"/>
    <mergeCell ref="L11:M11"/>
    <mergeCell ref="P11:Q11"/>
    <mergeCell ref="B8:K8"/>
    <mergeCell ref="L8:M8"/>
    <mergeCell ref="N8:O8"/>
    <mergeCell ref="P8:Q8"/>
    <mergeCell ref="B9:K9"/>
    <mergeCell ref="L9:M9"/>
    <mergeCell ref="N9:O9"/>
    <mergeCell ref="P9:Q9"/>
    <mergeCell ref="B34:Q34"/>
    <mergeCell ref="B35:C35"/>
    <mergeCell ref="E35:F35"/>
    <mergeCell ref="G35:M35"/>
    <mergeCell ref="B36:C36"/>
    <mergeCell ref="E36:F36"/>
    <mergeCell ref="G36:M36"/>
    <mergeCell ref="J12:K12"/>
    <mergeCell ref="L12:M12"/>
    <mergeCell ref="B18:K18"/>
    <mergeCell ref="E32:F32"/>
    <mergeCell ref="G32:M32"/>
    <mergeCell ref="B33:C33"/>
    <mergeCell ref="E33:F33"/>
    <mergeCell ref="G33:M33"/>
    <mergeCell ref="B40:F40"/>
    <mergeCell ref="G40:M40"/>
    <mergeCell ref="B41:F41"/>
    <mergeCell ref="G41:M41"/>
    <mergeCell ref="B42:F42"/>
    <mergeCell ref="G42:M42"/>
    <mergeCell ref="B37:D37"/>
    <mergeCell ref="E37:F37"/>
    <mergeCell ref="G37:M37"/>
    <mergeCell ref="B38:Q38"/>
    <mergeCell ref="B39:F39"/>
    <mergeCell ref="G39:M39"/>
    <mergeCell ref="B47:F47"/>
    <mergeCell ref="G47:M47"/>
    <mergeCell ref="B48:F48"/>
    <mergeCell ref="G48:M48"/>
    <mergeCell ref="B49:F49"/>
    <mergeCell ref="G49:M49"/>
    <mergeCell ref="B43:F43"/>
    <mergeCell ref="G43:M43"/>
    <mergeCell ref="B44:O44"/>
    <mergeCell ref="B45:Q45"/>
    <mergeCell ref="B46:F46"/>
    <mergeCell ref="G46:M46"/>
    <mergeCell ref="B53:O53"/>
    <mergeCell ref="B54:O54"/>
    <mergeCell ref="B55:Q55"/>
    <mergeCell ref="B56:F56"/>
    <mergeCell ref="G56:M56"/>
    <mergeCell ref="B57:F57"/>
    <mergeCell ref="G57:M57"/>
    <mergeCell ref="B50:F50"/>
    <mergeCell ref="G50:M50"/>
    <mergeCell ref="B51:F51"/>
    <mergeCell ref="G51:M51"/>
    <mergeCell ref="B52:F52"/>
    <mergeCell ref="G52:M52"/>
    <mergeCell ref="G65:I65"/>
    <mergeCell ref="L65:M65"/>
    <mergeCell ref="N65:Q65"/>
    <mergeCell ref="G66:I66"/>
    <mergeCell ref="L66:M66"/>
    <mergeCell ref="N66:Q66"/>
    <mergeCell ref="B58:O58"/>
    <mergeCell ref="B59:O59"/>
    <mergeCell ref="B60:O60"/>
    <mergeCell ref="G64:I64"/>
    <mergeCell ref="L64:M64"/>
    <mergeCell ref="N64:Q64"/>
    <mergeCell ref="G69:I69"/>
    <mergeCell ref="L69:M69"/>
    <mergeCell ref="N69:Q69"/>
    <mergeCell ref="G70:I70"/>
    <mergeCell ref="L70:M70"/>
    <mergeCell ref="N70:Q70"/>
    <mergeCell ref="G67:I67"/>
    <mergeCell ref="L67:M67"/>
    <mergeCell ref="N67:Q67"/>
    <mergeCell ref="G68:I68"/>
    <mergeCell ref="L68:M68"/>
    <mergeCell ref="N68:Q68"/>
    <mergeCell ref="G73:I73"/>
    <mergeCell ref="L73:M73"/>
    <mergeCell ref="N73:Q73"/>
    <mergeCell ref="G71:I71"/>
    <mergeCell ref="L71:M71"/>
    <mergeCell ref="N71:Q71"/>
    <mergeCell ref="G72:I72"/>
    <mergeCell ref="L72:M72"/>
    <mergeCell ref="N72:Q72"/>
  </mergeCells>
  <conditionalFormatting sqref="K65:K71">
    <cfRule type="cellIs" dxfId="16" priority="3" stopIfTrue="1" operator="greaterThan">
      <formula>8</formula>
    </cfRule>
  </conditionalFormatting>
  <conditionalFormatting sqref="K72">
    <cfRule type="cellIs" dxfId="15" priority="2" stopIfTrue="1" operator="greaterThan">
      <formula>8</formula>
    </cfRule>
  </conditionalFormatting>
  <conditionalFormatting sqref="K73">
    <cfRule type="cellIs" dxfId="14" priority="1" stopIfTrue="1" operator="greaterThan">
      <formula>8</formula>
    </cfRule>
  </conditionalFormatting>
  <dataValidations count="1">
    <dataValidation type="list" allowBlank="1" showInputMessage="1" showErrorMessage="1" sqref="O22:P31">
      <formula1>YesNo</formula1>
    </dataValidation>
  </dataValidations>
  <hyperlinks>
    <hyperlink ref="A1" location="'Table Of Contents'!A1" display="TOC"/>
  </hyperlinks>
  <pageMargins left="0.25" right="0.25" top="0.75" bottom="0.75" header="0.3" footer="0.3"/>
  <pageSetup scale="47"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"Yes,No,NA"</xm:f>
          </x14:formula1>
          <xm:sqref>WVX983098:WVX983100 JK22:JL31 TG22:TH31 ADC22:ADD31 AMY22:AMZ31 AWU22:AWV31 BGQ22:BGR31 BQM22:BQN31 CAI22:CAJ31 CKE22:CKF31 CUA22:CUB31 DDW22:DDX31 DNS22:DNT31 DXO22:DXP31 EHK22:EHL31 ERG22:ERH31 FBC22:FBD31 FKY22:FKZ31 FUU22:FUV31 GEQ22:GER31 GOM22:GON31 GYI22:GYJ31 HIE22:HIF31 HSA22:HSB31 IBW22:IBX31 ILS22:ILT31 IVO22:IVP31 JFK22:JFL31 JPG22:JPH31 JZC22:JZD31 KIY22:KIZ31 KSU22:KSV31 LCQ22:LCR31 LMM22:LMN31 LWI22:LWJ31 MGE22:MGF31 MQA22:MQB31 MZW22:MZX31 NJS22:NJT31 NTO22:NTP31 ODK22:ODL31 ONG22:ONH31 OXC22:OXD31 PGY22:PGZ31 PQU22:PQV31 QAQ22:QAR31 QKM22:QKN31 QUI22:QUJ31 REE22:REF31 ROA22:ROB31 RXW22:RXX31 SHS22:SHT31 SRO22:SRP31 TBK22:TBL31 TLG22:TLH31 TVC22:TVD31 UEY22:UEZ31 UOU22:UOV31 UYQ22:UYR31 VIM22:VIN31 VSI22:VSJ31 WCE22:WCF31 WMA22:WMB31 WVW22:WVX31 O65558:P65567 JK65558:JL65567 TG65558:TH65567 ADC65558:ADD65567 AMY65558:AMZ65567 AWU65558:AWV65567 BGQ65558:BGR65567 BQM65558:BQN65567 CAI65558:CAJ65567 CKE65558:CKF65567 CUA65558:CUB65567 DDW65558:DDX65567 DNS65558:DNT65567 DXO65558:DXP65567 EHK65558:EHL65567 ERG65558:ERH65567 FBC65558:FBD65567 FKY65558:FKZ65567 FUU65558:FUV65567 GEQ65558:GER65567 GOM65558:GON65567 GYI65558:GYJ65567 HIE65558:HIF65567 HSA65558:HSB65567 IBW65558:IBX65567 ILS65558:ILT65567 IVO65558:IVP65567 JFK65558:JFL65567 JPG65558:JPH65567 JZC65558:JZD65567 KIY65558:KIZ65567 KSU65558:KSV65567 LCQ65558:LCR65567 LMM65558:LMN65567 LWI65558:LWJ65567 MGE65558:MGF65567 MQA65558:MQB65567 MZW65558:MZX65567 NJS65558:NJT65567 NTO65558:NTP65567 ODK65558:ODL65567 ONG65558:ONH65567 OXC65558:OXD65567 PGY65558:PGZ65567 PQU65558:PQV65567 QAQ65558:QAR65567 QKM65558:QKN65567 QUI65558:QUJ65567 REE65558:REF65567 ROA65558:ROB65567 RXW65558:RXX65567 SHS65558:SHT65567 SRO65558:SRP65567 TBK65558:TBL65567 TLG65558:TLH65567 TVC65558:TVD65567 UEY65558:UEZ65567 UOU65558:UOV65567 UYQ65558:UYR65567 VIM65558:VIN65567 VSI65558:VSJ65567 WCE65558:WCF65567 WMA65558:WMB65567 WVW65558:WVX65567 O131094:P131103 JK131094:JL131103 TG131094:TH131103 ADC131094:ADD131103 AMY131094:AMZ131103 AWU131094:AWV131103 BGQ131094:BGR131103 BQM131094:BQN131103 CAI131094:CAJ131103 CKE131094:CKF131103 CUA131094:CUB131103 DDW131094:DDX131103 DNS131094:DNT131103 DXO131094:DXP131103 EHK131094:EHL131103 ERG131094:ERH131103 FBC131094:FBD131103 FKY131094:FKZ131103 FUU131094:FUV131103 GEQ131094:GER131103 GOM131094:GON131103 GYI131094:GYJ131103 HIE131094:HIF131103 HSA131094:HSB131103 IBW131094:IBX131103 ILS131094:ILT131103 IVO131094:IVP131103 JFK131094:JFL131103 JPG131094:JPH131103 JZC131094:JZD131103 KIY131094:KIZ131103 KSU131094:KSV131103 LCQ131094:LCR131103 LMM131094:LMN131103 LWI131094:LWJ131103 MGE131094:MGF131103 MQA131094:MQB131103 MZW131094:MZX131103 NJS131094:NJT131103 NTO131094:NTP131103 ODK131094:ODL131103 ONG131094:ONH131103 OXC131094:OXD131103 PGY131094:PGZ131103 PQU131094:PQV131103 QAQ131094:QAR131103 QKM131094:QKN131103 QUI131094:QUJ131103 REE131094:REF131103 ROA131094:ROB131103 RXW131094:RXX131103 SHS131094:SHT131103 SRO131094:SRP131103 TBK131094:TBL131103 TLG131094:TLH131103 TVC131094:TVD131103 UEY131094:UEZ131103 UOU131094:UOV131103 UYQ131094:UYR131103 VIM131094:VIN131103 VSI131094:VSJ131103 WCE131094:WCF131103 WMA131094:WMB131103 WVW131094:WVX131103 O196630:P196639 JK196630:JL196639 TG196630:TH196639 ADC196630:ADD196639 AMY196630:AMZ196639 AWU196630:AWV196639 BGQ196630:BGR196639 BQM196630:BQN196639 CAI196630:CAJ196639 CKE196630:CKF196639 CUA196630:CUB196639 DDW196630:DDX196639 DNS196630:DNT196639 DXO196630:DXP196639 EHK196630:EHL196639 ERG196630:ERH196639 FBC196630:FBD196639 FKY196630:FKZ196639 FUU196630:FUV196639 GEQ196630:GER196639 GOM196630:GON196639 GYI196630:GYJ196639 HIE196630:HIF196639 HSA196630:HSB196639 IBW196630:IBX196639 ILS196630:ILT196639 IVO196630:IVP196639 JFK196630:JFL196639 JPG196630:JPH196639 JZC196630:JZD196639 KIY196630:KIZ196639 KSU196630:KSV196639 LCQ196630:LCR196639 LMM196630:LMN196639 LWI196630:LWJ196639 MGE196630:MGF196639 MQA196630:MQB196639 MZW196630:MZX196639 NJS196630:NJT196639 NTO196630:NTP196639 ODK196630:ODL196639 ONG196630:ONH196639 OXC196630:OXD196639 PGY196630:PGZ196639 PQU196630:PQV196639 QAQ196630:QAR196639 QKM196630:QKN196639 QUI196630:QUJ196639 REE196630:REF196639 ROA196630:ROB196639 RXW196630:RXX196639 SHS196630:SHT196639 SRO196630:SRP196639 TBK196630:TBL196639 TLG196630:TLH196639 TVC196630:TVD196639 UEY196630:UEZ196639 UOU196630:UOV196639 UYQ196630:UYR196639 VIM196630:VIN196639 VSI196630:VSJ196639 WCE196630:WCF196639 WMA196630:WMB196639 WVW196630:WVX196639 O262166:P262175 JK262166:JL262175 TG262166:TH262175 ADC262166:ADD262175 AMY262166:AMZ262175 AWU262166:AWV262175 BGQ262166:BGR262175 BQM262166:BQN262175 CAI262166:CAJ262175 CKE262166:CKF262175 CUA262166:CUB262175 DDW262166:DDX262175 DNS262166:DNT262175 DXO262166:DXP262175 EHK262166:EHL262175 ERG262166:ERH262175 FBC262166:FBD262175 FKY262166:FKZ262175 FUU262166:FUV262175 GEQ262166:GER262175 GOM262166:GON262175 GYI262166:GYJ262175 HIE262166:HIF262175 HSA262166:HSB262175 IBW262166:IBX262175 ILS262166:ILT262175 IVO262166:IVP262175 JFK262166:JFL262175 JPG262166:JPH262175 JZC262166:JZD262175 KIY262166:KIZ262175 KSU262166:KSV262175 LCQ262166:LCR262175 LMM262166:LMN262175 LWI262166:LWJ262175 MGE262166:MGF262175 MQA262166:MQB262175 MZW262166:MZX262175 NJS262166:NJT262175 NTO262166:NTP262175 ODK262166:ODL262175 ONG262166:ONH262175 OXC262166:OXD262175 PGY262166:PGZ262175 PQU262166:PQV262175 QAQ262166:QAR262175 QKM262166:QKN262175 QUI262166:QUJ262175 REE262166:REF262175 ROA262166:ROB262175 RXW262166:RXX262175 SHS262166:SHT262175 SRO262166:SRP262175 TBK262166:TBL262175 TLG262166:TLH262175 TVC262166:TVD262175 UEY262166:UEZ262175 UOU262166:UOV262175 UYQ262166:UYR262175 VIM262166:VIN262175 VSI262166:VSJ262175 WCE262166:WCF262175 WMA262166:WMB262175 WVW262166:WVX262175 O327702:P327711 JK327702:JL327711 TG327702:TH327711 ADC327702:ADD327711 AMY327702:AMZ327711 AWU327702:AWV327711 BGQ327702:BGR327711 BQM327702:BQN327711 CAI327702:CAJ327711 CKE327702:CKF327711 CUA327702:CUB327711 DDW327702:DDX327711 DNS327702:DNT327711 DXO327702:DXP327711 EHK327702:EHL327711 ERG327702:ERH327711 FBC327702:FBD327711 FKY327702:FKZ327711 FUU327702:FUV327711 GEQ327702:GER327711 GOM327702:GON327711 GYI327702:GYJ327711 HIE327702:HIF327711 HSA327702:HSB327711 IBW327702:IBX327711 ILS327702:ILT327711 IVO327702:IVP327711 JFK327702:JFL327711 JPG327702:JPH327711 JZC327702:JZD327711 KIY327702:KIZ327711 KSU327702:KSV327711 LCQ327702:LCR327711 LMM327702:LMN327711 LWI327702:LWJ327711 MGE327702:MGF327711 MQA327702:MQB327711 MZW327702:MZX327711 NJS327702:NJT327711 NTO327702:NTP327711 ODK327702:ODL327711 ONG327702:ONH327711 OXC327702:OXD327711 PGY327702:PGZ327711 PQU327702:PQV327711 QAQ327702:QAR327711 QKM327702:QKN327711 QUI327702:QUJ327711 REE327702:REF327711 ROA327702:ROB327711 RXW327702:RXX327711 SHS327702:SHT327711 SRO327702:SRP327711 TBK327702:TBL327711 TLG327702:TLH327711 TVC327702:TVD327711 UEY327702:UEZ327711 UOU327702:UOV327711 UYQ327702:UYR327711 VIM327702:VIN327711 VSI327702:VSJ327711 WCE327702:WCF327711 WMA327702:WMB327711 WVW327702:WVX327711 O393238:P393247 JK393238:JL393247 TG393238:TH393247 ADC393238:ADD393247 AMY393238:AMZ393247 AWU393238:AWV393247 BGQ393238:BGR393247 BQM393238:BQN393247 CAI393238:CAJ393247 CKE393238:CKF393247 CUA393238:CUB393247 DDW393238:DDX393247 DNS393238:DNT393247 DXO393238:DXP393247 EHK393238:EHL393247 ERG393238:ERH393247 FBC393238:FBD393247 FKY393238:FKZ393247 FUU393238:FUV393247 GEQ393238:GER393247 GOM393238:GON393247 GYI393238:GYJ393247 HIE393238:HIF393247 HSA393238:HSB393247 IBW393238:IBX393247 ILS393238:ILT393247 IVO393238:IVP393247 JFK393238:JFL393247 JPG393238:JPH393247 JZC393238:JZD393247 KIY393238:KIZ393247 KSU393238:KSV393247 LCQ393238:LCR393247 LMM393238:LMN393247 LWI393238:LWJ393247 MGE393238:MGF393247 MQA393238:MQB393247 MZW393238:MZX393247 NJS393238:NJT393247 NTO393238:NTP393247 ODK393238:ODL393247 ONG393238:ONH393247 OXC393238:OXD393247 PGY393238:PGZ393247 PQU393238:PQV393247 QAQ393238:QAR393247 QKM393238:QKN393247 QUI393238:QUJ393247 REE393238:REF393247 ROA393238:ROB393247 RXW393238:RXX393247 SHS393238:SHT393247 SRO393238:SRP393247 TBK393238:TBL393247 TLG393238:TLH393247 TVC393238:TVD393247 UEY393238:UEZ393247 UOU393238:UOV393247 UYQ393238:UYR393247 VIM393238:VIN393247 VSI393238:VSJ393247 WCE393238:WCF393247 WMA393238:WMB393247 WVW393238:WVX393247 O458774:P458783 JK458774:JL458783 TG458774:TH458783 ADC458774:ADD458783 AMY458774:AMZ458783 AWU458774:AWV458783 BGQ458774:BGR458783 BQM458774:BQN458783 CAI458774:CAJ458783 CKE458774:CKF458783 CUA458774:CUB458783 DDW458774:DDX458783 DNS458774:DNT458783 DXO458774:DXP458783 EHK458774:EHL458783 ERG458774:ERH458783 FBC458774:FBD458783 FKY458774:FKZ458783 FUU458774:FUV458783 GEQ458774:GER458783 GOM458774:GON458783 GYI458774:GYJ458783 HIE458774:HIF458783 HSA458774:HSB458783 IBW458774:IBX458783 ILS458774:ILT458783 IVO458774:IVP458783 JFK458774:JFL458783 JPG458774:JPH458783 JZC458774:JZD458783 KIY458774:KIZ458783 KSU458774:KSV458783 LCQ458774:LCR458783 LMM458774:LMN458783 LWI458774:LWJ458783 MGE458774:MGF458783 MQA458774:MQB458783 MZW458774:MZX458783 NJS458774:NJT458783 NTO458774:NTP458783 ODK458774:ODL458783 ONG458774:ONH458783 OXC458774:OXD458783 PGY458774:PGZ458783 PQU458774:PQV458783 QAQ458774:QAR458783 QKM458774:QKN458783 QUI458774:QUJ458783 REE458774:REF458783 ROA458774:ROB458783 RXW458774:RXX458783 SHS458774:SHT458783 SRO458774:SRP458783 TBK458774:TBL458783 TLG458774:TLH458783 TVC458774:TVD458783 UEY458774:UEZ458783 UOU458774:UOV458783 UYQ458774:UYR458783 VIM458774:VIN458783 VSI458774:VSJ458783 WCE458774:WCF458783 WMA458774:WMB458783 WVW458774:WVX458783 O524310:P524319 JK524310:JL524319 TG524310:TH524319 ADC524310:ADD524319 AMY524310:AMZ524319 AWU524310:AWV524319 BGQ524310:BGR524319 BQM524310:BQN524319 CAI524310:CAJ524319 CKE524310:CKF524319 CUA524310:CUB524319 DDW524310:DDX524319 DNS524310:DNT524319 DXO524310:DXP524319 EHK524310:EHL524319 ERG524310:ERH524319 FBC524310:FBD524319 FKY524310:FKZ524319 FUU524310:FUV524319 GEQ524310:GER524319 GOM524310:GON524319 GYI524310:GYJ524319 HIE524310:HIF524319 HSA524310:HSB524319 IBW524310:IBX524319 ILS524310:ILT524319 IVO524310:IVP524319 JFK524310:JFL524319 JPG524310:JPH524319 JZC524310:JZD524319 KIY524310:KIZ524319 KSU524310:KSV524319 LCQ524310:LCR524319 LMM524310:LMN524319 LWI524310:LWJ524319 MGE524310:MGF524319 MQA524310:MQB524319 MZW524310:MZX524319 NJS524310:NJT524319 NTO524310:NTP524319 ODK524310:ODL524319 ONG524310:ONH524319 OXC524310:OXD524319 PGY524310:PGZ524319 PQU524310:PQV524319 QAQ524310:QAR524319 QKM524310:QKN524319 QUI524310:QUJ524319 REE524310:REF524319 ROA524310:ROB524319 RXW524310:RXX524319 SHS524310:SHT524319 SRO524310:SRP524319 TBK524310:TBL524319 TLG524310:TLH524319 TVC524310:TVD524319 UEY524310:UEZ524319 UOU524310:UOV524319 UYQ524310:UYR524319 VIM524310:VIN524319 VSI524310:VSJ524319 WCE524310:WCF524319 WMA524310:WMB524319 WVW524310:WVX524319 O589846:P589855 JK589846:JL589855 TG589846:TH589855 ADC589846:ADD589855 AMY589846:AMZ589855 AWU589846:AWV589855 BGQ589846:BGR589855 BQM589846:BQN589855 CAI589846:CAJ589855 CKE589846:CKF589855 CUA589846:CUB589855 DDW589846:DDX589855 DNS589846:DNT589855 DXO589846:DXP589855 EHK589846:EHL589855 ERG589846:ERH589855 FBC589846:FBD589855 FKY589846:FKZ589855 FUU589846:FUV589855 GEQ589846:GER589855 GOM589846:GON589855 GYI589846:GYJ589855 HIE589846:HIF589855 HSA589846:HSB589855 IBW589846:IBX589855 ILS589846:ILT589855 IVO589846:IVP589855 JFK589846:JFL589855 JPG589846:JPH589855 JZC589846:JZD589855 KIY589846:KIZ589855 KSU589846:KSV589855 LCQ589846:LCR589855 LMM589846:LMN589855 LWI589846:LWJ589855 MGE589846:MGF589855 MQA589846:MQB589855 MZW589846:MZX589855 NJS589846:NJT589855 NTO589846:NTP589855 ODK589846:ODL589855 ONG589846:ONH589855 OXC589846:OXD589855 PGY589846:PGZ589855 PQU589846:PQV589855 QAQ589846:QAR589855 QKM589846:QKN589855 QUI589846:QUJ589855 REE589846:REF589855 ROA589846:ROB589855 RXW589846:RXX589855 SHS589846:SHT589855 SRO589846:SRP589855 TBK589846:TBL589855 TLG589846:TLH589855 TVC589846:TVD589855 UEY589846:UEZ589855 UOU589846:UOV589855 UYQ589846:UYR589855 VIM589846:VIN589855 VSI589846:VSJ589855 WCE589846:WCF589855 WMA589846:WMB589855 WVW589846:WVX589855 O655382:P655391 JK655382:JL655391 TG655382:TH655391 ADC655382:ADD655391 AMY655382:AMZ655391 AWU655382:AWV655391 BGQ655382:BGR655391 BQM655382:BQN655391 CAI655382:CAJ655391 CKE655382:CKF655391 CUA655382:CUB655391 DDW655382:DDX655391 DNS655382:DNT655391 DXO655382:DXP655391 EHK655382:EHL655391 ERG655382:ERH655391 FBC655382:FBD655391 FKY655382:FKZ655391 FUU655382:FUV655391 GEQ655382:GER655391 GOM655382:GON655391 GYI655382:GYJ655391 HIE655382:HIF655391 HSA655382:HSB655391 IBW655382:IBX655391 ILS655382:ILT655391 IVO655382:IVP655391 JFK655382:JFL655391 JPG655382:JPH655391 JZC655382:JZD655391 KIY655382:KIZ655391 KSU655382:KSV655391 LCQ655382:LCR655391 LMM655382:LMN655391 LWI655382:LWJ655391 MGE655382:MGF655391 MQA655382:MQB655391 MZW655382:MZX655391 NJS655382:NJT655391 NTO655382:NTP655391 ODK655382:ODL655391 ONG655382:ONH655391 OXC655382:OXD655391 PGY655382:PGZ655391 PQU655382:PQV655391 QAQ655382:QAR655391 QKM655382:QKN655391 QUI655382:QUJ655391 REE655382:REF655391 ROA655382:ROB655391 RXW655382:RXX655391 SHS655382:SHT655391 SRO655382:SRP655391 TBK655382:TBL655391 TLG655382:TLH655391 TVC655382:TVD655391 UEY655382:UEZ655391 UOU655382:UOV655391 UYQ655382:UYR655391 VIM655382:VIN655391 VSI655382:VSJ655391 WCE655382:WCF655391 WMA655382:WMB655391 WVW655382:WVX655391 O720918:P720927 JK720918:JL720927 TG720918:TH720927 ADC720918:ADD720927 AMY720918:AMZ720927 AWU720918:AWV720927 BGQ720918:BGR720927 BQM720918:BQN720927 CAI720918:CAJ720927 CKE720918:CKF720927 CUA720918:CUB720927 DDW720918:DDX720927 DNS720918:DNT720927 DXO720918:DXP720927 EHK720918:EHL720927 ERG720918:ERH720927 FBC720918:FBD720927 FKY720918:FKZ720927 FUU720918:FUV720927 GEQ720918:GER720927 GOM720918:GON720927 GYI720918:GYJ720927 HIE720918:HIF720927 HSA720918:HSB720927 IBW720918:IBX720927 ILS720918:ILT720927 IVO720918:IVP720927 JFK720918:JFL720927 JPG720918:JPH720927 JZC720918:JZD720927 KIY720918:KIZ720927 KSU720918:KSV720927 LCQ720918:LCR720927 LMM720918:LMN720927 LWI720918:LWJ720927 MGE720918:MGF720927 MQA720918:MQB720927 MZW720918:MZX720927 NJS720918:NJT720927 NTO720918:NTP720927 ODK720918:ODL720927 ONG720918:ONH720927 OXC720918:OXD720927 PGY720918:PGZ720927 PQU720918:PQV720927 QAQ720918:QAR720927 QKM720918:QKN720927 QUI720918:QUJ720927 REE720918:REF720927 ROA720918:ROB720927 RXW720918:RXX720927 SHS720918:SHT720927 SRO720918:SRP720927 TBK720918:TBL720927 TLG720918:TLH720927 TVC720918:TVD720927 UEY720918:UEZ720927 UOU720918:UOV720927 UYQ720918:UYR720927 VIM720918:VIN720927 VSI720918:VSJ720927 WCE720918:WCF720927 WMA720918:WMB720927 WVW720918:WVX720927 O786454:P786463 JK786454:JL786463 TG786454:TH786463 ADC786454:ADD786463 AMY786454:AMZ786463 AWU786454:AWV786463 BGQ786454:BGR786463 BQM786454:BQN786463 CAI786454:CAJ786463 CKE786454:CKF786463 CUA786454:CUB786463 DDW786454:DDX786463 DNS786454:DNT786463 DXO786454:DXP786463 EHK786454:EHL786463 ERG786454:ERH786463 FBC786454:FBD786463 FKY786454:FKZ786463 FUU786454:FUV786463 GEQ786454:GER786463 GOM786454:GON786463 GYI786454:GYJ786463 HIE786454:HIF786463 HSA786454:HSB786463 IBW786454:IBX786463 ILS786454:ILT786463 IVO786454:IVP786463 JFK786454:JFL786463 JPG786454:JPH786463 JZC786454:JZD786463 KIY786454:KIZ786463 KSU786454:KSV786463 LCQ786454:LCR786463 LMM786454:LMN786463 LWI786454:LWJ786463 MGE786454:MGF786463 MQA786454:MQB786463 MZW786454:MZX786463 NJS786454:NJT786463 NTO786454:NTP786463 ODK786454:ODL786463 ONG786454:ONH786463 OXC786454:OXD786463 PGY786454:PGZ786463 PQU786454:PQV786463 QAQ786454:QAR786463 QKM786454:QKN786463 QUI786454:QUJ786463 REE786454:REF786463 ROA786454:ROB786463 RXW786454:RXX786463 SHS786454:SHT786463 SRO786454:SRP786463 TBK786454:TBL786463 TLG786454:TLH786463 TVC786454:TVD786463 UEY786454:UEZ786463 UOU786454:UOV786463 UYQ786454:UYR786463 VIM786454:VIN786463 VSI786454:VSJ786463 WCE786454:WCF786463 WMA786454:WMB786463 WVW786454:WVX786463 O851990:P851999 JK851990:JL851999 TG851990:TH851999 ADC851990:ADD851999 AMY851990:AMZ851999 AWU851990:AWV851999 BGQ851990:BGR851999 BQM851990:BQN851999 CAI851990:CAJ851999 CKE851990:CKF851999 CUA851990:CUB851999 DDW851990:DDX851999 DNS851990:DNT851999 DXO851990:DXP851999 EHK851990:EHL851999 ERG851990:ERH851999 FBC851990:FBD851999 FKY851990:FKZ851999 FUU851990:FUV851999 GEQ851990:GER851999 GOM851990:GON851999 GYI851990:GYJ851999 HIE851990:HIF851999 HSA851990:HSB851999 IBW851990:IBX851999 ILS851990:ILT851999 IVO851990:IVP851999 JFK851990:JFL851999 JPG851990:JPH851999 JZC851990:JZD851999 KIY851990:KIZ851999 KSU851990:KSV851999 LCQ851990:LCR851999 LMM851990:LMN851999 LWI851990:LWJ851999 MGE851990:MGF851999 MQA851990:MQB851999 MZW851990:MZX851999 NJS851990:NJT851999 NTO851990:NTP851999 ODK851990:ODL851999 ONG851990:ONH851999 OXC851990:OXD851999 PGY851990:PGZ851999 PQU851990:PQV851999 QAQ851990:QAR851999 QKM851990:QKN851999 QUI851990:QUJ851999 REE851990:REF851999 ROA851990:ROB851999 RXW851990:RXX851999 SHS851990:SHT851999 SRO851990:SRP851999 TBK851990:TBL851999 TLG851990:TLH851999 TVC851990:TVD851999 UEY851990:UEZ851999 UOU851990:UOV851999 UYQ851990:UYR851999 VIM851990:VIN851999 VSI851990:VSJ851999 WCE851990:WCF851999 WMA851990:WMB851999 WVW851990:WVX851999 O917526:P917535 JK917526:JL917535 TG917526:TH917535 ADC917526:ADD917535 AMY917526:AMZ917535 AWU917526:AWV917535 BGQ917526:BGR917535 BQM917526:BQN917535 CAI917526:CAJ917535 CKE917526:CKF917535 CUA917526:CUB917535 DDW917526:DDX917535 DNS917526:DNT917535 DXO917526:DXP917535 EHK917526:EHL917535 ERG917526:ERH917535 FBC917526:FBD917535 FKY917526:FKZ917535 FUU917526:FUV917535 GEQ917526:GER917535 GOM917526:GON917535 GYI917526:GYJ917535 HIE917526:HIF917535 HSA917526:HSB917535 IBW917526:IBX917535 ILS917526:ILT917535 IVO917526:IVP917535 JFK917526:JFL917535 JPG917526:JPH917535 JZC917526:JZD917535 KIY917526:KIZ917535 KSU917526:KSV917535 LCQ917526:LCR917535 LMM917526:LMN917535 LWI917526:LWJ917535 MGE917526:MGF917535 MQA917526:MQB917535 MZW917526:MZX917535 NJS917526:NJT917535 NTO917526:NTP917535 ODK917526:ODL917535 ONG917526:ONH917535 OXC917526:OXD917535 PGY917526:PGZ917535 PQU917526:PQV917535 QAQ917526:QAR917535 QKM917526:QKN917535 QUI917526:QUJ917535 REE917526:REF917535 ROA917526:ROB917535 RXW917526:RXX917535 SHS917526:SHT917535 SRO917526:SRP917535 TBK917526:TBL917535 TLG917526:TLH917535 TVC917526:TVD917535 UEY917526:UEZ917535 UOU917526:UOV917535 UYQ917526:UYR917535 VIM917526:VIN917535 VSI917526:VSJ917535 WCE917526:WCF917535 WMA917526:WMB917535 WVW917526:WVX917535 O983062:P983071 JK983062:JL983071 TG983062:TH983071 ADC983062:ADD983071 AMY983062:AMZ983071 AWU983062:AWV983071 BGQ983062:BGR983071 BQM983062:BQN983071 CAI983062:CAJ983071 CKE983062:CKF983071 CUA983062:CUB983071 DDW983062:DDX983071 DNS983062:DNT983071 DXO983062:DXP983071 EHK983062:EHL983071 ERG983062:ERH983071 FBC983062:FBD983071 FKY983062:FKZ983071 FUU983062:FUV983071 GEQ983062:GER983071 GOM983062:GON983071 GYI983062:GYJ983071 HIE983062:HIF983071 HSA983062:HSB983071 IBW983062:IBX983071 ILS983062:ILT983071 IVO983062:IVP983071 JFK983062:JFL983071 JPG983062:JPH983071 JZC983062:JZD983071 KIY983062:KIZ983071 KSU983062:KSV983071 LCQ983062:LCR983071 LMM983062:LMN983071 LWI983062:LWJ983071 MGE983062:MGF983071 MQA983062:MQB983071 MZW983062:MZX983071 NJS983062:NJT983071 NTO983062:NTP983071 ODK983062:ODL983071 ONG983062:ONH983071 OXC983062:OXD983071 PGY983062:PGZ983071 PQU983062:PQV983071 QAQ983062:QAR983071 QKM983062:QKN983071 QUI983062:QUJ983071 REE983062:REF983071 ROA983062:ROB983071 RXW983062:RXX983071 SHS983062:SHT983071 SRO983062:SRP983071 TBK983062:TBL983071 TLG983062:TLH983071 TVC983062:TVD983071 UEY983062:UEZ983071 UOU983062:UOV983071 UYQ983062:UYR983071 VIM983062:VIN983071 VSI983062:VSJ983071 WCE983062:WCF983071 WMA983062:WMB983071 WVW983062:WVX983071 O33:P33 JK33:JL33 TG33:TH33 ADC33:ADD33 AMY33:AMZ33 AWU33:AWV33 BGQ33:BGR33 BQM33:BQN33 CAI33:CAJ33 CKE33:CKF33 CUA33:CUB33 DDW33:DDX33 DNS33:DNT33 DXO33:DXP33 EHK33:EHL33 ERG33:ERH33 FBC33:FBD33 FKY33:FKZ33 FUU33:FUV33 GEQ33:GER33 GOM33:GON33 GYI33:GYJ33 HIE33:HIF33 HSA33:HSB33 IBW33:IBX33 ILS33:ILT33 IVO33:IVP33 JFK33:JFL33 JPG33:JPH33 JZC33:JZD33 KIY33:KIZ33 KSU33:KSV33 LCQ33:LCR33 LMM33:LMN33 LWI33:LWJ33 MGE33:MGF33 MQA33:MQB33 MZW33:MZX33 NJS33:NJT33 NTO33:NTP33 ODK33:ODL33 ONG33:ONH33 OXC33:OXD33 PGY33:PGZ33 PQU33:PQV33 QAQ33:QAR33 QKM33:QKN33 QUI33:QUJ33 REE33:REF33 ROA33:ROB33 RXW33:RXX33 SHS33:SHT33 SRO33:SRP33 TBK33:TBL33 TLG33:TLH33 TVC33:TVD33 UEY33:UEZ33 UOU33:UOV33 UYQ33:UYR33 VIM33:VIN33 VSI33:VSJ33 WCE33:WCF33 WMA33:WMB33 WVW33:WVX33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O35:P37 JK35:JL37 TG35:TH37 ADC35:ADD37 AMY35:AMZ37 AWU35:AWV37 BGQ35:BGR37 BQM35:BQN37 CAI35:CAJ37 CKE35:CKF37 CUA35:CUB37 DDW35:DDX37 DNS35:DNT37 DXO35:DXP37 EHK35:EHL37 ERG35:ERH37 FBC35:FBD37 FKY35:FKZ37 FUU35:FUV37 GEQ35:GER37 GOM35:GON37 GYI35:GYJ37 HIE35:HIF37 HSA35:HSB37 IBW35:IBX37 ILS35:ILT37 IVO35:IVP37 JFK35:JFL37 JPG35:JPH37 JZC35:JZD37 KIY35:KIZ37 KSU35:KSV37 LCQ35:LCR37 LMM35:LMN37 LWI35:LWJ37 MGE35:MGF37 MQA35:MQB37 MZW35:MZX37 NJS35:NJT37 NTO35:NTP37 ODK35:ODL37 ONG35:ONH37 OXC35:OXD37 PGY35:PGZ37 PQU35:PQV37 QAQ35:QAR37 QKM35:QKN37 QUI35:QUJ37 REE35:REF37 ROA35:ROB37 RXW35:RXX37 SHS35:SHT37 SRO35:SRP37 TBK35:TBL37 TLG35:TLH37 TVC35:TVD37 UEY35:UEZ37 UOU35:UOV37 UYQ35:UYR37 VIM35:VIN37 VSI35:VSJ37 WCE35:WCF37 WMA35:WMB37 WVW35:WVX37 O65571:P65573 JK65571:JL65573 TG65571:TH65573 ADC65571:ADD65573 AMY65571:AMZ65573 AWU65571:AWV65573 BGQ65571:BGR65573 BQM65571:BQN65573 CAI65571:CAJ65573 CKE65571:CKF65573 CUA65571:CUB65573 DDW65571:DDX65573 DNS65571:DNT65573 DXO65571:DXP65573 EHK65571:EHL65573 ERG65571:ERH65573 FBC65571:FBD65573 FKY65571:FKZ65573 FUU65571:FUV65573 GEQ65571:GER65573 GOM65571:GON65573 GYI65571:GYJ65573 HIE65571:HIF65573 HSA65571:HSB65573 IBW65571:IBX65573 ILS65571:ILT65573 IVO65571:IVP65573 JFK65571:JFL65573 JPG65571:JPH65573 JZC65571:JZD65573 KIY65571:KIZ65573 KSU65571:KSV65573 LCQ65571:LCR65573 LMM65571:LMN65573 LWI65571:LWJ65573 MGE65571:MGF65573 MQA65571:MQB65573 MZW65571:MZX65573 NJS65571:NJT65573 NTO65571:NTP65573 ODK65571:ODL65573 ONG65571:ONH65573 OXC65571:OXD65573 PGY65571:PGZ65573 PQU65571:PQV65573 QAQ65571:QAR65573 QKM65571:QKN65573 QUI65571:QUJ65573 REE65571:REF65573 ROA65571:ROB65573 RXW65571:RXX65573 SHS65571:SHT65573 SRO65571:SRP65573 TBK65571:TBL65573 TLG65571:TLH65573 TVC65571:TVD65573 UEY65571:UEZ65573 UOU65571:UOV65573 UYQ65571:UYR65573 VIM65571:VIN65573 VSI65571:VSJ65573 WCE65571:WCF65573 WMA65571:WMB65573 WVW65571:WVX65573 O131107:P131109 JK131107:JL131109 TG131107:TH131109 ADC131107:ADD131109 AMY131107:AMZ131109 AWU131107:AWV131109 BGQ131107:BGR131109 BQM131107:BQN131109 CAI131107:CAJ131109 CKE131107:CKF131109 CUA131107:CUB131109 DDW131107:DDX131109 DNS131107:DNT131109 DXO131107:DXP131109 EHK131107:EHL131109 ERG131107:ERH131109 FBC131107:FBD131109 FKY131107:FKZ131109 FUU131107:FUV131109 GEQ131107:GER131109 GOM131107:GON131109 GYI131107:GYJ131109 HIE131107:HIF131109 HSA131107:HSB131109 IBW131107:IBX131109 ILS131107:ILT131109 IVO131107:IVP131109 JFK131107:JFL131109 JPG131107:JPH131109 JZC131107:JZD131109 KIY131107:KIZ131109 KSU131107:KSV131109 LCQ131107:LCR131109 LMM131107:LMN131109 LWI131107:LWJ131109 MGE131107:MGF131109 MQA131107:MQB131109 MZW131107:MZX131109 NJS131107:NJT131109 NTO131107:NTP131109 ODK131107:ODL131109 ONG131107:ONH131109 OXC131107:OXD131109 PGY131107:PGZ131109 PQU131107:PQV131109 QAQ131107:QAR131109 QKM131107:QKN131109 QUI131107:QUJ131109 REE131107:REF131109 ROA131107:ROB131109 RXW131107:RXX131109 SHS131107:SHT131109 SRO131107:SRP131109 TBK131107:TBL131109 TLG131107:TLH131109 TVC131107:TVD131109 UEY131107:UEZ131109 UOU131107:UOV131109 UYQ131107:UYR131109 VIM131107:VIN131109 VSI131107:VSJ131109 WCE131107:WCF131109 WMA131107:WMB131109 WVW131107:WVX131109 O196643:P196645 JK196643:JL196645 TG196643:TH196645 ADC196643:ADD196645 AMY196643:AMZ196645 AWU196643:AWV196645 BGQ196643:BGR196645 BQM196643:BQN196645 CAI196643:CAJ196645 CKE196643:CKF196645 CUA196643:CUB196645 DDW196643:DDX196645 DNS196643:DNT196645 DXO196643:DXP196645 EHK196643:EHL196645 ERG196643:ERH196645 FBC196643:FBD196645 FKY196643:FKZ196645 FUU196643:FUV196645 GEQ196643:GER196645 GOM196643:GON196645 GYI196643:GYJ196645 HIE196643:HIF196645 HSA196643:HSB196645 IBW196643:IBX196645 ILS196643:ILT196645 IVO196643:IVP196645 JFK196643:JFL196645 JPG196643:JPH196645 JZC196643:JZD196645 KIY196643:KIZ196645 KSU196643:KSV196645 LCQ196643:LCR196645 LMM196643:LMN196645 LWI196643:LWJ196645 MGE196643:MGF196645 MQA196643:MQB196645 MZW196643:MZX196645 NJS196643:NJT196645 NTO196643:NTP196645 ODK196643:ODL196645 ONG196643:ONH196645 OXC196643:OXD196645 PGY196643:PGZ196645 PQU196643:PQV196645 QAQ196643:QAR196645 QKM196643:QKN196645 QUI196643:QUJ196645 REE196643:REF196645 ROA196643:ROB196645 RXW196643:RXX196645 SHS196643:SHT196645 SRO196643:SRP196645 TBK196643:TBL196645 TLG196643:TLH196645 TVC196643:TVD196645 UEY196643:UEZ196645 UOU196643:UOV196645 UYQ196643:UYR196645 VIM196643:VIN196645 VSI196643:VSJ196645 WCE196643:WCF196645 WMA196643:WMB196645 WVW196643:WVX196645 O262179:P262181 JK262179:JL262181 TG262179:TH262181 ADC262179:ADD262181 AMY262179:AMZ262181 AWU262179:AWV262181 BGQ262179:BGR262181 BQM262179:BQN262181 CAI262179:CAJ262181 CKE262179:CKF262181 CUA262179:CUB262181 DDW262179:DDX262181 DNS262179:DNT262181 DXO262179:DXP262181 EHK262179:EHL262181 ERG262179:ERH262181 FBC262179:FBD262181 FKY262179:FKZ262181 FUU262179:FUV262181 GEQ262179:GER262181 GOM262179:GON262181 GYI262179:GYJ262181 HIE262179:HIF262181 HSA262179:HSB262181 IBW262179:IBX262181 ILS262179:ILT262181 IVO262179:IVP262181 JFK262179:JFL262181 JPG262179:JPH262181 JZC262179:JZD262181 KIY262179:KIZ262181 KSU262179:KSV262181 LCQ262179:LCR262181 LMM262179:LMN262181 LWI262179:LWJ262181 MGE262179:MGF262181 MQA262179:MQB262181 MZW262179:MZX262181 NJS262179:NJT262181 NTO262179:NTP262181 ODK262179:ODL262181 ONG262179:ONH262181 OXC262179:OXD262181 PGY262179:PGZ262181 PQU262179:PQV262181 QAQ262179:QAR262181 QKM262179:QKN262181 QUI262179:QUJ262181 REE262179:REF262181 ROA262179:ROB262181 RXW262179:RXX262181 SHS262179:SHT262181 SRO262179:SRP262181 TBK262179:TBL262181 TLG262179:TLH262181 TVC262179:TVD262181 UEY262179:UEZ262181 UOU262179:UOV262181 UYQ262179:UYR262181 VIM262179:VIN262181 VSI262179:VSJ262181 WCE262179:WCF262181 WMA262179:WMB262181 WVW262179:WVX262181 O327715:P327717 JK327715:JL327717 TG327715:TH327717 ADC327715:ADD327717 AMY327715:AMZ327717 AWU327715:AWV327717 BGQ327715:BGR327717 BQM327715:BQN327717 CAI327715:CAJ327717 CKE327715:CKF327717 CUA327715:CUB327717 DDW327715:DDX327717 DNS327715:DNT327717 DXO327715:DXP327717 EHK327715:EHL327717 ERG327715:ERH327717 FBC327715:FBD327717 FKY327715:FKZ327717 FUU327715:FUV327717 GEQ327715:GER327717 GOM327715:GON327717 GYI327715:GYJ327717 HIE327715:HIF327717 HSA327715:HSB327717 IBW327715:IBX327717 ILS327715:ILT327717 IVO327715:IVP327717 JFK327715:JFL327717 JPG327715:JPH327717 JZC327715:JZD327717 KIY327715:KIZ327717 KSU327715:KSV327717 LCQ327715:LCR327717 LMM327715:LMN327717 LWI327715:LWJ327717 MGE327715:MGF327717 MQA327715:MQB327717 MZW327715:MZX327717 NJS327715:NJT327717 NTO327715:NTP327717 ODK327715:ODL327717 ONG327715:ONH327717 OXC327715:OXD327717 PGY327715:PGZ327717 PQU327715:PQV327717 QAQ327715:QAR327717 QKM327715:QKN327717 QUI327715:QUJ327717 REE327715:REF327717 ROA327715:ROB327717 RXW327715:RXX327717 SHS327715:SHT327717 SRO327715:SRP327717 TBK327715:TBL327717 TLG327715:TLH327717 TVC327715:TVD327717 UEY327715:UEZ327717 UOU327715:UOV327717 UYQ327715:UYR327717 VIM327715:VIN327717 VSI327715:VSJ327717 WCE327715:WCF327717 WMA327715:WMB327717 WVW327715:WVX327717 O393251:P393253 JK393251:JL393253 TG393251:TH393253 ADC393251:ADD393253 AMY393251:AMZ393253 AWU393251:AWV393253 BGQ393251:BGR393253 BQM393251:BQN393253 CAI393251:CAJ393253 CKE393251:CKF393253 CUA393251:CUB393253 DDW393251:DDX393253 DNS393251:DNT393253 DXO393251:DXP393253 EHK393251:EHL393253 ERG393251:ERH393253 FBC393251:FBD393253 FKY393251:FKZ393253 FUU393251:FUV393253 GEQ393251:GER393253 GOM393251:GON393253 GYI393251:GYJ393253 HIE393251:HIF393253 HSA393251:HSB393253 IBW393251:IBX393253 ILS393251:ILT393253 IVO393251:IVP393253 JFK393251:JFL393253 JPG393251:JPH393253 JZC393251:JZD393253 KIY393251:KIZ393253 KSU393251:KSV393253 LCQ393251:LCR393253 LMM393251:LMN393253 LWI393251:LWJ393253 MGE393251:MGF393253 MQA393251:MQB393253 MZW393251:MZX393253 NJS393251:NJT393253 NTO393251:NTP393253 ODK393251:ODL393253 ONG393251:ONH393253 OXC393251:OXD393253 PGY393251:PGZ393253 PQU393251:PQV393253 QAQ393251:QAR393253 QKM393251:QKN393253 QUI393251:QUJ393253 REE393251:REF393253 ROA393251:ROB393253 RXW393251:RXX393253 SHS393251:SHT393253 SRO393251:SRP393253 TBK393251:TBL393253 TLG393251:TLH393253 TVC393251:TVD393253 UEY393251:UEZ393253 UOU393251:UOV393253 UYQ393251:UYR393253 VIM393251:VIN393253 VSI393251:VSJ393253 WCE393251:WCF393253 WMA393251:WMB393253 WVW393251:WVX393253 O458787:P458789 JK458787:JL458789 TG458787:TH458789 ADC458787:ADD458789 AMY458787:AMZ458789 AWU458787:AWV458789 BGQ458787:BGR458789 BQM458787:BQN458789 CAI458787:CAJ458789 CKE458787:CKF458789 CUA458787:CUB458789 DDW458787:DDX458789 DNS458787:DNT458789 DXO458787:DXP458789 EHK458787:EHL458789 ERG458787:ERH458789 FBC458787:FBD458789 FKY458787:FKZ458789 FUU458787:FUV458789 GEQ458787:GER458789 GOM458787:GON458789 GYI458787:GYJ458789 HIE458787:HIF458789 HSA458787:HSB458789 IBW458787:IBX458789 ILS458787:ILT458789 IVO458787:IVP458789 JFK458787:JFL458789 JPG458787:JPH458789 JZC458787:JZD458789 KIY458787:KIZ458789 KSU458787:KSV458789 LCQ458787:LCR458789 LMM458787:LMN458789 LWI458787:LWJ458789 MGE458787:MGF458789 MQA458787:MQB458789 MZW458787:MZX458789 NJS458787:NJT458789 NTO458787:NTP458789 ODK458787:ODL458789 ONG458787:ONH458789 OXC458787:OXD458789 PGY458787:PGZ458789 PQU458787:PQV458789 QAQ458787:QAR458789 QKM458787:QKN458789 QUI458787:QUJ458789 REE458787:REF458789 ROA458787:ROB458789 RXW458787:RXX458789 SHS458787:SHT458789 SRO458787:SRP458789 TBK458787:TBL458789 TLG458787:TLH458789 TVC458787:TVD458789 UEY458787:UEZ458789 UOU458787:UOV458789 UYQ458787:UYR458789 VIM458787:VIN458789 VSI458787:VSJ458789 WCE458787:WCF458789 WMA458787:WMB458789 WVW458787:WVX458789 O524323:P524325 JK524323:JL524325 TG524323:TH524325 ADC524323:ADD524325 AMY524323:AMZ524325 AWU524323:AWV524325 BGQ524323:BGR524325 BQM524323:BQN524325 CAI524323:CAJ524325 CKE524323:CKF524325 CUA524323:CUB524325 DDW524323:DDX524325 DNS524323:DNT524325 DXO524323:DXP524325 EHK524323:EHL524325 ERG524323:ERH524325 FBC524323:FBD524325 FKY524323:FKZ524325 FUU524323:FUV524325 GEQ524323:GER524325 GOM524323:GON524325 GYI524323:GYJ524325 HIE524323:HIF524325 HSA524323:HSB524325 IBW524323:IBX524325 ILS524323:ILT524325 IVO524323:IVP524325 JFK524323:JFL524325 JPG524323:JPH524325 JZC524323:JZD524325 KIY524323:KIZ524325 KSU524323:KSV524325 LCQ524323:LCR524325 LMM524323:LMN524325 LWI524323:LWJ524325 MGE524323:MGF524325 MQA524323:MQB524325 MZW524323:MZX524325 NJS524323:NJT524325 NTO524323:NTP524325 ODK524323:ODL524325 ONG524323:ONH524325 OXC524323:OXD524325 PGY524323:PGZ524325 PQU524323:PQV524325 QAQ524323:QAR524325 QKM524323:QKN524325 QUI524323:QUJ524325 REE524323:REF524325 ROA524323:ROB524325 RXW524323:RXX524325 SHS524323:SHT524325 SRO524323:SRP524325 TBK524323:TBL524325 TLG524323:TLH524325 TVC524323:TVD524325 UEY524323:UEZ524325 UOU524323:UOV524325 UYQ524323:UYR524325 VIM524323:VIN524325 VSI524323:VSJ524325 WCE524323:WCF524325 WMA524323:WMB524325 WVW524323:WVX524325 O589859:P589861 JK589859:JL589861 TG589859:TH589861 ADC589859:ADD589861 AMY589859:AMZ589861 AWU589859:AWV589861 BGQ589859:BGR589861 BQM589859:BQN589861 CAI589859:CAJ589861 CKE589859:CKF589861 CUA589859:CUB589861 DDW589859:DDX589861 DNS589859:DNT589861 DXO589859:DXP589861 EHK589859:EHL589861 ERG589859:ERH589861 FBC589859:FBD589861 FKY589859:FKZ589861 FUU589859:FUV589861 GEQ589859:GER589861 GOM589859:GON589861 GYI589859:GYJ589861 HIE589859:HIF589861 HSA589859:HSB589861 IBW589859:IBX589861 ILS589859:ILT589861 IVO589859:IVP589861 JFK589859:JFL589861 JPG589859:JPH589861 JZC589859:JZD589861 KIY589859:KIZ589861 KSU589859:KSV589861 LCQ589859:LCR589861 LMM589859:LMN589861 LWI589859:LWJ589861 MGE589859:MGF589861 MQA589859:MQB589861 MZW589859:MZX589861 NJS589859:NJT589861 NTO589859:NTP589861 ODK589859:ODL589861 ONG589859:ONH589861 OXC589859:OXD589861 PGY589859:PGZ589861 PQU589859:PQV589861 QAQ589859:QAR589861 QKM589859:QKN589861 QUI589859:QUJ589861 REE589859:REF589861 ROA589859:ROB589861 RXW589859:RXX589861 SHS589859:SHT589861 SRO589859:SRP589861 TBK589859:TBL589861 TLG589859:TLH589861 TVC589859:TVD589861 UEY589859:UEZ589861 UOU589859:UOV589861 UYQ589859:UYR589861 VIM589859:VIN589861 VSI589859:VSJ589861 WCE589859:WCF589861 WMA589859:WMB589861 WVW589859:WVX589861 O655395:P655397 JK655395:JL655397 TG655395:TH655397 ADC655395:ADD655397 AMY655395:AMZ655397 AWU655395:AWV655397 BGQ655395:BGR655397 BQM655395:BQN655397 CAI655395:CAJ655397 CKE655395:CKF655397 CUA655395:CUB655397 DDW655395:DDX655397 DNS655395:DNT655397 DXO655395:DXP655397 EHK655395:EHL655397 ERG655395:ERH655397 FBC655395:FBD655397 FKY655395:FKZ655397 FUU655395:FUV655397 GEQ655395:GER655397 GOM655395:GON655397 GYI655395:GYJ655397 HIE655395:HIF655397 HSA655395:HSB655397 IBW655395:IBX655397 ILS655395:ILT655397 IVO655395:IVP655397 JFK655395:JFL655397 JPG655395:JPH655397 JZC655395:JZD655397 KIY655395:KIZ655397 KSU655395:KSV655397 LCQ655395:LCR655397 LMM655395:LMN655397 LWI655395:LWJ655397 MGE655395:MGF655397 MQA655395:MQB655397 MZW655395:MZX655397 NJS655395:NJT655397 NTO655395:NTP655397 ODK655395:ODL655397 ONG655395:ONH655397 OXC655395:OXD655397 PGY655395:PGZ655397 PQU655395:PQV655397 QAQ655395:QAR655397 QKM655395:QKN655397 QUI655395:QUJ655397 REE655395:REF655397 ROA655395:ROB655397 RXW655395:RXX655397 SHS655395:SHT655397 SRO655395:SRP655397 TBK655395:TBL655397 TLG655395:TLH655397 TVC655395:TVD655397 UEY655395:UEZ655397 UOU655395:UOV655397 UYQ655395:UYR655397 VIM655395:VIN655397 VSI655395:VSJ655397 WCE655395:WCF655397 WMA655395:WMB655397 WVW655395:WVX655397 O720931:P720933 JK720931:JL720933 TG720931:TH720933 ADC720931:ADD720933 AMY720931:AMZ720933 AWU720931:AWV720933 BGQ720931:BGR720933 BQM720931:BQN720933 CAI720931:CAJ720933 CKE720931:CKF720933 CUA720931:CUB720933 DDW720931:DDX720933 DNS720931:DNT720933 DXO720931:DXP720933 EHK720931:EHL720933 ERG720931:ERH720933 FBC720931:FBD720933 FKY720931:FKZ720933 FUU720931:FUV720933 GEQ720931:GER720933 GOM720931:GON720933 GYI720931:GYJ720933 HIE720931:HIF720933 HSA720931:HSB720933 IBW720931:IBX720933 ILS720931:ILT720933 IVO720931:IVP720933 JFK720931:JFL720933 JPG720931:JPH720933 JZC720931:JZD720933 KIY720931:KIZ720933 KSU720931:KSV720933 LCQ720931:LCR720933 LMM720931:LMN720933 LWI720931:LWJ720933 MGE720931:MGF720933 MQA720931:MQB720933 MZW720931:MZX720933 NJS720931:NJT720933 NTO720931:NTP720933 ODK720931:ODL720933 ONG720931:ONH720933 OXC720931:OXD720933 PGY720931:PGZ720933 PQU720931:PQV720933 QAQ720931:QAR720933 QKM720931:QKN720933 QUI720931:QUJ720933 REE720931:REF720933 ROA720931:ROB720933 RXW720931:RXX720933 SHS720931:SHT720933 SRO720931:SRP720933 TBK720931:TBL720933 TLG720931:TLH720933 TVC720931:TVD720933 UEY720931:UEZ720933 UOU720931:UOV720933 UYQ720931:UYR720933 VIM720931:VIN720933 VSI720931:VSJ720933 WCE720931:WCF720933 WMA720931:WMB720933 WVW720931:WVX720933 O786467:P786469 JK786467:JL786469 TG786467:TH786469 ADC786467:ADD786469 AMY786467:AMZ786469 AWU786467:AWV786469 BGQ786467:BGR786469 BQM786467:BQN786469 CAI786467:CAJ786469 CKE786467:CKF786469 CUA786467:CUB786469 DDW786467:DDX786469 DNS786467:DNT786469 DXO786467:DXP786469 EHK786467:EHL786469 ERG786467:ERH786469 FBC786467:FBD786469 FKY786467:FKZ786469 FUU786467:FUV786469 GEQ786467:GER786469 GOM786467:GON786469 GYI786467:GYJ786469 HIE786467:HIF786469 HSA786467:HSB786469 IBW786467:IBX786469 ILS786467:ILT786469 IVO786467:IVP786469 JFK786467:JFL786469 JPG786467:JPH786469 JZC786467:JZD786469 KIY786467:KIZ786469 KSU786467:KSV786469 LCQ786467:LCR786469 LMM786467:LMN786469 LWI786467:LWJ786469 MGE786467:MGF786469 MQA786467:MQB786469 MZW786467:MZX786469 NJS786467:NJT786469 NTO786467:NTP786469 ODK786467:ODL786469 ONG786467:ONH786469 OXC786467:OXD786469 PGY786467:PGZ786469 PQU786467:PQV786469 QAQ786467:QAR786469 QKM786467:QKN786469 QUI786467:QUJ786469 REE786467:REF786469 ROA786467:ROB786469 RXW786467:RXX786469 SHS786467:SHT786469 SRO786467:SRP786469 TBK786467:TBL786469 TLG786467:TLH786469 TVC786467:TVD786469 UEY786467:UEZ786469 UOU786467:UOV786469 UYQ786467:UYR786469 VIM786467:VIN786469 VSI786467:VSJ786469 WCE786467:WCF786469 WMA786467:WMB786469 WVW786467:WVX786469 O852003:P852005 JK852003:JL852005 TG852003:TH852005 ADC852003:ADD852005 AMY852003:AMZ852005 AWU852003:AWV852005 BGQ852003:BGR852005 BQM852003:BQN852005 CAI852003:CAJ852005 CKE852003:CKF852005 CUA852003:CUB852005 DDW852003:DDX852005 DNS852003:DNT852005 DXO852003:DXP852005 EHK852003:EHL852005 ERG852003:ERH852005 FBC852003:FBD852005 FKY852003:FKZ852005 FUU852003:FUV852005 GEQ852003:GER852005 GOM852003:GON852005 GYI852003:GYJ852005 HIE852003:HIF852005 HSA852003:HSB852005 IBW852003:IBX852005 ILS852003:ILT852005 IVO852003:IVP852005 JFK852003:JFL852005 JPG852003:JPH852005 JZC852003:JZD852005 KIY852003:KIZ852005 KSU852003:KSV852005 LCQ852003:LCR852005 LMM852003:LMN852005 LWI852003:LWJ852005 MGE852003:MGF852005 MQA852003:MQB852005 MZW852003:MZX852005 NJS852003:NJT852005 NTO852003:NTP852005 ODK852003:ODL852005 ONG852003:ONH852005 OXC852003:OXD852005 PGY852003:PGZ852005 PQU852003:PQV852005 QAQ852003:QAR852005 QKM852003:QKN852005 QUI852003:QUJ852005 REE852003:REF852005 ROA852003:ROB852005 RXW852003:RXX852005 SHS852003:SHT852005 SRO852003:SRP852005 TBK852003:TBL852005 TLG852003:TLH852005 TVC852003:TVD852005 UEY852003:UEZ852005 UOU852003:UOV852005 UYQ852003:UYR852005 VIM852003:VIN852005 VSI852003:VSJ852005 WCE852003:WCF852005 WMA852003:WMB852005 WVW852003:WVX852005 O917539:P917541 JK917539:JL917541 TG917539:TH917541 ADC917539:ADD917541 AMY917539:AMZ917541 AWU917539:AWV917541 BGQ917539:BGR917541 BQM917539:BQN917541 CAI917539:CAJ917541 CKE917539:CKF917541 CUA917539:CUB917541 DDW917539:DDX917541 DNS917539:DNT917541 DXO917539:DXP917541 EHK917539:EHL917541 ERG917539:ERH917541 FBC917539:FBD917541 FKY917539:FKZ917541 FUU917539:FUV917541 GEQ917539:GER917541 GOM917539:GON917541 GYI917539:GYJ917541 HIE917539:HIF917541 HSA917539:HSB917541 IBW917539:IBX917541 ILS917539:ILT917541 IVO917539:IVP917541 JFK917539:JFL917541 JPG917539:JPH917541 JZC917539:JZD917541 KIY917539:KIZ917541 KSU917539:KSV917541 LCQ917539:LCR917541 LMM917539:LMN917541 LWI917539:LWJ917541 MGE917539:MGF917541 MQA917539:MQB917541 MZW917539:MZX917541 NJS917539:NJT917541 NTO917539:NTP917541 ODK917539:ODL917541 ONG917539:ONH917541 OXC917539:OXD917541 PGY917539:PGZ917541 PQU917539:PQV917541 QAQ917539:QAR917541 QKM917539:QKN917541 QUI917539:QUJ917541 REE917539:REF917541 ROA917539:ROB917541 RXW917539:RXX917541 SHS917539:SHT917541 SRO917539:SRP917541 TBK917539:TBL917541 TLG917539:TLH917541 TVC917539:TVD917541 UEY917539:UEZ917541 UOU917539:UOV917541 UYQ917539:UYR917541 VIM917539:VIN917541 VSI917539:VSJ917541 WCE917539:WCF917541 WMA917539:WMB917541 WVW917539:WVX917541 O983075:P983077 JK983075:JL983077 TG983075:TH983077 ADC983075:ADD983077 AMY983075:AMZ983077 AWU983075:AWV983077 BGQ983075:BGR983077 BQM983075:BQN983077 CAI983075:CAJ983077 CKE983075:CKF983077 CUA983075:CUB983077 DDW983075:DDX983077 DNS983075:DNT983077 DXO983075:DXP983077 EHK983075:EHL983077 ERG983075:ERH983077 FBC983075:FBD983077 FKY983075:FKZ983077 FUU983075:FUV983077 GEQ983075:GER983077 GOM983075:GON983077 GYI983075:GYJ983077 HIE983075:HIF983077 HSA983075:HSB983077 IBW983075:IBX983077 ILS983075:ILT983077 IVO983075:IVP983077 JFK983075:JFL983077 JPG983075:JPH983077 JZC983075:JZD983077 KIY983075:KIZ983077 KSU983075:KSV983077 LCQ983075:LCR983077 LMM983075:LMN983077 LWI983075:LWJ983077 MGE983075:MGF983077 MQA983075:MQB983077 MZW983075:MZX983077 NJS983075:NJT983077 NTO983075:NTP983077 ODK983075:ODL983077 ONG983075:ONH983077 OXC983075:OXD983077 PGY983075:PGZ983077 PQU983075:PQV983077 QAQ983075:QAR983077 QKM983075:QKN983077 QUI983075:QUJ983077 REE983075:REF983077 ROA983075:ROB983077 RXW983075:RXX983077 SHS983075:SHT983077 SRO983075:SRP983077 TBK983075:TBL983077 TLG983075:TLH983077 TVC983075:TVD983077 UEY983075:UEZ983077 UOU983075:UOV983077 UYQ983075:UYR983077 VIM983075:VIN983077 VSI983075:VSJ983077 WCE983075:WCF983077 WMA983075:WMB983077 WVW983075:WVX983077 O39:P43 JK39:JL43 TG39:TH43 ADC39:ADD43 AMY39:AMZ43 AWU39:AWV43 BGQ39:BGR43 BQM39:BQN43 CAI39:CAJ43 CKE39:CKF43 CUA39:CUB43 DDW39:DDX43 DNS39:DNT43 DXO39:DXP43 EHK39:EHL43 ERG39:ERH43 FBC39:FBD43 FKY39:FKZ43 FUU39:FUV43 GEQ39:GER43 GOM39:GON43 GYI39:GYJ43 HIE39:HIF43 HSA39:HSB43 IBW39:IBX43 ILS39:ILT43 IVO39:IVP43 JFK39:JFL43 JPG39:JPH43 JZC39:JZD43 KIY39:KIZ43 KSU39:KSV43 LCQ39:LCR43 LMM39:LMN43 LWI39:LWJ43 MGE39:MGF43 MQA39:MQB43 MZW39:MZX43 NJS39:NJT43 NTO39:NTP43 ODK39:ODL43 ONG39:ONH43 OXC39:OXD43 PGY39:PGZ43 PQU39:PQV43 QAQ39:QAR43 QKM39:QKN43 QUI39:QUJ43 REE39:REF43 ROA39:ROB43 RXW39:RXX43 SHS39:SHT43 SRO39:SRP43 TBK39:TBL43 TLG39:TLH43 TVC39:TVD43 UEY39:UEZ43 UOU39:UOV43 UYQ39:UYR43 VIM39:VIN43 VSI39:VSJ43 WCE39:WCF43 WMA39:WMB43 WVW39:WVX43 O65575:P65579 JK65575:JL65579 TG65575:TH65579 ADC65575:ADD65579 AMY65575:AMZ65579 AWU65575:AWV65579 BGQ65575:BGR65579 BQM65575:BQN65579 CAI65575:CAJ65579 CKE65575:CKF65579 CUA65575:CUB65579 DDW65575:DDX65579 DNS65575:DNT65579 DXO65575:DXP65579 EHK65575:EHL65579 ERG65575:ERH65579 FBC65575:FBD65579 FKY65575:FKZ65579 FUU65575:FUV65579 GEQ65575:GER65579 GOM65575:GON65579 GYI65575:GYJ65579 HIE65575:HIF65579 HSA65575:HSB65579 IBW65575:IBX65579 ILS65575:ILT65579 IVO65575:IVP65579 JFK65575:JFL65579 JPG65575:JPH65579 JZC65575:JZD65579 KIY65575:KIZ65579 KSU65575:KSV65579 LCQ65575:LCR65579 LMM65575:LMN65579 LWI65575:LWJ65579 MGE65575:MGF65579 MQA65575:MQB65579 MZW65575:MZX65579 NJS65575:NJT65579 NTO65575:NTP65579 ODK65575:ODL65579 ONG65575:ONH65579 OXC65575:OXD65579 PGY65575:PGZ65579 PQU65575:PQV65579 QAQ65575:QAR65579 QKM65575:QKN65579 QUI65575:QUJ65579 REE65575:REF65579 ROA65575:ROB65579 RXW65575:RXX65579 SHS65575:SHT65579 SRO65575:SRP65579 TBK65575:TBL65579 TLG65575:TLH65579 TVC65575:TVD65579 UEY65575:UEZ65579 UOU65575:UOV65579 UYQ65575:UYR65579 VIM65575:VIN65579 VSI65575:VSJ65579 WCE65575:WCF65579 WMA65575:WMB65579 WVW65575:WVX65579 O131111:P131115 JK131111:JL131115 TG131111:TH131115 ADC131111:ADD131115 AMY131111:AMZ131115 AWU131111:AWV131115 BGQ131111:BGR131115 BQM131111:BQN131115 CAI131111:CAJ131115 CKE131111:CKF131115 CUA131111:CUB131115 DDW131111:DDX131115 DNS131111:DNT131115 DXO131111:DXP131115 EHK131111:EHL131115 ERG131111:ERH131115 FBC131111:FBD131115 FKY131111:FKZ131115 FUU131111:FUV131115 GEQ131111:GER131115 GOM131111:GON131115 GYI131111:GYJ131115 HIE131111:HIF131115 HSA131111:HSB131115 IBW131111:IBX131115 ILS131111:ILT131115 IVO131111:IVP131115 JFK131111:JFL131115 JPG131111:JPH131115 JZC131111:JZD131115 KIY131111:KIZ131115 KSU131111:KSV131115 LCQ131111:LCR131115 LMM131111:LMN131115 LWI131111:LWJ131115 MGE131111:MGF131115 MQA131111:MQB131115 MZW131111:MZX131115 NJS131111:NJT131115 NTO131111:NTP131115 ODK131111:ODL131115 ONG131111:ONH131115 OXC131111:OXD131115 PGY131111:PGZ131115 PQU131111:PQV131115 QAQ131111:QAR131115 QKM131111:QKN131115 QUI131111:QUJ131115 REE131111:REF131115 ROA131111:ROB131115 RXW131111:RXX131115 SHS131111:SHT131115 SRO131111:SRP131115 TBK131111:TBL131115 TLG131111:TLH131115 TVC131111:TVD131115 UEY131111:UEZ131115 UOU131111:UOV131115 UYQ131111:UYR131115 VIM131111:VIN131115 VSI131111:VSJ131115 WCE131111:WCF131115 WMA131111:WMB131115 WVW131111:WVX131115 O196647:P196651 JK196647:JL196651 TG196647:TH196651 ADC196647:ADD196651 AMY196647:AMZ196651 AWU196647:AWV196651 BGQ196647:BGR196651 BQM196647:BQN196651 CAI196647:CAJ196651 CKE196647:CKF196651 CUA196647:CUB196651 DDW196647:DDX196651 DNS196647:DNT196651 DXO196647:DXP196651 EHK196647:EHL196651 ERG196647:ERH196651 FBC196647:FBD196651 FKY196647:FKZ196651 FUU196647:FUV196651 GEQ196647:GER196651 GOM196647:GON196651 GYI196647:GYJ196651 HIE196647:HIF196651 HSA196647:HSB196651 IBW196647:IBX196651 ILS196647:ILT196651 IVO196647:IVP196651 JFK196647:JFL196651 JPG196647:JPH196651 JZC196647:JZD196651 KIY196647:KIZ196651 KSU196647:KSV196651 LCQ196647:LCR196651 LMM196647:LMN196651 LWI196647:LWJ196651 MGE196647:MGF196651 MQA196647:MQB196651 MZW196647:MZX196651 NJS196647:NJT196651 NTO196647:NTP196651 ODK196647:ODL196651 ONG196647:ONH196651 OXC196647:OXD196651 PGY196647:PGZ196651 PQU196647:PQV196651 QAQ196647:QAR196651 QKM196647:QKN196651 QUI196647:QUJ196651 REE196647:REF196651 ROA196647:ROB196651 RXW196647:RXX196651 SHS196647:SHT196651 SRO196647:SRP196651 TBK196647:TBL196651 TLG196647:TLH196651 TVC196647:TVD196651 UEY196647:UEZ196651 UOU196647:UOV196651 UYQ196647:UYR196651 VIM196647:VIN196651 VSI196647:VSJ196651 WCE196647:WCF196651 WMA196647:WMB196651 WVW196647:WVX196651 O262183:P262187 JK262183:JL262187 TG262183:TH262187 ADC262183:ADD262187 AMY262183:AMZ262187 AWU262183:AWV262187 BGQ262183:BGR262187 BQM262183:BQN262187 CAI262183:CAJ262187 CKE262183:CKF262187 CUA262183:CUB262187 DDW262183:DDX262187 DNS262183:DNT262187 DXO262183:DXP262187 EHK262183:EHL262187 ERG262183:ERH262187 FBC262183:FBD262187 FKY262183:FKZ262187 FUU262183:FUV262187 GEQ262183:GER262187 GOM262183:GON262187 GYI262183:GYJ262187 HIE262183:HIF262187 HSA262183:HSB262187 IBW262183:IBX262187 ILS262183:ILT262187 IVO262183:IVP262187 JFK262183:JFL262187 JPG262183:JPH262187 JZC262183:JZD262187 KIY262183:KIZ262187 KSU262183:KSV262187 LCQ262183:LCR262187 LMM262183:LMN262187 LWI262183:LWJ262187 MGE262183:MGF262187 MQA262183:MQB262187 MZW262183:MZX262187 NJS262183:NJT262187 NTO262183:NTP262187 ODK262183:ODL262187 ONG262183:ONH262187 OXC262183:OXD262187 PGY262183:PGZ262187 PQU262183:PQV262187 QAQ262183:QAR262187 QKM262183:QKN262187 QUI262183:QUJ262187 REE262183:REF262187 ROA262183:ROB262187 RXW262183:RXX262187 SHS262183:SHT262187 SRO262183:SRP262187 TBK262183:TBL262187 TLG262183:TLH262187 TVC262183:TVD262187 UEY262183:UEZ262187 UOU262183:UOV262187 UYQ262183:UYR262187 VIM262183:VIN262187 VSI262183:VSJ262187 WCE262183:WCF262187 WMA262183:WMB262187 WVW262183:WVX262187 O327719:P327723 JK327719:JL327723 TG327719:TH327723 ADC327719:ADD327723 AMY327719:AMZ327723 AWU327719:AWV327723 BGQ327719:BGR327723 BQM327719:BQN327723 CAI327719:CAJ327723 CKE327719:CKF327723 CUA327719:CUB327723 DDW327719:DDX327723 DNS327719:DNT327723 DXO327719:DXP327723 EHK327719:EHL327723 ERG327719:ERH327723 FBC327719:FBD327723 FKY327719:FKZ327723 FUU327719:FUV327723 GEQ327719:GER327723 GOM327719:GON327723 GYI327719:GYJ327723 HIE327719:HIF327723 HSA327719:HSB327723 IBW327719:IBX327723 ILS327719:ILT327723 IVO327719:IVP327723 JFK327719:JFL327723 JPG327719:JPH327723 JZC327719:JZD327723 KIY327719:KIZ327723 KSU327719:KSV327723 LCQ327719:LCR327723 LMM327719:LMN327723 LWI327719:LWJ327723 MGE327719:MGF327723 MQA327719:MQB327723 MZW327719:MZX327723 NJS327719:NJT327723 NTO327719:NTP327723 ODK327719:ODL327723 ONG327719:ONH327723 OXC327719:OXD327723 PGY327719:PGZ327723 PQU327719:PQV327723 QAQ327719:QAR327723 QKM327719:QKN327723 QUI327719:QUJ327723 REE327719:REF327723 ROA327719:ROB327723 RXW327719:RXX327723 SHS327719:SHT327723 SRO327719:SRP327723 TBK327719:TBL327723 TLG327719:TLH327723 TVC327719:TVD327723 UEY327719:UEZ327723 UOU327719:UOV327723 UYQ327719:UYR327723 VIM327719:VIN327723 VSI327719:VSJ327723 WCE327719:WCF327723 WMA327719:WMB327723 WVW327719:WVX327723 O393255:P393259 JK393255:JL393259 TG393255:TH393259 ADC393255:ADD393259 AMY393255:AMZ393259 AWU393255:AWV393259 BGQ393255:BGR393259 BQM393255:BQN393259 CAI393255:CAJ393259 CKE393255:CKF393259 CUA393255:CUB393259 DDW393255:DDX393259 DNS393255:DNT393259 DXO393255:DXP393259 EHK393255:EHL393259 ERG393255:ERH393259 FBC393255:FBD393259 FKY393255:FKZ393259 FUU393255:FUV393259 GEQ393255:GER393259 GOM393255:GON393259 GYI393255:GYJ393259 HIE393255:HIF393259 HSA393255:HSB393259 IBW393255:IBX393259 ILS393255:ILT393259 IVO393255:IVP393259 JFK393255:JFL393259 JPG393255:JPH393259 JZC393255:JZD393259 KIY393255:KIZ393259 KSU393255:KSV393259 LCQ393255:LCR393259 LMM393255:LMN393259 LWI393255:LWJ393259 MGE393255:MGF393259 MQA393255:MQB393259 MZW393255:MZX393259 NJS393255:NJT393259 NTO393255:NTP393259 ODK393255:ODL393259 ONG393255:ONH393259 OXC393255:OXD393259 PGY393255:PGZ393259 PQU393255:PQV393259 QAQ393255:QAR393259 QKM393255:QKN393259 QUI393255:QUJ393259 REE393255:REF393259 ROA393255:ROB393259 RXW393255:RXX393259 SHS393255:SHT393259 SRO393255:SRP393259 TBK393255:TBL393259 TLG393255:TLH393259 TVC393255:TVD393259 UEY393255:UEZ393259 UOU393255:UOV393259 UYQ393255:UYR393259 VIM393255:VIN393259 VSI393255:VSJ393259 WCE393255:WCF393259 WMA393255:WMB393259 WVW393255:WVX393259 O458791:P458795 JK458791:JL458795 TG458791:TH458795 ADC458791:ADD458795 AMY458791:AMZ458795 AWU458791:AWV458795 BGQ458791:BGR458795 BQM458791:BQN458795 CAI458791:CAJ458795 CKE458791:CKF458795 CUA458791:CUB458795 DDW458791:DDX458795 DNS458791:DNT458795 DXO458791:DXP458795 EHK458791:EHL458795 ERG458791:ERH458795 FBC458791:FBD458795 FKY458791:FKZ458795 FUU458791:FUV458795 GEQ458791:GER458795 GOM458791:GON458795 GYI458791:GYJ458795 HIE458791:HIF458795 HSA458791:HSB458795 IBW458791:IBX458795 ILS458791:ILT458795 IVO458791:IVP458795 JFK458791:JFL458795 JPG458791:JPH458795 JZC458791:JZD458795 KIY458791:KIZ458795 KSU458791:KSV458795 LCQ458791:LCR458795 LMM458791:LMN458795 LWI458791:LWJ458795 MGE458791:MGF458795 MQA458791:MQB458795 MZW458791:MZX458795 NJS458791:NJT458795 NTO458791:NTP458795 ODK458791:ODL458795 ONG458791:ONH458795 OXC458791:OXD458795 PGY458791:PGZ458795 PQU458791:PQV458795 QAQ458791:QAR458795 QKM458791:QKN458795 QUI458791:QUJ458795 REE458791:REF458795 ROA458791:ROB458795 RXW458791:RXX458795 SHS458791:SHT458795 SRO458791:SRP458795 TBK458791:TBL458795 TLG458791:TLH458795 TVC458791:TVD458795 UEY458791:UEZ458795 UOU458791:UOV458795 UYQ458791:UYR458795 VIM458791:VIN458795 VSI458791:VSJ458795 WCE458791:WCF458795 WMA458791:WMB458795 WVW458791:WVX458795 O524327:P524331 JK524327:JL524331 TG524327:TH524331 ADC524327:ADD524331 AMY524327:AMZ524331 AWU524327:AWV524331 BGQ524327:BGR524331 BQM524327:BQN524331 CAI524327:CAJ524331 CKE524327:CKF524331 CUA524327:CUB524331 DDW524327:DDX524331 DNS524327:DNT524331 DXO524327:DXP524331 EHK524327:EHL524331 ERG524327:ERH524331 FBC524327:FBD524331 FKY524327:FKZ524331 FUU524327:FUV524331 GEQ524327:GER524331 GOM524327:GON524331 GYI524327:GYJ524331 HIE524327:HIF524331 HSA524327:HSB524331 IBW524327:IBX524331 ILS524327:ILT524331 IVO524327:IVP524331 JFK524327:JFL524331 JPG524327:JPH524331 JZC524327:JZD524331 KIY524327:KIZ524331 KSU524327:KSV524331 LCQ524327:LCR524331 LMM524327:LMN524331 LWI524327:LWJ524331 MGE524327:MGF524331 MQA524327:MQB524331 MZW524327:MZX524331 NJS524327:NJT524331 NTO524327:NTP524331 ODK524327:ODL524331 ONG524327:ONH524331 OXC524327:OXD524331 PGY524327:PGZ524331 PQU524327:PQV524331 QAQ524327:QAR524331 QKM524327:QKN524331 QUI524327:QUJ524331 REE524327:REF524331 ROA524327:ROB524331 RXW524327:RXX524331 SHS524327:SHT524331 SRO524327:SRP524331 TBK524327:TBL524331 TLG524327:TLH524331 TVC524327:TVD524331 UEY524327:UEZ524331 UOU524327:UOV524331 UYQ524327:UYR524331 VIM524327:VIN524331 VSI524327:VSJ524331 WCE524327:WCF524331 WMA524327:WMB524331 WVW524327:WVX524331 O589863:P589867 JK589863:JL589867 TG589863:TH589867 ADC589863:ADD589867 AMY589863:AMZ589867 AWU589863:AWV589867 BGQ589863:BGR589867 BQM589863:BQN589867 CAI589863:CAJ589867 CKE589863:CKF589867 CUA589863:CUB589867 DDW589863:DDX589867 DNS589863:DNT589867 DXO589863:DXP589867 EHK589863:EHL589867 ERG589863:ERH589867 FBC589863:FBD589867 FKY589863:FKZ589867 FUU589863:FUV589867 GEQ589863:GER589867 GOM589863:GON589867 GYI589863:GYJ589867 HIE589863:HIF589867 HSA589863:HSB589867 IBW589863:IBX589867 ILS589863:ILT589867 IVO589863:IVP589867 JFK589863:JFL589867 JPG589863:JPH589867 JZC589863:JZD589867 KIY589863:KIZ589867 KSU589863:KSV589867 LCQ589863:LCR589867 LMM589863:LMN589867 LWI589863:LWJ589867 MGE589863:MGF589867 MQA589863:MQB589867 MZW589863:MZX589867 NJS589863:NJT589867 NTO589863:NTP589867 ODK589863:ODL589867 ONG589863:ONH589867 OXC589863:OXD589867 PGY589863:PGZ589867 PQU589863:PQV589867 QAQ589863:QAR589867 QKM589863:QKN589867 QUI589863:QUJ589867 REE589863:REF589867 ROA589863:ROB589867 RXW589863:RXX589867 SHS589863:SHT589867 SRO589863:SRP589867 TBK589863:TBL589867 TLG589863:TLH589867 TVC589863:TVD589867 UEY589863:UEZ589867 UOU589863:UOV589867 UYQ589863:UYR589867 VIM589863:VIN589867 VSI589863:VSJ589867 WCE589863:WCF589867 WMA589863:WMB589867 WVW589863:WVX589867 O655399:P655403 JK655399:JL655403 TG655399:TH655403 ADC655399:ADD655403 AMY655399:AMZ655403 AWU655399:AWV655403 BGQ655399:BGR655403 BQM655399:BQN655403 CAI655399:CAJ655403 CKE655399:CKF655403 CUA655399:CUB655403 DDW655399:DDX655403 DNS655399:DNT655403 DXO655399:DXP655403 EHK655399:EHL655403 ERG655399:ERH655403 FBC655399:FBD655403 FKY655399:FKZ655403 FUU655399:FUV655403 GEQ655399:GER655403 GOM655399:GON655403 GYI655399:GYJ655403 HIE655399:HIF655403 HSA655399:HSB655403 IBW655399:IBX655403 ILS655399:ILT655403 IVO655399:IVP655403 JFK655399:JFL655403 JPG655399:JPH655403 JZC655399:JZD655403 KIY655399:KIZ655403 KSU655399:KSV655403 LCQ655399:LCR655403 LMM655399:LMN655403 LWI655399:LWJ655403 MGE655399:MGF655403 MQA655399:MQB655403 MZW655399:MZX655403 NJS655399:NJT655403 NTO655399:NTP655403 ODK655399:ODL655403 ONG655399:ONH655403 OXC655399:OXD655403 PGY655399:PGZ655403 PQU655399:PQV655403 QAQ655399:QAR655403 QKM655399:QKN655403 QUI655399:QUJ655403 REE655399:REF655403 ROA655399:ROB655403 RXW655399:RXX655403 SHS655399:SHT655403 SRO655399:SRP655403 TBK655399:TBL655403 TLG655399:TLH655403 TVC655399:TVD655403 UEY655399:UEZ655403 UOU655399:UOV655403 UYQ655399:UYR655403 VIM655399:VIN655403 VSI655399:VSJ655403 WCE655399:WCF655403 WMA655399:WMB655403 WVW655399:WVX655403 O720935:P720939 JK720935:JL720939 TG720935:TH720939 ADC720935:ADD720939 AMY720935:AMZ720939 AWU720935:AWV720939 BGQ720935:BGR720939 BQM720935:BQN720939 CAI720935:CAJ720939 CKE720935:CKF720939 CUA720935:CUB720939 DDW720935:DDX720939 DNS720935:DNT720939 DXO720935:DXP720939 EHK720935:EHL720939 ERG720935:ERH720939 FBC720935:FBD720939 FKY720935:FKZ720939 FUU720935:FUV720939 GEQ720935:GER720939 GOM720935:GON720939 GYI720935:GYJ720939 HIE720935:HIF720939 HSA720935:HSB720939 IBW720935:IBX720939 ILS720935:ILT720939 IVO720935:IVP720939 JFK720935:JFL720939 JPG720935:JPH720939 JZC720935:JZD720939 KIY720935:KIZ720939 KSU720935:KSV720939 LCQ720935:LCR720939 LMM720935:LMN720939 LWI720935:LWJ720939 MGE720935:MGF720939 MQA720935:MQB720939 MZW720935:MZX720939 NJS720935:NJT720939 NTO720935:NTP720939 ODK720935:ODL720939 ONG720935:ONH720939 OXC720935:OXD720939 PGY720935:PGZ720939 PQU720935:PQV720939 QAQ720935:QAR720939 QKM720935:QKN720939 QUI720935:QUJ720939 REE720935:REF720939 ROA720935:ROB720939 RXW720935:RXX720939 SHS720935:SHT720939 SRO720935:SRP720939 TBK720935:TBL720939 TLG720935:TLH720939 TVC720935:TVD720939 UEY720935:UEZ720939 UOU720935:UOV720939 UYQ720935:UYR720939 VIM720935:VIN720939 VSI720935:VSJ720939 WCE720935:WCF720939 WMA720935:WMB720939 WVW720935:WVX720939 O786471:P786475 JK786471:JL786475 TG786471:TH786475 ADC786471:ADD786475 AMY786471:AMZ786475 AWU786471:AWV786475 BGQ786471:BGR786475 BQM786471:BQN786475 CAI786471:CAJ786475 CKE786471:CKF786475 CUA786471:CUB786475 DDW786471:DDX786475 DNS786471:DNT786475 DXO786471:DXP786475 EHK786471:EHL786475 ERG786471:ERH786475 FBC786471:FBD786475 FKY786471:FKZ786475 FUU786471:FUV786475 GEQ786471:GER786475 GOM786471:GON786475 GYI786471:GYJ786475 HIE786471:HIF786475 HSA786471:HSB786475 IBW786471:IBX786475 ILS786471:ILT786475 IVO786471:IVP786475 JFK786471:JFL786475 JPG786471:JPH786475 JZC786471:JZD786475 KIY786471:KIZ786475 KSU786471:KSV786475 LCQ786471:LCR786475 LMM786471:LMN786475 LWI786471:LWJ786475 MGE786471:MGF786475 MQA786471:MQB786475 MZW786471:MZX786475 NJS786471:NJT786475 NTO786471:NTP786475 ODK786471:ODL786475 ONG786471:ONH786475 OXC786471:OXD786475 PGY786471:PGZ786475 PQU786471:PQV786475 QAQ786471:QAR786475 QKM786471:QKN786475 QUI786471:QUJ786475 REE786471:REF786475 ROA786471:ROB786475 RXW786471:RXX786475 SHS786471:SHT786475 SRO786471:SRP786475 TBK786471:TBL786475 TLG786471:TLH786475 TVC786471:TVD786475 UEY786471:UEZ786475 UOU786471:UOV786475 UYQ786471:UYR786475 VIM786471:VIN786475 VSI786471:VSJ786475 WCE786471:WCF786475 WMA786471:WMB786475 WVW786471:WVX786475 O852007:P852011 JK852007:JL852011 TG852007:TH852011 ADC852007:ADD852011 AMY852007:AMZ852011 AWU852007:AWV852011 BGQ852007:BGR852011 BQM852007:BQN852011 CAI852007:CAJ852011 CKE852007:CKF852011 CUA852007:CUB852011 DDW852007:DDX852011 DNS852007:DNT852011 DXO852007:DXP852011 EHK852007:EHL852011 ERG852007:ERH852011 FBC852007:FBD852011 FKY852007:FKZ852011 FUU852007:FUV852011 GEQ852007:GER852011 GOM852007:GON852011 GYI852007:GYJ852011 HIE852007:HIF852011 HSA852007:HSB852011 IBW852007:IBX852011 ILS852007:ILT852011 IVO852007:IVP852011 JFK852007:JFL852011 JPG852007:JPH852011 JZC852007:JZD852011 KIY852007:KIZ852011 KSU852007:KSV852011 LCQ852007:LCR852011 LMM852007:LMN852011 LWI852007:LWJ852011 MGE852007:MGF852011 MQA852007:MQB852011 MZW852007:MZX852011 NJS852007:NJT852011 NTO852007:NTP852011 ODK852007:ODL852011 ONG852007:ONH852011 OXC852007:OXD852011 PGY852007:PGZ852011 PQU852007:PQV852011 QAQ852007:QAR852011 QKM852007:QKN852011 QUI852007:QUJ852011 REE852007:REF852011 ROA852007:ROB852011 RXW852007:RXX852011 SHS852007:SHT852011 SRO852007:SRP852011 TBK852007:TBL852011 TLG852007:TLH852011 TVC852007:TVD852011 UEY852007:UEZ852011 UOU852007:UOV852011 UYQ852007:UYR852011 VIM852007:VIN852011 VSI852007:VSJ852011 WCE852007:WCF852011 WMA852007:WMB852011 WVW852007:WVX852011 O917543:P917547 JK917543:JL917547 TG917543:TH917547 ADC917543:ADD917547 AMY917543:AMZ917547 AWU917543:AWV917547 BGQ917543:BGR917547 BQM917543:BQN917547 CAI917543:CAJ917547 CKE917543:CKF917547 CUA917543:CUB917547 DDW917543:DDX917547 DNS917543:DNT917547 DXO917543:DXP917547 EHK917543:EHL917547 ERG917543:ERH917547 FBC917543:FBD917547 FKY917543:FKZ917547 FUU917543:FUV917547 GEQ917543:GER917547 GOM917543:GON917547 GYI917543:GYJ917547 HIE917543:HIF917547 HSA917543:HSB917547 IBW917543:IBX917547 ILS917543:ILT917547 IVO917543:IVP917547 JFK917543:JFL917547 JPG917543:JPH917547 JZC917543:JZD917547 KIY917543:KIZ917547 KSU917543:KSV917547 LCQ917543:LCR917547 LMM917543:LMN917547 LWI917543:LWJ917547 MGE917543:MGF917547 MQA917543:MQB917547 MZW917543:MZX917547 NJS917543:NJT917547 NTO917543:NTP917547 ODK917543:ODL917547 ONG917543:ONH917547 OXC917543:OXD917547 PGY917543:PGZ917547 PQU917543:PQV917547 QAQ917543:QAR917547 QKM917543:QKN917547 QUI917543:QUJ917547 REE917543:REF917547 ROA917543:ROB917547 RXW917543:RXX917547 SHS917543:SHT917547 SRO917543:SRP917547 TBK917543:TBL917547 TLG917543:TLH917547 TVC917543:TVD917547 UEY917543:UEZ917547 UOU917543:UOV917547 UYQ917543:UYR917547 VIM917543:VIN917547 VSI917543:VSJ917547 WCE917543:WCF917547 WMA917543:WMB917547 WVW917543:WVX917547 O983079:P983083 JK983079:JL983083 TG983079:TH983083 ADC983079:ADD983083 AMY983079:AMZ983083 AWU983079:AWV983083 BGQ983079:BGR983083 BQM983079:BQN983083 CAI983079:CAJ983083 CKE983079:CKF983083 CUA983079:CUB983083 DDW983079:DDX983083 DNS983079:DNT983083 DXO983079:DXP983083 EHK983079:EHL983083 ERG983079:ERH983083 FBC983079:FBD983083 FKY983079:FKZ983083 FUU983079:FUV983083 GEQ983079:GER983083 GOM983079:GON983083 GYI983079:GYJ983083 HIE983079:HIF983083 HSA983079:HSB983083 IBW983079:IBX983083 ILS983079:ILT983083 IVO983079:IVP983083 JFK983079:JFL983083 JPG983079:JPH983083 JZC983079:JZD983083 KIY983079:KIZ983083 KSU983079:KSV983083 LCQ983079:LCR983083 LMM983079:LMN983083 LWI983079:LWJ983083 MGE983079:MGF983083 MQA983079:MQB983083 MZW983079:MZX983083 NJS983079:NJT983083 NTO983079:NTP983083 ODK983079:ODL983083 ONG983079:ONH983083 OXC983079:OXD983083 PGY983079:PGZ983083 PQU983079:PQV983083 QAQ983079:QAR983083 QKM983079:QKN983083 QUI983079:QUJ983083 REE983079:REF983083 ROA983079:ROB983083 RXW983079:RXX983083 SHS983079:SHT983083 SRO983079:SRP983083 TBK983079:TBL983083 TLG983079:TLH983083 TVC983079:TVD983083 UEY983079:UEZ983083 UOU983079:UOV983083 UYQ983079:UYR983083 VIM983079:VIN983083 VSI983079:VSJ983083 WCE983079:WCF983083 WMA983079:WMB983083 WVW983079:WVX983083 P44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O46:P52 JK46:JL52 TG46:TH52 ADC46:ADD52 AMY46:AMZ52 AWU46:AWV52 BGQ46:BGR52 BQM46:BQN52 CAI46:CAJ52 CKE46:CKF52 CUA46:CUB52 DDW46:DDX52 DNS46:DNT52 DXO46:DXP52 EHK46:EHL52 ERG46:ERH52 FBC46:FBD52 FKY46:FKZ52 FUU46:FUV52 GEQ46:GER52 GOM46:GON52 GYI46:GYJ52 HIE46:HIF52 HSA46:HSB52 IBW46:IBX52 ILS46:ILT52 IVO46:IVP52 JFK46:JFL52 JPG46:JPH52 JZC46:JZD52 KIY46:KIZ52 KSU46:KSV52 LCQ46:LCR52 LMM46:LMN52 LWI46:LWJ52 MGE46:MGF52 MQA46:MQB52 MZW46:MZX52 NJS46:NJT52 NTO46:NTP52 ODK46:ODL52 ONG46:ONH52 OXC46:OXD52 PGY46:PGZ52 PQU46:PQV52 QAQ46:QAR52 QKM46:QKN52 QUI46:QUJ52 REE46:REF52 ROA46:ROB52 RXW46:RXX52 SHS46:SHT52 SRO46:SRP52 TBK46:TBL52 TLG46:TLH52 TVC46:TVD52 UEY46:UEZ52 UOU46:UOV52 UYQ46:UYR52 VIM46:VIN52 VSI46:VSJ52 WCE46:WCF52 WMA46:WMB52 WVW46:WVX52 O65582:P65588 JK65582:JL65588 TG65582:TH65588 ADC65582:ADD65588 AMY65582:AMZ65588 AWU65582:AWV65588 BGQ65582:BGR65588 BQM65582:BQN65588 CAI65582:CAJ65588 CKE65582:CKF65588 CUA65582:CUB65588 DDW65582:DDX65588 DNS65582:DNT65588 DXO65582:DXP65588 EHK65582:EHL65588 ERG65582:ERH65588 FBC65582:FBD65588 FKY65582:FKZ65588 FUU65582:FUV65588 GEQ65582:GER65588 GOM65582:GON65588 GYI65582:GYJ65588 HIE65582:HIF65588 HSA65582:HSB65588 IBW65582:IBX65588 ILS65582:ILT65588 IVO65582:IVP65588 JFK65582:JFL65588 JPG65582:JPH65588 JZC65582:JZD65588 KIY65582:KIZ65588 KSU65582:KSV65588 LCQ65582:LCR65588 LMM65582:LMN65588 LWI65582:LWJ65588 MGE65582:MGF65588 MQA65582:MQB65588 MZW65582:MZX65588 NJS65582:NJT65588 NTO65582:NTP65588 ODK65582:ODL65588 ONG65582:ONH65588 OXC65582:OXD65588 PGY65582:PGZ65588 PQU65582:PQV65588 QAQ65582:QAR65588 QKM65582:QKN65588 QUI65582:QUJ65588 REE65582:REF65588 ROA65582:ROB65588 RXW65582:RXX65588 SHS65582:SHT65588 SRO65582:SRP65588 TBK65582:TBL65588 TLG65582:TLH65588 TVC65582:TVD65588 UEY65582:UEZ65588 UOU65582:UOV65588 UYQ65582:UYR65588 VIM65582:VIN65588 VSI65582:VSJ65588 WCE65582:WCF65588 WMA65582:WMB65588 WVW65582:WVX65588 O131118:P131124 JK131118:JL131124 TG131118:TH131124 ADC131118:ADD131124 AMY131118:AMZ131124 AWU131118:AWV131124 BGQ131118:BGR131124 BQM131118:BQN131124 CAI131118:CAJ131124 CKE131118:CKF131124 CUA131118:CUB131124 DDW131118:DDX131124 DNS131118:DNT131124 DXO131118:DXP131124 EHK131118:EHL131124 ERG131118:ERH131124 FBC131118:FBD131124 FKY131118:FKZ131124 FUU131118:FUV131124 GEQ131118:GER131124 GOM131118:GON131124 GYI131118:GYJ131124 HIE131118:HIF131124 HSA131118:HSB131124 IBW131118:IBX131124 ILS131118:ILT131124 IVO131118:IVP131124 JFK131118:JFL131124 JPG131118:JPH131124 JZC131118:JZD131124 KIY131118:KIZ131124 KSU131118:KSV131124 LCQ131118:LCR131124 LMM131118:LMN131124 LWI131118:LWJ131124 MGE131118:MGF131124 MQA131118:MQB131124 MZW131118:MZX131124 NJS131118:NJT131124 NTO131118:NTP131124 ODK131118:ODL131124 ONG131118:ONH131124 OXC131118:OXD131124 PGY131118:PGZ131124 PQU131118:PQV131124 QAQ131118:QAR131124 QKM131118:QKN131124 QUI131118:QUJ131124 REE131118:REF131124 ROA131118:ROB131124 RXW131118:RXX131124 SHS131118:SHT131124 SRO131118:SRP131124 TBK131118:TBL131124 TLG131118:TLH131124 TVC131118:TVD131124 UEY131118:UEZ131124 UOU131118:UOV131124 UYQ131118:UYR131124 VIM131118:VIN131124 VSI131118:VSJ131124 WCE131118:WCF131124 WMA131118:WMB131124 WVW131118:WVX131124 O196654:P196660 JK196654:JL196660 TG196654:TH196660 ADC196654:ADD196660 AMY196654:AMZ196660 AWU196654:AWV196660 BGQ196654:BGR196660 BQM196654:BQN196660 CAI196654:CAJ196660 CKE196654:CKF196660 CUA196654:CUB196660 DDW196654:DDX196660 DNS196654:DNT196660 DXO196654:DXP196660 EHK196654:EHL196660 ERG196654:ERH196660 FBC196654:FBD196660 FKY196654:FKZ196660 FUU196654:FUV196660 GEQ196654:GER196660 GOM196654:GON196660 GYI196654:GYJ196660 HIE196654:HIF196660 HSA196654:HSB196660 IBW196654:IBX196660 ILS196654:ILT196660 IVO196654:IVP196660 JFK196654:JFL196660 JPG196654:JPH196660 JZC196654:JZD196660 KIY196654:KIZ196660 KSU196654:KSV196660 LCQ196654:LCR196660 LMM196654:LMN196660 LWI196654:LWJ196660 MGE196654:MGF196660 MQA196654:MQB196660 MZW196654:MZX196660 NJS196654:NJT196660 NTO196654:NTP196660 ODK196654:ODL196660 ONG196654:ONH196660 OXC196654:OXD196660 PGY196654:PGZ196660 PQU196654:PQV196660 QAQ196654:QAR196660 QKM196654:QKN196660 QUI196654:QUJ196660 REE196654:REF196660 ROA196654:ROB196660 RXW196654:RXX196660 SHS196654:SHT196660 SRO196654:SRP196660 TBK196654:TBL196660 TLG196654:TLH196660 TVC196654:TVD196660 UEY196654:UEZ196660 UOU196654:UOV196660 UYQ196654:UYR196660 VIM196654:VIN196660 VSI196654:VSJ196660 WCE196654:WCF196660 WMA196654:WMB196660 WVW196654:WVX196660 O262190:P262196 JK262190:JL262196 TG262190:TH262196 ADC262190:ADD262196 AMY262190:AMZ262196 AWU262190:AWV262196 BGQ262190:BGR262196 BQM262190:BQN262196 CAI262190:CAJ262196 CKE262190:CKF262196 CUA262190:CUB262196 DDW262190:DDX262196 DNS262190:DNT262196 DXO262190:DXP262196 EHK262190:EHL262196 ERG262190:ERH262196 FBC262190:FBD262196 FKY262190:FKZ262196 FUU262190:FUV262196 GEQ262190:GER262196 GOM262190:GON262196 GYI262190:GYJ262196 HIE262190:HIF262196 HSA262190:HSB262196 IBW262190:IBX262196 ILS262190:ILT262196 IVO262190:IVP262196 JFK262190:JFL262196 JPG262190:JPH262196 JZC262190:JZD262196 KIY262190:KIZ262196 KSU262190:KSV262196 LCQ262190:LCR262196 LMM262190:LMN262196 LWI262190:LWJ262196 MGE262190:MGF262196 MQA262190:MQB262196 MZW262190:MZX262196 NJS262190:NJT262196 NTO262190:NTP262196 ODK262190:ODL262196 ONG262190:ONH262196 OXC262190:OXD262196 PGY262190:PGZ262196 PQU262190:PQV262196 QAQ262190:QAR262196 QKM262190:QKN262196 QUI262190:QUJ262196 REE262190:REF262196 ROA262190:ROB262196 RXW262190:RXX262196 SHS262190:SHT262196 SRO262190:SRP262196 TBK262190:TBL262196 TLG262190:TLH262196 TVC262190:TVD262196 UEY262190:UEZ262196 UOU262190:UOV262196 UYQ262190:UYR262196 VIM262190:VIN262196 VSI262190:VSJ262196 WCE262190:WCF262196 WMA262190:WMB262196 WVW262190:WVX262196 O327726:P327732 JK327726:JL327732 TG327726:TH327732 ADC327726:ADD327732 AMY327726:AMZ327732 AWU327726:AWV327732 BGQ327726:BGR327732 BQM327726:BQN327732 CAI327726:CAJ327732 CKE327726:CKF327732 CUA327726:CUB327732 DDW327726:DDX327732 DNS327726:DNT327732 DXO327726:DXP327732 EHK327726:EHL327732 ERG327726:ERH327732 FBC327726:FBD327732 FKY327726:FKZ327732 FUU327726:FUV327732 GEQ327726:GER327732 GOM327726:GON327732 GYI327726:GYJ327732 HIE327726:HIF327732 HSA327726:HSB327732 IBW327726:IBX327732 ILS327726:ILT327732 IVO327726:IVP327732 JFK327726:JFL327732 JPG327726:JPH327732 JZC327726:JZD327732 KIY327726:KIZ327732 KSU327726:KSV327732 LCQ327726:LCR327732 LMM327726:LMN327732 LWI327726:LWJ327732 MGE327726:MGF327732 MQA327726:MQB327732 MZW327726:MZX327732 NJS327726:NJT327732 NTO327726:NTP327732 ODK327726:ODL327732 ONG327726:ONH327732 OXC327726:OXD327732 PGY327726:PGZ327732 PQU327726:PQV327732 QAQ327726:QAR327732 QKM327726:QKN327732 QUI327726:QUJ327732 REE327726:REF327732 ROA327726:ROB327732 RXW327726:RXX327732 SHS327726:SHT327732 SRO327726:SRP327732 TBK327726:TBL327732 TLG327726:TLH327732 TVC327726:TVD327732 UEY327726:UEZ327732 UOU327726:UOV327732 UYQ327726:UYR327732 VIM327726:VIN327732 VSI327726:VSJ327732 WCE327726:WCF327732 WMA327726:WMB327732 WVW327726:WVX327732 O393262:P393268 JK393262:JL393268 TG393262:TH393268 ADC393262:ADD393268 AMY393262:AMZ393268 AWU393262:AWV393268 BGQ393262:BGR393268 BQM393262:BQN393268 CAI393262:CAJ393268 CKE393262:CKF393268 CUA393262:CUB393268 DDW393262:DDX393268 DNS393262:DNT393268 DXO393262:DXP393268 EHK393262:EHL393268 ERG393262:ERH393268 FBC393262:FBD393268 FKY393262:FKZ393268 FUU393262:FUV393268 GEQ393262:GER393268 GOM393262:GON393268 GYI393262:GYJ393268 HIE393262:HIF393268 HSA393262:HSB393268 IBW393262:IBX393268 ILS393262:ILT393268 IVO393262:IVP393268 JFK393262:JFL393268 JPG393262:JPH393268 JZC393262:JZD393268 KIY393262:KIZ393268 KSU393262:KSV393268 LCQ393262:LCR393268 LMM393262:LMN393268 LWI393262:LWJ393268 MGE393262:MGF393268 MQA393262:MQB393268 MZW393262:MZX393268 NJS393262:NJT393268 NTO393262:NTP393268 ODK393262:ODL393268 ONG393262:ONH393268 OXC393262:OXD393268 PGY393262:PGZ393268 PQU393262:PQV393268 QAQ393262:QAR393268 QKM393262:QKN393268 QUI393262:QUJ393268 REE393262:REF393268 ROA393262:ROB393268 RXW393262:RXX393268 SHS393262:SHT393268 SRO393262:SRP393268 TBK393262:TBL393268 TLG393262:TLH393268 TVC393262:TVD393268 UEY393262:UEZ393268 UOU393262:UOV393268 UYQ393262:UYR393268 VIM393262:VIN393268 VSI393262:VSJ393268 WCE393262:WCF393268 WMA393262:WMB393268 WVW393262:WVX393268 O458798:P458804 JK458798:JL458804 TG458798:TH458804 ADC458798:ADD458804 AMY458798:AMZ458804 AWU458798:AWV458804 BGQ458798:BGR458804 BQM458798:BQN458804 CAI458798:CAJ458804 CKE458798:CKF458804 CUA458798:CUB458804 DDW458798:DDX458804 DNS458798:DNT458804 DXO458798:DXP458804 EHK458798:EHL458804 ERG458798:ERH458804 FBC458798:FBD458804 FKY458798:FKZ458804 FUU458798:FUV458804 GEQ458798:GER458804 GOM458798:GON458804 GYI458798:GYJ458804 HIE458798:HIF458804 HSA458798:HSB458804 IBW458798:IBX458804 ILS458798:ILT458804 IVO458798:IVP458804 JFK458798:JFL458804 JPG458798:JPH458804 JZC458798:JZD458804 KIY458798:KIZ458804 KSU458798:KSV458804 LCQ458798:LCR458804 LMM458798:LMN458804 LWI458798:LWJ458804 MGE458798:MGF458804 MQA458798:MQB458804 MZW458798:MZX458804 NJS458798:NJT458804 NTO458798:NTP458804 ODK458798:ODL458804 ONG458798:ONH458804 OXC458798:OXD458804 PGY458798:PGZ458804 PQU458798:PQV458804 QAQ458798:QAR458804 QKM458798:QKN458804 QUI458798:QUJ458804 REE458798:REF458804 ROA458798:ROB458804 RXW458798:RXX458804 SHS458798:SHT458804 SRO458798:SRP458804 TBK458798:TBL458804 TLG458798:TLH458804 TVC458798:TVD458804 UEY458798:UEZ458804 UOU458798:UOV458804 UYQ458798:UYR458804 VIM458798:VIN458804 VSI458798:VSJ458804 WCE458798:WCF458804 WMA458798:WMB458804 WVW458798:WVX458804 O524334:P524340 JK524334:JL524340 TG524334:TH524340 ADC524334:ADD524340 AMY524334:AMZ524340 AWU524334:AWV524340 BGQ524334:BGR524340 BQM524334:BQN524340 CAI524334:CAJ524340 CKE524334:CKF524340 CUA524334:CUB524340 DDW524334:DDX524340 DNS524334:DNT524340 DXO524334:DXP524340 EHK524334:EHL524340 ERG524334:ERH524340 FBC524334:FBD524340 FKY524334:FKZ524340 FUU524334:FUV524340 GEQ524334:GER524340 GOM524334:GON524340 GYI524334:GYJ524340 HIE524334:HIF524340 HSA524334:HSB524340 IBW524334:IBX524340 ILS524334:ILT524340 IVO524334:IVP524340 JFK524334:JFL524340 JPG524334:JPH524340 JZC524334:JZD524340 KIY524334:KIZ524340 KSU524334:KSV524340 LCQ524334:LCR524340 LMM524334:LMN524340 LWI524334:LWJ524340 MGE524334:MGF524340 MQA524334:MQB524340 MZW524334:MZX524340 NJS524334:NJT524340 NTO524334:NTP524340 ODK524334:ODL524340 ONG524334:ONH524340 OXC524334:OXD524340 PGY524334:PGZ524340 PQU524334:PQV524340 QAQ524334:QAR524340 QKM524334:QKN524340 QUI524334:QUJ524340 REE524334:REF524340 ROA524334:ROB524340 RXW524334:RXX524340 SHS524334:SHT524340 SRO524334:SRP524340 TBK524334:TBL524340 TLG524334:TLH524340 TVC524334:TVD524340 UEY524334:UEZ524340 UOU524334:UOV524340 UYQ524334:UYR524340 VIM524334:VIN524340 VSI524334:VSJ524340 WCE524334:WCF524340 WMA524334:WMB524340 WVW524334:WVX524340 O589870:P589876 JK589870:JL589876 TG589870:TH589876 ADC589870:ADD589876 AMY589870:AMZ589876 AWU589870:AWV589876 BGQ589870:BGR589876 BQM589870:BQN589876 CAI589870:CAJ589876 CKE589870:CKF589876 CUA589870:CUB589876 DDW589870:DDX589876 DNS589870:DNT589876 DXO589870:DXP589876 EHK589870:EHL589876 ERG589870:ERH589876 FBC589870:FBD589876 FKY589870:FKZ589876 FUU589870:FUV589876 GEQ589870:GER589876 GOM589870:GON589876 GYI589870:GYJ589876 HIE589870:HIF589876 HSA589870:HSB589876 IBW589870:IBX589876 ILS589870:ILT589876 IVO589870:IVP589876 JFK589870:JFL589876 JPG589870:JPH589876 JZC589870:JZD589876 KIY589870:KIZ589876 KSU589870:KSV589876 LCQ589870:LCR589876 LMM589870:LMN589876 LWI589870:LWJ589876 MGE589870:MGF589876 MQA589870:MQB589876 MZW589870:MZX589876 NJS589870:NJT589876 NTO589870:NTP589876 ODK589870:ODL589876 ONG589870:ONH589876 OXC589870:OXD589876 PGY589870:PGZ589876 PQU589870:PQV589876 QAQ589870:QAR589876 QKM589870:QKN589876 QUI589870:QUJ589876 REE589870:REF589876 ROA589870:ROB589876 RXW589870:RXX589876 SHS589870:SHT589876 SRO589870:SRP589876 TBK589870:TBL589876 TLG589870:TLH589876 TVC589870:TVD589876 UEY589870:UEZ589876 UOU589870:UOV589876 UYQ589870:UYR589876 VIM589870:VIN589876 VSI589870:VSJ589876 WCE589870:WCF589876 WMA589870:WMB589876 WVW589870:WVX589876 O655406:P655412 JK655406:JL655412 TG655406:TH655412 ADC655406:ADD655412 AMY655406:AMZ655412 AWU655406:AWV655412 BGQ655406:BGR655412 BQM655406:BQN655412 CAI655406:CAJ655412 CKE655406:CKF655412 CUA655406:CUB655412 DDW655406:DDX655412 DNS655406:DNT655412 DXO655406:DXP655412 EHK655406:EHL655412 ERG655406:ERH655412 FBC655406:FBD655412 FKY655406:FKZ655412 FUU655406:FUV655412 GEQ655406:GER655412 GOM655406:GON655412 GYI655406:GYJ655412 HIE655406:HIF655412 HSA655406:HSB655412 IBW655406:IBX655412 ILS655406:ILT655412 IVO655406:IVP655412 JFK655406:JFL655412 JPG655406:JPH655412 JZC655406:JZD655412 KIY655406:KIZ655412 KSU655406:KSV655412 LCQ655406:LCR655412 LMM655406:LMN655412 LWI655406:LWJ655412 MGE655406:MGF655412 MQA655406:MQB655412 MZW655406:MZX655412 NJS655406:NJT655412 NTO655406:NTP655412 ODK655406:ODL655412 ONG655406:ONH655412 OXC655406:OXD655412 PGY655406:PGZ655412 PQU655406:PQV655412 QAQ655406:QAR655412 QKM655406:QKN655412 QUI655406:QUJ655412 REE655406:REF655412 ROA655406:ROB655412 RXW655406:RXX655412 SHS655406:SHT655412 SRO655406:SRP655412 TBK655406:TBL655412 TLG655406:TLH655412 TVC655406:TVD655412 UEY655406:UEZ655412 UOU655406:UOV655412 UYQ655406:UYR655412 VIM655406:VIN655412 VSI655406:VSJ655412 WCE655406:WCF655412 WMA655406:WMB655412 WVW655406:WVX655412 O720942:P720948 JK720942:JL720948 TG720942:TH720948 ADC720942:ADD720948 AMY720942:AMZ720948 AWU720942:AWV720948 BGQ720942:BGR720948 BQM720942:BQN720948 CAI720942:CAJ720948 CKE720942:CKF720948 CUA720942:CUB720948 DDW720942:DDX720948 DNS720942:DNT720948 DXO720942:DXP720948 EHK720942:EHL720948 ERG720942:ERH720948 FBC720942:FBD720948 FKY720942:FKZ720948 FUU720942:FUV720948 GEQ720942:GER720948 GOM720942:GON720948 GYI720942:GYJ720948 HIE720942:HIF720948 HSA720942:HSB720948 IBW720942:IBX720948 ILS720942:ILT720948 IVO720942:IVP720948 JFK720942:JFL720948 JPG720942:JPH720948 JZC720942:JZD720948 KIY720942:KIZ720948 KSU720942:KSV720948 LCQ720942:LCR720948 LMM720942:LMN720948 LWI720942:LWJ720948 MGE720942:MGF720948 MQA720942:MQB720948 MZW720942:MZX720948 NJS720942:NJT720948 NTO720942:NTP720948 ODK720942:ODL720948 ONG720942:ONH720948 OXC720942:OXD720948 PGY720942:PGZ720948 PQU720942:PQV720948 QAQ720942:QAR720948 QKM720942:QKN720948 QUI720942:QUJ720948 REE720942:REF720948 ROA720942:ROB720948 RXW720942:RXX720948 SHS720942:SHT720948 SRO720942:SRP720948 TBK720942:TBL720948 TLG720942:TLH720948 TVC720942:TVD720948 UEY720942:UEZ720948 UOU720942:UOV720948 UYQ720942:UYR720948 VIM720942:VIN720948 VSI720942:VSJ720948 WCE720942:WCF720948 WMA720942:WMB720948 WVW720942:WVX720948 O786478:P786484 JK786478:JL786484 TG786478:TH786484 ADC786478:ADD786484 AMY786478:AMZ786484 AWU786478:AWV786484 BGQ786478:BGR786484 BQM786478:BQN786484 CAI786478:CAJ786484 CKE786478:CKF786484 CUA786478:CUB786484 DDW786478:DDX786484 DNS786478:DNT786484 DXO786478:DXP786484 EHK786478:EHL786484 ERG786478:ERH786484 FBC786478:FBD786484 FKY786478:FKZ786484 FUU786478:FUV786484 GEQ786478:GER786484 GOM786478:GON786484 GYI786478:GYJ786484 HIE786478:HIF786484 HSA786478:HSB786484 IBW786478:IBX786484 ILS786478:ILT786484 IVO786478:IVP786484 JFK786478:JFL786484 JPG786478:JPH786484 JZC786478:JZD786484 KIY786478:KIZ786484 KSU786478:KSV786484 LCQ786478:LCR786484 LMM786478:LMN786484 LWI786478:LWJ786484 MGE786478:MGF786484 MQA786478:MQB786484 MZW786478:MZX786484 NJS786478:NJT786484 NTO786478:NTP786484 ODK786478:ODL786484 ONG786478:ONH786484 OXC786478:OXD786484 PGY786478:PGZ786484 PQU786478:PQV786484 QAQ786478:QAR786484 QKM786478:QKN786484 QUI786478:QUJ786484 REE786478:REF786484 ROA786478:ROB786484 RXW786478:RXX786484 SHS786478:SHT786484 SRO786478:SRP786484 TBK786478:TBL786484 TLG786478:TLH786484 TVC786478:TVD786484 UEY786478:UEZ786484 UOU786478:UOV786484 UYQ786478:UYR786484 VIM786478:VIN786484 VSI786478:VSJ786484 WCE786478:WCF786484 WMA786478:WMB786484 WVW786478:WVX786484 O852014:P852020 JK852014:JL852020 TG852014:TH852020 ADC852014:ADD852020 AMY852014:AMZ852020 AWU852014:AWV852020 BGQ852014:BGR852020 BQM852014:BQN852020 CAI852014:CAJ852020 CKE852014:CKF852020 CUA852014:CUB852020 DDW852014:DDX852020 DNS852014:DNT852020 DXO852014:DXP852020 EHK852014:EHL852020 ERG852014:ERH852020 FBC852014:FBD852020 FKY852014:FKZ852020 FUU852014:FUV852020 GEQ852014:GER852020 GOM852014:GON852020 GYI852014:GYJ852020 HIE852014:HIF852020 HSA852014:HSB852020 IBW852014:IBX852020 ILS852014:ILT852020 IVO852014:IVP852020 JFK852014:JFL852020 JPG852014:JPH852020 JZC852014:JZD852020 KIY852014:KIZ852020 KSU852014:KSV852020 LCQ852014:LCR852020 LMM852014:LMN852020 LWI852014:LWJ852020 MGE852014:MGF852020 MQA852014:MQB852020 MZW852014:MZX852020 NJS852014:NJT852020 NTO852014:NTP852020 ODK852014:ODL852020 ONG852014:ONH852020 OXC852014:OXD852020 PGY852014:PGZ852020 PQU852014:PQV852020 QAQ852014:QAR852020 QKM852014:QKN852020 QUI852014:QUJ852020 REE852014:REF852020 ROA852014:ROB852020 RXW852014:RXX852020 SHS852014:SHT852020 SRO852014:SRP852020 TBK852014:TBL852020 TLG852014:TLH852020 TVC852014:TVD852020 UEY852014:UEZ852020 UOU852014:UOV852020 UYQ852014:UYR852020 VIM852014:VIN852020 VSI852014:VSJ852020 WCE852014:WCF852020 WMA852014:WMB852020 WVW852014:WVX852020 O917550:P917556 JK917550:JL917556 TG917550:TH917556 ADC917550:ADD917556 AMY917550:AMZ917556 AWU917550:AWV917556 BGQ917550:BGR917556 BQM917550:BQN917556 CAI917550:CAJ917556 CKE917550:CKF917556 CUA917550:CUB917556 DDW917550:DDX917556 DNS917550:DNT917556 DXO917550:DXP917556 EHK917550:EHL917556 ERG917550:ERH917556 FBC917550:FBD917556 FKY917550:FKZ917556 FUU917550:FUV917556 GEQ917550:GER917556 GOM917550:GON917556 GYI917550:GYJ917556 HIE917550:HIF917556 HSA917550:HSB917556 IBW917550:IBX917556 ILS917550:ILT917556 IVO917550:IVP917556 JFK917550:JFL917556 JPG917550:JPH917556 JZC917550:JZD917556 KIY917550:KIZ917556 KSU917550:KSV917556 LCQ917550:LCR917556 LMM917550:LMN917556 LWI917550:LWJ917556 MGE917550:MGF917556 MQA917550:MQB917556 MZW917550:MZX917556 NJS917550:NJT917556 NTO917550:NTP917556 ODK917550:ODL917556 ONG917550:ONH917556 OXC917550:OXD917556 PGY917550:PGZ917556 PQU917550:PQV917556 QAQ917550:QAR917556 QKM917550:QKN917556 QUI917550:QUJ917556 REE917550:REF917556 ROA917550:ROB917556 RXW917550:RXX917556 SHS917550:SHT917556 SRO917550:SRP917556 TBK917550:TBL917556 TLG917550:TLH917556 TVC917550:TVD917556 UEY917550:UEZ917556 UOU917550:UOV917556 UYQ917550:UYR917556 VIM917550:VIN917556 VSI917550:VSJ917556 WCE917550:WCF917556 WMA917550:WMB917556 WVW917550:WVX917556 O983086:P983092 JK983086:JL983092 TG983086:TH983092 ADC983086:ADD983092 AMY983086:AMZ983092 AWU983086:AWV983092 BGQ983086:BGR983092 BQM983086:BQN983092 CAI983086:CAJ983092 CKE983086:CKF983092 CUA983086:CUB983092 DDW983086:DDX983092 DNS983086:DNT983092 DXO983086:DXP983092 EHK983086:EHL983092 ERG983086:ERH983092 FBC983086:FBD983092 FKY983086:FKZ983092 FUU983086:FUV983092 GEQ983086:GER983092 GOM983086:GON983092 GYI983086:GYJ983092 HIE983086:HIF983092 HSA983086:HSB983092 IBW983086:IBX983092 ILS983086:ILT983092 IVO983086:IVP983092 JFK983086:JFL983092 JPG983086:JPH983092 JZC983086:JZD983092 KIY983086:KIZ983092 KSU983086:KSV983092 LCQ983086:LCR983092 LMM983086:LMN983092 LWI983086:LWJ983092 MGE983086:MGF983092 MQA983086:MQB983092 MZW983086:MZX983092 NJS983086:NJT983092 NTO983086:NTP983092 ODK983086:ODL983092 ONG983086:ONH983092 OXC983086:OXD983092 PGY983086:PGZ983092 PQU983086:PQV983092 QAQ983086:QAR983092 QKM983086:QKN983092 QUI983086:QUJ983092 REE983086:REF983092 ROA983086:ROB983092 RXW983086:RXX983092 SHS983086:SHT983092 SRO983086:SRP983092 TBK983086:TBL983092 TLG983086:TLH983092 TVC983086:TVD983092 UEY983086:UEZ983092 UOU983086:UOV983092 UYQ983086:UYR983092 VIM983086:VIN983092 VSI983086:VSJ983092 WCE983086:WCF983092 WMA983086:WMB983092 WVW983086:WVX983092 P53:P54 JL53:JL54 TH53:TH54 ADD53:ADD54 AMZ53:AMZ54 AWV53:AWV54 BGR53:BGR54 BQN53:BQN54 CAJ53:CAJ54 CKF53:CKF54 CUB53:CUB54 DDX53:DDX54 DNT53:DNT54 DXP53:DXP54 EHL53:EHL54 ERH53:ERH54 FBD53:FBD54 FKZ53:FKZ54 FUV53:FUV54 GER53:GER54 GON53:GON54 GYJ53:GYJ54 HIF53:HIF54 HSB53:HSB54 IBX53:IBX54 ILT53:ILT54 IVP53:IVP54 JFL53:JFL54 JPH53:JPH54 JZD53:JZD54 KIZ53:KIZ54 KSV53:KSV54 LCR53:LCR54 LMN53:LMN54 LWJ53:LWJ54 MGF53:MGF54 MQB53:MQB54 MZX53:MZX54 NJT53:NJT54 NTP53:NTP54 ODL53:ODL54 ONH53:ONH54 OXD53:OXD54 PGZ53:PGZ54 PQV53:PQV54 QAR53:QAR54 QKN53:QKN54 QUJ53:QUJ54 REF53:REF54 ROB53:ROB54 RXX53:RXX54 SHT53:SHT54 SRP53:SRP54 TBL53:TBL54 TLH53:TLH54 TVD53:TVD54 UEZ53:UEZ54 UOV53:UOV54 UYR53:UYR54 VIN53:VIN54 VSJ53:VSJ54 WCF53:WCF54 WMB53:WMB54 WVX53:WVX54 P65589:P65590 JL65589:JL65590 TH65589:TH65590 ADD65589:ADD65590 AMZ65589:AMZ65590 AWV65589:AWV65590 BGR65589:BGR65590 BQN65589:BQN65590 CAJ65589:CAJ65590 CKF65589:CKF65590 CUB65589:CUB65590 DDX65589:DDX65590 DNT65589:DNT65590 DXP65589:DXP65590 EHL65589:EHL65590 ERH65589:ERH65590 FBD65589:FBD65590 FKZ65589:FKZ65590 FUV65589:FUV65590 GER65589:GER65590 GON65589:GON65590 GYJ65589:GYJ65590 HIF65589:HIF65590 HSB65589:HSB65590 IBX65589:IBX65590 ILT65589:ILT65590 IVP65589:IVP65590 JFL65589:JFL65590 JPH65589:JPH65590 JZD65589:JZD65590 KIZ65589:KIZ65590 KSV65589:KSV65590 LCR65589:LCR65590 LMN65589:LMN65590 LWJ65589:LWJ65590 MGF65589:MGF65590 MQB65589:MQB65590 MZX65589:MZX65590 NJT65589:NJT65590 NTP65589:NTP65590 ODL65589:ODL65590 ONH65589:ONH65590 OXD65589:OXD65590 PGZ65589:PGZ65590 PQV65589:PQV65590 QAR65589:QAR65590 QKN65589:QKN65590 QUJ65589:QUJ65590 REF65589:REF65590 ROB65589:ROB65590 RXX65589:RXX65590 SHT65589:SHT65590 SRP65589:SRP65590 TBL65589:TBL65590 TLH65589:TLH65590 TVD65589:TVD65590 UEZ65589:UEZ65590 UOV65589:UOV65590 UYR65589:UYR65590 VIN65589:VIN65590 VSJ65589:VSJ65590 WCF65589:WCF65590 WMB65589:WMB65590 WVX65589:WVX65590 P131125:P131126 JL131125:JL131126 TH131125:TH131126 ADD131125:ADD131126 AMZ131125:AMZ131126 AWV131125:AWV131126 BGR131125:BGR131126 BQN131125:BQN131126 CAJ131125:CAJ131126 CKF131125:CKF131126 CUB131125:CUB131126 DDX131125:DDX131126 DNT131125:DNT131126 DXP131125:DXP131126 EHL131125:EHL131126 ERH131125:ERH131126 FBD131125:FBD131126 FKZ131125:FKZ131126 FUV131125:FUV131126 GER131125:GER131126 GON131125:GON131126 GYJ131125:GYJ131126 HIF131125:HIF131126 HSB131125:HSB131126 IBX131125:IBX131126 ILT131125:ILT131126 IVP131125:IVP131126 JFL131125:JFL131126 JPH131125:JPH131126 JZD131125:JZD131126 KIZ131125:KIZ131126 KSV131125:KSV131126 LCR131125:LCR131126 LMN131125:LMN131126 LWJ131125:LWJ131126 MGF131125:MGF131126 MQB131125:MQB131126 MZX131125:MZX131126 NJT131125:NJT131126 NTP131125:NTP131126 ODL131125:ODL131126 ONH131125:ONH131126 OXD131125:OXD131126 PGZ131125:PGZ131126 PQV131125:PQV131126 QAR131125:QAR131126 QKN131125:QKN131126 QUJ131125:QUJ131126 REF131125:REF131126 ROB131125:ROB131126 RXX131125:RXX131126 SHT131125:SHT131126 SRP131125:SRP131126 TBL131125:TBL131126 TLH131125:TLH131126 TVD131125:TVD131126 UEZ131125:UEZ131126 UOV131125:UOV131126 UYR131125:UYR131126 VIN131125:VIN131126 VSJ131125:VSJ131126 WCF131125:WCF131126 WMB131125:WMB131126 WVX131125:WVX131126 P196661:P196662 JL196661:JL196662 TH196661:TH196662 ADD196661:ADD196662 AMZ196661:AMZ196662 AWV196661:AWV196662 BGR196661:BGR196662 BQN196661:BQN196662 CAJ196661:CAJ196662 CKF196661:CKF196662 CUB196661:CUB196662 DDX196661:DDX196662 DNT196661:DNT196662 DXP196661:DXP196662 EHL196661:EHL196662 ERH196661:ERH196662 FBD196661:FBD196662 FKZ196661:FKZ196662 FUV196661:FUV196662 GER196661:GER196662 GON196661:GON196662 GYJ196661:GYJ196662 HIF196661:HIF196662 HSB196661:HSB196662 IBX196661:IBX196662 ILT196661:ILT196662 IVP196661:IVP196662 JFL196661:JFL196662 JPH196661:JPH196662 JZD196661:JZD196662 KIZ196661:KIZ196662 KSV196661:KSV196662 LCR196661:LCR196662 LMN196661:LMN196662 LWJ196661:LWJ196662 MGF196661:MGF196662 MQB196661:MQB196662 MZX196661:MZX196662 NJT196661:NJT196662 NTP196661:NTP196662 ODL196661:ODL196662 ONH196661:ONH196662 OXD196661:OXD196662 PGZ196661:PGZ196662 PQV196661:PQV196662 QAR196661:QAR196662 QKN196661:QKN196662 QUJ196661:QUJ196662 REF196661:REF196662 ROB196661:ROB196662 RXX196661:RXX196662 SHT196661:SHT196662 SRP196661:SRP196662 TBL196661:TBL196662 TLH196661:TLH196662 TVD196661:TVD196662 UEZ196661:UEZ196662 UOV196661:UOV196662 UYR196661:UYR196662 VIN196661:VIN196662 VSJ196661:VSJ196662 WCF196661:WCF196662 WMB196661:WMB196662 WVX196661:WVX196662 P262197:P262198 JL262197:JL262198 TH262197:TH262198 ADD262197:ADD262198 AMZ262197:AMZ262198 AWV262197:AWV262198 BGR262197:BGR262198 BQN262197:BQN262198 CAJ262197:CAJ262198 CKF262197:CKF262198 CUB262197:CUB262198 DDX262197:DDX262198 DNT262197:DNT262198 DXP262197:DXP262198 EHL262197:EHL262198 ERH262197:ERH262198 FBD262197:FBD262198 FKZ262197:FKZ262198 FUV262197:FUV262198 GER262197:GER262198 GON262197:GON262198 GYJ262197:GYJ262198 HIF262197:HIF262198 HSB262197:HSB262198 IBX262197:IBX262198 ILT262197:ILT262198 IVP262197:IVP262198 JFL262197:JFL262198 JPH262197:JPH262198 JZD262197:JZD262198 KIZ262197:KIZ262198 KSV262197:KSV262198 LCR262197:LCR262198 LMN262197:LMN262198 LWJ262197:LWJ262198 MGF262197:MGF262198 MQB262197:MQB262198 MZX262197:MZX262198 NJT262197:NJT262198 NTP262197:NTP262198 ODL262197:ODL262198 ONH262197:ONH262198 OXD262197:OXD262198 PGZ262197:PGZ262198 PQV262197:PQV262198 QAR262197:QAR262198 QKN262197:QKN262198 QUJ262197:QUJ262198 REF262197:REF262198 ROB262197:ROB262198 RXX262197:RXX262198 SHT262197:SHT262198 SRP262197:SRP262198 TBL262197:TBL262198 TLH262197:TLH262198 TVD262197:TVD262198 UEZ262197:UEZ262198 UOV262197:UOV262198 UYR262197:UYR262198 VIN262197:VIN262198 VSJ262197:VSJ262198 WCF262197:WCF262198 WMB262197:WMB262198 WVX262197:WVX262198 P327733:P327734 JL327733:JL327734 TH327733:TH327734 ADD327733:ADD327734 AMZ327733:AMZ327734 AWV327733:AWV327734 BGR327733:BGR327734 BQN327733:BQN327734 CAJ327733:CAJ327734 CKF327733:CKF327734 CUB327733:CUB327734 DDX327733:DDX327734 DNT327733:DNT327734 DXP327733:DXP327734 EHL327733:EHL327734 ERH327733:ERH327734 FBD327733:FBD327734 FKZ327733:FKZ327734 FUV327733:FUV327734 GER327733:GER327734 GON327733:GON327734 GYJ327733:GYJ327734 HIF327733:HIF327734 HSB327733:HSB327734 IBX327733:IBX327734 ILT327733:ILT327734 IVP327733:IVP327734 JFL327733:JFL327734 JPH327733:JPH327734 JZD327733:JZD327734 KIZ327733:KIZ327734 KSV327733:KSV327734 LCR327733:LCR327734 LMN327733:LMN327734 LWJ327733:LWJ327734 MGF327733:MGF327734 MQB327733:MQB327734 MZX327733:MZX327734 NJT327733:NJT327734 NTP327733:NTP327734 ODL327733:ODL327734 ONH327733:ONH327734 OXD327733:OXD327734 PGZ327733:PGZ327734 PQV327733:PQV327734 QAR327733:QAR327734 QKN327733:QKN327734 QUJ327733:QUJ327734 REF327733:REF327734 ROB327733:ROB327734 RXX327733:RXX327734 SHT327733:SHT327734 SRP327733:SRP327734 TBL327733:TBL327734 TLH327733:TLH327734 TVD327733:TVD327734 UEZ327733:UEZ327734 UOV327733:UOV327734 UYR327733:UYR327734 VIN327733:VIN327734 VSJ327733:VSJ327734 WCF327733:WCF327734 WMB327733:WMB327734 WVX327733:WVX327734 P393269:P393270 JL393269:JL393270 TH393269:TH393270 ADD393269:ADD393270 AMZ393269:AMZ393270 AWV393269:AWV393270 BGR393269:BGR393270 BQN393269:BQN393270 CAJ393269:CAJ393270 CKF393269:CKF393270 CUB393269:CUB393270 DDX393269:DDX393270 DNT393269:DNT393270 DXP393269:DXP393270 EHL393269:EHL393270 ERH393269:ERH393270 FBD393269:FBD393270 FKZ393269:FKZ393270 FUV393269:FUV393270 GER393269:GER393270 GON393269:GON393270 GYJ393269:GYJ393270 HIF393269:HIF393270 HSB393269:HSB393270 IBX393269:IBX393270 ILT393269:ILT393270 IVP393269:IVP393270 JFL393269:JFL393270 JPH393269:JPH393270 JZD393269:JZD393270 KIZ393269:KIZ393270 KSV393269:KSV393270 LCR393269:LCR393270 LMN393269:LMN393270 LWJ393269:LWJ393270 MGF393269:MGF393270 MQB393269:MQB393270 MZX393269:MZX393270 NJT393269:NJT393270 NTP393269:NTP393270 ODL393269:ODL393270 ONH393269:ONH393270 OXD393269:OXD393270 PGZ393269:PGZ393270 PQV393269:PQV393270 QAR393269:QAR393270 QKN393269:QKN393270 QUJ393269:QUJ393270 REF393269:REF393270 ROB393269:ROB393270 RXX393269:RXX393270 SHT393269:SHT393270 SRP393269:SRP393270 TBL393269:TBL393270 TLH393269:TLH393270 TVD393269:TVD393270 UEZ393269:UEZ393270 UOV393269:UOV393270 UYR393269:UYR393270 VIN393269:VIN393270 VSJ393269:VSJ393270 WCF393269:WCF393270 WMB393269:WMB393270 WVX393269:WVX393270 P458805:P458806 JL458805:JL458806 TH458805:TH458806 ADD458805:ADD458806 AMZ458805:AMZ458806 AWV458805:AWV458806 BGR458805:BGR458806 BQN458805:BQN458806 CAJ458805:CAJ458806 CKF458805:CKF458806 CUB458805:CUB458806 DDX458805:DDX458806 DNT458805:DNT458806 DXP458805:DXP458806 EHL458805:EHL458806 ERH458805:ERH458806 FBD458805:FBD458806 FKZ458805:FKZ458806 FUV458805:FUV458806 GER458805:GER458806 GON458805:GON458806 GYJ458805:GYJ458806 HIF458805:HIF458806 HSB458805:HSB458806 IBX458805:IBX458806 ILT458805:ILT458806 IVP458805:IVP458806 JFL458805:JFL458806 JPH458805:JPH458806 JZD458805:JZD458806 KIZ458805:KIZ458806 KSV458805:KSV458806 LCR458805:LCR458806 LMN458805:LMN458806 LWJ458805:LWJ458806 MGF458805:MGF458806 MQB458805:MQB458806 MZX458805:MZX458806 NJT458805:NJT458806 NTP458805:NTP458806 ODL458805:ODL458806 ONH458805:ONH458806 OXD458805:OXD458806 PGZ458805:PGZ458806 PQV458805:PQV458806 QAR458805:QAR458806 QKN458805:QKN458806 QUJ458805:QUJ458806 REF458805:REF458806 ROB458805:ROB458806 RXX458805:RXX458806 SHT458805:SHT458806 SRP458805:SRP458806 TBL458805:TBL458806 TLH458805:TLH458806 TVD458805:TVD458806 UEZ458805:UEZ458806 UOV458805:UOV458806 UYR458805:UYR458806 VIN458805:VIN458806 VSJ458805:VSJ458806 WCF458805:WCF458806 WMB458805:WMB458806 WVX458805:WVX458806 P524341:P524342 JL524341:JL524342 TH524341:TH524342 ADD524341:ADD524342 AMZ524341:AMZ524342 AWV524341:AWV524342 BGR524341:BGR524342 BQN524341:BQN524342 CAJ524341:CAJ524342 CKF524341:CKF524342 CUB524341:CUB524342 DDX524341:DDX524342 DNT524341:DNT524342 DXP524341:DXP524342 EHL524341:EHL524342 ERH524341:ERH524342 FBD524341:FBD524342 FKZ524341:FKZ524342 FUV524341:FUV524342 GER524341:GER524342 GON524341:GON524342 GYJ524341:GYJ524342 HIF524341:HIF524342 HSB524341:HSB524342 IBX524341:IBX524342 ILT524341:ILT524342 IVP524341:IVP524342 JFL524341:JFL524342 JPH524341:JPH524342 JZD524341:JZD524342 KIZ524341:KIZ524342 KSV524341:KSV524342 LCR524341:LCR524342 LMN524341:LMN524342 LWJ524341:LWJ524342 MGF524341:MGF524342 MQB524341:MQB524342 MZX524341:MZX524342 NJT524341:NJT524342 NTP524341:NTP524342 ODL524341:ODL524342 ONH524341:ONH524342 OXD524341:OXD524342 PGZ524341:PGZ524342 PQV524341:PQV524342 QAR524341:QAR524342 QKN524341:QKN524342 QUJ524341:QUJ524342 REF524341:REF524342 ROB524341:ROB524342 RXX524341:RXX524342 SHT524341:SHT524342 SRP524341:SRP524342 TBL524341:TBL524342 TLH524341:TLH524342 TVD524341:TVD524342 UEZ524341:UEZ524342 UOV524341:UOV524342 UYR524341:UYR524342 VIN524341:VIN524342 VSJ524341:VSJ524342 WCF524341:WCF524342 WMB524341:WMB524342 WVX524341:WVX524342 P589877:P589878 JL589877:JL589878 TH589877:TH589878 ADD589877:ADD589878 AMZ589877:AMZ589878 AWV589877:AWV589878 BGR589877:BGR589878 BQN589877:BQN589878 CAJ589877:CAJ589878 CKF589877:CKF589878 CUB589877:CUB589878 DDX589877:DDX589878 DNT589877:DNT589878 DXP589877:DXP589878 EHL589877:EHL589878 ERH589877:ERH589878 FBD589877:FBD589878 FKZ589877:FKZ589878 FUV589877:FUV589878 GER589877:GER589878 GON589877:GON589878 GYJ589877:GYJ589878 HIF589877:HIF589878 HSB589877:HSB589878 IBX589877:IBX589878 ILT589877:ILT589878 IVP589877:IVP589878 JFL589877:JFL589878 JPH589877:JPH589878 JZD589877:JZD589878 KIZ589877:KIZ589878 KSV589877:KSV589878 LCR589877:LCR589878 LMN589877:LMN589878 LWJ589877:LWJ589878 MGF589877:MGF589878 MQB589877:MQB589878 MZX589877:MZX589878 NJT589877:NJT589878 NTP589877:NTP589878 ODL589877:ODL589878 ONH589877:ONH589878 OXD589877:OXD589878 PGZ589877:PGZ589878 PQV589877:PQV589878 QAR589877:QAR589878 QKN589877:QKN589878 QUJ589877:QUJ589878 REF589877:REF589878 ROB589877:ROB589878 RXX589877:RXX589878 SHT589877:SHT589878 SRP589877:SRP589878 TBL589877:TBL589878 TLH589877:TLH589878 TVD589877:TVD589878 UEZ589877:UEZ589878 UOV589877:UOV589878 UYR589877:UYR589878 VIN589877:VIN589878 VSJ589877:VSJ589878 WCF589877:WCF589878 WMB589877:WMB589878 WVX589877:WVX589878 P655413:P655414 JL655413:JL655414 TH655413:TH655414 ADD655413:ADD655414 AMZ655413:AMZ655414 AWV655413:AWV655414 BGR655413:BGR655414 BQN655413:BQN655414 CAJ655413:CAJ655414 CKF655413:CKF655414 CUB655413:CUB655414 DDX655413:DDX655414 DNT655413:DNT655414 DXP655413:DXP655414 EHL655413:EHL655414 ERH655413:ERH655414 FBD655413:FBD655414 FKZ655413:FKZ655414 FUV655413:FUV655414 GER655413:GER655414 GON655413:GON655414 GYJ655413:GYJ655414 HIF655413:HIF655414 HSB655413:HSB655414 IBX655413:IBX655414 ILT655413:ILT655414 IVP655413:IVP655414 JFL655413:JFL655414 JPH655413:JPH655414 JZD655413:JZD655414 KIZ655413:KIZ655414 KSV655413:KSV655414 LCR655413:LCR655414 LMN655413:LMN655414 LWJ655413:LWJ655414 MGF655413:MGF655414 MQB655413:MQB655414 MZX655413:MZX655414 NJT655413:NJT655414 NTP655413:NTP655414 ODL655413:ODL655414 ONH655413:ONH655414 OXD655413:OXD655414 PGZ655413:PGZ655414 PQV655413:PQV655414 QAR655413:QAR655414 QKN655413:QKN655414 QUJ655413:QUJ655414 REF655413:REF655414 ROB655413:ROB655414 RXX655413:RXX655414 SHT655413:SHT655414 SRP655413:SRP655414 TBL655413:TBL655414 TLH655413:TLH655414 TVD655413:TVD655414 UEZ655413:UEZ655414 UOV655413:UOV655414 UYR655413:UYR655414 VIN655413:VIN655414 VSJ655413:VSJ655414 WCF655413:WCF655414 WMB655413:WMB655414 WVX655413:WVX655414 P720949:P720950 JL720949:JL720950 TH720949:TH720950 ADD720949:ADD720950 AMZ720949:AMZ720950 AWV720949:AWV720950 BGR720949:BGR720950 BQN720949:BQN720950 CAJ720949:CAJ720950 CKF720949:CKF720950 CUB720949:CUB720950 DDX720949:DDX720950 DNT720949:DNT720950 DXP720949:DXP720950 EHL720949:EHL720950 ERH720949:ERH720950 FBD720949:FBD720950 FKZ720949:FKZ720950 FUV720949:FUV720950 GER720949:GER720950 GON720949:GON720950 GYJ720949:GYJ720950 HIF720949:HIF720950 HSB720949:HSB720950 IBX720949:IBX720950 ILT720949:ILT720950 IVP720949:IVP720950 JFL720949:JFL720950 JPH720949:JPH720950 JZD720949:JZD720950 KIZ720949:KIZ720950 KSV720949:KSV720950 LCR720949:LCR720950 LMN720949:LMN720950 LWJ720949:LWJ720950 MGF720949:MGF720950 MQB720949:MQB720950 MZX720949:MZX720950 NJT720949:NJT720950 NTP720949:NTP720950 ODL720949:ODL720950 ONH720949:ONH720950 OXD720949:OXD720950 PGZ720949:PGZ720950 PQV720949:PQV720950 QAR720949:QAR720950 QKN720949:QKN720950 QUJ720949:QUJ720950 REF720949:REF720950 ROB720949:ROB720950 RXX720949:RXX720950 SHT720949:SHT720950 SRP720949:SRP720950 TBL720949:TBL720950 TLH720949:TLH720950 TVD720949:TVD720950 UEZ720949:UEZ720950 UOV720949:UOV720950 UYR720949:UYR720950 VIN720949:VIN720950 VSJ720949:VSJ720950 WCF720949:WCF720950 WMB720949:WMB720950 WVX720949:WVX720950 P786485:P786486 JL786485:JL786486 TH786485:TH786486 ADD786485:ADD786486 AMZ786485:AMZ786486 AWV786485:AWV786486 BGR786485:BGR786486 BQN786485:BQN786486 CAJ786485:CAJ786486 CKF786485:CKF786486 CUB786485:CUB786486 DDX786485:DDX786486 DNT786485:DNT786486 DXP786485:DXP786486 EHL786485:EHL786486 ERH786485:ERH786486 FBD786485:FBD786486 FKZ786485:FKZ786486 FUV786485:FUV786486 GER786485:GER786486 GON786485:GON786486 GYJ786485:GYJ786486 HIF786485:HIF786486 HSB786485:HSB786486 IBX786485:IBX786486 ILT786485:ILT786486 IVP786485:IVP786486 JFL786485:JFL786486 JPH786485:JPH786486 JZD786485:JZD786486 KIZ786485:KIZ786486 KSV786485:KSV786486 LCR786485:LCR786486 LMN786485:LMN786486 LWJ786485:LWJ786486 MGF786485:MGF786486 MQB786485:MQB786486 MZX786485:MZX786486 NJT786485:NJT786486 NTP786485:NTP786486 ODL786485:ODL786486 ONH786485:ONH786486 OXD786485:OXD786486 PGZ786485:PGZ786486 PQV786485:PQV786486 QAR786485:QAR786486 QKN786485:QKN786486 QUJ786485:QUJ786486 REF786485:REF786486 ROB786485:ROB786486 RXX786485:RXX786486 SHT786485:SHT786486 SRP786485:SRP786486 TBL786485:TBL786486 TLH786485:TLH786486 TVD786485:TVD786486 UEZ786485:UEZ786486 UOV786485:UOV786486 UYR786485:UYR786486 VIN786485:VIN786486 VSJ786485:VSJ786486 WCF786485:WCF786486 WMB786485:WMB786486 WVX786485:WVX786486 P852021:P852022 JL852021:JL852022 TH852021:TH852022 ADD852021:ADD852022 AMZ852021:AMZ852022 AWV852021:AWV852022 BGR852021:BGR852022 BQN852021:BQN852022 CAJ852021:CAJ852022 CKF852021:CKF852022 CUB852021:CUB852022 DDX852021:DDX852022 DNT852021:DNT852022 DXP852021:DXP852022 EHL852021:EHL852022 ERH852021:ERH852022 FBD852021:FBD852022 FKZ852021:FKZ852022 FUV852021:FUV852022 GER852021:GER852022 GON852021:GON852022 GYJ852021:GYJ852022 HIF852021:HIF852022 HSB852021:HSB852022 IBX852021:IBX852022 ILT852021:ILT852022 IVP852021:IVP852022 JFL852021:JFL852022 JPH852021:JPH852022 JZD852021:JZD852022 KIZ852021:KIZ852022 KSV852021:KSV852022 LCR852021:LCR852022 LMN852021:LMN852022 LWJ852021:LWJ852022 MGF852021:MGF852022 MQB852021:MQB852022 MZX852021:MZX852022 NJT852021:NJT852022 NTP852021:NTP852022 ODL852021:ODL852022 ONH852021:ONH852022 OXD852021:OXD852022 PGZ852021:PGZ852022 PQV852021:PQV852022 QAR852021:QAR852022 QKN852021:QKN852022 QUJ852021:QUJ852022 REF852021:REF852022 ROB852021:ROB852022 RXX852021:RXX852022 SHT852021:SHT852022 SRP852021:SRP852022 TBL852021:TBL852022 TLH852021:TLH852022 TVD852021:TVD852022 UEZ852021:UEZ852022 UOV852021:UOV852022 UYR852021:UYR852022 VIN852021:VIN852022 VSJ852021:VSJ852022 WCF852021:WCF852022 WMB852021:WMB852022 WVX852021:WVX852022 P917557:P917558 JL917557:JL917558 TH917557:TH917558 ADD917557:ADD917558 AMZ917557:AMZ917558 AWV917557:AWV917558 BGR917557:BGR917558 BQN917557:BQN917558 CAJ917557:CAJ917558 CKF917557:CKF917558 CUB917557:CUB917558 DDX917557:DDX917558 DNT917557:DNT917558 DXP917557:DXP917558 EHL917557:EHL917558 ERH917557:ERH917558 FBD917557:FBD917558 FKZ917557:FKZ917558 FUV917557:FUV917558 GER917557:GER917558 GON917557:GON917558 GYJ917557:GYJ917558 HIF917557:HIF917558 HSB917557:HSB917558 IBX917557:IBX917558 ILT917557:ILT917558 IVP917557:IVP917558 JFL917557:JFL917558 JPH917557:JPH917558 JZD917557:JZD917558 KIZ917557:KIZ917558 KSV917557:KSV917558 LCR917557:LCR917558 LMN917557:LMN917558 LWJ917557:LWJ917558 MGF917557:MGF917558 MQB917557:MQB917558 MZX917557:MZX917558 NJT917557:NJT917558 NTP917557:NTP917558 ODL917557:ODL917558 ONH917557:ONH917558 OXD917557:OXD917558 PGZ917557:PGZ917558 PQV917557:PQV917558 QAR917557:QAR917558 QKN917557:QKN917558 QUJ917557:QUJ917558 REF917557:REF917558 ROB917557:ROB917558 RXX917557:RXX917558 SHT917557:SHT917558 SRP917557:SRP917558 TBL917557:TBL917558 TLH917557:TLH917558 TVD917557:TVD917558 UEZ917557:UEZ917558 UOV917557:UOV917558 UYR917557:UYR917558 VIN917557:VIN917558 VSJ917557:VSJ917558 WCF917557:WCF917558 WMB917557:WMB917558 WVX917557:WVX917558 P983093:P983094 JL983093:JL983094 TH983093:TH983094 ADD983093:ADD983094 AMZ983093:AMZ983094 AWV983093:AWV983094 BGR983093:BGR983094 BQN983093:BQN983094 CAJ983093:CAJ983094 CKF983093:CKF983094 CUB983093:CUB983094 DDX983093:DDX983094 DNT983093:DNT983094 DXP983093:DXP983094 EHL983093:EHL983094 ERH983093:ERH983094 FBD983093:FBD983094 FKZ983093:FKZ983094 FUV983093:FUV983094 GER983093:GER983094 GON983093:GON983094 GYJ983093:GYJ983094 HIF983093:HIF983094 HSB983093:HSB983094 IBX983093:IBX983094 ILT983093:ILT983094 IVP983093:IVP983094 JFL983093:JFL983094 JPH983093:JPH983094 JZD983093:JZD983094 KIZ983093:KIZ983094 KSV983093:KSV983094 LCR983093:LCR983094 LMN983093:LMN983094 LWJ983093:LWJ983094 MGF983093:MGF983094 MQB983093:MQB983094 MZX983093:MZX983094 NJT983093:NJT983094 NTP983093:NTP983094 ODL983093:ODL983094 ONH983093:ONH983094 OXD983093:OXD983094 PGZ983093:PGZ983094 PQV983093:PQV983094 QAR983093:QAR983094 QKN983093:QKN983094 QUJ983093:QUJ983094 REF983093:REF983094 ROB983093:ROB983094 RXX983093:RXX983094 SHT983093:SHT983094 SRP983093:SRP983094 TBL983093:TBL983094 TLH983093:TLH983094 TVD983093:TVD983094 UEZ983093:UEZ983094 UOV983093:UOV983094 UYR983093:UYR983094 VIN983093:VIN983094 VSJ983093:VSJ983094 WCF983093:WCF983094 WMB983093:WMB983094 WVX983093:WVX983094 O56:P57 JK56:JL57 TG56:TH57 ADC56:ADD57 AMY56:AMZ57 AWU56:AWV57 BGQ56:BGR57 BQM56:BQN57 CAI56:CAJ57 CKE56:CKF57 CUA56:CUB57 DDW56:DDX57 DNS56:DNT57 DXO56:DXP57 EHK56:EHL57 ERG56:ERH57 FBC56:FBD57 FKY56:FKZ57 FUU56:FUV57 GEQ56:GER57 GOM56:GON57 GYI56:GYJ57 HIE56:HIF57 HSA56:HSB57 IBW56:IBX57 ILS56:ILT57 IVO56:IVP57 JFK56:JFL57 JPG56:JPH57 JZC56:JZD57 KIY56:KIZ57 KSU56:KSV57 LCQ56:LCR57 LMM56:LMN57 LWI56:LWJ57 MGE56:MGF57 MQA56:MQB57 MZW56:MZX57 NJS56:NJT57 NTO56:NTP57 ODK56:ODL57 ONG56:ONH57 OXC56:OXD57 PGY56:PGZ57 PQU56:PQV57 QAQ56:QAR57 QKM56:QKN57 QUI56:QUJ57 REE56:REF57 ROA56:ROB57 RXW56:RXX57 SHS56:SHT57 SRO56:SRP57 TBK56:TBL57 TLG56:TLH57 TVC56:TVD57 UEY56:UEZ57 UOU56:UOV57 UYQ56:UYR57 VIM56:VIN57 VSI56:VSJ57 WCE56:WCF57 WMA56:WMB57 WVW56:WVX57 O65592:P65593 JK65592:JL65593 TG65592:TH65593 ADC65592:ADD65593 AMY65592:AMZ65593 AWU65592:AWV65593 BGQ65592:BGR65593 BQM65592:BQN65593 CAI65592:CAJ65593 CKE65592:CKF65593 CUA65592:CUB65593 DDW65592:DDX65593 DNS65592:DNT65593 DXO65592:DXP65593 EHK65592:EHL65593 ERG65592:ERH65593 FBC65592:FBD65593 FKY65592:FKZ65593 FUU65592:FUV65593 GEQ65592:GER65593 GOM65592:GON65593 GYI65592:GYJ65593 HIE65592:HIF65593 HSA65592:HSB65593 IBW65592:IBX65593 ILS65592:ILT65593 IVO65592:IVP65593 JFK65592:JFL65593 JPG65592:JPH65593 JZC65592:JZD65593 KIY65592:KIZ65593 KSU65592:KSV65593 LCQ65592:LCR65593 LMM65592:LMN65593 LWI65592:LWJ65593 MGE65592:MGF65593 MQA65592:MQB65593 MZW65592:MZX65593 NJS65592:NJT65593 NTO65592:NTP65593 ODK65592:ODL65593 ONG65592:ONH65593 OXC65592:OXD65593 PGY65592:PGZ65593 PQU65592:PQV65593 QAQ65592:QAR65593 QKM65592:QKN65593 QUI65592:QUJ65593 REE65592:REF65593 ROA65592:ROB65593 RXW65592:RXX65593 SHS65592:SHT65593 SRO65592:SRP65593 TBK65592:TBL65593 TLG65592:TLH65593 TVC65592:TVD65593 UEY65592:UEZ65593 UOU65592:UOV65593 UYQ65592:UYR65593 VIM65592:VIN65593 VSI65592:VSJ65593 WCE65592:WCF65593 WMA65592:WMB65593 WVW65592:WVX65593 O131128:P131129 JK131128:JL131129 TG131128:TH131129 ADC131128:ADD131129 AMY131128:AMZ131129 AWU131128:AWV131129 BGQ131128:BGR131129 BQM131128:BQN131129 CAI131128:CAJ131129 CKE131128:CKF131129 CUA131128:CUB131129 DDW131128:DDX131129 DNS131128:DNT131129 DXO131128:DXP131129 EHK131128:EHL131129 ERG131128:ERH131129 FBC131128:FBD131129 FKY131128:FKZ131129 FUU131128:FUV131129 GEQ131128:GER131129 GOM131128:GON131129 GYI131128:GYJ131129 HIE131128:HIF131129 HSA131128:HSB131129 IBW131128:IBX131129 ILS131128:ILT131129 IVO131128:IVP131129 JFK131128:JFL131129 JPG131128:JPH131129 JZC131128:JZD131129 KIY131128:KIZ131129 KSU131128:KSV131129 LCQ131128:LCR131129 LMM131128:LMN131129 LWI131128:LWJ131129 MGE131128:MGF131129 MQA131128:MQB131129 MZW131128:MZX131129 NJS131128:NJT131129 NTO131128:NTP131129 ODK131128:ODL131129 ONG131128:ONH131129 OXC131128:OXD131129 PGY131128:PGZ131129 PQU131128:PQV131129 QAQ131128:QAR131129 QKM131128:QKN131129 QUI131128:QUJ131129 REE131128:REF131129 ROA131128:ROB131129 RXW131128:RXX131129 SHS131128:SHT131129 SRO131128:SRP131129 TBK131128:TBL131129 TLG131128:TLH131129 TVC131128:TVD131129 UEY131128:UEZ131129 UOU131128:UOV131129 UYQ131128:UYR131129 VIM131128:VIN131129 VSI131128:VSJ131129 WCE131128:WCF131129 WMA131128:WMB131129 WVW131128:WVX131129 O196664:P196665 JK196664:JL196665 TG196664:TH196665 ADC196664:ADD196665 AMY196664:AMZ196665 AWU196664:AWV196665 BGQ196664:BGR196665 BQM196664:BQN196665 CAI196664:CAJ196665 CKE196664:CKF196665 CUA196664:CUB196665 DDW196664:DDX196665 DNS196664:DNT196665 DXO196664:DXP196665 EHK196664:EHL196665 ERG196664:ERH196665 FBC196664:FBD196665 FKY196664:FKZ196665 FUU196664:FUV196665 GEQ196664:GER196665 GOM196664:GON196665 GYI196664:GYJ196665 HIE196664:HIF196665 HSA196664:HSB196665 IBW196664:IBX196665 ILS196664:ILT196665 IVO196664:IVP196665 JFK196664:JFL196665 JPG196664:JPH196665 JZC196664:JZD196665 KIY196664:KIZ196665 KSU196664:KSV196665 LCQ196664:LCR196665 LMM196664:LMN196665 LWI196664:LWJ196665 MGE196664:MGF196665 MQA196664:MQB196665 MZW196664:MZX196665 NJS196664:NJT196665 NTO196664:NTP196665 ODK196664:ODL196665 ONG196664:ONH196665 OXC196664:OXD196665 PGY196664:PGZ196665 PQU196664:PQV196665 QAQ196664:QAR196665 QKM196664:QKN196665 QUI196664:QUJ196665 REE196664:REF196665 ROA196664:ROB196665 RXW196664:RXX196665 SHS196664:SHT196665 SRO196664:SRP196665 TBK196664:TBL196665 TLG196664:TLH196665 TVC196664:TVD196665 UEY196664:UEZ196665 UOU196664:UOV196665 UYQ196664:UYR196665 VIM196664:VIN196665 VSI196664:VSJ196665 WCE196664:WCF196665 WMA196664:WMB196665 WVW196664:WVX196665 O262200:P262201 JK262200:JL262201 TG262200:TH262201 ADC262200:ADD262201 AMY262200:AMZ262201 AWU262200:AWV262201 BGQ262200:BGR262201 BQM262200:BQN262201 CAI262200:CAJ262201 CKE262200:CKF262201 CUA262200:CUB262201 DDW262200:DDX262201 DNS262200:DNT262201 DXO262200:DXP262201 EHK262200:EHL262201 ERG262200:ERH262201 FBC262200:FBD262201 FKY262200:FKZ262201 FUU262200:FUV262201 GEQ262200:GER262201 GOM262200:GON262201 GYI262200:GYJ262201 HIE262200:HIF262201 HSA262200:HSB262201 IBW262200:IBX262201 ILS262200:ILT262201 IVO262200:IVP262201 JFK262200:JFL262201 JPG262200:JPH262201 JZC262200:JZD262201 KIY262200:KIZ262201 KSU262200:KSV262201 LCQ262200:LCR262201 LMM262200:LMN262201 LWI262200:LWJ262201 MGE262200:MGF262201 MQA262200:MQB262201 MZW262200:MZX262201 NJS262200:NJT262201 NTO262200:NTP262201 ODK262200:ODL262201 ONG262200:ONH262201 OXC262200:OXD262201 PGY262200:PGZ262201 PQU262200:PQV262201 QAQ262200:QAR262201 QKM262200:QKN262201 QUI262200:QUJ262201 REE262200:REF262201 ROA262200:ROB262201 RXW262200:RXX262201 SHS262200:SHT262201 SRO262200:SRP262201 TBK262200:TBL262201 TLG262200:TLH262201 TVC262200:TVD262201 UEY262200:UEZ262201 UOU262200:UOV262201 UYQ262200:UYR262201 VIM262200:VIN262201 VSI262200:VSJ262201 WCE262200:WCF262201 WMA262200:WMB262201 WVW262200:WVX262201 O327736:P327737 JK327736:JL327737 TG327736:TH327737 ADC327736:ADD327737 AMY327736:AMZ327737 AWU327736:AWV327737 BGQ327736:BGR327737 BQM327736:BQN327737 CAI327736:CAJ327737 CKE327736:CKF327737 CUA327736:CUB327737 DDW327736:DDX327737 DNS327736:DNT327737 DXO327736:DXP327737 EHK327736:EHL327737 ERG327736:ERH327737 FBC327736:FBD327737 FKY327736:FKZ327737 FUU327736:FUV327737 GEQ327736:GER327737 GOM327736:GON327737 GYI327736:GYJ327737 HIE327736:HIF327737 HSA327736:HSB327737 IBW327736:IBX327737 ILS327736:ILT327737 IVO327736:IVP327737 JFK327736:JFL327737 JPG327736:JPH327737 JZC327736:JZD327737 KIY327736:KIZ327737 KSU327736:KSV327737 LCQ327736:LCR327737 LMM327736:LMN327737 LWI327736:LWJ327737 MGE327736:MGF327737 MQA327736:MQB327737 MZW327736:MZX327737 NJS327736:NJT327737 NTO327736:NTP327737 ODK327736:ODL327737 ONG327736:ONH327737 OXC327736:OXD327737 PGY327736:PGZ327737 PQU327736:PQV327737 QAQ327736:QAR327737 QKM327736:QKN327737 QUI327736:QUJ327737 REE327736:REF327737 ROA327736:ROB327737 RXW327736:RXX327737 SHS327736:SHT327737 SRO327736:SRP327737 TBK327736:TBL327737 TLG327736:TLH327737 TVC327736:TVD327737 UEY327736:UEZ327737 UOU327736:UOV327737 UYQ327736:UYR327737 VIM327736:VIN327737 VSI327736:VSJ327737 WCE327736:WCF327737 WMA327736:WMB327737 WVW327736:WVX327737 O393272:P393273 JK393272:JL393273 TG393272:TH393273 ADC393272:ADD393273 AMY393272:AMZ393273 AWU393272:AWV393273 BGQ393272:BGR393273 BQM393272:BQN393273 CAI393272:CAJ393273 CKE393272:CKF393273 CUA393272:CUB393273 DDW393272:DDX393273 DNS393272:DNT393273 DXO393272:DXP393273 EHK393272:EHL393273 ERG393272:ERH393273 FBC393272:FBD393273 FKY393272:FKZ393273 FUU393272:FUV393273 GEQ393272:GER393273 GOM393272:GON393273 GYI393272:GYJ393273 HIE393272:HIF393273 HSA393272:HSB393273 IBW393272:IBX393273 ILS393272:ILT393273 IVO393272:IVP393273 JFK393272:JFL393273 JPG393272:JPH393273 JZC393272:JZD393273 KIY393272:KIZ393273 KSU393272:KSV393273 LCQ393272:LCR393273 LMM393272:LMN393273 LWI393272:LWJ393273 MGE393272:MGF393273 MQA393272:MQB393273 MZW393272:MZX393273 NJS393272:NJT393273 NTO393272:NTP393273 ODK393272:ODL393273 ONG393272:ONH393273 OXC393272:OXD393273 PGY393272:PGZ393273 PQU393272:PQV393273 QAQ393272:QAR393273 QKM393272:QKN393273 QUI393272:QUJ393273 REE393272:REF393273 ROA393272:ROB393273 RXW393272:RXX393273 SHS393272:SHT393273 SRO393272:SRP393273 TBK393272:TBL393273 TLG393272:TLH393273 TVC393272:TVD393273 UEY393272:UEZ393273 UOU393272:UOV393273 UYQ393272:UYR393273 VIM393272:VIN393273 VSI393272:VSJ393273 WCE393272:WCF393273 WMA393272:WMB393273 WVW393272:WVX393273 O458808:P458809 JK458808:JL458809 TG458808:TH458809 ADC458808:ADD458809 AMY458808:AMZ458809 AWU458808:AWV458809 BGQ458808:BGR458809 BQM458808:BQN458809 CAI458808:CAJ458809 CKE458808:CKF458809 CUA458808:CUB458809 DDW458808:DDX458809 DNS458808:DNT458809 DXO458808:DXP458809 EHK458808:EHL458809 ERG458808:ERH458809 FBC458808:FBD458809 FKY458808:FKZ458809 FUU458808:FUV458809 GEQ458808:GER458809 GOM458808:GON458809 GYI458808:GYJ458809 HIE458808:HIF458809 HSA458808:HSB458809 IBW458808:IBX458809 ILS458808:ILT458809 IVO458808:IVP458809 JFK458808:JFL458809 JPG458808:JPH458809 JZC458808:JZD458809 KIY458808:KIZ458809 KSU458808:KSV458809 LCQ458808:LCR458809 LMM458808:LMN458809 LWI458808:LWJ458809 MGE458808:MGF458809 MQA458808:MQB458809 MZW458808:MZX458809 NJS458808:NJT458809 NTO458808:NTP458809 ODK458808:ODL458809 ONG458808:ONH458809 OXC458808:OXD458809 PGY458808:PGZ458809 PQU458808:PQV458809 QAQ458808:QAR458809 QKM458808:QKN458809 QUI458808:QUJ458809 REE458808:REF458809 ROA458808:ROB458809 RXW458808:RXX458809 SHS458808:SHT458809 SRO458808:SRP458809 TBK458808:TBL458809 TLG458808:TLH458809 TVC458808:TVD458809 UEY458808:UEZ458809 UOU458808:UOV458809 UYQ458808:UYR458809 VIM458808:VIN458809 VSI458808:VSJ458809 WCE458808:WCF458809 WMA458808:WMB458809 WVW458808:WVX458809 O524344:P524345 JK524344:JL524345 TG524344:TH524345 ADC524344:ADD524345 AMY524344:AMZ524345 AWU524344:AWV524345 BGQ524344:BGR524345 BQM524344:BQN524345 CAI524344:CAJ524345 CKE524344:CKF524345 CUA524344:CUB524345 DDW524344:DDX524345 DNS524344:DNT524345 DXO524344:DXP524345 EHK524344:EHL524345 ERG524344:ERH524345 FBC524344:FBD524345 FKY524344:FKZ524345 FUU524344:FUV524345 GEQ524344:GER524345 GOM524344:GON524345 GYI524344:GYJ524345 HIE524344:HIF524345 HSA524344:HSB524345 IBW524344:IBX524345 ILS524344:ILT524345 IVO524344:IVP524345 JFK524344:JFL524345 JPG524344:JPH524345 JZC524344:JZD524345 KIY524344:KIZ524345 KSU524344:KSV524345 LCQ524344:LCR524345 LMM524344:LMN524345 LWI524344:LWJ524345 MGE524344:MGF524345 MQA524344:MQB524345 MZW524344:MZX524345 NJS524344:NJT524345 NTO524344:NTP524345 ODK524344:ODL524345 ONG524344:ONH524345 OXC524344:OXD524345 PGY524344:PGZ524345 PQU524344:PQV524345 QAQ524344:QAR524345 QKM524344:QKN524345 QUI524344:QUJ524345 REE524344:REF524345 ROA524344:ROB524345 RXW524344:RXX524345 SHS524344:SHT524345 SRO524344:SRP524345 TBK524344:TBL524345 TLG524344:TLH524345 TVC524344:TVD524345 UEY524344:UEZ524345 UOU524344:UOV524345 UYQ524344:UYR524345 VIM524344:VIN524345 VSI524344:VSJ524345 WCE524344:WCF524345 WMA524344:WMB524345 WVW524344:WVX524345 O589880:P589881 JK589880:JL589881 TG589880:TH589881 ADC589880:ADD589881 AMY589880:AMZ589881 AWU589880:AWV589881 BGQ589880:BGR589881 BQM589880:BQN589881 CAI589880:CAJ589881 CKE589880:CKF589881 CUA589880:CUB589881 DDW589880:DDX589881 DNS589880:DNT589881 DXO589880:DXP589881 EHK589880:EHL589881 ERG589880:ERH589881 FBC589880:FBD589881 FKY589880:FKZ589881 FUU589880:FUV589881 GEQ589880:GER589881 GOM589880:GON589881 GYI589880:GYJ589881 HIE589880:HIF589881 HSA589880:HSB589881 IBW589880:IBX589881 ILS589880:ILT589881 IVO589880:IVP589881 JFK589880:JFL589881 JPG589880:JPH589881 JZC589880:JZD589881 KIY589880:KIZ589881 KSU589880:KSV589881 LCQ589880:LCR589881 LMM589880:LMN589881 LWI589880:LWJ589881 MGE589880:MGF589881 MQA589880:MQB589881 MZW589880:MZX589881 NJS589880:NJT589881 NTO589880:NTP589881 ODK589880:ODL589881 ONG589880:ONH589881 OXC589880:OXD589881 PGY589880:PGZ589881 PQU589880:PQV589881 QAQ589880:QAR589881 QKM589880:QKN589881 QUI589880:QUJ589881 REE589880:REF589881 ROA589880:ROB589881 RXW589880:RXX589881 SHS589880:SHT589881 SRO589880:SRP589881 TBK589880:TBL589881 TLG589880:TLH589881 TVC589880:TVD589881 UEY589880:UEZ589881 UOU589880:UOV589881 UYQ589880:UYR589881 VIM589880:VIN589881 VSI589880:VSJ589881 WCE589880:WCF589881 WMA589880:WMB589881 WVW589880:WVX589881 O655416:P655417 JK655416:JL655417 TG655416:TH655417 ADC655416:ADD655417 AMY655416:AMZ655417 AWU655416:AWV655417 BGQ655416:BGR655417 BQM655416:BQN655417 CAI655416:CAJ655417 CKE655416:CKF655417 CUA655416:CUB655417 DDW655416:DDX655417 DNS655416:DNT655417 DXO655416:DXP655417 EHK655416:EHL655417 ERG655416:ERH655417 FBC655416:FBD655417 FKY655416:FKZ655417 FUU655416:FUV655417 GEQ655416:GER655417 GOM655416:GON655417 GYI655416:GYJ655417 HIE655416:HIF655417 HSA655416:HSB655417 IBW655416:IBX655417 ILS655416:ILT655417 IVO655416:IVP655417 JFK655416:JFL655417 JPG655416:JPH655417 JZC655416:JZD655417 KIY655416:KIZ655417 KSU655416:KSV655417 LCQ655416:LCR655417 LMM655416:LMN655417 LWI655416:LWJ655417 MGE655416:MGF655417 MQA655416:MQB655417 MZW655416:MZX655417 NJS655416:NJT655417 NTO655416:NTP655417 ODK655416:ODL655417 ONG655416:ONH655417 OXC655416:OXD655417 PGY655416:PGZ655417 PQU655416:PQV655417 QAQ655416:QAR655417 QKM655416:QKN655417 QUI655416:QUJ655417 REE655416:REF655417 ROA655416:ROB655417 RXW655416:RXX655417 SHS655416:SHT655417 SRO655416:SRP655417 TBK655416:TBL655417 TLG655416:TLH655417 TVC655416:TVD655417 UEY655416:UEZ655417 UOU655416:UOV655417 UYQ655416:UYR655417 VIM655416:VIN655417 VSI655416:VSJ655417 WCE655416:WCF655417 WMA655416:WMB655417 WVW655416:WVX655417 O720952:P720953 JK720952:JL720953 TG720952:TH720953 ADC720952:ADD720953 AMY720952:AMZ720953 AWU720952:AWV720953 BGQ720952:BGR720953 BQM720952:BQN720953 CAI720952:CAJ720953 CKE720952:CKF720953 CUA720952:CUB720953 DDW720952:DDX720953 DNS720952:DNT720953 DXO720952:DXP720953 EHK720952:EHL720953 ERG720952:ERH720953 FBC720952:FBD720953 FKY720952:FKZ720953 FUU720952:FUV720953 GEQ720952:GER720953 GOM720952:GON720953 GYI720952:GYJ720953 HIE720952:HIF720953 HSA720952:HSB720953 IBW720952:IBX720953 ILS720952:ILT720953 IVO720952:IVP720953 JFK720952:JFL720953 JPG720952:JPH720953 JZC720952:JZD720953 KIY720952:KIZ720953 KSU720952:KSV720953 LCQ720952:LCR720953 LMM720952:LMN720953 LWI720952:LWJ720953 MGE720952:MGF720953 MQA720952:MQB720953 MZW720952:MZX720953 NJS720952:NJT720953 NTO720952:NTP720953 ODK720952:ODL720953 ONG720952:ONH720953 OXC720952:OXD720953 PGY720952:PGZ720953 PQU720952:PQV720953 QAQ720952:QAR720953 QKM720952:QKN720953 QUI720952:QUJ720953 REE720952:REF720953 ROA720952:ROB720953 RXW720952:RXX720953 SHS720952:SHT720953 SRO720952:SRP720953 TBK720952:TBL720953 TLG720952:TLH720953 TVC720952:TVD720953 UEY720952:UEZ720953 UOU720952:UOV720953 UYQ720952:UYR720953 VIM720952:VIN720953 VSI720952:VSJ720953 WCE720952:WCF720953 WMA720952:WMB720953 WVW720952:WVX720953 O786488:P786489 JK786488:JL786489 TG786488:TH786489 ADC786488:ADD786489 AMY786488:AMZ786489 AWU786488:AWV786489 BGQ786488:BGR786489 BQM786488:BQN786489 CAI786488:CAJ786489 CKE786488:CKF786489 CUA786488:CUB786489 DDW786488:DDX786489 DNS786488:DNT786489 DXO786488:DXP786489 EHK786488:EHL786489 ERG786488:ERH786489 FBC786488:FBD786489 FKY786488:FKZ786489 FUU786488:FUV786489 GEQ786488:GER786489 GOM786488:GON786489 GYI786488:GYJ786489 HIE786488:HIF786489 HSA786488:HSB786489 IBW786488:IBX786489 ILS786488:ILT786489 IVO786488:IVP786489 JFK786488:JFL786489 JPG786488:JPH786489 JZC786488:JZD786489 KIY786488:KIZ786489 KSU786488:KSV786489 LCQ786488:LCR786489 LMM786488:LMN786489 LWI786488:LWJ786489 MGE786488:MGF786489 MQA786488:MQB786489 MZW786488:MZX786489 NJS786488:NJT786489 NTO786488:NTP786489 ODK786488:ODL786489 ONG786488:ONH786489 OXC786488:OXD786489 PGY786488:PGZ786489 PQU786488:PQV786489 QAQ786488:QAR786489 QKM786488:QKN786489 QUI786488:QUJ786489 REE786488:REF786489 ROA786488:ROB786489 RXW786488:RXX786489 SHS786488:SHT786489 SRO786488:SRP786489 TBK786488:TBL786489 TLG786488:TLH786489 TVC786488:TVD786489 UEY786488:UEZ786489 UOU786488:UOV786489 UYQ786488:UYR786489 VIM786488:VIN786489 VSI786488:VSJ786489 WCE786488:WCF786489 WMA786488:WMB786489 WVW786488:WVX786489 O852024:P852025 JK852024:JL852025 TG852024:TH852025 ADC852024:ADD852025 AMY852024:AMZ852025 AWU852024:AWV852025 BGQ852024:BGR852025 BQM852024:BQN852025 CAI852024:CAJ852025 CKE852024:CKF852025 CUA852024:CUB852025 DDW852024:DDX852025 DNS852024:DNT852025 DXO852024:DXP852025 EHK852024:EHL852025 ERG852024:ERH852025 FBC852024:FBD852025 FKY852024:FKZ852025 FUU852024:FUV852025 GEQ852024:GER852025 GOM852024:GON852025 GYI852024:GYJ852025 HIE852024:HIF852025 HSA852024:HSB852025 IBW852024:IBX852025 ILS852024:ILT852025 IVO852024:IVP852025 JFK852024:JFL852025 JPG852024:JPH852025 JZC852024:JZD852025 KIY852024:KIZ852025 KSU852024:KSV852025 LCQ852024:LCR852025 LMM852024:LMN852025 LWI852024:LWJ852025 MGE852024:MGF852025 MQA852024:MQB852025 MZW852024:MZX852025 NJS852024:NJT852025 NTO852024:NTP852025 ODK852024:ODL852025 ONG852024:ONH852025 OXC852024:OXD852025 PGY852024:PGZ852025 PQU852024:PQV852025 QAQ852024:QAR852025 QKM852024:QKN852025 QUI852024:QUJ852025 REE852024:REF852025 ROA852024:ROB852025 RXW852024:RXX852025 SHS852024:SHT852025 SRO852024:SRP852025 TBK852024:TBL852025 TLG852024:TLH852025 TVC852024:TVD852025 UEY852024:UEZ852025 UOU852024:UOV852025 UYQ852024:UYR852025 VIM852024:VIN852025 VSI852024:VSJ852025 WCE852024:WCF852025 WMA852024:WMB852025 WVW852024:WVX852025 O917560:P917561 JK917560:JL917561 TG917560:TH917561 ADC917560:ADD917561 AMY917560:AMZ917561 AWU917560:AWV917561 BGQ917560:BGR917561 BQM917560:BQN917561 CAI917560:CAJ917561 CKE917560:CKF917561 CUA917560:CUB917561 DDW917560:DDX917561 DNS917560:DNT917561 DXO917560:DXP917561 EHK917560:EHL917561 ERG917560:ERH917561 FBC917560:FBD917561 FKY917560:FKZ917561 FUU917560:FUV917561 GEQ917560:GER917561 GOM917560:GON917561 GYI917560:GYJ917561 HIE917560:HIF917561 HSA917560:HSB917561 IBW917560:IBX917561 ILS917560:ILT917561 IVO917560:IVP917561 JFK917560:JFL917561 JPG917560:JPH917561 JZC917560:JZD917561 KIY917560:KIZ917561 KSU917560:KSV917561 LCQ917560:LCR917561 LMM917560:LMN917561 LWI917560:LWJ917561 MGE917560:MGF917561 MQA917560:MQB917561 MZW917560:MZX917561 NJS917560:NJT917561 NTO917560:NTP917561 ODK917560:ODL917561 ONG917560:ONH917561 OXC917560:OXD917561 PGY917560:PGZ917561 PQU917560:PQV917561 QAQ917560:QAR917561 QKM917560:QKN917561 QUI917560:QUJ917561 REE917560:REF917561 ROA917560:ROB917561 RXW917560:RXX917561 SHS917560:SHT917561 SRO917560:SRP917561 TBK917560:TBL917561 TLG917560:TLH917561 TVC917560:TVD917561 UEY917560:UEZ917561 UOU917560:UOV917561 UYQ917560:UYR917561 VIM917560:VIN917561 VSI917560:VSJ917561 WCE917560:WCF917561 WMA917560:WMB917561 WVW917560:WVX917561 O983096:P983097 JK983096:JL983097 TG983096:TH983097 ADC983096:ADD983097 AMY983096:AMZ983097 AWU983096:AWV983097 BGQ983096:BGR983097 BQM983096:BQN983097 CAI983096:CAJ983097 CKE983096:CKF983097 CUA983096:CUB983097 DDW983096:DDX983097 DNS983096:DNT983097 DXO983096:DXP983097 EHK983096:EHL983097 ERG983096:ERH983097 FBC983096:FBD983097 FKY983096:FKZ983097 FUU983096:FUV983097 GEQ983096:GER983097 GOM983096:GON983097 GYI983096:GYJ983097 HIE983096:HIF983097 HSA983096:HSB983097 IBW983096:IBX983097 ILS983096:ILT983097 IVO983096:IVP983097 JFK983096:JFL983097 JPG983096:JPH983097 JZC983096:JZD983097 KIY983096:KIZ983097 KSU983096:KSV983097 LCQ983096:LCR983097 LMM983096:LMN983097 LWI983096:LWJ983097 MGE983096:MGF983097 MQA983096:MQB983097 MZW983096:MZX983097 NJS983096:NJT983097 NTO983096:NTP983097 ODK983096:ODL983097 ONG983096:ONH983097 OXC983096:OXD983097 PGY983096:PGZ983097 PQU983096:PQV983097 QAQ983096:QAR983097 QKM983096:QKN983097 QUI983096:QUJ983097 REE983096:REF983097 ROA983096:ROB983097 RXW983096:RXX983097 SHS983096:SHT983097 SRO983096:SRP983097 TBK983096:TBL983097 TLG983096:TLH983097 TVC983096:TVD983097 UEY983096:UEZ983097 UOU983096:UOV983097 UYQ983096:UYR983097 VIM983096:VIN983097 VSI983096:VSJ983097 WCE983096:WCF983097 WMA983096:WMB983097 WVW983096:WVX983097 P58:P60 JL58:JL60 TH58:TH60 ADD58:ADD60 AMZ58:AMZ60 AWV58:AWV60 BGR58:BGR60 BQN58:BQN60 CAJ58:CAJ60 CKF58:CKF60 CUB58:CUB60 DDX58:DDX60 DNT58:DNT60 DXP58:DXP60 EHL58:EHL60 ERH58:ERH60 FBD58:FBD60 FKZ58:FKZ60 FUV58:FUV60 GER58:GER60 GON58:GON60 GYJ58:GYJ60 HIF58:HIF60 HSB58:HSB60 IBX58:IBX60 ILT58:ILT60 IVP58:IVP60 JFL58:JFL60 JPH58:JPH60 JZD58:JZD60 KIZ58:KIZ60 KSV58:KSV60 LCR58:LCR60 LMN58:LMN60 LWJ58:LWJ60 MGF58:MGF60 MQB58:MQB60 MZX58:MZX60 NJT58:NJT60 NTP58:NTP60 ODL58:ODL60 ONH58:ONH60 OXD58:OXD60 PGZ58:PGZ60 PQV58:PQV60 QAR58:QAR60 QKN58:QKN60 QUJ58:QUJ60 REF58:REF60 ROB58:ROB60 RXX58:RXX60 SHT58:SHT60 SRP58:SRP60 TBL58:TBL60 TLH58:TLH60 TVD58:TVD60 UEZ58:UEZ60 UOV58:UOV60 UYR58:UYR60 VIN58:VIN60 VSJ58:VSJ60 WCF58:WCF60 WMB58:WMB60 WVX58:WVX60 P65594:P65596 JL65594:JL65596 TH65594:TH65596 ADD65594:ADD65596 AMZ65594:AMZ65596 AWV65594:AWV65596 BGR65594:BGR65596 BQN65594:BQN65596 CAJ65594:CAJ65596 CKF65594:CKF65596 CUB65594:CUB65596 DDX65594:DDX65596 DNT65594:DNT65596 DXP65594:DXP65596 EHL65594:EHL65596 ERH65594:ERH65596 FBD65594:FBD65596 FKZ65594:FKZ65596 FUV65594:FUV65596 GER65594:GER65596 GON65594:GON65596 GYJ65594:GYJ65596 HIF65594:HIF65596 HSB65594:HSB65596 IBX65594:IBX65596 ILT65594:ILT65596 IVP65594:IVP65596 JFL65594:JFL65596 JPH65594:JPH65596 JZD65594:JZD65596 KIZ65594:KIZ65596 KSV65594:KSV65596 LCR65594:LCR65596 LMN65594:LMN65596 LWJ65594:LWJ65596 MGF65594:MGF65596 MQB65594:MQB65596 MZX65594:MZX65596 NJT65594:NJT65596 NTP65594:NTP65596 ODL65594:ODL65596 ONH65594:ONH65596 OXD65594:OXD65596 PGZ65594:PGZ65596 PQV65594:PQV65596 QAR65594:QAR65596 QKN65594:QKN65596 QUJ65594:QUJ65596 REF65594:REF65596 ROB65594:ROB65596 RXX65594:RXX65596 SHT65594:SHT65596 SRP65594:SRP65596 TBL65594:TBL65596 TLH65594:TLH65596 TVD65594:TVD65596 UEZ65594:UEZ65596 UOV65594:UOV65596 UYR65594:UYR65596 VIN65594:VIN65596 VSJ65594:VSJ65596 WCF65594:WCF65596 WMB65594:WMB65596 WVX65594:WVX65596 P131130:P131132 JL131130:JL131132 TH131130:TH131132 ADD131130:ADD131132 AMZ131130:AMZ131132 AWV131130:AWV131132 BGR131130:BGR131132 BQN131130:BQN131132 CAJ131130:CAJ131132 CKF131130:CKF131132 CUB131130:CUB131132 DDX131130:DDX131132 DNT131130:DNT131132 DXP131130:DXP131132 EHL131130:EHL131132 ERH131130:ERH131132 FBD131130:FBD131132 FKZ131130:FKZ131132 FUV131130:FUV131132 GER131130:GER131132 GON131130:GON131132 GYJ131130:GYJ131132 HIF131130:HIF131132 HSB131130:HSB131132 IBX131130:IBX131132 ILT131130:ILT131132 IVP131130:IVP131132 JFL131130:JFL131132 JPH131130:JPH131132 JZD131130:JZD131132 KIZ131130:KIZ131132 KSV131130:KSV131132 LCR131130:LCR131132 LMN131130:LMN131132 LWJ131130:LWJ131132 MGF131130:MGF131132 MQB131130:MQB131132 MZX131130:MZX131132 NJT131130:NJT131132 NTP131130:NTP131132 ODL131130:ODL131132 ONH131130:ONH131132 OXD131130:OXD131132 PGZ131130:PGZ131132 PQV131130:PQV131132 QAR131130:QAR131132 QKN131130:QKN131132 QUJ131130:QUJ131132 REF131130:REF131132 ROB131130:ROB131132 RXX131130:RXX131132 SHT131130:SHT131132 SRP131130:SRP131132 TBL131130:TBL131132 TLH131130:TLH131132 TVD131130:TVD131132 UEZ131130:UEZ131132 UOV131130:UOV131132 UYR131130:UYR131132 VIN131130:VIN131132 VSJ131130:VSJ131132 WCF131130:WCF131132 WMB131130:WMB131132 WVX131130:WVX131132 P196666:P196668 JL196666:JL196668 TH196666:TH196668 ADD196666:ADD196668 AMZ196666:AMZ196668 AWV196666:AWV196668 BGR196666:BGR196668 BQN196666:BQN196668 CAJ196666:CAJ196668 CKF196666:CKF196668 CUB196666:CUB196668 DDX196666:DDX196668 DNT196666:DNT196668 DXP196666:DXP196668 EHL196666:EHL196668 ERH196666:ERH196668 FBD196666:FBD196668 FKZ196666:FKZ196668 FUV196666:FUV196668 GER196666:GER196668 GON196666:GON196668 GYJ196666:GYJ196668 HIF196666:HIF196668 HSB196666:HSB196668 IBX196666:IBX196668 ILT196666:ILT196668 IVP196666:IVP196668 JFL196666:JFL196668 JPH196666:JPH196668 JZD196666:JZD196668 KIZ196666:KIZ196668 KSV196666:KSV196668 LCR196666:LCR196668 LMN196666:LMN196668 LWJ196666:LWJ196668 MGF196666:MGF196668 MQB196666:MQB196668 MZX196666:MZX196668 NJT196666:NJT196668 NTP196666:NTP196668 ODL196666:ODL196668 ONH196666:ONH196668 OXD196666:OXD196668 PGZ196666:PGZ196668 PQV196666:PQV196668 QAR196666:QAR196668 QKN196666:QKN196668 QUJ196666:QUJ196668 REF196666:REF196668 ROB196666:ROB196668 RXX196666:RXX196668 SHT196666:SHT196668 SRP196666:SRP196668 TBL196666:TBL196668 TLH196666:TLH196668 TVD196666:TVD196668 UEZ196666:UEZ196668 UOV196666:UOV196668 UYR196666:UYR196668 VIN196666:VIN196668 VSJ196666:VSJ196668 WCF196666:WCF196668 WMB196666:WMB196668 WVX196666:WVX196668 P262202:P262204 JL262202:JL262204 TH262202:TH262204 ADD262202:ADD262204 AMZ262202:AMZ262204 AWV262202:AWV262204 BGR262202:BGR262204 BQN262202:BQN262204 CAJ262202:CAJ262204 CKF262202:CKF262204 CUB262202:CUB262204 DDX262202:DDX262204 DNT262202:DNT262204 DXP262202:DXP262204 EHL262202:EHL262204 ERH262202:ERH262204 FBD262202:FBD262204 FKZ262202:FKZ262204 FUV262202:FUV262204 GER262202:GER262204 GON262202:GON262204 GYJ262202:GYJ262204 HIF262202:HIF262204 HSB262202:HSB262204 IBX262202:IBX262204 ILT262202:ILT262204 IVP262202:IVP262204 JFL262202:JFL262204 JPH262202:JPH262204 JZD262202:JZD262204 KIZ262202:KIZ262204 KSV262202:KSV262204 LCR262202:LCR262204 LMN262202:LMN262204 LWJ262202:LWJ262204 MGF262202:MGF262204 MQB262202:MQB262204 MZX262202:MZX262204 NJT262202:NJT262204 NTP262202:NTP262204 ODL262202:ODL262204 ONH262202:ONH262204 OXD262202:OXD262204 PGZ262202:PGZ262204 PQV262202:PQV262204 QAR262202:QAR262204 QKN262202:QKN262204 QUJ262202:QUJ262204 REF262202:REF262204 ROB262202:ROB262204 RXX262202:RXX262204 SHT262202:SHT262204 SRP262202:SRP262204 TBL262202:TBL262204 TLH262202:TLH262204 TVD262202:TVD262204 UEZ262202:UEZ262204 UOV262202:UOV262204 UYR262202:UYR262204 VIN262202:VIN262204 VSJ262202:VSJ262204 WCF262202:WCF262204 WMB262202:WMB262204 WVX262202:WVX262204 P327738:P327740 JL327738:JL327740 TH327738:TH327740 ADD327738:ADD327740 AMZ327738:AMZ327740 AWV327738:AWV327740 BGR327738:BGR327740 BQN327738:BQN327740 CAJ327738:CAJ327740 CKF327738:CKF327740 CUB327738:CUB327740 DDX327738:DDX327740 DNT327738:DNT327740 DXP327738:DXP327740 EHL327738:EHL327740 ERH327738:ERH327740 FBD327738:FBD327740 FKZ327738:FKZ327740 FUV327738:FUV327740 GER327738:GER327740 GON327738:GON327740 GYJ327738:GYJ327740 HIF327738:HIF327740 HSB327738:HSB327740 IBX327738:IBX327740 ILT327738:ILT327740 IVP327738:IVP327740 JFL327738:JFL327740 JPH327738:JPH327740 JZD327738:JZD327740 KIZ327738:KIZ327740 KSV327738:KSV327740 LCR327738:LCR327740 LMN327738:LMN327740 LWJ327738:LWJ327740 MGF327738:MGF327740 MQB327738:MQB327740 MZX327738:MZX327740 NJT327738:NJT327740 NTP327738:NTP327740 ODL327738:ODL327740 ONH327738:ONH327740 OXD327738:OXD327740 PGZ327738:PGZ327740 PQV327738:PQV327740 QAR327738:QAR327740 QKN327738:QKN327740 QUJ327738:QUJ327740 REF327738:REF327740 ROB327738:ROB327740 RXX327738:RXX327740 SHT327738:SHT327740 SRP327738:SRP327740 TBL327738:TBL327740 TLH327738:TLH327740 TVD327738:TVD327740 UEZ327738:UEZ327740 UOV327738:UOV327740 UYR327738:UYR327740 VIN327738:VIN327740 VSJ327738:VSJ327740 WCF327738:WCF327740 WMB327738:WMB327740 WVX327738:WVX327740 P393274:P393276 JL393274:JL393276 TH393274:TH393276 ADD393274:ADD393276 AMZ393274:AMZ393276 AWV393274:AWV393276 BGR393274:BGR393276 BQN393274:BQN393276 CAJ393274:CAJ393276 CKF393274:CKF393276 CUB393274:CUB393276 DDX393274:DDX393276 DNT393274:DNT393276 DXP393274:DXP393276 EHL393274:EHL393276 ERH393274:ERH393276 FBD393274:FBD393276 FKZ393274:FKZ393276 FUV393274:FUV393276 GER393274:GER393276 GON393274:GON393276 GYJ393274:GYJ393276 HIF393274:HIF393276 HSB393274:HSB393276 IBX393274:IBX393276 ILT393274:ILT393276 IVP393274:IVP393276 JFL393274:JFL393276 JPH393274:JPH393276 JZD393274:JZD393276 KIZ393274:KIZ393276 KSV393274:KSV393276 LCR393274:LCR393276 LMN393274:LMN393276 LWJ393274:LWJ393276 MGF393274:MGF393276 MQB393274:MQB393276 MZX393274:MZX393276 NJT393274:NJT393276 NTP393274:NTP393276 ODL393274:ODL393276 ONH393274:ONH393276 OXD393274:OXD393276 PGZ393274:PGZ393276 PQV393274:PQV393276 QAR393274:QAR393276 QKN393274:QKN393276 QUJ393274:QUJ393276 REF393274:REF393276 ROB393274:ROB393276 RXX393274:RXX393276 SHT393274:SHT393276 SRP393274:SRP393276 TBL393274:TBL393276 TLH393274:TLH393276 TVD393274:TVD393276 UEZ393274:UEZ393276 UOV393274:UOV393276 UYR393274:UYR393276 VIN393274:VIN393276 VSJ393274:VSJ393276 WCF393274:WCF393276 WMB393274:WMB393276 WVX393274:WVX393276 P458810:P458812 JL458810:JL458812 TH458810:TH458812 ADD458810:ADD458812 AMZ458810:AMZ458812 AWV458810:AWV458812 BGR458810:BGR458812 BQN458810:BQN458812 CAJ458810:CAJ458812 CKF458810:CKF458812 CUB458810:CUB458812 DDX458810:DDX458812 DNT458810:DNT458812 DXP458810:DXP458812 EHL458810:EHL458812 ERH458810:ERH458812 FBD458810:FBD458812 FKZ458810:FKZ458812 FUV458810:FUV458812 GER458810:GER458812 GON458810:GON458812 GYJ458810:GYJ458812 HIF458810:HIF458812 HSB458810:HSB458812 IBX458810:IBX458812 ILT458810:ILT458812 IVP458810:IVP458812 JFL458810:JFL458812 JPH458810:JPH458812 JZD458810:JZD458812 KIZ458810:KIZ458812 KSV458810:KSV458812 LCR458810:LCR458812 LMN458810:LMN458812 LWJ458810:LWJ458812 MGF458810:MGF458812 MQB458810:MQB458812 MZX458810:MZX458812 NJT458810:NJT458812 NTP458810:NTP458812 ODL458810:ODL458812 ONH458810:ONH458812 OXD458810:OXD458812 PGZ458810:PGZ458812 PQV458810:PQV458812 QAR458810:QAR458812 QKN458810:QKN458812 QUJ458810:QUJ458812 REF458810:REF458812 ROB458810:ROB458812 RXX458810:RXX458812 SHT458810:SHT458812 SRP458810:SRP458812 TBL458810:TBL458812 TLH458810:TLH458812 TVD458810:TVD458812 UEZ458810:UEZ458812 UOV458810:UOV458812 UYR458810:UYR458812 VIN458810:VIN458812 VSJ458810:VSJ458812 WCF458810:WCF458812 WMB458810:WMB458812 WVX458810:WVX458812 P524346:P524348 JL524346:JL524348 TH524346:TH524348 ADD524346:ADD524348 AMZ524346:AMZ524348 AWV524346:AWV524348 BGR524346:BGR524348 BQN524346:BQN524348 CAJ524346:CAJ524348 CKF524346:CKF524348 CUB524346:CUB524348 DDX524346:DDX524348 DNT524346:DNT524348 DXP524346:DXP524348 EHL524346:EHL524348 ERH524346:ERH524348 FBD524346:FBD524348 FKZ524346:FKZ524348 FUV524346:FUV524348 GER524346:GER524348 GON524346:GON524348 GYJ524346:GYJ524348 HIF524346:HIF524348 HSB524346:HSB524348 IBX524346:IBX524348 ILT524346:ILT524348 IVP524346:IVP524348 JFL524346:JFL524348 JPH524346:JPH524348 JZD524346:JZD524348 KIZ524346:KIZ524348 KSV524346:KSV524348 LCR524346:LCR524348 LMN524346:LMN524348 LWJ524346:LWJ524348 MGF524346:MGF524348 MQB524346:MQB524348 MZX524346:MZX524348 NJT524346:NJT524348 NTP524346:NTP524348 ODL524346:ODL524348 ONH524346:ONH524348 OXD524346:OXD524348 PGZ524346:PGZ524348 PQV524346:PQV524348 QAR524346:QAR524348 QKN524346:QKN524348 QUJ524346:QUJ524348 REF524346:REF524348 ROB524346:ROB524348 RXX524346:RXX524348 SHT524346:SHT524348 SRP524346:SRP524348 TBL524346:TBL524348 TLH524346:TLH524348 TVD524346:TVD524348 UEZ524346:UEZ524348 UOV524346:UOV524348 UYR524346:UYR524348 VIN524346:VIN524348 VSJ524346:VSJ524348 WCF524346:WCF524348 WMB524346:WMB524348 WVX524346:WVX524348 P589882:P589884 JL589882:JL589884 TH589882:TH589884 ADD589882:ADD589884 AMZ589882:AMZ589884 AWV589882:AWV589884 BGR589882:BGR589884 BQN589882:BQN589884 CAJ589882:CAJ589884 CKF589882:CKF589884 CUB589882:CUB589884 DDX589882:DDX589884 DNT589882:DNT589884 DXP589882:DXP589884 EHL589882:EHL589884 ERH589882:ERH589884 FBD589882:FBD589884 FKZ589882:FKZ589884 FUV589882:FUV589884 GER589882:GER589884 GON589882:GON589884 GYJ589882:GYJ589884 HIF589882:HIF589884 HSB589882:HSB589884 IBX589882:IBX589884 ILT589882:ILT589884 IVP589882:IVP589884 JFL589882:JFL589884 JPH589882:JPH589884 JZD589882:JZD589884 KIZ589882:KIZ589884 KSV589882:KSV589884 LCR589882:LCR589884 LMN589882:LMN589884 LWJ589882:LWJ589884 MGF589882:MGF589884 MQB589882:MQB589884 MZX589882:MZX589884 NJT589882:NJT589884 NTP589882:NTP589884 ODL589882:ODL589884 ONH589882:ONH589884 OXD589882:OXD589884 PGZ589882:PGZ589884 PQV589882:PQV589884 QAR589882:QAR589884 QKN589882:QKN589884 QUJ589882:QUJ589884 REF589882:REF589884 ROB589882:ROB589884 RXX589882:RXX589884 SHT589882:SHT589884 SRP589882:SRP589884 TBL589882:TBL589884 TLH589882:TLH589884 TVD589882:TVD589884 UEZ589882:UEZ589884 UOV589882:UOV589884 UYR589882:UYR589884 VIN589882:VIN589884 VSJ589882:VSJ589884 WCF589882:WCF589884 WMB589882:WMB589884 WVX589882:WVX589884 P655418:P655420 JL655418:JL655420 TH655418:TH655420 ADD655418:ADD655420 AMZ655418:AMZ655420 AWV655418:AWV655420 BGR655418:BGR655420 BQN655418:BQN655420 CAJ655418:CAJ655420 CKF655418:CKF655420 CUB655418:CUB655420 DDX655418:DDX655420 DNT655418:DNT655420 DXP655418:DXP655420 EHL655418:EHL655420 ERH655418:ERH655420 FBD655418:FBD655420 FKZ655418:FKZ655420 FUV655418:FUV655420 GER655418:GER655420 GON655418:GON655420 GYJ655418:GYJ655420 HIF655418:HIF655420 HSB655418:HSB655420 IBX655418:IBX655420 ILT655418:ILT655420 IVP655418:IVP655420 JFL655418:JFL655420 JPH655418:JPH655420 JZD655418:JZD655420 KIZ655418:KIZ655420 KSV655418:KSV655420 LCR655418:LCR655420 LMN655418:LMN655420 LWJ655418:LWJ655420 MGF655418:MGF655420 MQB655418:MQB655420 MZX655418:MZX655420 NJT655418:NJT655420 NTP655418:NTP655420 ODL655418:ODL655420 ONH655418:ONH655420 OXD655418:OXD655420 PGZ655418:PGZ655420 PQV655418:PQV655420 QAR655418:QAR655420 QKN655418:QKN655420 QUJ655418:QUJ655420 REF655418:REF655420 ROB655418:ROB655420 RXX655418:RXX655420 SHT655418:SHT655420 SRP655418:SRP655420 TBL655418:TBL655420 TLH655418:TLH655420 TVD655418:TVD655420 UEZ655418:UEZ655420 UOV655418:UOV655420 UYR655418:UYR655420 VIN655418:VIN655420 VSJ655418:VSJ655420 WCF655418:WCF655420 WMB655418:WMB655420 WVX655418:WVX655420 P720954:P720956 JL720954:JL720956 TH720954:TH720956 ADD720954:ADD720956 AMZ720954:AMZ720956 AWV720954:AWV720956 BGR720954:BGR720956 BQN720954:BQN720956 CAJ720954:CAJ720956 CKF720954:CKF720956 CUB720954:CUB720956 DDX720954:DDX720956 DNT720954:DNT720956 DXP720954:DXP720956 EHL720954:EHL720956 ERH720954:ERH720956 FBD720954:FBD720956 FKZ720954:FKZ720956 FUV720954:FUV720956 GER720954:GER720956 GON720954:GON720956 GYJ720954:GYJ720956 HIF720954:HIF720956 HSB720954:HSB720956 IBX720954:IBX720956 ILT720954:ILT720956 IVP720954:IVP720956 JFL720954:JFL720956 JPH720954:JPH720956 JZD720954:JZD720956 KIZ720954:KIZ720956 KSV720954:KSV720956 LCR720954:LCR720956 LMN720954:LMN720956 LWJ720954:LWJ720956 MGF720954:MGF720956 MQB720954:MQB720956 MZX720954:MZX720956 NJT720954:NJT720956 NTP720954:NTP720956 ODL720954:ODL720956 ONH720954:ONH720956 OXD720954:OXD720956 PGZ720954:PGZ720956 PQV720954:PQV720956 QAR720954:QAR720956 QKN720954:QKN720956 QUJ720954:QUJ720956 REF720954:REF720956 ROB720954:ROB720956 RXX720954:RXX720956 SHT720954:SHT720956 SRP720954:SRP720956 TBL720954:TBL720956 TLH720954:TLH720956 TVD720954:TVD720956 UEZ720954:UEZ720956 UOV720954:UOV720956 UYR720954:UYR720956 VIN720954:VIN720956 VSJ720954:VSJ720956 WCF720954:WCF720956 WMB720954:WMB720956 WVX720954:WVX720956 P786490:P786492 JL786490:JL786492 TH786490:TH786492 ADD786490:ADD786492 AMZ786490:AMZ786492 AWV786490:AWV786492 BGR786490:BGR786492 BQN786490:BQN786492 CAJ786490:CAJ786492 CKF786490:CKF786492 CUB786490:CUB786492 DDX786490:DDX786492 DNT786490:DNT786492 DXP786490:DXP786492 EHL786490:EHL786492 ERH786490:ERH786492 FBD786490:FBD786492 FKZ786490:FKZ786492 FUV786490:FUV786492 GER786490:GER786492 GON786490:GON786492 GYJ786490:GYJ786492 HIF786490:HIF786492 HSB786490:HSB786492 IBX786490:IBX786492 ILT786490:ILT786492 IVP786490:IVP786492 JFL786490:JFL786492 JPH786490:JPH786492 JZD786490:JZD786492 KIZ786490:KIZ786492 KSV786490:KSV786492 LCR786490:LCR786492 LMN786490:LMN786492 LWJ786490:LWJ786492 MGF786490:MGF786492 MQB786490:MQB786492 MZX786490:MZX786492 NJT786490:NJT786492 NTP786490:NTP786492 ODL786490:ODL786492 ONH786490:ONH786492 OXD786490:OXD786492 PGZ786490:PGZ786492 PQV786490:PQV786492 QAR786490:QAR786492 QKN786490:QKN786492 QUJ786490:QUJ786492 REF786490:REF786492 ROB786490:ROB786492 RXX786490:RXX786492 SHT786490:SHT786492 SRP786490:SRP786492 TBL786490:TBL786492 TLH786490:TLH786492 TVD786490:TVD786492 UEZ786490:UEZ786492 UOV786490:UOV786492 UYR786490:UYR786492 VIN786490:VIN786492 VSJ786490:VSJ786492 WCF786490:WCF786492 WMB786490:WMB786492 WVX786490:WVX786492 P852026:P852028 JL852026:JL852028 TH852026:TH852028 ADD852026:ADD852028 AMZ852026:AMZ852028 AWV852026:AWV852028 BGR852026:BGR852028 BQN852026:BQN852028 CAJ852026:CAJ852028 CKF852026:CKF852028 CUB852026:CUB852028 DDX852026:DDX852028 DNT852026:DNT852028 DXP852026:DXP852028 EHL852026:EHL852028 ERH852026:ERH852028 FBD852026:FBD852028 FKZ852026:FKZ852028 FUV852026:FUV852028 GER852026:GER852028 GON852026:GON852028 GYJ852026:GYJ852028 HIF852026:HIF852028 HSB852026:HSB852028 IBX852026:IBX852028 ILT852026:ILT852028 IVP852026:IVP852028 JFL852026:JFL852028 JPH852026:JPH852028 JZD852026:JZD852028 KIZ852026:KIZ852028 KSV852026:KSV852028 LCR852026:LCR852028 LMN852026:LMN852028 LWJ852026:LWJ852028 MGF852026:MGF852028 MQB852026:MQB852028 MZX852026:MZX852028 NJT852026:NJT852028 NTP852026:NTP852028 ODL852026:ODL852028 ONH852026:ONH852028 OXD852026:OXD852028 PGZ852026:PGZ852028 PQV852026:PQV852028 QAR852026:QAR852028 QKN852026:QKN852028 QUJ852026:QUJ852028 REF852026:REF852028 ROB852026:ROB852028 RXX852026:RXX852028 SHT852026:SHT852028 SRP852026:SRP852028 TBL852026:TBL852028 TLH852026:TLH852028 TVD852026:TVD852028 UEZ852026:UEZ852028 UOV852026:UOV852028 UYR852026:UYR852028 VIN852026:VIN852028 VSJ852026:VSJ852028 WCF852026:WCF852028 WMB852026:WMB852028 WVX852026:WVX852028 P917562:P917564 JL917562:JL917564 TH917562:TH917564 ADD917562:ADD917564 AMZ917562:AMZ917564 AWV917562:AWV917564 BGR917562:BGR917564 BQN917562:BQN917564 CAJ917562:CAJ917564 CKF917562:CKF917564 CUB917562:CUB917564 DDX917562:DDX917564 DNT917562:DNT917564 DXP917562:DXP917564 EHL917562:EHL917564 ERH917562:ERH917564 FBD917562:FBD917564 FKZ917562:FKZ917564 FUV917562:FUV917564 GER917562:GER917564 GON917562:GON917564 GYJ917562:GYJ917564 HIF917562:HIF917564 HSB917562:HSB917564 IBX917562:IBX917564 ILT917562:ILT917564 IVP917562:IVP917564 JFL917562:JFL917564 JPH917562:JPH917564 JZD917562:JZD917564 KIZ917562:KIZ917564 KSV917562:KSV917564 LCR917562:LCR917564 LMN917562:LMN917564 LWJ917562:LWJ917564 MGF917562:MGF917564 MQB917562:MQB917564 MZX917562:MZX917564 NJT917562:NJT917564 NTP917562:NTP917564 ODL917562:ODL917564 ONH917562:ONH917564 OXD917562:OXD917564 PGZ917562:PGZ917564 PQV917562:PQV917564 QAR917562:QAR917564 QKN917562:QKN917564 QUJ917562:QUJ917564 REF917562:REF917564 ROB917562:ROB917564 RXX917562:RXX917564 SHT917562:SHT917564 SRP917562:SRP917564 TBL917562:TBL917564 TLH917562:TLH917564 TVD917562:TVD917564 UEZ917562:UEZ917564 UOV917562:UOV917564 UYR917562:UYR917564 VIN917562:VIN917564 VSJ917562:VSJ917564 WCF917562:WCF917564 WMB917562:WMB917564 WVX917562:WVX917564 P983098:P983100 JL983098:JL983100 TH983098:TH983100 ADD983098:ADD983100 AMZ983098:AMZ983100 AWV983098:AWV983100 BGR983098:BGR983100 BQN983098:BQN983100 CAJ983098:CAJ983100 CKF983098:CKF983100 CUB983098:CUB983100 DDX983098:DDX983100 DNT983098:DNT983100 DXP983098:DXP983100 EHL983098:EHL983100 ERH983098:ERH983100 FBD983098:FBD983100 FKZ983098:FKZ983100 FUV983098:FUV983100 GER983098:GER983100 GON983098:GON983100 GYJ983098:GYJ983100 HIF983098:HIF983100 HSB983098:HSB983100 IBX983098:IBX983100 ILT983098:ILT983100 IVP983098:IVP983100 JFL983098:JFL983100 JPH983098:JPH983100 JZD983098:JZD983100 KIZ983098:KIZ983100 KSV983098:KSV983100 LCR983098:LCR983100 LMN983098:LMN983100 LWJ983098:LWJ983100 MGF983098:MGF983100 MQB983098:MQB983100 MZX983098:MZX983100 NJT983098:NJT983100 NTP983098:NTP983100 ODL983098:ODL983100 ONH983098:ONH983100 OXD983098:OXD983100 PGZ983098:PGZ983100 PQV983098:PQV983100 QAR983098:QAR983100 QKN983098:QKN983100 QUJ983098:QUJ983100 REF983098:REF983100 ROB983098:ROB983100 RXX983098:RXX983100 SHT983098:SHT983100 SRP983098:SRP983100 TBL983098:TBL983100 TLH983098:TLH983100 TVD983098:TVD983100 UEZ983098:UEZ983100 UOV983098:UOV983100 UYR983098:UYR983100 VIN983098:VIN983100 VSJ983098:VSJ983100 WCF983098:WCF983100 WMB983098:WMB983100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66FF33"/>
  </sheetPr>
  <dimension ref="A1:U182"/>
  <sheetViews>
    <sheetView showGridLines="0" view="pageBreakPreview" zoomScaleNormal="75" zoomScaleSheetLayoutView="100" workbookViewId="0">
      <selection activeCell="B1" sqref="B1"/>
    </sheetView>
  </sheetViews>
  <sheetFormatPr defaultRowHeight="12.75"/>
  <cols>
    <col min="1" max="1" width="9.140625" style="953"/>
    <col min="2" max="2" width="20" style="953" customWidth="1"/>
    <col min="3" max="3" width="18.140625" style="953" customWidth="1"/>
    <col min="4" max="4" width="12.7109375" style="953" customWidth="1"/>
    <col min="5" max="5" width="19.85546875" style="953" customWidth="1"/>
    <col min="6" max="6" width="12.28515625" style="953" customWidth="1"/>
    <col min="7" max="7" width="9.28515625" style="953" customWidth="1"/>
    <col min="8" max="8" width="11" style="953" customWidth="1"/>
    <col min="9" max="9" width="7.5703125" style="953" customWidth="1"/>
    <col min="10" max="10" width="26.42578125" style="953" customWidth="1"/>
    <col min="11" max="11" width="11" style="953" customWidth="1"/>
    <col min="12" max="12" width="8.28515625" style="953" customWidth="1"/>
    <col min="13" max="13" width="11.28515625" style="953" customWidth="1"/>
    <col min="14" max="15" width="6.7109375" style="953" customWidth="1"/>
    <col min="16" max="16" width="13.85546875" style="953" customWidth="1"/>
    <col min="17" max="17" width="19.7109375" style="953" customWidth="1"/>
    <col min="18" max="18" width="11.42578125" style="953" customWidth="1"/>
    <col min="19" max="20" width="9.140625" style="953"/>
    <col min="21" max="21" width="9.140625" style="953" hidden="1" customWidth="1"/>
    <col min="22" max="257" width="9.140625" style="953"/>
    <col min="258" max="258" width="20" style="953" customWidth="1"/>
    <col min="259" max="259" width="18.140625" style="953" customWidth="1"/>
    <col min="260" max="260" width="12.7109375" style="953" customWidth="1"/>
    <col min="261" max="261" width="19.85546875" style="953" customWidth="1"/>
    <col min="262" max="262" width="12.28515625" style="953" customWidth="1"/>
    <col min="263" max="263" width="9.28515625" style="953" customWidth="1"/>
    <col min="264" max="264" width="11" style="953" customWidth="1"/>
    <col min="265" max="265" width="7.5703125" style="953" customWidth="1"/>
    <col min="266" max="266" width="26.42578125" style="953" customWidth="1"/>
    <col min="267" max="267" width="11" style="953" customWidth="1"/>
    <col min="268" max="268" width="8.28515625" style="953" customWidth="1"/>
    <col min="269" max="269" width="11.28515625" style="953" customWidth="1"/>
    <col min="270" max="271" width="6.7109375" style="953" customWidth="1"/>
    <col min="272" max="272" width="13.85546875" style="953" customWidth="1"/>
    <col min="273" max="273" width="19.7109375" style="953" customWidth="1"/>
    <col min="274" max="274" width="11.42578125" style="953" customWidth="1"/>
    <col min="275" max="276" width="9.140625" style="953"/>
    <col min="277" max="277" width="0" style="953" hidden="1" customWidth="1"/>
    <col min="278" max="513" width="9.140625" style="953"/>
    <col min="514" max="514" width="20" style="953" customWidth="1"/>
    <col min="515" max="515" width="18.140625" style="953" customWidth="1"/>
    <col min="516" max="516" width="12.7109375" style="953" customWidth="1"/>
    <col min="517" max="517" width="19.85546875" style="953" customWidth="1"/>
    <col min="518" max="518" width="12.28515625" style="953" customWidth="1"/>
    <col min="519" max="519" width="9.28515625" style="953" customWidth="1"/>
    <col min="520" max="520" width="11" style="953" customWidth="1"/>
    <col min="521" max="521" width="7.5703125" style="953" customWidth="1"/>
    <col min="522" max="522" width="26.42578125" style="953" customWidth="1"/>
    <col min="523" max="523" width="11" style="953" customWidth="1"/>
    <col min="524" max="524" width="8.28515625" style="953" customWidth="1"/>
    <col min="525" max="525" width="11.28515625" style="953" customWidth="1"/>
    <col min="526" max="527" width="6.7109375" style="953" customWidth="1"/>
    <col min="528" max="528" width="13.85546875" style="953" customWidth="1"/>
    <col min="529" max="529" width="19.7109375" style="953" customWidth="1"/>
    <col min="530" max="530" width="11.42578125" style="953" customWidth="1"/>
    <col min="531" max="532" width="9.140625" style="953"/>
    <col min="533" max="533" width="0" style="953" hidden="1" customWidth="1"/>
    <col min="534" max="769" width="9.140625" style="953"/>
    <col min="770" max="770" width="20" style="953" customWidth="1"/>
    <col min="771" max="771" width="18.140625" style="953" customWidth="1"/>
    <col min="772" max="772" width="12.7109375" style="953" customWidth="1"/>
    <col min="773" max="773" width="19.85546875" style="953" customWidth="1"/>
    <col min="774" max="774" width="12.28515625" style="953" customWidth="1"/>
    <col min="775" max="775" width="9.28515625" style="953" customWidth="1"/>
    <col min="776" max="776" width="11" style="953" customWidth="1"/>
    <col min="777" max="777" width="7.5703125" style="953" customWidth="1"/>
    <col min="778" max="778" width="26.42578125" style="953" customWidth="1"/>
    <col min="779" max="779" width="11" style="953" customWidth="1"/>
    <col min="780" max="780" width="8.28515625" style="953" customWidth="1"/>
    <col min="781" max="781" width="11.28515625" style="953" customWidth="1"/>
    <col min="782" max="783" width="6.7109375" style="953" customWidth="1"/>
    <col min="784" max="784" width="13.85546875" style="953" customWidth="1"/>
    <col min="785" max="785" width="19.7109375" style="953" customWidth="1"/>
    <col min="786" max="786" width="11.42578125" style="953" customWidth="1"/>
    <col min="787" max="788" width="9.140625" style="953"/>
    <col min="789" max="789" width="0" style="953" hidden="1" customWidth="1"/>
    <col min="790" max="1025" width="9.140625" style="953"/>
    <col min="1026" max="1026" width="20" style="953" customWidth="1"/>
    <col min="1027" max="1027" width="18.140625" style="953" customWidth="1"/>
    <col min="1028" max="1028" width="12.7109375" style="953" customWidth="1"/>
    <col min="1029" max="1029" width="19.85546875" style="953" customWidth="1"/>
    <col min="1030" max="1030" width="12.28515625" style="953" customWidth="1"/>
    <col min="1031" max="1031" width="9.28515625" style="953" customWidth="1"/>
    <col min="1032" max="1032" width="11" style="953" customWidth="1"/>
    <col min="1033" max="1033" width="7.5703125" style="953" customWidth="1"/>
    <col min="1034" max="1034" width="26.42578125" style="953" customWidth="1"/>
    <col min="1035" max="1035" width="11" style="953" customWidth="1"/>
    <col min="1036" max="1036" width="8.28515625" style="953" customWidth="1"/>
    <col min="1037" max="1037" width="11.28515625" style="953" customWidth="1"/>
    <col min="1038" max="1039" width="6.7109375" style="953" customWidth="1"/>
    <col min="1040" max="1040" width="13.85546875" style="953" customWidth="1"/>
    <col min="1041" max="1041" width="19.7109375" style="953" customWidth="1"/>
    <col min="1042" max="1042" width="11.42578125" style="953" customWidth="1"/>
    <col min="1043" max="1044" width="9.140625" style="953"/>
    <col min="1045" max="1045" width="0" style="953" hidden="1" customWidth="1"/>
    <col min="1046" max="1281" width="9.140625" style="953"/>
    <col min="1282" max="1282" width="20" style="953" customWidth="1"/>
    <col min="1283" max="1283" width="18.140625" style="953" customWidth="1"/>
    <col min="1284" max="1284" width="12.7109375" style="953" customWidth="1"/>
    <col min="1285" max="1285" width="19.85546875" style="953" customWidth="1"/>
    <col min="1286" max="1286" width="12.28515625" style="953" customWidth="1"/>
    <col min="1287" max="1287" width="9.28515625" style="953" customWidth="1"/>
    <col min="1288" max="1288" width="11" style="953" customWidth="1"/>
    <col min="1289" max="1289" width="7.5703125" style="953" customWidth="1"/>
    <col min="1290" max="1290" width="26.42578125" style="953" customWidth="1"/>
    <col min="1291" max="1291" width="11" style="953" customWidth="1"/>
    <col min="1292" max="1292" width="8.28515625" style="953" customWidth="1"/>
    <col min="1293" max="1293" width="11.28515625" style="953" customWidth="1"/>
    <col min="1294" max="1295" width="6.7109375" style="953" customWidth="1"/>
    <col min="1296" max="1296" width="13.85546875" style="953" customWidth="1"/>
    <col min="1297" max="1297" width="19.7109375" style="953" customWidth="1"/>
    <col min="1298" max="1298" width="11.42578125" style="953" customWidth="1"/>
    <col min="1299" max="1300" width="9.140625" style="953"/>
    <col min="1301" max="1301" width="0" style="953" hidden="1" customWidth="1"/>
    <col min="1302" max="1537" width="9.140625" style="953"/>
    <col min="1538" max="1538" width="20" style="953" customWidth="1"/>
    <col min="1539" max="1539" width="18.140625" style="953" customWidth="1"/>
    <col min="1540" max="1540" width="12.7109375" style="953" customWidth="1"/>
    <col min="1541" max="1541" width="19.85546875" style="953" customWidth="1"/>
    <col min="1542" max="1542" width="12.28515625" style="953" customWidth="1"/>
    <col min="1543" max="1543" width="9.28515625" style="953" customWidth="1"/>
    <col min="1544" max="1544" width="11" style="953" customWidth="1"/>
    <col min="1545" max="1545" width="7.5703125" style="953" customWidth="1"/>
    <col min="1546" max="1546" width="26.42578125" style="953" customWidth="1"/>
    <col min="1547" max="1547" width="11" style="953" customWidth="1"/>
    <col min="1548" max="1548" width="8.28515625" style="953" customWidth="1"/>
    <col min="1549" max="1549" width="11.28515625" style="953" customWidth="1"/>
    <col min="1550" max="1551" width="6.7109375" style="953" customWidth="1"/>
    <col min="1552" max="1552" width="13.85546875" style="953" customWidth="1"/>
    <col min="1553" max="1553" width="19.7109375" style="953" customWidth="1"/>
    <col min="1554" max="1554" width="11.42578125" style="953" customWidth="1"/>
    <col min="1555" max="1556" width="9.140625" style="953"/>
    <col min="1557" max="1557" width="0" style="953" hidden="1" customWidth="1"/>
    <col min="1558" max="1793" width="9.140625" style="953"/>
    <col min="1794" max="1794" width="20" style="953" customWidth="1"/>
    <col min="1795" max="1795" width="18.140625" style="953" customWidth="1"/>
    <col min="1796" max="1796" width="12.7109375" style="953" customWidth="1"/>
    <col min="1797" max="1797" width="19.85546875" style="953" customWidth="1"/>
    <col min="1798" max="1798" width="12.28515625" style="953" customWidth="1"/>
    <col min="1799" max="1799" width="9.28515625" style="953" customWidth="1"/>
    <col min="1800" max="1800" width="11" style="953" customWidth="1"/>
    <col min="1801" max="1801" width="7.5703125" style="953" customWidth="1"/>
    <col min="1802" max="1802" width="26.42578125" style="953" customWidth="1"/>
    <col min="1803" max="1803" width="11" style="953" customWidth="1"/>
    <col min="1804" max="1804" width="8.28515625" style="953" customWidth="1"/>
    <col min="1805" max="1805" width="11.28515625" style="953" customWidth="1"/>
    <col min="1806" max="1807" width="6.7109375" style="953" customWidth="1"/>
    <col min="1808" max="1808" width="13.85546875" style="953" customWidth="1"/>
    <col min="1809" max="1809" width="19.7109375" style="953" customWidth="1"/>
    <col min="1810" max="1810" width="11.42578125" style="953" customWidth="1"/>
    <col min="1811" max="1812" width="9.140625" style="953"/>
    <col min="1813" max="1813" width="0" style="953" hidden="1" customWidth="1"/>
    <col min="1814" max="2049" width="9.140625" style="953"/>
    <col min="2050" max="2050" width="20" style="953" customWidth="1"/>
    <col min="2051" max="2051" width="18.140625" style="953" customWidth="1"/>
    <col min="2052" max="2052" width="12.7109375" style="953" customWidth="1"/>
    <col min="2053" max="2053" width="19.85546875" style="953" customWidth="1"/>
    <col min="2054" max="2054" width="12.28515625" style="953" customWidth="1"/>
    <col min="2055" max="2055" width="9.28515625" style="953" customWidth="1"/>
    <col min="2056" max="2056" width="11" style="953" customWidth="1"/>
    <col min="2057" max="2057" width="7.5703125" style="953" customWidth="1"/>
    <col min="2058" max="2058" width="26.42578125" style="953" customWidth="1"/>
    <col min="2059" max="2059" width="11" style="953" customWidth="1"/>
    <col min="2060" max="2060" width="8.28515625" style="953" customWidth="1"/>
    <col min="2061" max="2061" width="11.28515625" style="953" customWidth="1"/>
    <col min="2062" max="2063" width="6.7109375" style="953" customWidth="1"/>
    <col min="2064" max="2064" width="13.85546875" style="953" customWidth="1"/>
    <col min="2065" max="2065" width="19.7109375" style="953" customWidth="1"/>
    <col min="2066" max="2066" width="11.42578125" style="953" customWidth="1"/>
    <col min="2067" max="2068" width="9.140625" style="953"/>
    <col min="2069" max="2069" width="0" style="953" hidden="1" customWidth="1"/>
    <col min="2070" max="2305" width="9.140625" style="953"/>
    <col min="2306" max="2306" width="20" style="953" customWidth="1"/>
    <col min="2307" max="2307" width="18.140625" style="953" customWidth="1"/>
    <col min="2308" max="2308" width="12.7109375" style="953" customWidth="1"/>
    <col min="2309" max="2309" width="19.85546875" style="953" customWidth="1"/>
    <col min="2310" max="2310" width="12.28515625" style="953" customWidth="1"/>
    <col min="2311" max="2311" width="9.28515625" style="953" customWidth="1"/>
    <col min="2312" max="2312" width="11" style="953" customWidth="1"/>
    <col min="2313" max="2313" width="7.5703125" style="953" customWidth="1"/>
    <col min="2314" max="2314" width="26.42578125" style="953" customWidth="1"/>
    <col min="2315" max="2315" width="11" style="953" customWidth="1"/>
    <col min="2316" max="2316" width="8.28515625" style="953" customWidth="1"/>
    <col min="2317" max="2317" width="11.28515625" style="953" customWidth="1"/>
    <col min="2318" max="2319" width="6.7109375" style="953" customWidth="1"/>
    <col min="2320" max="2320" width="13.85546875" style="953" customWidth="1"/>
    <col min="2321" max="2321" width="19.7109375" style="953" customWidth="1"/>
    <col min="2322" max="2322" width="11.42578125" style="953" customWidth="1"/>
    <col min="2323" max="2324" width="9.140625" style="953"/>
    <col min="2325" max="2325" width="0" style="953" hidden="1" customWidth="1"/>
    <col min="2326" max="2561" width="9.140625" style="953"/>
    <col min="2562" max="2562" width="20" style="953" customWidth="1"/>
    <col min="2563" max="2563" width="18.140625" style="953" customWidth="1"/>
    <col min="2564" max="2564" width="12.7109375" style="953" customWidth="1"/>
    <col min="2565" max="2565" width="19.85546875" style="953" customWidth="1"/>
    <col min="2566" max="2566" width="12.28515625" style="953" customWidth="1"/>
    <col min="2567" max="2567" width="9.28515625" style="953" customWidth="1"/>
    <col min="2568" max="2568" width="11" style="953" customWidth="1"/>
    <col min="2569" max="2569" width="7.5703125" style="953" customWidth="1"/>
    <col min="2570" max="2570" width="26.42578125" style="953" customWidth="1"/>
    <col min="2571" max="2571" width="11" style="953" customWidth="1"/>
    <col min="2572" max="2572" width="8.28515625" style="953" customWidth="1"/>
    <col min="2573" max="2573" width="11.28515625" style="953" customWidth="1"/>
    <col min="2574" max="2575" width="6.7109375" style="953" customWidth="1"/>
    <col min="2576" max="2576" width="13.85546875" style="953" customWidth="1"/>
    <col min="2577" max="2577" width="19.7109375" style="953" customWidth="1"/>
    <col min="2578" max="2578" width="11.42578125" style="953" customWidth="1"/>
    <col min="2579" max="2580" width="9.140625" style="953"/>
    <col min="2581" max="2581" width="0" style="953" hidden="1" customWidth="1"/>
    <col min="2582" max="2817" width="9.140625" style="953"/>
    <col min="2818" max="2818" width="20" style="953" customWidth="1"/>
    <col min="2819" max="2819" width="18.140625" style="953" customWidth="1"/>
    <col min="2820" max="2820" width="12.7109375" style="953" customWidth="1"/>
    <col min="2821" max="2821" width="19.85546875" style="953" customWidth="1"/>
    <col min="2822" max="2822" width="12.28515625" style="953" customWidth="1"/>
    <col min="2823" max="2823" width="9.28515625" style="953" customWidth="1"/>
    <col min="2824" max="2824" width="11" style="953" customWidth="1"/>
    <col min="2825" max="2825" width="7.5703125" style="953" customWidth="1"/>
    <col min="2826" max="2826" width="26.42578125" style="953" customWidth="1"/>
    <col min="2827" max="2827" width="11" style="953" customWidth="1"/>
    <col min="2828" max="2828" width="8.28515625" style="953" customWidth="1"/>
    <col min="2829" max="2829" width="11.28515625" style="953" customWidth="1"/>
    <col min="2830" max="2831" width="6.7109375" style="953" customWidth="1"/>
    <col min="2832" max="2832" width="13.85546875" style="953" customWidth="1"/>
    <col min="2833" max="2833" width="19.7109375" style="953" customWidth="1"/>
    <col min="2834" max="2834" width="11.42578125" style="953" customWidth="1"/>
    <col min="2835" max="2836" width="9.140625" style="953"/>
    <col min="2837" max="2837" width="0" style="953" hidden="1" customWidth="1"/>
    <col min="2838" max="3073" width="9.140625" style="953"/>
    <col min="3074" max="3074" width="20" style="953" customWidth="1"/>
    <col min="3075" max="3075" width="18.140625" style="953" customWidth="1"/>
    <col min="3076" max="3076" width="12.7109375" style="953" customWidth="1"/>
    <col min="3077" max="3077" width="19.85546875" style="953" customWidth="1"/>
    <col min="3078" max="3078" width="12.28515625" style="953" customWidth="1"/>
    <col min="3079" max="3079" width="9.28515625" style="953" customWidth="1"/>
    <col min="3080" max="3080" width="11" style="953" customWidth="1"/>
    <col min="3081" max="3081" width="7.5703125" style="953" customWidth="1"/>
    <col min="3082" max="3082" width="26.42578125" style="953" customWidth="1"/>
    <col min="3083" max="3083" width="11" style="953" customWidth="1"/>
    <col min="3084" max="3084" width="8.28515625" style="953" customWidth="1"/>
    <col min="3085" max="3085" width="11.28515625" style="953" customWidth="1"/>
    <col min="3086" max="3087" width="6.7109375" style="953" customWidth="1"/>
    <col min="3088" max="3088" width="13.85546875" style="953" customWidth="1"/>
    <col min="3089" max="3089" width="19.7109375" style="953" customWidth="1"/>
    <col min="3090" max="3090" width="11.42578125" style="953" customWidth="1"/>
    <col min="3091" max="3092" width="9.140625" style="953"/>
    <col min="3093" max="3093" width="0" style="953" hidden="1" customWidth="1"/>
    <col min="3094" max="3329" width="9.140625" style="953"/>
    <col min="3330" max="3330" width="20" style="953" customWidth="1"/>
    <col min="3331" max="3331" width="18.140625" style="953" customWidth="1"/>
    <col min="3332" max="3332" width="12.7109375" style="953" customWidth="1"/>
    <col min="3333" max="3333" width="19.85546875" style="953" customWidth="1"/>
    <col min="3334" max="3334" width="12.28515625" style="953" customWidth="1"/>
    <col min="3335" max="3335" width="9.28515625" style="953" customWidth="1"/>
    <col min="3336" max="3336" width="11" style="953" customWidth="1"/>
    <col min="3337" max="3337" width="7.5703125" style="953" customWidth="1"/>
    <col min="3338" max="3338" width="26.42578125" style="953" customWidth="1"/>
    <col min="3339" max="3339" width="11" style="953" customWidth="1"/>
    <col min="3340" max="3340" width="8.28515625" style="953" customWidth="1"/>
    <col min="3341" max="3341" width="11.28515625" style="953" customWidth="1"/>
    <col min="3342" max="3343" width="6.7109375" style="953" customWidth="1"/>
    <col min="3344" max="3344" width="13.85546875" style="953" customWidth="1"/>
    <col min="3345" max="3345" width="19.7109375" style="953" customWidth="1"/>
    <col min="3346" max="3346" width="11.42578125" style="953" customWidth="1"/>
    <col min="3347" max="3348" width="9.140625" style="953"/>
    <col min="3349" max="3349" width="0" style="953" hidden="1" customWidth="1"/>
    <col min="3350" max="3585" width="9.140625" style="953"/>
    <col min="3586" max="3586" width="20" style="953" customWidth="1"/>
    <col min="3587" max="3587" width="18.140625" style="953" customWidth="1"/>
    <col min="3588" max="3588" width="12.7109375" style="953" customWidth="1"/>
    <col min="3589" max="3589" width="19.85546875" style="953" customWidth="1"/>
    <col min="3590" max="3590" width="12.28515625" style="953" customWidth="1"/>
    <col min="3591" max="3591" width="9.28515625" style="953" customWidth="1"/>
    <col min="3592" max="3592" width="11" style="953" customWidth="1"/>
    <col min="3593" max="3593" width="7.5703125" style="953" customWidth="1"/>
    <col min="3594" max="3594" width="26.42578125" style="953" customWidth="1"/>
    <col min="3595" max="3595" width="11" style="953" customWidth="1"/>
    <col min="3596" max="3596" width="8.28515625" style="953" customWidth="1"/>
    <col min="3597" max="3597" width="11.28515625" style="953" customWidth="1"/>
    <col min="3598" max="3599" width="6.7109375" style="953" customWidth="1"/>
    <col min="3600" max="3600" width="13.85546875" style="953" customWidth="1"/>
    <col min="3601" max="3601" width="19.7109375" style="953" customWidth="1"/>
    <col min="3602" max="3602" width="11.42578125" style="953" customWidth="1"/>
    <col min="3603" max="3604" width="9.140625" style="953"/>
    <col min="3605" max="3605" width="0" style="953" hidden="1" customWidth="1"/>
    <col min="3606" max="3841" width="9.140625" style="953"/>
    <col min="3842" max="3842" width="20" style="953" customWidth="1"/>
    <col min="3843" max="3843" width="18.140625" style="953" customWidth="1"/>
    <col min="3844" max="3844" width="12.7109375" style="953" customWidth="1"/>
    <col min="3845" max="3845" width="19.85546875" style="953" customWidth="1"/>
    <col min="3846" max="3846" width="12.28515625" style="953" customWidth="1"/>
    <col min="3847" max="3847" width="9.28515625" style="953" customWidth="1"/>
    <col min="3848" max="3848" width="11" style="953" customWidth="1"/>
    <col min="3849" max="3849" width="7.5703125" style="953" customWidth="1"/>
    <col min="3850" max="3850" width="26.42578125" style="953" customWidth="1"/>
    <col min="3851" max="3851" width="11" style="953" customWidth="1"/>
    <col min="3852" max="3852" width="8.28515625" style="953" customWidth="1"/>
    <col min="3853" max="3853" width="11.28515625" style="953" customWidth="1"/>
    <col min="3854" max="3855" width="6.7109375" style="953" customWidth="1"/>
    <col min="3856" max="3856" width="13.85546875" style="953" customWidth="1"/>
    <col min="3857" max="3857" width="19.7109375" style="953" customWidth="1"/>
    <col min="3858" max="3858" width="11.42578125" style="953" customWidth="1"/>
    <col min="3859" max="3860" width="9.140625" style="953"/>
    <col min="3861" max="3861" width="0" style="953" hidden="1" customWidth="1"/>
    <col min="3862" max="4097" width="9.140625" style="953"/>
    <col min="4098" max="4098" width="20" style="953" customWidth="1"/>
    <col min="4099" max="4099" width="18.140625" style="953" customWidth="1"/>
    <col min="4100" max="4100" width="12.7109375" style="953" customWidth="1"/>
    <col min="4101" max="4101" width="19.85546875" style="953" customWidth="1"/>
    <col min="4102" max="4102" width="12.28515625" style="953" customWidth="1"/>
    <col min="4103" max="4103" width="9.28515625" style="953" customWidth="1"/>
    <col min="4104" max="4104" width="11" style="953" customWidth="1"/>
    <col min="4105" max="4105" width="7.5703125" style="953" customWidth="1"/>
    <col min="4106" max="4106" width="26.42578125" style="953" customWidth="1"/>
    <col min="4107" max="4107" width="11" style="953" customWidth="1"/>
    <col min="4108" max="4108" width="8.28515625" style="953" customWidth="1"/>
    <col min="4109" max="4109" width="11.28515625" style="953" customWidth="1"/>
    <col min="4110" max="4111" width="6.7109375" style="953" customWidth="1"/>
    <col min="4112" max="4112" width="13.85546875" style="953" customWidth="1"/>
    <col min="4113" max="4113" width="19.7109375" style="953" customWidth="1"/>
    <col min="4114" max="4114" width="11.42578125" style="953" customWidth="1"/>
    <col min="4115" max="4116" width="9.140625" style="953"/>
    <col min="4117" max="4117" width="0" style="953" hidden="1" customWidth="1"/>
    <col min="4118" max="4353" width="9.140625" style="953"/>
    <col min="4354" max="4354" width="20" style="953" customWidth="1"/>
    <col min="4355" max="4355" width="18.140625" style="953" customWidth="1"/>
    <col min="4356" max="4356" width="12.7109375" style="953" customWidth="1"/>
    <col min="4357" max="4357" width="19.85546875" style="953" customWidth="1"/>
    <col min="4358" max="4358" width="12.28515625" style="953" customWidth="1"/>
    <col min="4359" max="4359" width="9.28515625" style="953" customWidth="1"/>
    <col min="4360" max="4360" width="11" style="953" customWidth="1"/>
    <col min="4361" max="4361" width="7.5703125" style="953" customWidth="1"/>
    <col min="4362" max="4362" width="26.42578125" style="953" customWidth="1"/>
    <col min="4363" max="4363" width="11" style="953" customWidth="1"/>
    <col min="4364" max="4364" width="8.28515625" style="953" customWidth="1"/>
    <col min="4365" max="4365" width="11.28515625" style="953" customWidth="1"/>
    <col min="4366" max="4367" width="6.7109375" style="953" customWidth="1"/>
    <col min="4368" max="4368" width="13.85546875" style="953" customWidth="1"/>
    <col min="4369" max="4369" width="19.7109375" style="953" customWidth="1"/>
    <col min="4370" max="4370" width="11.42578125" style="953" customWidth="1"/>
    <col min="4371" max="4372" width="9.140625" style="953"/>
    <col min="4373" max="4373" width="0" style="953" hidden="1" customWidth="1"/>
    <col min="4374" max="4609" width="9.140625" style="953"/>
    <col min="4610" max="4610" width="20" style="953" customWidth="1"/>
    <col min="4611" max="4611" width="18.140625" style="953" customWidth="1"/>
    <col min="4612" max="4612" width="12.7109375" style="953" customWidth="1"/>
    <col min="4613" max="4613" width="19.85546875" style="953" customWidth="1"/>
    <col min="4614" max="4614" width="12.28515625" style="953" customWidth="1"/>
    <col min="4615" max="4615" width="9.28515625" style="953" customWidth="1"/>
    <col min="4616" max="4616" width="11" style="953" customWidth="1"/>
    <col min="4617" max="4617" width="7.5703125" style="953" customWidth="1"/>
    <col min="4618" max="4618" width="26.42578125" style="953" customWidth="1"/>
    <col min="4619" max="4619" width="11" style="953" customWidth="1"/>
    <col min="4620" max="4620" width="8.28515625" style="953" customWidth="1"/>
    <col min="4621" max="4621" width="11.28515625" style="953" customWidth="1"/>
    <col min="4622" max="4623" width="6.7109375" style="953" customWidth="1"/>
    <col min="4624" max="4624" width="13.85546875" style="953" customWidth="1"/>
    <col min="4625" max="4625" width="19.7109375" style="953" customWidth="1"/>
    <col min="4626" max="4626" width="11.42578125" style="953" customWidth="1"/>
    <col min="4627" max="4628" width="9.140625" style="953"/>
    <col min="4629" max="4629" width="0" style="953" hidden="1" customWidth="1"/>
    <col min="4630" max="4865" width="9.140625" style="953"/>
    <col min="4866" max="4866" width="20" style="953" customWidth="1"/>
    <col min="4867" max="4867" width="18.140625" style="953" customWidth="1"/>
    <col min="4868" max="4868" width="12.7109375" style="953" customWidth="1"/>
    <col min="4869" max="4869" width="19.85546875" style="953" customWidth="1"/>
    <col min="4870" max="4870" width="12.28515625" style="953" customWidth="1"/>
    <col min="4871" max="4871" width="9.28515625" style="953" customWidth="1"/>
    <col min="4872" max="4872" width="11" style="953" customWidth="1"/>
    <col min="4873" max="4873" width="7.5703125" style="953" customWidth="1"/>
    <col min="4874" max="4874" width="26.42578125" style="953" customWidth="1"/>
    <col min="4875" max="4875" width="11" style="953" customWidth="1"/>
    <col min="4876" max="4876" width="8.28515625" style="953" customWidth="1"/>
    <col min="4877" max="4877" width="11.28515625" style="953" customWidth="1"/>
    <col min="4878" max="4879" width="6.7109375" style="953" customWidth="1"/>
    <col min="4880" max="4880" width="13.85546875" style="953" customWidth="1"/>
    <col min="4881" max="4881" width="19.7109375" style="953" customWidth="1"/>
    <col min="4882" max="4882" width="11.42578125" style="953" customWidth="1"/>
    <col min="4883" max="4884" width="9.140625" style="953"/>
    <col min="4885" max="4885" width="0" style="953" hidden="1" customWidth="1"/>
    <col min="4886" max="5121" width="9.140625" style="953"/>
    <col min="5122" max="5122" width="20" style="953" customWidth="1"/>
    <col min="5123" max="5123" width="18.140625" style="953" customWidth="1"/>
    <col min="5124" max="5124" width="12.7109375" style="953" customWidth="1"/>
    <col min="5125" max="5125" width="19.85546875" style="953" customWidth="1"/>
    <col min="5126" max="5126" width="12.28515625" style="953" customWidth="1"/>
    <col min="5127" max="5127" width="9.28515625" style="953" customWidth="1"/>
    <col min="5128" max="5128" width="11" style="953" customWidth="1"/>
    <col min="5129" max="5129" width="7.5703125" style="953" customWidth="1"/>
    <col min="5130" max="5130" width="26.42578125" style="953" customWidth="1"/>
    <col min="5131" max="5131" width="11" style="953" customWidth="1"/>
    <col min="5132" max="5132" width="8.28515625" style="953" customWidth="1"/>
    <col min="5133" max="5133" width="11.28515625" style="953" customWidth="1"/>
    <col min="5134" max="5135" width="6.7109375" style="953" customWidth="1"/>
    <col min="5136" max="5136" width="13.85546875" style="953" customWidth="1"/>
    <col min="5137" max="5137" width="19.7109375" style="953" customWidth="1"/>
    <col min="5138" max="5138" width="11.42578125" style="953" customWidth="1"/>
    <col min="5139" max="5140" width="9.140625" style="953"/>
    <col min="5141" max="5141" width="0" style="953" hidden="1" customWidth="1"/>
    <col min="5142" max="5377" width="9.140625" style="953"/>
    <col min="5378" max="5378" width="20" style="953" customWidth="1"/>
    <col min="5379" max="5379" width="18.140625" style="953" customWidth="1"/>
    <col min="5380" max="5380" width="12.7109375" style="953" customWidth="1"/>
    <col min="5381" max="5381" width="19.85546875" style="953" customWidth="1"/>
    <col min="5382" max="5382" width="12.28515625" style="953" customWidth="1"/>
    <col min="5383" max="5383" width="9.28515625" style="953" customWidth="1"/>
    <col min="5384" max="5384" width="11" style="953" customWidth="1"/>
    <col min="5385" max="5385" width="7.5703125" style="953" customWidth="1"/>
    <col min="5386" max="5386" width="26.42578125" style="953" customWidth="1"/>
    <col min="5387" max="5387" width="11" style="953" customWidth="1"/>
    <col min="5388" max="5388" width="8.28515625" style="953" customWidth="1"/>
    <col min="5389" max="5389" width="11.28515625" style="953" customWidth="1"/>
    <col min="5390" max="5391" width="6.7109375" style="953" customWidth="1"/>
    <col min="5392" max="5392" width="13.85546875" style="953" customWidth="1"/>
    <col min="5393" max="5393" width="19.7109375" style="953" customWidth="1"/>
    <col min="5394" max="5394" width="11.42578125" style="953" customWidth="1"/>
    <col min="5395" max="5396" width="9.140625" style="953"/>
    <col min="5397" max="5397" width="0" style="953" hidden="1" customWidth="1"/>
    <col min="5398" max="5633" width="9.140625" style="953"/>
    <col min="5634" max="5634" width="20" style="953" customWidth="1"/>
    <col min="5635" max="5635" width="18.140625" style="953" customWidth="1"/>
    <col min="5636" max="5636" width="12.7109375" style="953" customWidth="1"/>
    <col min="5637" max="5637" width="19.85546875" style="953" customWidth="1"/>
    <col min="5638" max="5638" width="12.28515625" style="953" customWidth="1"/>
    <col min="5639" max="5639" width="9.28515625" style="953" customWidth="1"/>
    <col min="5640" max="5640" width="11" style="953" customWidth="1"/>
    <col min="5641" max="5641" width="7.5703125" style="953" customWidth="1"/>
    <col min="5642" max="5642" width="26.42578125" style="953" customWidth="1"/>
    <col min="5643" max="5643" width="11" style="953" customWidth="1"/>
    <col min="5644" max="5644" width="8.28515625" style="953" customWidth="1"/>
    <col min="5645" max="5645" width="11.28515625" style="953" customWidth="1"/>
    <col min="5646" max="5647" width="6.7109375" style="953" customWidth="1"/>
    <col min="5648" max="5648" width="13.85546875" style="953" customWidth="1"/>
    <col min="5649" max="5649" width="19.7109375" style="953" customWidth="1"/>
    <col min="5650" max="5650" width="11.42578125" style="953" customWidth="1"/>
    <col min="5651" max="5652" width="9.140625" style="953"/>
    <col min="5653" max="5653" width="0" style="953" hidden="1" customWidth="1"/>
    <col min="5654" max="5889" width="9.140625" style="953"/>
    <col min="5890" max="5890" width="20" style="953" customWidth="1"/>
    <col min="5891" max="5891" width="18.140625" style="953" customWidth="1"/>
    <col min="5892" max="5892" width="12.7109375" style="953" customWidth="1"/>
    <col min="5893" max="5893" width="19.85546875" style="953" customWidth="1"/>
    <col min="5894" max="5894" width="12.28515625" style="953" customWidth="1"/>
    <col min="5895" max="5895" width="9.28515625" style="953" customWidth="1"/>
    <col min="5896" max="5896" width="11" style="953" customWidth="1"/>
    <col min="5897" max="5897" width="7.5703125" style="953" customWidth="1"/>
    <col min="5898" max="5898" width="26.42578125" style="953" customWidth="1"/>
    <col min="5899" max="5899" width="11" style="953" customWidth="1"/>
    <col min="5900" max="5900" width="8.28515625" style="953" customWidth="1"/>
    <col min="5901" max="5901" width="11.28515625" style="953" customWidth="1"/>
    <col min="5902" max="5903" width="6.7109375" style="953" customWidth="1"/>
    <col min="5904" max="5904" width="13.85546875" style="953" customWidth="1"/>
    <col min="5905" max="5905" width="19.7109375" style="953" customWidth="1"/>
    <col min="5906" max="5906" width="11.42578125" style="953" customWidth="1"/>
    <col min="5907" max="5908" width="9.140625" style="953"/>
    <col min="5909" max="5909" width="0" style="953" hidden="1" customWidth="1"/>
    <col min="5910" max="6145" width="9.140625" style="953"/>
    <col min="6146" max="6146" width="20" style="953" customWidth="1"/>
    <col min="6147" max="6147" width="18.140625" style="953" customWidth="1"/>
    <col min="6148" max="6148" width="12.7109375" style="953" customWidth="1"/>
    <col min="6149" max="6149" width="19.85546875" style="953" customWidth="1"/>
    <col min="6150" max="6150" width="12.28515625" style="953" customWidth="1"/>
    <col min="6151" max="6151" width="9.28515625" style="953" customWidth="1"/>
    <col min="6152" max="6152" width="11" style="953" customWidth="1"/>
    <col min="6153" max="6153" width="7.5703125" style="953" customWidth="1"/>
    <col min="6154" max="6154" width="26.42578125" style="953" customWidth="1"/>
    <col min="6155" max="6155" width="11" style="953" customWidth="1"/>
    <col min="6156" max="6156" width="8.28515625" style="953" customWidth="1"/>
    <col min="6157" max="6157" width="11.28515625" style="953" customWidth="1"/>
    <col min="6158" max="6159" width="6.7109375" style="953" customWidth="1"/>
    <col min="6160" max="6160" width="13.85546875" style="953" customWidth="1"/>
    <col min="6161" max="6161" width="19.7109375" style="953" customWidth="1"/>
    <col min="6162" max="6162" width="11.42578125" style="953" customWidth="1"/>
    <col min="6163" max="6164" width="9.140625" style="953"/>
    <col min="6165" max="6165" width="0" style="953" hidden="1" customWidth="1"/>
    <col min="6166" max="6401" width="9.140625" style="953"/>
    <col min="6402" max="6402" width="20" style="953" customWidth="1"/>
    <col min="6403" max="6403" width="18.140625" style="953" customWidth="1"/>
    <col min="6404" max="6404" width="12.7109375" style="953" customWidth="1"/>
    <col min="6405" max="6405" width="19.85546875" style="953" customWidth="1"/>
    <col min="6406" max="6406" width="12.28515625" style="953" customWidth="1"/>
    <col min="6407" max="6407" width="9.28515625" style="953" customWidth="1"/>
    <col min="6408" max="6408" width="11" style="953" customWidth="1"/>
    <col min="6409" max="6409" width="7.5703125" style="953" customWidth="1"/>
    <col min="6410" max="6410" width="26.42578125" style="953" customWidth="1"/>
    <col min="6411" max="6411" width="11" style="953" customWidth="1"/>
    <col min="6412" max="6412" width="8.28515625" style="953" customWidth="1"/>
    <col min="6413" max="6413" width="11.28515625" style="953" customWidth="1"/>
    <col min="6414" max="6415" width="6.7109375" style="953" customWidth="1"/>
    <col min="6416" max="6416" width="13.85546875" style="953" customWidth="1"/>
    <col min="6417" max="6417" width="19.7109375" style="953" customWidth="1"/>
    <col min="6418" max="6418" width="11.42578125" style="953" customWidth="1"/>
    <col min="6419" max="6420" width="9.140625" style="953"/>
    <col min="6421" max="6421" width="0" style="953" hidden="1" customWidth="1"/>
    <col min="6422" max="6657" width="9.140625" style="953"/>
    <col min="6658" max="6658" width="20" style="953" customWidth="1"/>
    <col min="6659" max="6659" width="18.140625" style="953" customWidth="1"/>
    <col min="6660" max="6660" width="12.7109375" style="953" customWidth="1"/>
    <col min="6661" max="6661" width="19.85546875" style="953" customWidth="1"/>
    <col min="6662" max="6662" width="12.28515625" style="953" customWidth="1"/>
    <col min="6663" max="6663" width="9.28515625" style="953" customWidth="1"/>
    <col min="6664" max="6664" width="11" style="953" customWidth="1"/>
    <col min="6665" max="6665" width="7.5703125" style="953" customWidth="1"/>
    <col min="6666" max="6666" width="26.42578125" style="953" customWidth="1"/>
    <col min="6667" max="6667" width="11" style="953" customWidth="1"/>
    <col min="6668" max="6668" width="8.28515625" style="953" customWidth="1"/>
    <col min="6669" max="6669" width="11.28515625" style="953" customWidth="1"/>
    <col min="6670" max="6671" width="6.7109375" style="953" customWidth="1"/>
    <col min="6672" max="6672" width="13.85546875" style="953" customWidth="1"/>
    <col min="6673" max="6673" width="19.7109375" style="953" customWidth="1"/>
    <col min="6674" max="6674" width="11.42578125" style="953" customWidth="1"/>
    <col min="6675" max="6676" width="9.140625" style="953"/>
    <col min="6677" max="6677" width="0" style="953" hidden="1" customWidth="1"/>
    <col min="6678" max="6913" width="9.140625" style="953"/>
    <col min="6914" max="6914" width="20" style="953" customWidth="1"/>
    <col min="6915" max="6915" width="18.140625" style="953" customWidth="1"/>
    <col min="6916" max="6916" width="12.7109375" style="953" customWidth="1"/>
    <col min="6917" max="6917" width="19.85546875" style="953" customWidth="1"/>
    <col min="6918" max="6918" width="12.28515625" style="953" customWidth="1"/>
    <col min="6919" max="6919" width="9.28515625" style="953" customWidth="1"/>
    <col min="6920" max="6920" width="11" style="953" customWidth="1"/>
    <col min="6921" max="6921" width="7.5703125" style="953" customWidth="1"/>
    <col min="6922" max="6922" width="26.42578125" style="953" customWidth="1"/>
    <col min="6923" max="6923" width="11" style="953" customWidth="1"/>
    <col min="6924" max="6924" width="8.28515625" style="953" customWidth="1"/>
    <col min="6925" max="6925" width="11.28515625" style="953" customWidth="1"/>
    <col min="6926" max="6927" width="6.7109375" style="953" customWidth="1"/>
    <col min="6928" max="6928" width="13.85546875" style="953" customWidth="1"/>
    <col min="6929" max="6929" width="19.7109375" style="953" customWidth="1"/>
    <col min="6930" max="6930" width="11.42578125" style="953" customWidth="1"/>
    <col min="6931" max="6932" width="9.140625" style="953"/>
    <col min="6933" max="6933" width="0" style="953" hidden="1" customWidth="1"/>
    <col min="6934" max="7169" width="9.140625" style="953"/>
    <col min="7170" max="7170" width="20" style="953" customWidth="1"/>
    <col min="7171" max="7171" width="18.140625" style="953" customWidth="1"/>
    <col min="7172" max="7172" width="12.7109375" style="953" customWidth="1"/>
    <col min="7173" max="7173" width="19.85546875" style="953" customWidth="1"/>
    <col min="7174" max="7174" width="12.28515625" style="953" customWidth="1"/>
    <col min="7175" max="7175" width="9.28515625" style="953" customWidth="1"/>
    <col min="7176" max="7176" width="11" style="953" customWidth="1"/>
    <col min="7177" max="7177" width="7.5703125" style="953" customWidth="1"/>
    <col min="7178" max="7178" width="26.42578125" style="953" customWidth="1"/>
    <col min="7179" max="7179" width="11" style="953" customWidth="1"/>
    <col min="7180" max="7180" width="8.28515625" style="953" customWidth="1"/>
    <col min="7181" max="7181" width="11.28515625" style="953" customWidth="1"/>
    <col min="7182" max="7183" width="6.7109375" style="953" customWidth="1"/>
    <col min="7184" max="7184" width="13.85546875" style="953" customWidth="1"/>
    <col min="7185" max="7185" width="19.7109375" style="953" customWidth="1"/>
    <col min="7186" max="7186" width="11.42578125" style="953" customWidth="1"/>
    <col min="7187" max="7188" width="9.140625" style="953"/>
    <col min="7189" max="7189" width="0" style="953" hidden="1" customWidth="1"/>
    <col min="7190" max="7425" width="9.140625" style="953"/>
    <col min="7426" max="7426" width="20" style="953" customWidth="1"/>
    <col min="7427" max="7427" width="18.140625" style="953" customWidth="1"/>
    <col min="7428" max="7428" width="12.7109375" style="953" customWidth="1"/>
    <col min="7429" max="7429" width="19.85546875" style="953" customWidth="1"/>
    <col min="7430" max="7430" width="12.28515625" style="953" customWidth="1"/>
    <col min="7431" max="7431" width="9.28515625" style="953" customWidth="1"/>
    <col min="7432" max="7432" width="11" style="953" customWidth="1"/>
    <col min="7433" max="7433" width="7.5703125" style="953" customWidth="1"/>
    <col min="7434" max="7434" width="26.42578125" style="953" customWidth="1"/>
    <col min="7435" max="7435" width="11" style="953" customWidth="1"/>
    <col min="7436" max="7436" width="8.28515625" style="953" customWidth="1"/>
    <col min="7437" max="7437" width="11.28515625" style="953" customWidth="1"/>
    <col min="7438" max="7439" width="6.7109375" style="953" customWidth="1"/>
    <col min="7440" max="7440" width="13.85546875" style="953" customWidth="1"/>
    <col min="7441" max="7441" width="19.7109375" style="953" customWidth="1"/>
    <col min="7442" max="7442" width="11.42578125" style="953" customWidth="1"/>
    <col min="7443" max="7444" width="9.140625" style="953"/>
    <col min="7445" max="7445" width="0" style="953" hidden="1" customWidth="1"/>
    <col min="7446" max="7681" width="9.140625" style="953"/>
    <col min="7682" max="7682" width="20" style="953" customWidth="1"/>
    <col min="7683" max="7683" width="18.140625" style="953" customWidth="1"/>
    <col min="7684" max="7684" width="12.7109375" style="953" customWidth="1"/>
    <col min="7685" max="7685" width="19.85546875" style="953" customWidth="1"/>
    <col min="7686" max="7686" width="12.28515625" style="953" customWidth="1"/>
    <col min="7687" max="7687" width="9.28515625" style="953" customWidth="1"/>
    <col min="7688" max="7688" width="11" style="953" customWidth="1"/>
    <col min="7689" max="7689" width="7.5703125" style="953" customWidth="1"/>
    <col min="7690" max="7690" width="26.42578125" style="953" customWidth="1"/>
    <col min="7691" max="7691" width="11" style="953" customWidth="1"/>
    <col min="7692" max="7692" width="8.28515625" style="953" customWidth="1"/>
    <col min="7693" max="7693" width="11.28515625" style="953" customWidth="1"/>
    <col min="7694" max="7695" width="6.7109375" style="953" customWidth="1"/>
    <col min="7696" max="7696" width="13.85546875" style="953" customWidth="1"/>
    <col min="7697" max="7697" width="19.7109375" style="953" customWidth="1"/>
    <col min="7698" max="7698" width="11.42578125" style="953" customWidth="1"/>
    <col min="7699" max="7700" width="9.140625" style="953"/>
    <col min="7701" max="7701" width="0" style="953" hidden="1" customWidth="1"/>
    <col min="7702" max="7937" width="9.140625" style="953"/>
    <col min="7938" max="7938" width="20" style="953" customWidth="1"/>
    <col min="7939" max="7939" width="18.140625" style="953" customWidth="1"/>
    <col min="7940" max="7940" width="12.7109375" style="953" customWidth="1"/>
    <col min="7941" max="7941" width="19.85546875" style="953" customWidth="1"/>
    <col min="7942" max="7942" width="12.28515625" style="953" customWidth="1"/>
    <col min="7943" max="7943" width="9.28515625" style="953" customWidth="1"/>
    <col min="7944" max="7944" width="11" style="953" customWidth="1"/>
    <col min="7945" max="7945" width="7.5703125" style="953" customWidth="1"/>
    <col min="7946" max="7946" width="26.42578125" style="953" customWidth="1"/>
    <col min="7947" max="7947" width="11" style="953" customWidth="1"/>
    <col min="7948" max="7948" width="8.28515625" style="953" customWidth="1"/>
    <col min="7949" max="7949" width="11.28515625" style="953" customWidth="1"/>
    <col min="7950" max="7951" width="6.7109375" style="953" customWidth="1"/>
    <col min="7952" max="7952" width="13.85546875" style="953" customWidth="1"/>
    <col min="7953" max="7953" width="19.7109375" style="953" customWidth="1"/>
    <col min="7954" max="7954" width="11.42578125" style="953" customWidth="1"/>
    <col min="7955" max="7956" width="9.140625" style="953"/>
    <col min="7957" max="7957" width="0" style="953" hidden="1" customWidth="1"/>
    <col min="7958" max="8193" width="9.140625" style="953"/>
    <col min="8194" max="8194" width="20" style="953" customWidth="1"/>
    <col min="8195" max="8195" width="18.140625" style="953" customWidth="1"/>
    <col min="8196" max="8196" width="12.7109375" style="953" customWidth="1"/>
    <col min="8197" max="8197" width="19.85546875" style="953" customWidth="1"/>
    <col min="8198" max="8198" width="12.28515625" style="953" customWidth="1"/>
    <col min="8199" max="8199" width="9.28515625" style="953" customWidth="1"/>
    <col min="8200" max="8200" width="11" style="953" customWidth="1"/>
    <col min="8201" max="8201" width="7.5703125" style="953" customWidth="1"/>
    <col min="8202" max="8202" width="26.42578125" style="953" customWidth="1"/>
    <col min="8203" max="8203" width="11" style="953" customWidth="1"/>
    <col min="8204" max="8204" width="8.28515625" style="953" customWidth="1"/>
    <col min="8205" max="8205" width="11.28515625" style="953" customWidth="1"/>
    <col min="8206" max="8207" width="6.7109375" style="953" customWidth="1"/>
    <col min="8208" max="8208" width="13.85546875" style="953" customWidth="1"/>
    <col min="8209" max="8209" width="19.7109375" style="953" customWidth="1"/>
    <col min="8210" max="8210" width="11.42578125" style="953" customWidth="1"/>
    <col min="8211" max="8212" width="9.140625" style="953"/>
    <col min="8213" max="8213" width="0" style="953" hidden="1" customWidth="1"/>
    <col min="8214" max="8449" width="9.140625" style="953"/>
    <col min="8450" max="8450" width="20" style="953" customWidth="1"/>
    <col min="8451" max="8451" width="18.140625" style="953" customWidth="1"/>
    <col min="8452" max="8452" width="12.7109375" style="953" customWidth="1"/>
    <col min="8453" max="8453" width="19.85546875" style="953" customWidth="1"/>
    <col min="8454" max="8454" width="12.28515625" style="953" customWidth="1"/>
    <col min="8455" max="8455" width="9.28515625" style="953" customWidth="1"/>
    <col min="8456" max="8456" width="11" style="953" customWidth="1"/>
    <col min="8457" max="8457" width="7.5703125" style="953" customWidth="1"/>
    <col min="8458" max="8458" width="26.42578125" style="953" customWidth="1"/>
    <col min="8459" max="8459" width="11" style="953" customWidth="1"/>
    <col min="8460" max="8460" width="8.28515625" style="953" customWidth="1"/>
    <col min="8461" max="8461" width="11.28515625" style="953" customWidth="1"/>
    <col min="8462" max="8463" width="6.7109375" style="953" customWidth="1"/>
    <col min="8464" max="8464" width="13.85546875" style="953" customWidth="1"/>
    <col min="8465" max="8465" width="19.7109375" style="953" customWidth="1"/>
    <col min="8466" max="8466" width="11.42578125" style="953" customWidth="1"/>
    <col min="8467" max="8468" width="9.140625" style="953"/>
    <col min="8469" max="8469" width="0" style="953" hidden="1" customWidth="1"/>
    <col min="8470" max="8705" width="9.140625" style="953"/>
    <col min="8706" max="8706" width="20" style="953" customWidth="1"/>
    <col min="8707" max="8707" width="18.140625" style="953" customWidth="1"/>
    <col min="8708" max="8708" width="12.7109375" style="953" customWidth="1"/>
    <col min="8709" max="8709" width="19.85546875" style="953" customWidth="1"/>
    <col min="8710" max="8710" width="12.28515625" style="953" customWidth="1"/>
    <col min="8711" max="8711" width="9.28515625" style="953" customWidth="1"/>
    <col min="8712" max="8712" width="11" style="953" customWidth="1"/>
    <col min="8713" max="8713" width="7.5703125" style="953" customWidth="1"/>
    <col min="8714" max="8714" width="26.42578125" style="953" customWidth="1"/>
    <col min="8715" max="8715" width="11" style="953" customWidth="1"/>
    <col min="8716" max="8716" width="8.28515625" style="953" customWidth="1"/>
    <col min="8717" max="8717" width="11.28515625" style="953" customWidth="1"/>
    <col min="8718" max="8719" width="6.7109375" style="953" customWidth="1"/>
    <col min="8720" max="8720" width="13.85546875" style="953" customWidth="1"/>
    <col min="8721" max="8721" width="19.7109375" style="953" customWidth="1"/>
    <col min="8722" max="8722" width="11.42578125" style="953" customWidth="1"/>
    <col min="8723" max="8724" width="9.140625" style="953"/>
    <col min="8725" max="8725" width="0" style="953" hidden="1" customWidth="1"/>
    <col min="8726" max="8961" width="9.140625" style="953"/>
    <col min="8962" max="8962" width="20" style="953" customWidth="1"/>
    <col min="8963" max="8963" width="18.140625" style="953" customWidth="1"/>
    <col min="8964" max="8964" width="12.7109375" style="953" customWidth="1"/>
    <col min="8965" max="8965" width="19.85546875" style="953" customWidth="1"/>
    <col min="8966" max="8966" width="12.28515625" style="953" customWidth="1"/>
    <col min="8967" max="8967" width="9.28515625" style="953" customWidth="1"/>
    <col min="8968" max="8968" width="11" style="953" customWidth="1"/>
    <col min="8969" max="8969" width="7.5703125" style="953" customWidth="1"/>
    <col min="8970" max="8970" width="26.42578125" style="953" customWidth="1"/>
    <col min="8971" max="8971" width="11" style="953" customWidth="1"/>
    <col min="8972" max="8972" width="8.28515625" style="953" customWidth="1"/>
    <col min="8973" max="8973" width="11.28515625" style="953" customWidth="1"/>
    <col min="8974" max="8975" width="6.7109375" style="953" customWidth="1"/>
    <col min="8976" max="8976" width="13.85546875" style="953" customWidth="1"/>
    <col min="8977" max="8977" width="19.7109375" style="953" customWidth="1"/>
    <col min="8978" max="8978" width="11.42578125" style="953" customWidth="1"/>
    <col min="8979" max="8980" width="9.140625" style="953"/>
    <col min="8981" max="8981" width="0" style="953" hidden="1" customWidth="1"/>
    <col min="8982" max="9217" width="9.140625" style="953"/>
    <col min="9218" max="9218" width="20" style="953" customWidth="1"/>
    <col min="9219" max="9219" width="18.140625" style="953" customWidth="1"/>
    <col min="9220" max="9220" width="12.7109375" style="953" customWidth="1"/>
    <col min="9221" max="9221" width="19.85546875" style="953" customWidth="1"/>
    <col min="9222" max="9222" width="12.28515625" style="953" customWidth="1"/>
    <col min="9223" max="9223" width="9.28515625" style="953" customWidth="1"/>
    <col min="9224" max="9224" width="11" style="953" customWidth="1"/>
    <col min="9225" max="9225" width="7.5703125" style="953" customWidth="1"/>
    <col min="9226" max="9226" width="26.42578125" style="953" customWidth="1"/>
    <col min="9227" max="9227" width="11" style="953" customWidth="1"/>
    <col min="9228" max="9228" width="8.28515625" style="953" customWidth="1"/>
    <col min="9229" max="9229" width="11.28515625" style="953" customWidth="1"/>
    <col min="9230" max="9231" width="6.7109375" style="953" customWidth="1"/>
    <col min="9232" max="9232" width="13.85546875" style="953" customWidth="1"/>
    <col min="9233" max="9233" width="19.7109375" style="953" customWidth="1"/>
    <col min="9234" max="9234" width="11.42578125" style="953" customWidth="1"/>
    <col min="9235" max="9236" width="9.140625" style="953"/>
    <col min="9237" max="9237" width="0" style="953" hidden="1" customWidth="1"/>
    <col min="9238" max="9473" width="9.140625" style="953"/>
    <col min="9474" max="9474" width="20" style="953" customWidth="1"/>
    <col min="9475" max="9475" width="18.140625" style="953" customWidth="1"/>
    <col min="9476" max="9476" width="12.7109375" style="953" customWidth="1"/>
    <col min="9477" max="9477" width="19.85546875" style="953" customWidth="1"/>
    <col min="9478" max="9478" width="12.28515625" style="953" customWidth="1"/>
    <col min="9479" max="9479" width="9.28515625" style="953" customWidth="1"/>
    <col min="9480" max="9480" width="11" style="953" customWidth="1"/>
    <col min="9481" max="9481" width="7.5703125" style="953" customWidth="1"/>
    <col min="9482" max="9482" width="26.42578125" style="953" customWidth="1"/>
    <col min="9483" max="9483" width="11" style="953" customWidth="1"/>
    <col min="9484" max="9484" width="8.28515625" style="953" customWidth="1"/>
    <col min="9485" max="9485" width="11.28515625" style="953" customWidth="1"/>
    <col min="9486" max="9487" width="6.7109375" style="953" customWidth="1"/>
    <col min="9488" max="9488" width="13.85546875" style="953" customWidth="1"/>
    <col min="9489" max="9489" width="19.7109375" style="953" customWidth="1"/>
    <col min="9490" max="9490" width="11.42578125" style="953" customWidth="1"/>
    <col min="9491" max="9492" width="9.140625" style="953"/>
    <col min="9493" max="9493" width="0" style="953" hidden="1" customWidth="1"/>
    <col min="9494" max="9729" width="9.140625" style="953"/>
    <col min="9730" max="9730" width="20" style="953" customWidth="1"/>
    <col min="9731" max="9731" width="18.140625" style="953" customWidth="1"/>
    <col min="9732" max="9732" width="12.7109375" style="953" customWidth="1"/>
    <col min="9733" max="9733" width="19.85546875" style="953" customWidth="1"/>
    <col min="9734" max="9734" width="12.28515625" style="953" customWidth="1"/>
    <col min="9735" max="9735" width="9.28515625" style="953" customWidth="1"/>
    <col min="9736" max="9736" width="11" style="953" customWidth="1"/>
    <col min="9737" max="9737" width="7.5703125" style="953" customWidth="1"/>
    <col min="9738" max="9738" width="26.42578125" style="953" customWidth="1"/>
    <col min="9739" max="9739" width="11" style="953" customWidth="1"/>
    <col min="9740" max="9740" width="8.28515625" style="953" customWidth="1"/>
    <col min="9741" max="9741" width="11.28515625" style="953" customWidth="1"/>
    <col min="9742" max="9743" width="6.7109375" style="953" customWidth="1"/>
    <col min="9744" max="9744" width="13.85546875" style="953" customWidth="1"/>
    <col min="9745" max="9745" width="19.7109375" style="953" customWidth="1"/>
    <col min="9746" max="9746" width="11.42578125" style="953" customWidth="1"/>
    <col min="9747" max="9748" width="9.140625" style="953"/>
    <col min="9749" max="9749" width="0" style="953" hidden="1" customWidth="1"/>
    <col min="9750" max="9985" width="9.140625" style="953"/>
    <col min="9986" max="9986" width="20" style="953" customWidth="1"/>
    <col min="9987" max="9987" width="18.140625" style="953" customWidth="1"/>
    <col min="9988" max="9988" width="12.7109375" style="953" customWidth="1"/>
    <col min="9989" max="9989" width="19.85546875" style="953" customWidth="1"/>
    <col min="9990" max="9990" width="12.28515625" style="953" customWidth="1"/>
    <col min="9991" max="9991" width="9.28515625" style="953" customWidth="1"/>
    <col min="9992" max="9992" width="11" style="953" customWidth="1"/>
    <col min="9993" max="9993" width="7.5703125" style="953" customWidth="1"/>
    <col min="9994" max="9994" width="26.42578125" style="953" customWidth="1"/>
    <col min="9995" max="9995" width="11" style="953" customWidth="1"/>
    <col min="9996" max="9996" width="8.28515625" style="953" customWidth="1"/>
    <col min="9997" max="9997" width="11.28515625" style="953" customWidth="1"/>
    <col min="9998" max="9999" width="6.7109375" style="953" customWidth="1"/>
    <col min="10000" max="10000" width="13.85546875" style="953" customWidth="1"/>
    <col min="10001" max="10001" width="19.7109375" style="953" customWidth="1"/>
    <col min="10002" max="10002" width="11.42578125" style="953" customWidth="1"/>
    <col min="10003" max="10004" width="9.140625" style="953"/>
    <col min="10005" max="10005" width="0" style="953" hidden="1" customWidth="1"/>
    <col min="10006" max="10241" width="9.140625" style="953"/>
    <col min="10242" max="10242" width="20" style="953" customWidth="1"/>
    <col min="10243" max="10243" width="18.140625" style="953" customWidth="1"/>
    <col min="10244" max="10244" width="12.7109375" style="953" customWidth="1"/>
    <col min="10245" max="10245" width="19.85546875" style="953" customWidth="1"/>
    <col min="10246" max="10246" width="12.28515625" style="953" customWidth="1"/>
    <col min="10247" max="10247" width="9.28515625" style="953" customWidth="1"/>
    <col min="10248" max="10248" width="11" style="953" customWidth="1"/>
    <col min="10249" max="10249" width="7.5703125" style="953" customWidth="1"/>
    <col min="10250" max="10250" width="26.42578125" style="953" customWidth="1"/>
    <col min="10251" max="10251" width="11" style="953" customWidth="1"/>
    <col min="10252" max="10252" width="8.28515625" style="953" customWidth="1"/>
    <col min="10253" max="10253" width="11.28515625" style="953" customWidth="1"/>
    <col min="10254" max="10255" width="6.7109375" style="953" customWidth="1"/>
    <col min="10256" max="10256" width="13.85546875" style="953" customWidth="1"/>
    <col min="10257" max="10257" width="19.7109375" style="953" customWidth="1"/>
    <col min="10258" max="10258" width="11.42578125" style="953" customWidth="1"/>
    <col min="10259" max="10260" width="9.140625" style="953"/>
    <col min="10261" max="10261" width="0" style="953" hidden="1" customWidth="1"/>
    <col min="10262" max="10497" width="9.140625" style="953"/>
    <col min="10498" max="10498" width="20" style="953" customWidth="1"/>
    <col min="10499" max="10499" width="18.140625" style="953" customWidth="1"/>
    <col min="10500" max="10500" width="12.7109375" style="953" customWidth="1"/>
    <col min="10501" max="10501" width="19.85546875" style="953" customWidth="1"/>
    <col min="10502" max="10502" width="12.28515625" style="953" customWidth="1"/>
    <col min="10503" max="10503" width="9.28515625" style="953" customWidth="1"/>
    <col min="10504" max="10504" width="11" style="953" customWidth="1"/>
    <col min="10505" max="10505" width="7.5703125" style="953" customWidth="1"/>
    <col min="10506" max="10506" width="26.42578125" style="953" customWidth="1"/>
    <col min="10507" max="10507" width="11" style="953" customWidth="1"/>
    <col min="10508" max="10508" width="8.28515625" style="953" customWidth="1"/>
    <col min="10509" max="10509" width="11.28515625" style="953" customWidth="1"/>
    <col min="10510" max="10511" width="6.7109375" style="953" customWidth="1"/>
    <col min="10512" max="10512" width="13.85546875" style="953" customWidth="1"/>
    <col min="10513" max="10513" width="19.7109375" style="953" customWidth="1"/>
    <col min="10514" max="10514" width="11.42578125" style="953" customWidth="1"/>
    <col min="10515" max="10516" width="9.140625" style="953"/>
    <col min="10517" max="10517" width="0" style="953" hidden="1" customWidth="1"/>
    <col min="10518" max="10753" width="9.140625" style="953"/>
    <col min="10754" max="10754" width="20" style="953" customWidth="1"/>
    <col min="10755" max="10755" width="18.140625" style="953" customWidth="1"/>
    <col min="10756" max="10756" width="12.7109375" style="953" customWidth="1"/>
    <col min="10757" max="10757" width="19.85546875" style="953" customWidth="1"/>
    <col min="10758" max="10758" width="12.28515625" style="953" customWidth="1"/>
    <col min="10759" max="10759" width="9.28515625" style="953" customWidth="1"/>
    <col min="10760" max="10760" width="11" style="953" customWidth="1"/>
    <col min="10761" max="10761" width="7.5703125" style="953" customWidth="1"/>
    <col min="10762" max="10762" width="26.42578125" style="953" customWidth="1"/>
    <col min="10763" max="10763" width="11" style="953" customWidth="1"/>
    <col min="10764" max="10764" width="8.28515625" style="953" customWidth="1"/>
    <col min="10765" max="10765" width="11.28515625" style="953" customWidth="1"/>
    <col min="10766" max="10767" width="6.7109375" style="953" customWidth="1"/>
    <col min="10768" max="10768" width="13.85546875" style="953" customWidth="1"/>
    <col min="10769" max="10769" width="19.7109375" style="953" customWidth="1"/>
    <col min="10770" max="10770" width="11.42578125" style="953" customWidth="1"/>
    <col min="10771" max="10772" width="9.140625" style="953"/>
    <col min="10773" max="10773" width="0" style="953" hidden="1" customWidth="1"/>
    <col min="10774" max="11009" width="9.140625" style="953"/>
    <col min="11010" max="11010" width="20" style="953" customWidth="1"/>
    <col min="11011" max="11011" width="18.140625" style="953" customWidth="1"/>
    <col min="11012" max="11012" width="12.7109375" style="953" customWidth="1"/>
    <col min="11013" max="11013" width="19.85546875" style="953" customWidth="1"/>
    <col min="11014" max="11014" width="12.28515625" style="953" customWidth="1"/>
    <col min="11015" max="11015" width="9.28515625" style="953" customWidth="1"/>
    <col min="11016" max="11016" width="11" style="953" customWidth="1"/>
    <col min="11017" max="11017" width="7.5703125" style="953" customWidth="1"/>
    <col min="11018" max="11018" width="26.42578125" style="953" customWidth="1"/>
    <col min="11019" max="11019" width="11" style="953" customWidth="1"/>
    <col min="11020" max="11020" width="8.28515625" style="953" customWidth="1"/>
    <col min="11021" max="11021" width="11.28515625" style="953" customWidth="1"/>
    <col min="11022" max="11023" width="6.7109375" style="953" customWidth="1"/>
    <col min="11024" max="11024" width="13.85546875" style="953" customWidth="1"/>
    <col min="11025" max="11025" width="19.7109375" style="953" customWidth="1"/>
    <col min="11026" max="11026" width="11.42578125" style="953" customWidth="1"/>
    <col min="11027" max="11028" width="9.140625" style="953"/>
    <col min="11029" max="11029" width="0" style="953" hidden="1" customWidth="1"/>
    <col min="11030" max="11265" width="9.140625" style="953"/>
    <col min="11266" max="11266" width="20" style="953" customWidth="1"/>
    <col min="11267" max="11267" width="18.140625" style="953" customWidth="1"/>
    <col min="11268" max="11268" width="12.7109375" style="953" customWidth="1"/>
    <col min="11269" max="11269" width="19.85546875" style="953" customWidth="1"/>
    <col min="11270" max="11270" width="12.28515625" style="953" customWidth="1"/>
    <col min="11271" max="11271" width="9.28515625" style="953" customWidth="1"/>
    <col min="11272" max="11272" width="11" style="953" customWidth="1"/>
    <col min="11273" max="11273" width="7.5703125" style="953" customWidth="1"/>
    <col min="11274" max="11274" width="26.42578125" style="953" customWidth="1"/>
    <col min="11275" max="11275" width="11" style="953" customWidth="1"/>
    <col min="11276" max="11276" width="8.28515625" style="953" customWidth="1"/>
    <col min="11277" max="11277" width="11.28515625" style="953" customWidth="1"/>
    <col min="11278" max="11279" width="6.7109375" style="953" customWidth="1"/>
    <col min="11280" max="11280" width="13.85546875" style="953" customWidth="1"/>
    <col min="11281" max="11281" width="19.7109375" style="953" customWidth="1"/>
    <col min="11282" max="11282" width="11.42578125" style="953" customWidth="1"/>
    <col min="11283" max="11284" width="9.140625" style="953"/>
    <col min="11285" max="11285" width="0" style="953" hidden="1" customWidth="1"/>
    <col min="11286" max="11521" width="9.140625" style="953"/>
    <col min="11522" max="11522" width="20" style="953" customWidth="1"/>
    <col min="11523" max="11523" width="18.140625" style="953" customWidth="1"/>
    <col min="11524" max="11524" width="12.7109375" style="953" customWidth="1"/>
    <col min="11525" max="11525" width="19.85546875" style="953" customWidth="1"/>
    <col min="11526" max="11526" width="12.28515625" style="953" customWidth="1"/>
    <col min="11527" max="11527" width="9.28515625" style="953" customWidth="1"/>
    <col min="11528" max="11528" width="11" style="953" customWidth="1"/>
    <col min="11529" max="11529" width="7.5703125" style="953" customWidth="1"/>
    <col min="11530" max="11530" width="26.42578125" style="953" customWidth="1"/>
    <col min="11531" max="11531" width="11" style="953" customWidth="1"/>
    <col min="11532" max="11532" width="8.28515625" style="953" customWidth="1"/>
    <col min="11533" max="11533" width="11.28515625" style="953" customWidth="1"/>
    <col min="11534" max="11535" width="6.7109375" style="953" customWidth="1"/>
    <col min="11536" max="11536" width="13.85546875" style="953" customWidth="1"/>
    <col min="11537" max="11537" width="19.7109375" style="953" customWidth="1"/>
    <col min="11538" max="11538" width="11.42578125" style="953" customWidth="1"/>
    <col min="11539" max="11540" width="9.140625" style="953"/>
    <col min="11541" max="11541" width="0" style="953" hidden="1" customWidth="1"/>
    <col min="11542" max="11777" width="9.140625" style="953"/>
    <col min="11778" max="11778" width="20" style="953" customWidth="1"/>
    <col min="11779" max="11779" width="18.140625" style="953" customWidth="1"/>
    <col min="11780" max="11780" width="12.7109375" style="953" customWidth="1"/>
    <col min="11781" max="11781" width="19.85546875" style="953" customWidth="1"/>
    <col min="11782" max="11782" width="12.28515625" style="953" customWidth="1"/>
    <col min="11783" max="11783" width="9.28515625" style="953" customWidth="1"/>
    <col min="11784" max="11784" width="11" style="953" customWidth="1"/>
    <col min="11785" max="11785" width="7.5703125" style="953" customWidth="1"/>
    <col min="11786" max="11786" width="26.42578125" style="953" customWidth="1"/>
    <col min="11787" max="11787" width="11" style="953" customWidth="1"/>
    <col min="11788" max="11788" width="8.28515625" style="953" customWidth="1"/>
    <col min="11789" max="11789" width="11.28515625" style="953" customWidth="1"/>
    <col min="11790" max="11791" width="6.7109375" style="953" customWidth="1"/>
    <col min="11792" max="11792" width="13.85546875" style="953" customWidth="1"/>
    <col min="11793" max="11793" width="19.7109375" style="953" customWidth="1"/>
    <col min="11794" max="11794" width="11.42578125" style="953" customWidth="1"/>
    <col min="11795" max="11796" width="9.140625" style="953"/>
    <col min="11797" max="11797" width="0" style="953" hidden="1" customWidth="1"/>
    <col min="11798" max="12033" width="9.140625" style="953"/>
    <col min="12034" max="12034" width="20" style="953" customWidth="1"/>
    <col min="12035" max="12035" width="18.140625" style="953" customWidth="1"/>
    <col min="12036" max="12036" width="12.7109375" style="953" customWidth="1"/>
    <col min="12037" max="12037" width="19.85546875" style="953" customWidth="1"/>
    <col min="12038" max="12038" width="12.28515625" style="953" customWidth="1"/>
    <col min="12039" max="12039" width="9.28515625" style="953" customWidth="1"/>
    <col min="12040" max="12040" width="11" style="953" customWidth="1"/>
    <col min="12041" max="12041" width="7.5703125" style="953" customWidth="1"/>
    <col min="12042" max="12042" width="26.42578125" style="953" customWidth="1"/>
    <col min="12043" max="12043" width="11" style="953" customWidth="1"/>
    <col min="12044" max="12044" width="8.28515625" style="953" customWidth="1"/>
    <col min="12045" max="12045" width="11.28515625" style="953" customWidth="1"/>
    <col min="12046" max="12047" width="6.7109375" style="953" customWidth="1"/>
    <col min="12048" max="12048" width="13.85546875" style="953" customWidth="1"/>
    <col min="12049" max="12049" width="19.7109375" style="953" customWidth="1"/>
    <col min="12050" max="12050" width="11.42578125" style="953" customWidth="1"/>
    <col min="12051" max="12052" width="9.140625" style="953"/>
    <col min="12053" max="12053" width="0" style="953" hidden="1" customWidth="1"/>
    <col min="12054" max="12289" width="9.140625" style="953"/>
    <col min="12290" max="12290" width="20" style="953" customWidth="1"/>
    <col min="12291" max="12291" width="18.140625" style="953" customWidth="1"/>
    <col min="12292" max="12292" width="12.7109375" style="953" customWidth="1"/>
    <col min="12293" max="12293" width="19.85546875" style="953" customWidth="1"/>
    <col min="12294" max="12294" width="12.28515625" style="953" customWidth="1"/>
    <col min="12295" max="12295" width="9.28515625" style="953" customWidth="1"/>
    <col min="12296" max="12296" width="11" style="953" customWidth="1"/>
    <col min="12297" max="12297" width="7.5703125" style="953" customWidth="1"/>
    <col min="12298" max="12298" width="26.42578125" style="953" customWidth="1"/>
    <col min="12299" max="12299" width="11" style="953" customWidth="1"/>
    <col min="12300" max="12300" width="8.28515625" style="953" customWidth="1"/>
    <col min="12301" max="12301" width="11.28515625" style="953" customWidth="1"/>
    <col min="12302" max="12303" width="6.7109375" style="953" customWidth="1"/>
    <col min="12304" max="12304" width="13.85546875" style="953" customWidth="1"/>
    <col min="12305" max="12305" width="19.7109375" style="953" customWidth="1"/>
    <col min="12306" max="12306" width="11.42578125" style="953" customWidth="1"/>
    <col min="12307" max="12308" width="9.140625" style="953"/>
    <col min="12309" max="12309" width="0" style="953" hidden="1" customWidth="1"/>
    <col min="12310" max="12545" width="9.140625" style="953"/>
    <col min="12546" max="12546" width="20" style="953" customWidth="1"/>
    <col min="12547" max="12547" width="18.140625" style="953" customWidth="1"/>
    <col min="12548" max="12548" width="12.7109375" style="953" customWidth="1"/>
    <col min="12549" max="12549" width="19.85546875" style="953" customWidth="1"/>
    <col min="12550" max="12550" width="12.28515625" style="953" customWidth="1"/>
    <col min="12551" max="12551" width="9.28515625" style="953" customWidth="1"/>
    <col min="12552" max="12552" width="11" style="953" customWidth="1"/>
    <col min="12553" max="12553" width="7.5703125" style="953" customWidth="1"/>
    <col min="12554" max="12554" width="26.42578125" style="953" customWidth="1"/>
    <col min="12555" max="12555" width="11" style="953" customWidth="1"/>
    <col min="12556" max="12556" width="8.28515625" style="953" customWidth="1"/>
    <col min="12557" max="12557" width="11.28515625" style="953" customWidth="1"/>
    <col min="12558" max="12559" width="6.7109375" style="953" customWidth="1"/>
    <col min="12560" max="12560" width="13.85546875" style="953" customWidth="1"/>
    <col min="12561" max="12561" width="19.7109375" style="953" customWidth="1"/>
    <col min="12562" max="12562" width="11.42578125" style="953" customWidth="1"/>
    <col min="12563" max="12564" width="9.140625" style="953"/>
    <col min="12565" max="12565" width="0" style="953" hidden="1" customWidth="1"/>
    <col min="12566" max="12801" width="9.140625" style="953"/>
    <col min="12802" max="12802" width="20" style="953" customWidth="1"/>
    <col min="12803" max="12803" width="18.140625" style="953" customWidth="1"/>
    <col min="12804" max="12804" width="12.7109375" style="953" customWidth="1"/>
    <col min="12805" max="12805" width="19.85546875" style="953" customWidth="1"/>
    <col min="12806" max="12806" width="12.28515625" style="953" customWidth="1"/>
    <col min="12807" max="12807" width="9.28515625" style="953" customWidth="1"/>
    <col min="12808" max="12808" width="11" style="953" customWidth="1"/>
    <col min="12809" max="12809" width="7.5703125" style="953" customWidth="1"/>
    <col min="12810" max="12810" width="26.42578125" style="953" customWidth="1"/>
    <col min="12811" max="12811" width="11" style="953" customWidth="1"/>
    <col min="12812" max="12812" width="8.28515625" style="953" customWidth="1"/>
    <col min="12813" max="12813" width="11.28515625" style="953" customWidth="1"/>
    <col min="12814" max="12815" width="6.7109375" style="953" customWidth="1"/>
    <col min="12816" max="12816" width="13.85546875" style="953" customWidth="1"/>
    <col min="12817" max="12817" width="19.7109375" style="953" customWidth="1"/>
    <col min="12818" max="12818" width="11.42578125" style="953" customWidth="1"/>
    <col min="12819" max="12820" width="9.140625" style="953"/>
    <col min="12821" max="12821" width="0" style="953" hidden="1" customWidth="1"/>
    <col min="12822" max="13057" width="9.140625" style="953"/>
    <col min="13058" max="13058" width="20" style="953" customWidth="1"/>
    <col min="13059" max="13059" width="18.140625" style="953" customWidth="1"/>
    <col min="13060" max="13060" width="12.7109375" style="953" customWidth="1"/>
    <col min="13061" max="13061" width="19.85546875" style="953" customWidth="1"/>
    <col min="13062" max="13062" width="12.28515625" style="953" customWidth="1"/>
    <col min="13063" max="13063" width="9.28515625" style="953" customWidth="1"/>
    <col min="13064" max="13064" width="11" style="953" customWidth="1"/>
    <col min="13065" max="13065" width="7.5703125" style="953" customWidth="1"/>
    <col min="13066" max="13066" width="26.42578125" style="953" customWidth="1"/>
    <col min="13067" max="13067" width="11" style="953" customWidth="1"/>
    <col min="13068" max="13068" width="8.28515625" style="953" customWidth="1"/>
    <col min="13069" max="13069" width="11.28515625" style="953" customWidth="1"/>
    <col min="13070" max="13071" width="6.7109375" style="953" customWidth="1"/>
    <col min="13072" max="13072" width="13.85546875" style="953" customWidth="1"/>
    <col min="13073" max="13073" width="19.7109375" style="953" customWidth="1"/>
    <col min="13074" max="13074" width="11.42578125" style="953" customWidth="1"/>
    <col min="13075" max="13076" width="9.140625" style="953"/>
    <col min="13077" max="13077" width="0" style="953" hidden="1" customWidth="1"/>
    <col min="13078" max="13313" width="9.140625" style="953"/>
    <col min="13314" max="13314" width="20" style="953" customWidth="1"/>
    <col min="13315" max="13315" width="18.140625" style="953" customWidth="1"/>
    <col min="13316" max="13316" width="12.7109375" style="953" customWidth="1"/>
    <col min="13317" max="13317" width="19.85546875" style="953" customWidth="1"/>
    <col min="13318" max="13318" width="12.28515625" style="953" customWidth="1"/>
    <col min="13319" max="13319" width="9.28515625" style="953" customWidth="1"/>
    <col min="13320" max="13320" width="11" style="953" customWidth="1"/>
    <col min="13321" max="13321" width="7.5703125" style="953" customWidth="1"/>
    <col min="13322" max="13322" width="26.42578125" style="953" customWidth="1"/>
    <col min="13323" max="13323" width="11" style="953" customWidth="1"/>
    <col min="13324" max="13324" width="8.28515625" style="953" customWidth="1"/>
    <col min="13325" max="13325" width="11.28515625" style="953" customWidth="1"/>
    <col min="13326" max="13327" width="6.7109375" style="953" customWidth="1"/>
    <col min="13328" max="13328" width="13.85546875" style="953" customWidth="1"/>
    <col min="13329" max="13329" width="19.7109375" style="953" customWidth="1"/>
    <col min="13330" max="13330" width="11.42578125" style="953" customWidth="1"/>
    <col min="13331" max="13332" width="9.140625" style="953"/>
    <col min="13333" max="13333" width="0" style="953" hidden="1" customWidth="1"/>
    <col min="13334" max="13569" width="9.140625" style="953"/>
    <col min="13570" max="13570" width="20" style="953" customWidth="1"/>
    <col min="13571" max="13571" width="18.140625" style="953" customWidth="1"/>
    <col min="13572" max="13572" width="12.7109375" style="953" customWidth="1"/>
    <col min="13573" max="13573" width="19.85546875" style="953" customWidth="1"/>
    <col min="13574" max="13574" width="12.28515625" style="953" customWidth="1"/>
    <col min="13575" max="13575" width="9.28515625" style="953" customWidth="1"/>
    <col min="13576" max="13576" width="11" style="953" customWidth="1"/>
    <col min="13577" max="13577" width="7.5703125" style="953" customWidth="1"/>
    <col min="13578" max="13578" width="26.42578125" style="953" customWidth="1"/>
    <col min="13579" max="13579" width="11" style="953" customWidth="1"/>
    <col min="13580" max="13580" width="8.28515625" style="953" customWidth="1"/>
    <col min="13581" max="13581" width="11.28515625" style="953" customWidth="1"/>
    <col min="13582" max="13583" width="6.7109375" style="953" customWidth="1"/>
    <col min="13584" max="13584" width="13.85546875" style="953" customWidth="1"/>
    <col min="13585" max="13585" width="19.7109375" style="953" customWidth="1"/>
    <col min="13586" max="13586" width="11.42578125" style="953" customWidth="1"/>
    <col min="13587" max="13588" width="9.140625" style="953"/>
    <col min="13589" max="13589" width="0" style="953" hidden="1" customWidth="1"/>
    <col min="13590" max="13825" width="9.140625" style="953"/>
    <col min="13826" max="13826" width="20" style="953" customWidth="1"/>
    <col min="13827" max="13827" width="18.140625" style="953" customWidth="1"/>
    <col min="13828" max="13828" width="12.7109375" style="953" customWidth="1"/>
    <col min="13829" max="13829" width="19.85546875" style="953" customWidth="1"/>
    <col min="13830" max="13830" width="12.28515625" style="953" customWidth="1"/>
    <col min="13831" max="13831" width="9.28515625" style="953" customWidth="1"/>
    <col min="13832" max="13832" width="11" style="953" customWidth="1"/>
    <col min="13833" max="13833" width="7.5703125" style="953" customWidth="1"/>
    <col min="13834" max="13834" width="26.42578125" style="953" customWidth="1"/>
    <col min="13835" max="13835" width="11" style="953" customWidth="1"/>
    <col min="13836" max="13836" width="8.28515625" style="953" customWidth="1"/>
    <col min="13837" max="13837" width="11.28515625" style="953" customWidth="1"/>
    <col min="13838" max="13839" width="6.7109375" style="953" customWidth="1"/>
    <col min="13840" max="13840" width="13.85546875" style="953" customWidth="1"/>
    <col min="13841" max="13841" width="19.7109375" style="953" customWidth="1"/>
    <col min="13842" max="13842" width="11.42578125" style="953" customWidth="1"/>
    <col min="13843" max="13844" width="9.140625" style="953"/>
    <col min="13845" max="13845" width="0" style="953" hidden="1" customWidth="1"/>
    <col min="13846" max="14081" width="9.140625" style="953"/>
    <col min="14082" max="14082" width="20" style="953" customWidth="1"/>
    <col min="14083" max="14083" width="18.140625" style="953" customWidth="1"/>
    <col min="14084" max="14084" width="12.7109375" style="953" customWidth="1"/>
    <col min="14085" max="14085" width="19.85546875" style="953" customWidth="1"/>
    <col min="14086" max="14086" width="12.28515625" style="953" customWidth="1"/>
    <col min="14087" max="14087" width="9.28515625" style="953" customWidth="1"/>
    <col min="14088" max="14088" width="11" style="953" customWidth="1"/>
    <col min="14089" max="14089" width="7.5703125" style="953" customWidth="1"/>
    <col min="14090" max="14090" width="26.42578125" style="953" customWidth="1"/>
    <col min="14091" max="14091" width="11" style="953" customWidth="1"/>
    <col min="14092" max="14092" width="8.28515625" style="953" customWidth="1"/>
    <col min="14093" max="14093" width="11.28515625" style="953" customWidth="1"/>
    <col min="14094" max="14095" width="6.7109375" style="953" customWidth="1"/>
    <col min="14096" max="14096" width="13.85546875" style="953" customWidth="1"/>
    <col min="14097" max="14097" width="19.7109375" style="953" customWidth="1"/>
    <col min="14098" max="14098" width="11.42578125" style="953" customWidth="1"/>
    <col min="14099" max="14100" width="9.140625" style="953"/>
    <col min="14101" max="14101" width="0" style="953" hidden="1" customWidth="1"/>
    <col min="14102" max="14337" width="9.140625" style="953"/>
    <col min="14338" max="14338" width="20" style="953" customWidth="1"/>
    <col min="14339" max="14339" width="18.140625" style="953" customWidth="1"/>
    <col min="14340" max="14340" width="12.7109375" style="953" customWidth="1"/>
    <col min="14341" max="14341" width="19.85546875" style="953" customWidth="1"/>
    <col min="14342" max="14342" width="12.28515625" style="953" customWidth="1"/>
    <col min="14343" max="14343" width="9.28515625" style="953" customWidth="1"/>
    <col min="14344" max="14344" width="11" style="953" customWidth="1"/>
    <col min="14345" max="14345" width="7.5703125" style="953" customWidth="1"/>
    <col min="14346" max="14346" width="26.42578125" style="953" customWidth="1"/>
    <col min="14347" max="14347" width="11" style="953" customWidth="1"/>
    <col min="14348" max="14348" width="8.28515625" style="953" customWidth="1"/>
    <col min="14349" max="14349" width="11.28515625" style="953" customWidth="1"/>
    <col min="14350" max="14351" width="6.7109375" style="953" customWidth="1"/>
    <col min="14352" max="14352" width="13.85546875" style="953" customWidth="1"/>
    <col min="14353" max="14353" width="19.7109375" style="953" customWidth="1"/>
    <col min="14354" max="14354" width="11.42578125" style="953" customWidth="1"/>
    <col min="14355" max="14356" width="9.140625" style="953"/>
    <col min="14357" max="14357" width="0" style="953" hidden="1" customWidth="1"/>
    <col min="14358" max="14593" width="9.140625" style="953"/>
    <col min="14594" max="14594" width="20" style="953" customWidth="1"/>
    <col min="14595" max="14595" width="18.140625" style="953" customWidth="1"/>
    <col min="14596" max="14596" width="12.7109375" style="953" customWidth="1"/>
    <col min="14597" max="14597" width="19.85546875" style="953" customWidth="1"/>
    <col min="14598" max="14598" width="12.28515625" style="953" customWidth="1"/>
    <col min="14599" max="14599" width="9.28515625" style="953" customWidth="1"/>
    <col min="14600" max="14600" width="11" style="953" customWidth="1"/>
    <col min="14601" max="14601" width="7.5703125" style="953" customWidth="1"/>
    <col min="14602" max="14602" width="26.42578125" style="953" customWidth="1"/>
    <col min="14603" max="14603" width="11" style="953" customWidth="1"/>
    <col min="14604" max="14604" width="8.28515625" style="953" customWidth="1"/>
    <col min="14605" max="14605" width="11.28515625" style="953" customWidth="1"/>
    <col min="14606" max="14607" width="6.7109375" style="953" customWidth="1"/>
    <col min="14608" max="14608" width="13.85546875" style="953" customWidth="1"/>
    <col min="14609" max="14609" width="19.7109375" style="953" customWidth="1"/>
    <col min="14610" max="14610" width="11.42578125" style="953" customWidth="1"/>
    <col min="14611" max="14612" width="9.140625" style="953"/>
    <col min="14613" max="14613" width="0" style="953" hidden="1" customWidth="1"/>
    <col min="14614" max="14849" width="9.140625" style="953"/>
    <col min="14850" max="14850" width="20" style="953" customWidth="1"/>
    <col min="14851" max="14851" width="18.140625" style="953" customWidth="1"/>
    <col min="14852" max="14852" width="12.7109375" style="953" customWidth="1"/>
    <col min="14853" max="14853" width="19.85546875" style="953" customWidth="1"/>
    <col min="14854" max="14854" width="12.28515625" style="953" customWidth="1"/>
    <col min="14855" max="14855" width="9.28515625" style="953" customWidth="1"/>
    <col min="14856" max="14856" width="11" style="953" customWidth="1"/>
    <col min="14857" max="14857" width="7.5703125" style="953" customWidth="1"/>
    <col min="14858" max="14858" width="26.42578125" style="953" customWidth="1"/>
    <col min="14859" max="14859" width="11" style="953" customWidth="1"/>
    <col min="14860" max="14860" width="8.28515625" style="953" customWidth="1"/>
    <col min="14861" max="14861" width="11.28515625" style="953" customWidth="1"/>
    <col min="14862" max="14863" width="6.7109375" style="953" customWidth="1"/>
    <col min="14864" max="14864" width="13.85546875" style="953" customWidth="1"/>
    <col min="14865" max="14865" width="19.7109375" style="953" customWidth="1"/>
    <col min="14866" max="14866" width="11.42578125" style="953" customWidth="1"/>
    <col min="14867" max="14868" width="9.140625" style="953"/>
    <col min="14869" max="14869" width="0" style="953" hidden="1" customWidth="1"/>
    <col min="14870" max="15105" width="9.140625" style="953"/>
    <col min="15106" max="15106" width="20" style="953" customWidth="1"/>
    <col min="15107" max="15107" width="18.140625" style="953" customWidth="1"/>
    <col min="15108" max="15108" width="12.7109375" style="953" customWidth="1"/>
    <col min="15109" max="15109" width="19.85546875" style="953" customWidth="1"/>
    <col min="15110" max="15110" width="12.28515625" style="953" customWidth="1"/>
    <col min="15111" max="15111" width="9.28515625" style="953" customWidth="1"/>
    <col min="15112" max="15112" width="11" style="953" customWidth="1"/>
    <col min="15113" max="15113" width="7.5703125" style="953" customWidth="1"/>
    <col min="15114" max="15114" width="26.42578125" style="953" customWidth="1"/>
    <col min="15115" max="15115" width="11" style="953" customWidth="1"/>
    <col min="15116" max="15116" width="8.28515625" style="953" customWidth="1"/>
    <col min="15117" max="15117" width="11.28515625" style="953" customWidth="1"/>
    <col min="15118" max="15119" width="6.7109375" style="953" customWidth="1"/>
    <col min="15120" max="15120" width="13.85546875" style="953" customWidth="1"/>
    <col min="15121" max="15121" width="19.7109375" style="953" customWidth="1"/>
    <col min="15122" max="15122" width="11.42578125" style="953" customWidth="1"/>
    <col min="15123" max="15124" width="9.140625" style="953"/>
    <col min="15125" max="15125" width="0" style="953" hidden="1" customWidth="1"/>
    <col min="15126" max="15361" width="9.140625" style="953"/>
    <col min="15362" max="15362" width="20" style="953" customWidth="1"/>
    <col min="15363" max="15363" width="18.140625" style="953" customWidth="1"/>
    <col min="15364" max="15364" width="12.7109375" style="953" customWidth="1"/>
    <col min="15365" max="15365" width="19.85546875" style="953" customWidth="1"/>
    <col min="15366" max="15366" width="12.28515625" style="953" customWidth="1"/>
    <col min="15367" max="15367" width="9.28515625" style="953" customWidth="1"/>
    <col min="15368" max="15368" width="11" style="953" customWidth="1"/>
    <col min="15369" max="15369" width="7.5703125" style="953" customWidth="1"/>
    <col min="15370" max="15370" width="26.42578125" style="953" customWidth="1"/>
    <col min="15371" max="15371" width="11" style="953" customWidth="1"/>
    <col min="15372" max="15372" width="8.28515625" style="953" customWidth="1"/>
    <col min="15373" max="15373" width="11.28515625" style="953" customWidth="1"/>
    <col min="15374" max="15375" width="6.7109375" style="953" customWidth="1"/>
    <col min="15376" max="15376" width="13.85546875" style="953" customWidth="1"/>
    <col min="15377" max="15377" width="19.7109375" style="953" customWidth="1"/>
    <col min="15378" max="15378" width="11.42578125" style="953" customWidth="1"/>
    <col min="15379" max="15380" width="9.140625" style="953"/>
    <col min="15381" max="15381" width="0" style="953" hidden="1" customWidth="1"/>
    <col min="15382" max="15617" width="9.140625" style="953"/>
    <col min="15618" max="15618" width="20" style="953" customWidth="1"/>
    <col min="15619" max="15619" width="18.140625" style="953" customWidth="1"/>
    <col min="15620" max="15620" width="12.7109375" style="953" customWidth="1"/>
    <col min="15621" max="15621" width="19.85546875" style="953" customWidth="1"/>
    <col min="15622" max="15622" width="12.28515625" style="953" customWidth="1"/>
    <col min="15623" max="15623" width="9.28515625" style="953" customWidth="1"/>
    <col min="15624" max="15624" width="11" style="953" customWidth="1"/>
    <col min="15625" max="15625" width="7.5703125" style="953" customWidth="1"/>
    <col min="15626" max="15626" width="26.42578125" style="953" customWidth="1"/>
    <col min="15627" max="15627" width="11" style="953" customWidth="1"/>
    <col min="15628" max="15628" width="8.28515625" style="953" customWidth="1"/>
    <col min="15629" max="15629" width="11.28515625" style="953" customWidth="1"/>
    <col min="15630" max="15631" width="6.7109375" style="953" customWidth="1"/>
    <col min="15632" max="15632" width="13.85546875" style="953" customWidth="1"/>
    <col min="15633" max="15633" width="19.7109375" style="953" customWidth="1"/>
    <col min="15634" max="15634" width="11.42578125" style="953" customWidth="1"/>
    <col min="15635" max="15636" width="9.140625" style="953"/>
    <col min="15637" max="15637" width="0" style="953" hidden="1" customWidth="1"/>
    <col min="15638" max="15873" width="9.140625" style="953"/>
    <col min="15874" max="15874" width="20" style="953" customWidth="1"/>
    <col min="15875" max="15875" width="18.140625" style="953" customWidth="1"/>
    <col min="15876" max="15876" width="12.7109375" style="953" customWidth="1"/>
    <col min="15877" max="15877" width="19.85546875" style="953" customWidth="1"/>
    <col min="15878" max="15878" width="12.28515625" style="953" customWidth="1"/>
    <col min="15879" max="15879" width="9.28515625" style="953" customWidth="1"/>
    <col min="15880" max="15880" width="11" style="953" customWidth="1"/>
    <col min="15881" max="15881" width="7.5703125" style="953" customWidth="1"/>
    <col min="15882" max="15882" width="26.42578125" style="953" customWidth="1"/>
    <col min="15883" max="15883" width="11" style="953" customWidth="1"/>
    <col min="15884" max="15884" width="8.28515625" style="953" customWidth="1"/>
    <col min="15885" max="15885" width="11.28515625" style="953" customWidth="1"/>
    <col min="15886" max="15887" width="6.7109375" style="953" customWidth="1"/>
    <col min="15888" max="15888" width="13.85546875" style="953" customWidth="1"/>
    <col min="15889" max="15889" width="19.7109375" style="953" customWidth="1"/>
    <col min="15890" max="15890" width="11.42578125" style="953" customWidth="1"/>
    <col min="15891" max="15892" width="9.140625" style="953"/>
    <col min="15893" max="15893" width="0" style="953" hidden="1" customWidth="1"/>
    <col min="15894" max="16129" width="9.140625" style="953"/>
    <col min="16130" max="16130" width="20" style="953" customWidth="1"/>
    <col min="16131" max="16131" width="18.140625" style="953" customWidth="1"/>
    <col min="16132" max="16132" width="12.7109375" style="953" customWidth="1"/>
    <col min="16133" max="16133" width="19.85546875" style="953" customWidth="1"/>
    <col min="16134" max="16134" width="12.28515625" style="953" customWidth="1"/>
    <col min="16135" max="16135" width="9.28515625" style="953" customWidth="1"/>
    <col min="16136" max="16136" width="11" style="953" customWidth="1"/>
    <col min="16137" max="16137" width="7.5703125" style="953" customWidth="1"/>
    <col min="16138" max="16138" width="26.42578125" style="953" customWidth="1"/>
    <col min="16139" max="16139" width="11" style="953" customWidth="1"/>
    <col min="16140" max="16140" width="8.28515625" style="953" customWidth="1"/>
    <col min="16141" max="16141" width="11.28515625" style="953" customWidth="1"/>
    <col min="16142" max="16143" width="6.7109375" style="953" customWidth="1"/>
    <col min="16144" max="16144" width="13.85546875" style="953" customWidth="1"/>
    <col min="16145" max="16145" width="19.7109375" style="953" customWidth="1"/>
    <col min="16146" max="16146" width="11.42578125" style="953" customWidth="1"/>
    <col min="16147" max="16148" width="9.140625" style="953"/>
    <col min="16149" max="16149" width="0" style="953" hidden="1" customWidth="1"/>
    <col min="16150" max="16384" width="9.140625" style="953"/>
  </cols>
  <sheetData>
    <row r="1" spans="1:19" ht="26.25" customHeight="1">
      <c r="A1" s="1437" t="s">
        <v>1597</v>
      </c>
      <c r="B1" s="1438" t="s">
        <v>1598</v>
      </c>
      <c r="C1" s="1439"/>
      <c r="D1" s="1439"/>
      <c r="E1" s="1439"/>
      <c r="F1" s="1441"/>
      <c r="G1" s="1439"/>
      <c r="H1" s="1439"/>
      <c r="I1" s="1439"/>
      <c r="J1" s="1439"/>
    </row>
    <row r="2" spans="1:19" ht="26.25" customHeight="1">
      <c r="B2" s="1438" t="s">
        <v>1599</v>
      </c>
      <c r="C2" s="1439"/>
      <c r="D2" s="1439"/>
      <c r="E2" s="1439"/>
      <c r="F2" s="1441"/>
      <c r="G2" s="1439"/>
      <c r="H2" s="1439"/>
      <c r="I2" s="1439"/>
      <c r="J2" s="1439"/>
    </row>
    <row r="3" spans="1:19" ht="26.25" customHeight="1">
      <c r="B3" s="1440" t="s">
        <v>409</v>
      </c>
      <c r="C3" s="1440">
        <f>'Project Info'!$C$3</f>
        <v>0</v>
      </c>
      <c r="D3" s="1440"/>
      <c r="E3" s="1439"/>
      <c r="F3" s="1441"/>
      <c r="G3" s="1439"/>
      <c r="H3" s="1439"/>
      <c r="I3" s="1439"/>
      <c r="J3" s="1439"/>
    </row>
    <row r="4" spans="1:19" ht="26.25" customHeight="1">
      <c r="A4" s="1313"/>
      <c r="B4" s="1439"/>
      <c r="C4" s="1440"/>
      <c r="D4" s="1440"/>
      <c r="E4" s="1439"/>
      <c r="F4" s="1439"/>
      <c r="G4" s="1439"/>
      <c r="H4" s="1439"/>
      <c r="I4" s="1439"/>
      <c r="J4" s="1439"/>
      <c r="K4" s="1439"/>
      <c r="L4" s="1441"/>
      <c r="M4" s="1439"/>
      <c r="N4" s="1439"/>
      <c r="O4" s="1439"/>
      <c r="P4" s="1439"/>
      <c r="Q4" s="1439"/>
      <c r="R4" s="1313"/>
    </row>
    <row r="5" spans="1:19" s="1475" customFormat="1" ht="17.25" customHeight="1">
      <c r="B5" s="1443" t="s">
        <v>1943</v>
      </c>
      <c r="C5" s="1495"/>
      <c r="D5" s="1495"/>
      <c r="E5" s="1617"/>
      <c r="F5" s="1617"/>
      <c r="G5" s="1618"/>
      <c r="H5" s="1617"/>
      <c r="I5" s="1618"/>
      <c r="J5" s="1618"/>
      <c r="K5" s="1618"/>
      <c r="L5" s="1618"/>
      <c r="M5" s="1618"/>
      <c r="N5" s="1618"/>
      <c r="O5" s="1618"/>
      <c r="P5" s="1619" t="s">
        <v>1601</v>
      </c>
      <c r="Q5" s="1619" t="s">
        <v>1602</v>
      </c>
      <c r="R5" s="1620"/>
      <c r="S5" s="1620"/>
    </row>
    <row r="6" spans="1:19">
      <c r="A6" s="1460"/>
      <c r="B6" s="1449"/>
      <c r="C6" s="1449"/>
      <c r="D6" s="1449"/>
      <c r="E6" s="1449"/>
      <c r="F6" s="1449"/>
      <c r="G6" s="1449"/>
      <c r="H6" s="1449"/>
      <c r="I6" s="1449"/>
      <c r="J6" s="1449"/>
      <c r="K6" s="1449"/>
      <c r="L6" s="1449"/>
      <c r="M6" s="1449"/>
      <c r="N6" s="1449"/>
      <c r="O6" s="1449"/>
      <c r="P6" s="1162" t="s">
        <v>1603</v>
      </c>
      <c r="Q6" s="1145"/>
      <c r="R6" s="1460"/>
      <c r="S6" s="1460"/>
    </row>
    <row r="7" spans="1:19">
      <c r="A7" s="1460"/>
      <c r="B7" s="1449"/>
      <c r="C7" s="1449"/>
      <c r="D7" s="1449"/>
      <c r="E7" s="1449"/>
      <c r="F7" s="1449"/>
      <c r="G7" s="1449"/>
      <c r="H7" s="1449"/>
      <c r="I7" s="1449"/>
      <c r="J7" s="1449"/>
      <c r="K7" s="1449"/>
      <c r="L7" s="1449"/>
      <c r="M7" s="1449"/>
      <c r="N7" s="1449"/>
      <c r="O7" s="1449"/>
      <c r="P7" s="1258"/>
      <c r="Q7" s="1111"/>
      <c r="R7" s="1460"/>
      <c r="S7" s="1460"/>
    </row>
    <row r="8" spans="1:19">
      <c r="A8" s="1460"/>
      <c r="B8" s="1449"/>
      <c r="C8" s="1449"/>
      <c r="D8" s="1449"/>
      <c r="E8" s="1449"/>
      <c r="F8" s="1449"/>
      <c r="G8" s="1449"/>
      <c r="H8" s="1449"/>
      <c r="I8" s="1449"/>
      <c r="J8" s="1449"/>
      <c r="K8" s="1449"/>
      <c r="L8" s="1449"/>
      <c r="M8" s="1449"/>
      <c r="N8" s="1449"/>
      <c r="O8" s="1449"/>
      <c r="P8" s="1163"/>
      <c r="Q8" s="1164"/>
      <c r="R8" s="1460"/>
      <c r="S8" s="1460"/>
    </row>
    <row r="9" spans="1:19">
      <c r="A9" s="1460"/>
      <c r="B9" s="1449"/>
      <c r="C9" s="1449"/>
      <c r="D9" s="1449"/>
      <c r="E9" s="1449"/>
      <c r="F9" s="1449"/>
      <c r="G9" s="1449"/>
      <c r="H9" s="1449"/>
      <c r="I9" s="1449"/>
      <c r="J9" s="1449"/>
      <c r="K9" s="1449"/>
      <c r="L9" s="1449"/>
      <c r="M9" s="1449"/>
      <c r="N9" s="1449"/>
      <c r="O9" s="1449"/>
      <c r="P9" s="1621"/>
      <c r="Q9" s="1622"/>
      <c r="R9" s="1460"/>
      <c r="S9" s="1460"/>
    </row>
    <row r="10" spans="1:19">
      <c r="A10" s="1460"/>
      <c r="B10" s="1451" t="s">
        <v>1604</v>
      </c>
      <c r="C10" s="1449"/>
      <c r="D10" s="1449"/>
      <c r="E10" s="1449"/>
      <c r="F10" s="1449"/>
      <c r="G10" s="1449"/>
      <c r="H10" s="1449"/>
      <c r="I10" s="1449"/>
      <c r="J10" s="1449"/>
      <c r="K10" s="1449"/>
      <c r="L10" s="1449"/>
      <c r="M10" s="1449"/>
      <c r="N10" s="1449"/>
      <c r="O10" s="1449"/>
      <c r="P10" s="1452"/>
      <c r="Q10" s="1449"/>
      <c r="R10" s="1460"/>
      <c r="S10" s="1460"/>
    </row>
    <row r="11" spans="1:19" ht="38.25" customHeight="1">
      <c r="A11" s="1460"/>
      <c r="B11" s="2585" t="s">
        <v>1944</v>
      </c>
      <c r="C11" s="2585"/>
      <c r="D11" s="2585"/>
      <c r="E11" s="2585"/>
      <c r="F11" s="2585"/>
      <c r="G11" s="2585"/>
      <c r="H11" s="2585"/>
      <c r="I11" s="2585"/>
      <c r="J11" s="2585"/>
      <c r="K11" s="2585"/>
      <c r="L11" s="2585"/>
      <c r="M11" s="2585"/>
      <c r="N11" s="1449"/>
      <c r="O11" s="1449"/>
      <c r="P11" s="1452"/>
      <c r="Q11" s="1449"/>
      <c r="R11" s="1460"/>
      <c r="S11" s="1460"/>
    </row>
    <row r="12" spans="1:19" ht="17.25" customHeight="1">
      <c r="A12" s="1460"/>
      <c r="B12" s="2585" t="s">
        <v>1945</v>
      </c>
      <c r="C12" s="2585"/>
      <c r="D12" s="2585"/>
      <c r="E12" s="2585"/>
      <c r="F12" s="2585"/>
      <c r="G12" s="2585"/>
      <c r="H12" s="2585"/>
      <c r="I12" s="2585"/>
      <c r="J12" s="2585"/>
      <c r="K12" s="2585"/>
      <c r="L12" s="2585"/>
      <c r="M12" s="2585"/>
      <c r="N12" s="1449"/>
      <c r="O12" s="1449"/>
      <c r="P12" s="1452"/>
      <c r="Q12" s="1449"/>
      <c r="R12" s="1460"/>
      <c r="S12" s="1460"/>
    </row>
    <row r="13" spans="1:19">
      <c r="A13" s="1457"/>
      <c r="B13" s="1449"/>
      <c r="C13" s="1449"/>
      <c r="D13" s="1449"/>
      <c r="E13" s="1449"/>
      <c r="F13" s="1449"/>
      <c r="G13" s="1449"/>
      <c r="H13" s="1449"/>
      <c r="I13" s="1449"/>
      <c r="J13" s="1449"/>
      <c r="K13" s="1449"/>
      <c r="L13" s="1449"/>
      <c r="M13" s="2618"/>
      <c r="N13" s="2618"/>
      <c r="O13" s="2605"/>
      <c r="P13" s="2605"/>
      <c r="Q13" s="1460"/>
      <c r="R13" s="1460"/>
    </row>
    <row r="14" spans="1:19">
      <c r="A14" s="1457"/>
      <c r="B14" s="1451" t="s">
        <v>1607</v>
      </c>
      <c r="C14" s="1449"/>
      <c r="D14" s="1449"/>
      <c r="E14" s="1449"/>
      <c r="F14" s="1449"/>
      <c r="G14" s="1449"/>
      <c r="H14" s="1449"/>
      <c r="I14" s="1449"/>
      <c r="J14" s="1449"/>
      <c r="K14" s="1449"/>
      <c r="L14" s="1449"/>
      <c r="M14" s="1449"/>
      <c r="N14" s="2618"/>
      <c r="O14" s="2618"/>
      <c r="P14" s="2605"/>
      <c r="Q14" s="2605"/>
      <c r="R14" s="1460"/>
      <c r="S14" s="1460"/>
    </row>
    <row r="15" spans="1:19">
      <c r="A15" s="1457"/>
      <c r="B15" s="1449" t="s">
        <v>1946</v>
      </c>
      <c r="C15" s="1449"/>
      <c r="D15" s="1449"/>
      <c r="E15" s="1449"/>
      <c r="F15" s="1449"/>
      <c r="G15" s="1449"/>
      <c r="H15" s="1449"/>
      <c r="I15" s="1449"/>
      <c r="J15" s="1449"/>
      <c r="K15" s="1449"/>
      <c r="L15" s="1449"/>
      <c r="M15" s="1449"/>
      <c r="N15" s="1449"/>
      <c r="O15" s="1449"/>
      <c r="P15" s="1449"/>
      <c r="Q15" s="1449"/>
      <c r="R15" s="1460"/>
      <c r="S15" s="1460"/>
    </row>
    <row r="16" spans="1:19">
      <c r="A16" s="1457"/>
      <c r="B16" s="1455" t="s">
        <v>1947</v>
      </c>
      <c r="C16" s="1449"/>
      <c r="D16" s="1449"/>
      <c r="E16" s="1449"/>
      <c r="F16" s="1449"/>
      <c r="G16" s="1449"/>
      <c r="H16" s="1449"/>
      <c r="I16" s="1449"/>
      <c r="J16" s="1449"/>
      <c r="K16" s="1449"/>
      <c r="L16" s="1449"/>
      <c r="M16" s="1449"/>
      <c r="N16" s="1449"/>
      <c r="O16" s="1449"/>
      <c r="P16" s="1449"/>
      <c r="Q16" s="1449"/>
      <c r="R16" s="1460"/>
      <c r="S16" s="1460"/>
    </row>
    <row r="17" spans="1:19">
      <c r="A17" s="1457"/>
      <c r="B17" s="1449" t="s">
        <v>1948</v>
      </c>
      <c r="C17" s="1449"/>
      <c r="D17" s="1449"/>
      <c r="E17" s="1449"/>
      <c r="F17" s="1449"/>
      <c r="G17" s="1449"/>
      <c r="H17" s="1449"/>
      <c r="I17" s="1449"/>
      <c r="J17" s="1449"/>
      <c r="K17" s="1449"/>
      <c r="L17" s="1449"/>
      <c r="M17" s="1449"/>
      <c r="N17" s="1449"/>
      <c r="O17" s="1449"/>
      <c r="P17" s="1449"/>
      <c r="Q17" s="1449"/>
      <c r="R17" s="1460"/>
      <c r="S17" s="1460"/>
    </row>
    <row r="18" spans="1:19">
      <c r="A18" s="1457"/>
      <c r="B18" s="1449" t="s">
        <v>1949</v>
      </c>
      <c r="C18" s="1449"/>
      <c r="D18" s="1449"/>
      <c r="E18" s="1449"/>
      <c r="F18" s="1449"/>
      <c r="G18" s="1449"/>
      <c r="H18" s="1449"/>
      <c r="I18" s="1449"/>
      <c r="J18" s="1449"/>
      <c r="K18" s="1449"/>
      <c r="L18" s="1449"/>
      <c r="M18" s="1449"/>
      <c r="N18" s="1449"/>
      <c r="O18" s="1449"/>
      <c r="P18" s="1449"/>
      <c r="Q18" s="1449"/>
      <c r="R18" s="1460"/>
      <c r="S18" s="1460"/>
    </row>
    <row r="19" spans="1:19">
      <c r="A19" s="1457"/>
      <c r="B19" s="1449" t="s">
        <v>1950</v>
      </c>
      <c r="C19" s="1449"/>
      <c r="D19" s="1449"/>
      <c r="E19" s="1449"/>
      <c r="F19" s="1449"/>
      <c r="G19" s="1449"/>
      <c r="H19" s="1449"/>
      <c r="I19" s="1449"/>
      <c r="J19" s="1449"/>
      <c r="K19" s="1449"/>
      <c r="L19" s="1449"/>
      <c r="M19" s="1449"/>
      <c r="N19" s="1449"/>
      <c r="O19" s="1449"/>
      <c r="P19" s="1449"/>
      <c r="Q19" s="1449"/>
      <c r="R19" s="1460"/>
      <c r="S19" s="1460"/>
    </row>
    <row r="20" spans="1:19">
      <c r="A20" s="1457"/>
      <c r="B20" s="1449"/>
      <c r="C20" s="1449"/>
      <c r="D20" s="1449"/>
      <c r="E20" s="1449"/>
      <c r="F20" s="1449"/>
      <c r="G20" s="1449"/>
      <c r="H20" s="1449"/>
      <c r="I20" s="1449"/>
      <c r="J20" s="1449"/>
      <c r="K20" s="1449"/>
      <c r="L20" s="1449"/>
      <c r="M20" s="1449"/>
      <c r="N20" s="1449"/>
      <c r="O20" s="1449"/>
      <c r="P20" s="1449"/>
      <c r="Q20" s="1449"/>
      <c r="R20" s="1460"/>
      <c r="S20" s="1460"/>
    </row>
    <row r="21" spans="1:19">
      <c r="A21" s="1457"/>
      <c r="B21" s="1454" t="s">
        <v>1611</v>
      </c>
      <c r="C21" s="1449"/>
      <c r="D21" s="1449"/>
      <c r="E21" s="1449"/>
      <c r="F21" s="1449"/>
      <c r="G21" s="1449"/>
      <c r="H21" s="1449"/>
      <c r="I21" s="1449"/>
      <c r="J21" s="1449"/>
      <c r="K21" s="1449"/>
      <c r="L21" s="1449"/>
      <c r="M21" s="1449"/>
      <c r="N21" s="1449"/>
      <c r="O21" s="1449"/>
      <c r="P21" s="1449"/>
      <c r="Q21" s="1449"/>
      <c r="R21" s="1460"/>
      <c r="S21" s="1460"/>
    </row>
    <row r="22" spans="1:19" ht="26.25" customHeight="1">
      <c r="A22" s="1457"/>
      <c r="B22" s="2585" t="s">
        <v>1951</v>
      </c>
      <c r="C22" s="2585"/>
      <c r="D22" s="2585"/>
      <c r="E22" s="2585"/>
      <c r="F22" s="2585"/>
      <c r="G22" s="2585"/>
      <c r="H22" s="2585"/>
      <c r="I22" s="2585"/>
      <c r="J22" s="2585"/>
      <c r="K22" s="2585"/>
      <c r="L22" s="2585"/>
      <c r="M22" s="2585"/>
      <c r="N22" s="1449"/>
      <c r="O22" s="1449"/>
      <c r="P22" s="1449"/>
      <c r="Q22" s="1449"/>
      <c r="R22" s="1460"/>
      <c r="S22" s="1460"/>
    </row>
    <row r="23" spans="1:19" ht="28.5" customHeight="1">
      <c r="A23" s="1457"/>
      <c r="B23" s="2585" t="s">
        <v>1952</v>
      </c>
      <c r="C23" s="2585"/>
      <c r="D23" s="2585"/>
      <c r="E23" s="2585"/>
      <c r="F23" s="2585"/>
      <c r="G23" s="2585"/>
      <c r="H23" s="2585"/>
      <c r="I23" s="2585"/>
      <c r="J23" s="2585"/>
      <c r="K23" s="2585"/>
      <c r="L23" s="2585"/>
      <c r="M23" s="2585"/>
      <c r="N23" s="1449"/>
      <c r="O23" s="1449"/>
      <c r="P23" s="1449"/>
      <c r="Q23" s="1449"/>
      <c r="R23" s="1460"/>
      <c r="S23" s="1460"/>
    </row>
    <row r="24" spans="1:19" ht="16.5" customHeight="1">
      <c r="A24" s="1457"/>
      <c r="B24" s="2644" t="s">
        <v>1953</v>
      </c>
      <c r="C24" s="2644"/>
      <c r="D24" s="2644"/>
      <c r="E24" s="2644"/>
      <c r="F24" s="2644"/>
      <c r="G24" s="2644"/>
      <c r="H24" s="2644"/>
      <c r="I24" s="2644"/>
      <c r="J24" s="2644"/>
      <c r="K24" s="2644"/>
      <c r="L24" s="2644"/>
      <c r="M24" s="2644"/>
      <c r="N24" s="1449"/>
      <c r="O24" s="1449"/>
      <c r="P24" s="1449"/>
      <c r="Q24" s="1449"/>
      <c r="R24" s="1460"/>
      <c r="S24" s="1460"/>
    </row>
    <row r="25" spans="1:19" ht="106.5" customHeight="1">
      <c r="A25" s="1457"/>
      <c r="B25" s="2609" t="s">
        <v>1954</v>
      </c>
      <c r="C25" s="2662"/>
      <c r="D25" s="2662"/>
      <c r="E25" s="2662"/>
      <c r="F25" s="2662"/>
      <c r="G25" s="2662"/>
      <c r="H25" s="2662"/>
      <c r="I25" s="2662"/>
      <c r="J25" s="2662"/>
      <c r="K25" s="2662"/>
      <c r="L25" s="2662"/>
      <c r="M25" s="2662"/>
      <c r="N25" s="1449"/>
      <c r="O25" s="1449"/>
      <c r="P25" s="1449"/>
      <c r="Q25" s="1449"/>
      <c r="R25" s="1460"/>
      <c r="S25" s="1460"/>
    </row>
    <row r="26" spans="1:19" ht="76.5" customHeight="1">
      <c r="A26" s="1457"/>
      <c r="B26" s="1464" t="s">
        <v>1617</v>
      </c>
      <c r="C26" s="1581"/>
      <c r="D26" s="1463"/>
      <c r="E26" s="1463"/>
      <c r="F26" s="1459"/>
      <c r="G26" s="1459"/>
      <c r="J26" s="1459" t="s">
        <v>1955</v>
      </c>
      <c r="K26" s="1463" t="s">
        <v>1703</v>
      </c>
      <c r="L26" s="1465" t="s">
        <v>1628</v>
      </c>
    </row>
    <row r="27" spans="1:19" ht="332.25" customHeight="1">
      <c r="A27" s="1457"/>
      <c r="B27" s="2586" t="s">
        <v>1956</v>
      </c>
      <c r="C27" s="2586"/>
      <c r="D27" s="2586"/>
      <c r="E27" s="2586"/>
      <c r="F27" s="2586"/>
      <c r="G27" s="2586"/>
      <c r="H27" s="2586"/>
      <c r="I27" s="2575"/>
      <c r="J27" s="1284"/>
      <c r="K27" s="1284"/>
      <c r="L27" s="1284"/>
    </row>
    <row r="28" spans="1:19" ht="52.5" customHeight="1">
      <c r="A28" s="1457"/>
      <c r="B28" s="2586" t="s">
        <v>1957</v>
      </c>
      <c r="C28" s="2586"/>
      <c r="D28" s="2586"/>
      <c r="E28" s="2586"/>
      <c r="F28" s="2586"/>
      <c r="G28" s="2586"/>
      <c r="H28" s="2586"/>
      <c r="I28" s="2575"/>
      <c r="J28" s="1284"/>
      <c r="K28" s="1284"/>
      <c r="L28" s="1284"/>
    </row>
    <row r="29" spans="1:19" ht="153" customHeight="1">
      <c r="A29" s="1457"/>
      <c r="B29" s="2586" t="s">
        <v>1958</v>
      </c>
      <c r="C29" s="2586"/>
      <c r="D29" s="2586"/>
      <c r="E29" s="2586"/>
      <c r="F29" s="2586"/>
      <c r="G29" s="2586"/>
      <c r="H29" s="2586"/>
      <c r="I29" s="2575"/>
      <c r="J29" s="1284"/>
      <c r="K29" s="1284"/>
      <c r="L29" s="1284"/>
    </row>
    <row r="30" spans="1:19">
      <c r="A30" s="1457"/>
      <c r="B30" s="1456"/>
      <c r="C30" s="1449"/>
      <c r="D30" s="1449"/>
      <c r="E30" s="1449"/>
      <c r="F30" s="1449"/>
      <c r="G30" s="1449"/>
      <c r="H30" s="1449"/>
      <c r="I30" s="1449"/>
      <c r="J30" s="1449"/>
      <c r="K30" s="1449"/>
      <c r="L30" s="1449"/>
      <c r="M30" s="1449"/>
      <c r="N30" s="1449"/>
      <c r="O30" s="1449"/>
      <c r="P30" s="1449"/>
      <c r="Q30" s="1449"/>
      <c r="R30" s="1460"/>
      <c r="S30" s="1460"/>
    </row>
    <row r="31" spans="1:19">
      <c r="A31" s="1457"/>
      <c r="B31" s="1456"/>
      <c r="C31" s="1449"/>
      <c r="D31" s="1449"/>
      <c r="E31" s="1449"/>
      <c r="F31" s="1449"/>
      <c r="G31" s="1449"/>
      <c r="H31" s="1449"/>
      <c r="I31" s="1449"/>
      <c r="J31" s="1449"/>
      <c r="K31" s="1449"/>
      <c r="L31" s="1449"/>
      <c r="M31" s="1449"/>
      <c r="N31" s="1449"/>
      <c r="O31" s="1449"/>
      <c r="P31" s="1449"/>
      <c r="Q31" s="1449"/>
      <c r="R31" s="1460"/>
      <c r="S31" s="1460"/>
    </row>
    <row r="32" spans="1:19">
      <c r="A32" s="1623"/>
      <c r="B32" s="1456" t="s">
        <v>1959</v>
      </c>
      <c r="C32" s="1449"/>
      <c r="D32" s="1449"/>
      <c r="E32" s="1449"/>
      <c r="F32" s="1449"/>
      <c r="G32" s="1449"/>
      <c r="H32" s="1449"/>
      <c r="I32" s="1449"/>
      <c r="J32" s="1601"/>
      <c r="K32" s="1449"/>
      <c r="L32" s="1449"/>
      <c r="M32" s="1449"/>
      <c r="N32" s="1449"/>
      <c r="O32" s="1449"/>
      <c r="P32" s="1449"/>
      <c r="Q32" s="1449"/>
      <c r="R32" s="1460"/>
      <c r="S32" s="1460"/>
    </row>
    <row r="33" spans="1:21" ht="73.5">
      <c r="A33" s="1624"/>
      <c r="B33" s="1165" t="s">
        <v>1960</v>
      </c>
      <c r="C33" s="1165" t="s">
        <v>1961</v>
      </c>
      <c r="D33" s="1165" t="s">
        <v>1962</v>
      </c>
      <c r="E33" s="1165" t="s">
        <v>1963</v>
      </c>
      <c r="F33" s="2759" t="s">
        <v>1964</v>
      </c>
      <c r="G33" s="2759"/>
      <c r="H33" s="2760" t="s">
        <v>1965</v>
      </c>
      <c r="I33" s="2760"/>
      <c r="J33" s="1166" t="s">
        <v>1966</v>
      </c>
      <c r="K33" s="1165" t="s">
        <v>1967</v>
      </c>
      <c r="L33" s="1165" t="s">
        <v>1623</v>
      </c>
      <c r="M33" s="1463" t="s">
        <v>1703</v>
      </c>
      <c r="N33" s="1465" t="s">
        <v>1628</v>
      </c>
      <c r="O33" s="1465" t="s">
        <v>1629</v>
      </c>
      <c r="P33" s="2572" t="s">
        <v>1968</v>
      </c>
      <c r="Q33" s="2750"/>
      <c r="R33" s="2750"/>
      <c r="S33" s="2750"/>
      <c r="T33" s="1625"/>
      <c r="U33" s="1460"/>
    </row>
    <row r="34" spans="1:21" ht="27" customHeight="1">
      <c r="A34" s="1457"/>
      <c r="B34" s="1274"/>
      <c r="C34" s="1274"/>
      <c r="D34" s="1275"/>
      <c r="E34" s="1275"/>
      <c r="F34" s="2758"/>
      <c r="G34" s="2757"/>
      <c r="H34" s="2758"/>
      <c r="I34" s="2757"/>
      <c r="J34" s="1135"/>
      <c r="K34" s="1135"/>
      <c r="L34" s="1261" t="e">
        <f t="shared" ref="L34:L43" si="0">SUMIF($G$47:$G$78, B34, $H$47:$H$78)/D34</f>
        <v>#DIV/0!</v>
      </c>
      <c r="M34" s="1274"/>
      <c r="N34" s="1274"/>
      <c r="O34" s="1251"/>
      <c r="P34" s="2747"/>
      <c r="Q34" s="2749"/>
      <c r="R34" s="1626"/>
      <c r="S34" s="1626"/>
      <c r="T34" s="1625"/>
      <c r="U34" s="1460"/>
    </row>
    <row r="35" spans="1:21" ht="26.25" customHeight="1">
      <c r="A35" s="1457"/>
      <c r="B35" s="1274"/>
      <c r="C35" s="1274"/>
      <c r="D35" s="1275"/>
      <c r="E35" s="1275"/>
      <c r="F35" s="2758"/>
      <c r="G35" s="2757"/>
      <c r="H35" s="2758"/>
      <c r="I35" s="2757"/>
      <c r="J35" s="1135"/>
      <c r="K35" s="1135"/>
      <c r="L35" s="1261" t="e">
        <f t="shared" si="0"/>
        <v>#DIV/0!</v>
      </c>
      <c r="M35" s="1274"/>
      <c r="N35" s="1274"/>
      <c r="O35" s="1251"/>
      <c r="P35" s="2747"/>
      <c r="Q35" s="2749"/>
      <c r="R35" s="1626"/>
      <c r="S35" s="1626"/>
      <c r="T35" s="1625"/>
      <c r="U35" s="1460"/>
    </row>
    <row r="36" spans="1:21" ht="26.25" customHeight="1">
      <c r="A36" s="1457"/>
      <c r="B36" s="1274"/>
      <c r="C36" s="1274"/>
      <c r="D36" s="1275"/>
      <c r="E36" s="1275"/>
      <c r="F36" s="2758"/>
      <c r="G36" s="2757"/>
      <c r="H36" s="2758"/>
      <c r="I36" s="2757"/>
      <c r="J36" s="1135"/>
      <c r="K36" s="1135"/>
      <c r="L36" s="1261" t="e">
        <f t="shared" si="0"/>
        <v>#DIV/0!</v>
      </c>
      <c r="M36" s="1274"/>
      <c r="N36" s="1274"/>
      <c r="O36" s="1251"/>
      <c r="P36" s="2747"/>
      <c r="Q36" s="2749"/>
      <c r="R36" s="1626"/>
      <c r="S36" s="1626"/>
      <c r="T36" s="1625"/>
      <c r="U36" s="1460"/>
    </row>
    <row r="37" spans="1:21" ht="26.25" customHeight="1">
      <c r="A37" s="1457"/>
      <c r="B37" s="1274"/>
      <c r="C37" s="1274"/>
      <c r="D37" s="1275"/>
      <c r="E37" s="1275"/>
      <c r="F37" s="2758"/>
      <c r="G37" s="2757"/>
      <c r="H37" s="2758"/>
      <c r="I37" s="2757"/>
      <c r="J37" s="1135"/>
      <c r="K37" s="1135"/>
      <c r="L37" s="1261" t="e">
        <f t="shared" si="0"/>
        <v>#DIV/0!</v>
      </c>
      <c r="M37" s="1274"/>
      <c r="N37" s="1274"/>
      <c r="O37" s="1251"/>
      <c r="P37" s="2747"/>
      <c r="Q37" s="2749"/>
      <c r="R37" s="1626"/>
      <c r="S37" s="1626"/>
      <c r="T37" s="1625"/>
      <c r="U37" s="1460"/>
    </row>
    <row r="38" spans="1:21" ht="26.25" customHeight="1">
      <c r="A38" s="1457"/>
      <c r="B38" s="1274"/>
      <c r="C38" s="1274"/>
      <c r="D38" s="1275"/>
      <c r="E38" s="1275"/>
      <c r="F38" s="2758"/>
      <c r="G38" s="2757"/>
      <c r="H38" s="2758"/>
      <c r="I38" s="2757"/>
      <c r="J38" s="1135"/>
      <c r="K38" s="1135"/>
      <c r="L38" s="1261" t="e">
        <f t="shared" si="0"/>
        <v>#DIV/0!</v>
      </c>
      <c r="M38" s="1274"/>
      <c r="N38" s="1274"/>
      <c r="O38" s="1251"/>
      <c r="P38" s="2747"/>
      <c r="Q38" s="2749"/>
      <c r="R38" s="1626"/>
      <c r="S38" s="1626"/>
      <c r="T38" s="1625"/>
      <c r="U38" s="1460"/>
    </row>
    <row r="39" spans="1:21" ht="26.25" customHeight="1">
      <c r="A39" s="1457"/>
      <c r="B39" s="1274"/>
      <c r="C39" s="1274"/>
      <c r="D39" s="1275"/>
      <c r="E39" s="1275"/>
      <c r="F39" s="2758"/>
      <c r="G39" s="2757"/>
      <c r="H39" s="2758"/>
      <c r="I39" s="2757"/>
      <c r="J39" s="1135"/>
      <c r="K39" s="1135"/>
      <c r="L39" s="1261" t="e">
        <f t="shared" si="0"/>
        <v>#DIV/0!</v>
      </c>
      <c r="M39" s="1274"/>
      <c r="N39" s="1274"/>
      <c r="O39" s="1251"/>
      <c r="P39" s="2747"/>
      <c r="Q39" s="2749"/>
      <c r="R39" s="1626"/>
      <c r="S39" s="1626"/>
      <c r="T39" s="1625"/>
      <c r="U39" s="1460"/>
    </row>
    <row r="40" spans="1:21" ht="26.25" customHeight="1">
      <c r="A40" s="1457"/>
      <c r="B40" s="1275"/>
      <c r="C40" s="1275"/>
      <c r="D40" s="1275"/>
      <c r="E40" s="1275"/>
      <c r="F40" s="2757"/>
      <c r="G40" s="2757"/>
      <c r="H40" s="2757"/>
      <c r="I40" s="2757"/>
      <c r="J40" s="1167"/>
      <c r="K40" s="1167"/>
      <c r="L40" s="1261" t="e">
        <f t="shared" si="0"/>
        <v>#DIV/0!</v>
      </c>
      <c r="M40" s="1275"/>
      <c r="N40" s="1274"/>
      <c r="O40" s="1251"/>
      <c r="P40" s="2747"/>
      <c r="Q40" s="2749"/>
      <c r="R40" s="1626"/>
      <c r="S40" s="1626"/>
      <c r="T40" s="1625"/>
      <c r="U40" s="1460"/>
    </row>
    <row r="41" spans="1:21" ht="26.25" customHeight="1">
      <c r="A41" s="1457"/>
      <c r="B41" s="1275"/>
      <c r="C41" s="1275"/>
      <c r="D41" s="1275"/>
      <c r="E41" s="1275"/>
      <c r="F41" s="2757"/>
      <c r="G41" s="2757"/>
      <c r="H41" s="2757"/>
      <c r="I41" s="2757"/>
      <c r="J41" s="1167"/>
      <c r="K41" s="1167"/>
      <c r="L41" s="1261" t="e">
        <f t="shared" si="0"/>
        <v>#DIV/0!</v>
      </c>
      <c r="M41" s="1275"/>
      <c r="N41" s="1274"/>
      <c r="O41" s="1251"/>
      <c r="P41" s="2747"/>
      <c r="Q41" s="2749"/>
      <c r="R41" s="1626"/>
      <c r="S41" s="1626"/>
      <c r="T41" s="1625"/>
      <c r="U41" s="1460"/>
    </row>
    <row r="42" spans="1:21" ht="26.25" customHeight="1">
      <c r="A42" s="1457"/>
      <c r="B42" s="1275"/>
      <c r="C42" s="1275"/>
      <c r="D42" s="1275"/>
      <c r="E42" s="1275"/>
      <c r="F42" s="2757"/>
      <c r="G42" s="2757"/>
      <c r="H42" s="2757"/>
      <c r="I42" s="2757"/>
      <c r="J42" s="1167"/>
      <c r="K42" s="1167"/>
      <c r="L42" s="1261" t="e">
        <f t="shared" si="0"/>
        <v>#DIV/0!</v>
      </c>
      <c r="M42" s="1275"/>
      <c r="N42" s="1274"/>
      <c r="O42" s="1251"/>
      <c r="P42" s="2747"/>
      <c r="Q42" s="2749"/>
      <c r="R42" s="1626"/>
      <c r="S42" s="1626"/>
      <c r="T42" s="1625"/>
      <c r="U42" s="1460"/>
    </row>
    <row r="43" spans="1:21" ht="26.25" customHeight="1">
      <c r="A43" s="1457"/>
      <c r="B43" s="1275"/>
      <c r="C43" s="1275"/>
      <c r="D43" s="1275"/>
      <c r="E43" s="1275"/>
      <c r="F43" s="2757"/>
      <c r="G43" s="2757"/>
      <c r="H43" s="2757"/>
      <c r="I43" s="2757"/>
      <c r="J43" s="1167"/>
      <c r="K43" s="1167"/>
      <c r="L43" s="1261" t="e">
        <f t="shared" si="0"/>
        <v>#DIV/0!</v>
      </c>
      <c r="M43" s="1275"/>
      <c r="N43" s="1274"/>
      <c r="O43" s="1251"/>
      <c r="P43" s="2747"/>
      <c r="Q43" s="2749"/>
      <c r="R43" s="1626"/>
      <c r="S43" s="1626"/>
      <c r="T43" s="1625"/>
      <c r="U43" s="1460"/>
    </row>
    <row r="44" spans="1:21">
      <c r="A44" s="1457"/>
      <c r="B44" s="1627"/>
      <c r="C44" s="1627"/>
      <c r="D44" s="1628"/>
      <c r="E44" s="1628"/>
      <c r="F44" s="1627"/>
      <c r="G44" s="1627"/>
      <c r="H44" s="1627"/>
      <c r="I44" s="1627"/>
      <c r="J44" s="1627"/>
      <c r="K44" s="1627"/>
      <c r="L44" s="1627"/>
      <c r="M44" s="1627"/>
      <c r="N44" s="1627"/>
      <c r="O44" s="1627"/>
      <c r="P44" s="1627"/>
      <c r="Q44" s="1627"/>
      <c r="R44" s="1625"/>
      <c r="S44" s="1460"/>
    </row>
    <row r="45" spans="1:21" ht="38.25" customHeight="1">
      <c r="A45" s="1457"/>
      <c r="B45" s="1456" t="s">
        <v>1969</v>
      </c>
      <c r="C45" s="1581"/>
      <c r="D45" s="1463"/>
      <c r="E45" s="1463"/>
      <c r="F45" s="1459"/>
      <c r="G45" s="1459"/>
      <c r="H45" s="1459"/>
      <c r="I45" s="1459"/>
      <c r="J45" s="1459"/>
      <c r="K45" s="1463"/>
      <c r="L45" s="1465"/>
      <c r="M45" s="1465"/>
      <c r="N45" s="2572"/>
      <c r="O45" s="2750"/>
      <c r="P45" s="2750"/>
      <c r="Q45" s="2750"/>
      <c r="R45" s="1460"/>
      <c r="S45" s="1460"/>
    </row>
    <row r="46" spans="1:21" s="1466" customFormat="1" ht="75" customHeight="1">
      <c r="A46" s="1624"/>
      <c r="B46" s="1459" t="s">
        <v>1970</v>
      </c>
      <c r="C46" s="1459" t="s">
        <v>1971</v>
      </c>
      <c r="D46" s="1459" t="s">
        <v>1972</v>
      </c>
      <c r="E46" s="1459" t="s">
        <v>1973</v>
      </c>
      <c r="F46" s="1629" t="s">
        <v>1974</v>
      </c>
      <c r="G46" s="1629" t="s">
        <v>1975</v>
      </c>
      <c r="H46" s="1629" t="s">
        <v>1976</v>
      </c>
      <c r="I46" s="1629" t="s">
        <v>1977</v>
      </c>
      <c r="J46" s="1459" t="s">
        <v>1978</v>
      </c>
      <c r="K46" s="1463" t="s">
        <v>1703</v>
      </c>
      <c r="L46" s="1465" t="s">
        <v>1628</v>
      </c>
      <c r="M46" s="1465" t="s">
        <v>1629</v>
      </c>
      <c r="N46" s="2572" t="s">
        <v>1630</v>
      </c>
      <c r="O46" s="2705"/>
      <c r="P46" s="2705"/>
      <c r="Q46" s="2705"/>
      <c r="R46" s="1546"/>
      <c r="S46" s="1546"/>
    </row>
    <row r="47" spans="1:21" s="1466" customFormat="1" ht="26.25" customHeight="1">
      <c r="A47" s="1527"/>
      <c r="B47" s="1275"/>
      <c r="C47" s="1274"/>
      <c r="D47" s="1274"/>
      <c r="E47" s="1274"/>
      <c r="F47" s="1274"/>
      <c r="G47" s="1274"/>
      <c r="H47" s="1168" t="e">
        <f>VLOOKUP(G47,$B$34:$K$43,3,FALSE)</f>
        <v>#N/A</v>
      </c>
      <c r="I47" s="1274"/>
      <c r="J47" s="1168" t="e">
        <f>H47*I47</f>
        <v>#N/A</v>
      </c>
      <c r="K47" s="1274"/>
      <c r="L47" s="1274"/>
      <c r="M47" s="1251"/>
      <c r="N47" s="2755"/>
      <c r="O47" s="2756"/>
      <c r="P47" s="2756"/>
      <c r="Q47" s="2756"/>
      <c r="R47" s="1546"/>
      <c r="S47" s="1546"/>
    </row>
    <row r="48" spans="1:21" s="1466" customFormat="1" ht="12.75" customHeight="1">
      <c r="A48" s="1527"/>
      <c r="B48" s="1275"/>
      <c r="C48" s="1274"/>
      <c r="D48" s="1274"/>
      <c r="E48" s="1274"/>
      <c r="F48" s="1274"/>
      <c r="G48" s="1274"/>
      <c r="H48" s="1168" t="e">
        <f t="shared" ref="H48:H61" si="1">VLOOKUP(G48,$B$34:$K$43,3,FALSE)</f>
        <v>#N/A</v>
      </c>
      <c r="I48" s="1274"/>
      <c r="J48" s="1168" t="e">
        <f t="shared" ref="J48:J61" si="2">H48*I48</f>
        <v>#N/A</v>
      </c>
      <c r="K48" s="1274"/>
      <c r="L48" s="1274"/>
      <c r="M48" s="1251"/>
      <c r="N48" s="2755"/>
      <c r="O48" s="2756"/>
      <c r="P48" s="2756"/>
      <c r="Q48" s="2756"/>
      <c r="R48" s="1546"/>
      <c r="S48" s="1546"/>
    </row>
    <row r="49" spans="1:19" s="1466" customFormat="1" ht="12.75" customHeight="1">
      <c r="A49" s="1527"/>
      <c r="B49" s="1275"/>
      <c r="C49" s="1274"/>
      <c r="D49" s="1274"/>
      <c r="E49" s="1274"/>
      <c r="F49" s="1274"/>
      <c r="G49" s="1274"/>
      <c r="H49" s="1168" t="e">
        <f t="shared" si="1"/>
        <v>#N/A</v>
      </c>
      <c r="I49" s="1274"/>
      <c r="J49" s="1168" t="e">
        <f t="shared" si="2"/>
        <v>#N/A</v>
      </c>
      <c r="K49" s="1274"/>
      <c r="L49" s="1274"/>
      <c r="M49" s="1251"/>
      <c r="N49" s="2755"/>
      <c r="O49" s="2756"/>
      <c r="P49" s="2756"/>
      <c r="Q49" s="2756"/>
      <c r="R49" s="1546"/>
      <c r="S49" s="1546"/>
    </row>
    <row r="50" spans="1:19" s="1466" customFormat="1" ht="12.75" customHeight="1">
      <c r="A50" s="1527"/>
      <c r="B50" s="1275"/>
      <c r="C50" s="1274"/>
      <c r="D50" s="1274"/>
      <c r="E50" s="1274"/>
      <c r="F50" s="1274"/>
      <c r="G50" s="1274"/>
      <c r="H50" s="1168" t="e">
        <f t="shared" si="1"/>
        <v>#N/A</v>
      </c>
      <c r="I50" s="1274"/>
      <c r="J50" s="1168" t="e">
        <f t="shared" si="2"/>
        <v>#N/A</v>
      </c>
      <c r="K50" s="1274"/>
      <c r="L50" s="1274"/>
      <c r="M50" s="1251"/>
      <c r="N50" s="2755"/>
      <c r="O50" s="2756"/>
      <c r="P50" s="2756"/>
      <c r="Q50" s="2756"/>
      <c r="R50" s="1546"/>
      <c r="S50" s="1546"/>
    </row>
    <row r="51" spans="1:19" s="1466" customFormat="1" ht="12.75" customHeight="1">
      <c r="A51" s="1527"/>
      <c r="B51" s="1275"/>
      <c r="C51" s="1274"/>
      <c r="D51" s="1274"/>
      <c r="E51" s="1274"/>
      <c r="F51" s="1274"/>
      <c r="G51" s="1274"/>
      <c r="H51" s="1168" t="e">
        <f t="shared" si="1"/>
        <v>#N/A</v>
      </c>
      <c r="I51" s="1274"/>
      <c r="J51" s="1168" t="e">
        <f t="shared" si="2"/>
        <v>#N/A</v>
      </c>
      <c r="K51" s="1274"/>
      <c r="L51" s="1274"/>
      <c r="M51" s="1251"/>
      <c r="N51" s="2755"/>
      <c r="O51" s="2756"/>
      <c r="P51" s="2756"/>
      <c r="Q51" s="2756"/>
      <c r="R51" s="1546"/>
      <c r="S51" s="1546"/>
    </row>
    <row r="52" spans="1:19" s="1466" customFormat="1">
      <c r="A52" s="1527"/>
      <c r="B52" s="1275"/>
      <c r="C52" s="1274"/>
      <c r="D52" s="1274"/>
      <c r="E52" s="1274"/>
      <c r="F52" s="1274"/>
      <c r="G52" s="1274"/>
      <c r="H52" s="1168" t="e">
        <f t="shared" si="1"/>
        <v>#N/A</v>
      </c>
      <c r="I52" s="1274"/>
      <c r="J52" s="1168" t="e">
        <f t="shared" si="2"/>
        <v>#N/A</v>
      </c>
      <c r="K52" s="1274"/>
      <c r="L52" s="1274"/>
      <c r="M52" s="1251"/>
      <c r="N52" s="2755"/>
      <c r="O52" s="2756"/>
      <c r="P52" s="2756"/>
      <c r="Q52" s="2756"/>
      <c r="R52" s="1546"/>
      <c r="S52" s="1546"/>
    </row>
    <row r="53" spans="1:19" s="1466" customFormat="1" ht="12.75" customHeight="1">
      <c r="A53" s="1527"/>
      <c r="B53" s="1275"/>
      <c r="C53" s="1274"/>
      <c r="D53" s="1274"/>
      <c r="E53" s="1274"/>
      <c r="F53" s="1274"/>
      <c r="G53" s="1274"/>
      <c r="H53" s="1168" t="e">
        <f t="shared" si="1"/>
        <v>#N/A</v>
      </c>
      <c r="I53" s="1274"/>
      <c r="J53" s="1168" t="e">
        <f t="shared" si="2"/>
        <v>#N/A</v>
      </c>
      <c r="K53" s="1274"/>
      <c r="L53" s="1274"/>
      <c r="M53" s="1251"/>
      <c r="N53" s="2755"/>
      <c r="O53" s="2756"/>
      <c r="P53" s="2756"/>
      <c r="Q53" s="2756"/>
      <c r="R53" s="1546"/>
      <c r="S53" s="1546"/>
    </row>
    <row r="54" spans="1:19" s="1466" customFormat="1" ht="12.75" customHeight="1">
      <c r="A54" s="1527"/>
      <c r="B54" s="1275"/>
      <c r="C54" s="1274"/>
      <c r="D54" s="1274"/>
      <c r="E54" s="1274"/>
      <c r="F54" s="1274"/>
      <c r="G54" s="1274"/>
      <c r="H54" s="1168" t="e">
        <f t="shared" si="1"/>
        <v>#N/A</v>
      </c>
      <c r="I54" s="1274"/>
      <c r="J54" s="1168" t="e">
        <f t="shared" si="2"/>
        <v>#N/A</v>
      </c>
      <c r="K54" s="1274"/>
      <c r="L54" s="1274"/>
      <c r="M54" s="1251"/>
      <c r="N54" s="2755"/>
      <c r="O54" s="2756"/>
      <c r="P54" s="2756"/>
      <c r="Q54" s="2756"/>
      <c r="R54" s="1546"/>
      <c r="S54" s="1546"/>
    </row>
    <row r="55" spans="1:19" s="1466" customFormat="1" ht="12.75" customHeight="1">
      <c r="A55" s="1527"/>
      <c r="B55" s="1275"/>
      <c r="C55" s="1274"/>
      <c r="D55" s="1274"/>
      <c r="E55" s="1274"/>
      <c r="F55" s="1274"/>
      <c r="G55" s="1274"/>
      <c r="H55" s="1168" t="e">
        <f t="shared" si="1"/>
        <v>#N/A</v>
      </c>
      <c r="I55" s="1274"/>
      <c r="J55" s="1168" t="e">
        <f t="shared" si="2"/>
        <v>#N/A</v>
      </c>
      <c r="K55" s="1274"/>
      <c r="L55" s="1274"/>
      <c r="M55" s="1251"/>
      <c r="N55" s="2755"/>
      <c r="O55" s="2756"/>
      <c r="P55" s="2756"/>
      <c r="Q55" s="2756"/>
      <c r="R55" s="1546"/>
      <c r="S55" s="1546"/>
    </row>
    <row r="56" spans="1:19" s="1466" customFormat="1">
      <c r="A56" s="1527"/>
      <c r="B56" s="1275"/>
      <c r="C56" s="1274"/>
      <c r="D56" s="1274"/>
      <c r="E56" s="1274"/>
      <c r="F56" s="1274"/>
      <c r="G56" s="1274"/>
      <c r="H56" s="1168" t="e">
        <f t="shared" si="1"/>
        <v>#N/A</v>
      </c>
      <c r="I56" s="1274"/>
      <c r="J56" s="1168" t="e">
        <f t="shared" si="2"/>
        <v>#N/A</v>
      </c>
      <c r="K56" s="1274"/>
      <c r="L56" s="1274"/>
      <c r="M56" s="1251"/>
      <c r="N56" s="2755"/>
      <c r="O56" s="2756"/>
      <c r="P56" s="2756"/>
      <c r="Q56" s="2756"/>
      <c r="R56" s="1546"/>
      <c r="S56" s="1546"/>
    </row>
    <row r="57" spans="1:19" s="1466" customFormat="1" ht="12.75" customHeight="1">
      <c r="A57" s="1527"/>
      <c r="B57" s="1275"/>
      <c r="C57" s="1274"/>
      <c r="D57" s="1274"/>
      <c r="E57" s="1274"/>
      <c r="F57" s="1274"/>
      <c r="G57" s="1274"/>
      <c r="H57" s="1168" t="e">
        <f t="shared" si="1"/>
        <v>#N/A</v>
      </c>
      <c r="I57" s="1274"/>
      <c r="J57" s="1168" t="e">
        <f t="shared" si="2"/>
        <v>#N/A</v>
      </c>
      <c r="K57" s="1274"/>
      <c r="L57" s="1274"/>
      <c r="M57" s="1251"/>
      <c r="N57" s="2755"/>
      <c r="O57" s="2756"/>
      <c r="P57" s="2756"/>
      <c r="Q57" s="2756"/>
      <c r="R57" s="1546"/>
      <c r="S57" s="1546"/>
    </row>
    <row r="58" spans="1:19" s="1466" customFormat="1" ht="12.75" customHeight="1">
      <c r="A58" s="1527"/>
      <c r="B58" s="1275"/>
      <c r="C58" s="1274"/>
      <c r="D58" s="1274"/>
      <c r="E58" s="1274"/>
      <c r="F58" s="1274"/>
      <c r="G58" s="1274"/>
      <c r="H58" s="1168" t="e">
        <f t="shared" si="1"/>
        <v>#N/A</v>
      </c>
      <c r="I58" s="1274"/>
      <c r="J58" s="1168" t="e">
        <f t="shared" si="2"/>
        <v>#N/A</v>
      </c>
      <c r="K58" s="1274"/>
      <c r="L58" s="1274"/>
      <c r="M58" s="1251"/>
      <c r="N58" s="2755"/>
      <c r="O58" s="2756"/>
      <c r="P58" s="2756"/>
      <c r="Q58" s="2756"/>
      <c r="R58" s="1546"/>
      <c r="S58" s="1546"/>
    </row>
    <row r="59" spans="1:19" s="1466" customFormat="1">
      <c r="A59" s="1527"/>
      <c r="B59" s="1275"/>
      <c r="C59" s="1274"/>
      <c r="D59" s="1274"/>
      <c r="E59" s="1274"/>
      <c r="F59" s="1274"/>
      <c r="G59" s="1274"/>
      <c r="H59" s="1168" t="e">
        <f t="shared" si="1"/>
        <v>#N/A</v>
      </c>
      <c r="I59" s="1274"/>
      <c r="J59" s="1168" t="e">
        <f t="shared" si="2"/>
        <v>#N/A</v>
      </c>
      <c r="K59" s="1274"/>
      <c r="L59" s="1274"/>
      <c r="M59" s="1251"/>
      <c r="N59" s="2755"/>
      <c r="O59" s="2756"/>
      <c r="P59" s="2756"/>
      <c r="Q59" s="2756"/>
      <c r="R59" s="1546"/>
      <c r="S59" s="1546"/>
    </row>
    <row r="60" spans="1:19" s="1466" customFormat="1" ht="12.75" customHeight="1">
      <c r="A60" s="1527"/>
      <c r="B60" s="1275"/>
      <c r="C60" s="1274"/>
      <c r="D60" s="1274"/>
      <c r="E60" s="1274"/>
      <c r="F60" s="1274"/>
      <c r="G60" s="1274"/>
      <c r="H60" s="1168" t="e">
        <f t="shared" si="1"/>
        <v>#N/A</v>
      </c>
      <c r="I60" s="1274"/>
      <c r="J60" s="1168" t="e">
        <f t="shared" si="2"/>
        <v>#N/A</v>
      </c>
      <c r="K60" s="1274"/>
      <c r="L60" s="1274"/>
      <c r="M60" s="1251"/>
      <c r="N60" s="2755"/>
      <c r="O60" s="2756"/>
      <c r="P60" s="2756"/>
      <c r="Q60" s="2756"/>
      <c r="R60" s="1546"/>
      <c r="S60" s="1546"/>
    </row>
    <row r="61" spans="1:19" s="1466" customFormat="1" ht="12.75" customHeight="1">
      <c r="A61" s="1527"/>
      <c r="B61" s="1275"/>
      <c r="C61" s="1274"/>
      <c r="D61" s="1274"/>
      <c r="E61" s="1274"/>
      <c r="F61" s="1274"/>
      <c r="G61" s="1274"/>
      <c r="H61" s="1168" t="e">
        <f t="shared" si="1"/>
        <v>#N/A</v>
      </c>
      <c r="I61" s="1274"/>
      <c r="J61" s="1168" t="e">
        <f t="shared" si="2"/>
        <v>#N/A</v>
      </c>
      <c r="K61" s="1274"/>
      <c r="L61" s="1274"/>
      <c r="M61" s="1251"/>
      <c r="N61" s="2755"/>
      <c r="O61" s="2756"/>
      <c r="P61" s="2756"/>
      <c r="Q61" s="2756"/>
      <c r="R61" s="1546"/>
      <c r="S61" s="1546"/>
    </row>
    <row r="62" spans="1:19" ht="38.25" customHeight="1">
      <c r="A62" s="1457"/>
      <c r="B62" s="1456" t="s">
        <v>1979</v>
      </c>
      <c r="C62" s="1581"/>
      <c r="D62" s="1630"/>
      <c r="E62" s="1630"/>
      <c r="F62" s="1459"/>
      <c r="G62" s="1459"/>
      <c r="H62" s="1459"/>
      <c r="I62" s="1459"/>
      <c r="J62" s="1459"/>
      <c r="K62" s="1463"/>
      <c r="L62" s="1465"/>
      <c r="M62" s="1465"/>
      <c r="N62" s="2572"/>
      <c r="O62" s="2750"/>
      <c r="P62" s="2750"/>
      <c r="Q62" s="2750"/>
      <c r="R62" s="1460"/>
      <c r="S62" s="1460"/>
    </row>
    <row r="63" spans="1:19" s="1466" customFormat="1" ht="75" customHeight="1">
      <c r="A63" s="1624"/>
      <c r="B63" s="1459" t="s">
        <v>1970</v>
      </c>
      <c r="C63" s="2639" t="s">
        <v>1972</v>
      </c>
      <c r="D63" s="2639"/>
      <c r="E63" s="1459" t="s">
        <v>1971</v>
      </c>
      <c r="F63" s="1629" t="s">
        <v>1974</v>
      </c>
      <c r="G63" s="1629" t="s">
        <v>1975</v>
      </c>
      <c r="H63" s="1629" t="s">
        <v>1976</v>
      </c>
      <c r="I63" s="1629" t="s">
        <v>1980</v>
      </c>
      <c r="J63" s="1459" t="s">
        <v>1978</v>
      </c>
      <c r="K63" s="1463" t="s">
        <v>1703</v>
      </c>
      <c r="L63" s="1465" t="s">
        <v>1628</v>
      </c>
      <c r="M63" s="1465" t="s">
        <v>1629</v>
      </c>
      <c r="N63" s="2572" t="s">
        <v>1630</v>
      </c>
      <c r="O63" s="2705"/>
      <c r="P63" s="2705"/>
      <c r="Q63" s="2705"/>
      <c r="R63" s="1546"/>
      <c r="S63" s="1546"/>
    </row>
    <row r="64" spans="1:19" s="1466" customFormat="1">
      <c r="A64" s="1527"/>
      <c r="B64" s="1169"/>
      <c r="C64" s="2745"/>
      <c r="D64" s="2746"/>
      <c r="E64" s="1274"/>
      <c r="F64" s="1275"/>
      <c r="G64" s="1274"/>
      <c r="H64" s="1168" t="e">
        <f>VLOOKUP(G64,$B$34:$K$43,3,FALSE)</f>
        <v>#N/A</v>
      </c>
      <c r="I64" s="1275"/>
      <c r="J64" s="1168" t="e">
        <f>I64*H64</f>
        <v>#N/A</v>
      </c>
      <c r="K64" s="1274"/>
      <c r="L64" s="1274"/>
      <c r="M64" s="1251"/>
      <c r="N64" s="2755"/>
      <c r="O64" s="2756"/>
      <c r="P64" s="2756"/>
      <c r="Q64" s="2756"/>
      <c r="R64" s="1546"/>
      <c r="S64" s="1546"/>
    </row>
    <row r="65" spans="1:19" s="1466" customFormat="1" ht="12.75" customHeight="1">
      <c r="A65" s="1527"/>
      <c r="B65" s="1275"/>
      <c r="C65" s="2745"/>
      <c r="D65" s="2746"/>
      <c r="E65" s="1274"/>
      <c r="F65" s="1275"/>
      <c r="G65" s="1274"/>
      <c r="H65" s="1168" t="e">
        <f t="shared" ref="H65:H78" si="3">VLOOKUP(G65,$B$34:$K$43,3,FALSE)</f>
        <v>#N/A</v>
      </c>
      <c r="I65" s="1275"/>
      <c r="J65" s="1168" t="e">
        <f t="shared" ref="J65:J78" si="4">I65*H65</f>
        <v>#N/A</v>
      </c>
      <c r="K65" s="1274"/>
      <c r="L65" s="1274"/>
      <c r="M65" s="1251"/>
      <c r="N65" s="2755"/>
      <c r="O65" s="2756"/>
      <c r="P65" s="2756"/>
      <c r="Q65" s="2756"/>
      <c r="R65" s="1546"/>
      <c r="S65" s="1546"/>
    </row>
    <row r="66" spans="1:19" s="1466" customFormat="1" ht="12.75" customHeight="1">
      <c r="A66" s="1527"/>
      <c r="B66" s="1275"/>
      <c r="C66" s="2745"/>
      <c r="D66" s="2746"/>
      <c r="E66" s="1274"/>
      <c r="F66" s="1275"/>
      <c r="G66" s="1274"/>
      <c r="H66" s="1168" t="e">
        <f t="shared" si="3"/>
        <v>#N/A</v>
      </c>
      <c r="I66" s="1275"/>
      <c r="J66" s="1168" t="e">
        <f t="shared" si="4"/>
        <v>#N/A</v>
      </c>
      <c r="K66" s="1274"/>
      <c r="L66" s="1274"/>
      <c r="M66" s="1251"/>
      <c r="N66" s="2747"/>
      <c r="O66" s="2748"/>
      <c r="P66" s="2748"/>
      <c r="Q66" s="2749"/>
      <c r="R66" s="1546"/>
      <c r="S66" s="1546"/>
    </row>
    <row r="67" spans="1:19" s="1466" customFormat="1" ht="12.75" customHeight="1">
      <c r="A67" s="1527"/>
      <c r="B67" s="1275"/>
      <c r="C67" s="2745"/>
      <c r="D67" s="2746"/>
      <c r="E67" s="1274"/>
      <c r="F67" s="1275"/>
      <c r="G67" s="1274"/>
      <c r="H67" s="1168" t="e">
        <f t="shared" si="3"/>
        <v>#N/A</v>
      </c>
      <c r="I67" s="1275"/>
      <c r="J67" s="1168" t="e">
        <f t="shared" si="4"/>
        <v>#N/A</v>
      </c>
      <c r="K67" s="1274"/>
      <c r="L67" s="1274"/>
      <c r="M67" s="1251"/>
      <c r="N67" s="2747"/>
      <c r="O67" s="2748"/>
      <c r="P67" s="2748"/>
      <c r="Q67" s="2749"/>
      <c r="R67" s="1546"/>
      <c r="S67" s="1546"/>
    </row>
    <row r="68" spans="1:19" s="1466" customFormat="1" ht="12.75" customHeight="1">
      <c r="A68" s="1527"/>
      <c r="B68" s="1275"/>
      <c r="C68" s="2745"/>
      <c r="D68" s="2746"/>
      <c r="E68" s="1274"/>
      <c r="F68" s="1275"/>
      <c r="G68" s="1274"/>
      <c r="H68" s="1168" t="e">
        <f t="shared" si="3"/>
        <v>#N/A</v>
      </c>
      <c r="I68" s="1275"/>
      <c r="J68" s="1168" t="e">
        <f t="shared" si="4"/>
        <v>#N/A</v>
      </c>
      <c r="K68" s="1274"/>
      <c r="L68" s="1274"/>
      <c r="M68" s="1251"/>
      <c r="N68" s="2747"/>
      <c r="O68" s="2748"/>
      <c r="P68" s="2748"/>
      <c r="Q68" s="2749"/>
      <c r="R68" s="1546"/>
      <c r="S68" s="1546"/>
    </row>
    <row r="69" spans="1:19" s="1466" customFormat="1" ht="12.75" customHeight="1">
      <c r="A69" s="1527"/>
      <c r="B69" s="1275"/>
      <c r="C69" s="2745"/>
      <c r="D69" s="2746"/>
      <c r="E69" s="1274"/>
      <c r="F69" s="1275"/>
      <c r="G69" s="1274"/>
      <c r="H69" s="1168" t="e">
        <f t="shared" si="3"/>
        <v>#N/A</v>
      </c>
      <c r="I69" s="1275"/>
      <c r="J69" s="1168" t="e">
        <f t="shared" si="4"/>
        <v>#N/A</v>
      </c>
      <c r="K69" s="1274"/>
      <c r="L69" s="1274"/>
      <c r="M69" s="1251"/>
      <c r="N69" s="2747"/>
      <c r="O69" s="2748"/>
      <c r="P69" s="2748"/>
      <c r="Q69" s="2749"/>
      <c r="R69" s="1546"/>
      <c r="S69" s="1546"/>
    </row>
    <row r="70" spans="1:19" s="1466" customFormat="1" ht="12.75" customHeight="1">
      <c r="A70" s="1527"/>
      <c r="B70" s="1275"/>
      <c r="C70" s="2745"/>
      <c r="D70" s="2746"/>
      <c r="E70" s="1274"/>
      <c r="F70" s="1275"/>
      <c r="G70" s="1274"/>
      <c r="H70" s="1168" t="e">
        <f t="shared" si="3"/>
        <v>#N/A</v>
      </c>
      <c r="I70" s="1275"/>
      <c r="J70" s="1168" t="e">
        <f t="shared" si="4"/>
        <v>#N/A</v>
      </c>
      <c r="K70" s="1274"/>
      <c r="L70" s="1274"/>
      <c r="M70" s="1251"/>
      <c r="N70" s="2747"/>
      <c r="O70" s="2748"/>
      <c r="P70" s="2748"/>
      <c r="Q70" s="2749"/>
      <c r="R70" s="1546"/>
      <c r="S70" s="1546"/>
    </row>
    <row r="71" spans="1:19" s="1466" customFormat="1">
      <c r="A71" s="1527"/>
      <c r="B71" s="1275"/>
      <c r="C71" s="2745"/>
      <c r="D71" s="2746"/>
      <c r="E71" s="1275"/>
      <c r="F71" s="1275"/>
      <c r="G71" s="1275"/>
      <c r="H71" s="1168" t="e">
        <f t="shared" si="3"/>
        <v>#N/A</v>
      </c>
      <c r="I71" s="1275"/>
      <c r="J71" s="1168" t="e">
        <f t="shared" si="4"/>
        <v>#N/A</v>
      </c>
      <c r="K71" s="1275"/>
      <c r="L71" s="1274"/>
      <c r="M71" s="1251"/>
      <c r="N71" s="2755"/>
      <c r="O71" s="2756"/>
      <c r="P71" s="2756"/>
      <c r="Q71" s="2756"/>
      <c r="R71" s="1546"/>
      <c r="S71" s="1546"/>
    </row>
    <row r="72" spans="1:19" s="1466" customFormat="1">
      <c r="A72" s="1527"/>
      <c r="B72" s="1169"/>
      <c r="C72" s="2745"/>
      <c r="D72" s="2746"/>
      <c r="E72" s="1275"/>
      <c r="F72" s="1275"/>
      <c r="G72" s="1275"/>
      <c r="H72" s="1168" t="e">
        <f t="shared" si="3"/>
        <v>#N/A</v>
      </c>
      <c r="I72" s="1275"/>
      <c r="J72" s="1168" t="e">
        <f t="shared" si="4"/>
        <v>#N/A</v>
      </c>
      <c r="K72" s="1275"/>
      <c r="L72" s="1274"/>
      <c r="M72" s="1251"/>
      <c r="N72" s="2755"/>
      <c r="O72" s="2756"/>
      <c r="P72" s="2756"/>
      <c r="Q72" s="2756"/>
      <c r="R72" s="1546"/>
      <c r="S72" s="1546"/>
    </row>
    <row r="73" spans="1:19" s="1466" customFormat="1" ht="12.75" customHeight="1">
      <c r="A73" s="1527"/>
      <c r="B73" s="1275"/>
      <c r="C73" s="2745"/>
      <c r="D73" s="2746"/>
      <c r="E73" s="1274"/>
      <c r="F73" s="1275"/>
      <c r="G73" s="1274"/>
      <c r="H73" s="1168" t="e">
        <f t="shared" si="3"/>
        <v>#N/A</v>
      </c>
      <c r="I73" s="1275"/>
      <c r="J73" s="1168" t="e">
        <f t="shared" si="4"/>
        <v>#N/A</v>
      </c>
      <c r="K73" s="1274"/>
      <c r="L73" s="1274"/>
      <c r="M73" s="1251"/>
      <c r="N73" s="2755"/>
      <c r="O73" s="2756"/>
      <c r="P73" s="2756"/>
      <c r="Q73" s="2756"/>
      <c r="R73" s="1546"/>
      <c r="S73" s="1546"/>
    </row>
    <row r="74" spans="1:19" s="1466" customFormat="1" ht="12.75" customHeight="1">
      <c r="A74" s="1527"/>
      <c r="B74" s="1275"/>
      <c r="C74" s="2745"/>
      <c r="D74" s="2746"/>
      <c r="E74" s="1274"/>
      <c r="F74" s="1275"/>
      <c r="G74" s="1274"/>
      <c r="H74" s="1168" t="e">
        <f t="shared" si="3"/>
        <v>#N/A</v>
      </c>
      <c r="I74" s="1275"/>
      <c r="J74" s="1168" t="e">
        <f t="shared" si="4"/>
        <v>#N/A</v>
      </c>
      <c r="K74" s="1274"/>
      <c r="L74" s="1274"/>
      <c r="M74" s="1251"/>
      <c r="N74" s="2747"/>
      <c r="O74" s="2748"/>
      <c r="P74" s="2748"/>
      <c r="Q74" s="2749"/>
      <c r="R74" s="1546"/>
      <c r="S74" s="1546"/>
    </row>
    <row r="75" spans="1:19" s="1466" customFormat="1" ht="12.75" customHeight="1">
      <c r="A75" s="1527"/>
      <c r="B75" s="1275"/>
      <c r="C75" s="2745"/>
      <c r="D75" s="2746"/>
      <c r="E75" s="1274"/>
      <c r="F75" s="1275"/>
      <c r="G75" s="1274"/>
      <c r="H75" s="1168" t="e">
        <f t="shared" si="3"/>
        <v>#N/A</v>
      </c>
      <c r="I75" s="1275"/>
      <c r="J75" s="1168" t="e">
        <f t="shared" si="4"/>
        <v>#N/A</v>
      </c>
      <c r="K75" s="1274"/>
      <c r="L75" s="1274"/>
      <c r="M75" s="1251"/>
      <c r="N75" s="2747"/>
      <c r="O75" s="2748"/>
      <c r="P75" s="2748"/>
      <c r="Q75" s="2749"/>
      <c r="R75" s="1546"/>
      <c r="S75" s="1546"/>
    </row>
    <row r="76" spans="1:19" s="1466" customFormat="1" ht="12.75" customHeight="1">
      <c r="A76" s="1527"/>
      <c r="B76" s="1275"/>
      <c r="C76" s="2745"/>
      <c r="D76" s="2746"/>
      <c r="E76" s="1274"/>
      <c r="F76" s="1275"/>
      <c r="G76" s="1274"/>
      <c r="H76" s="1168" t="e">
        <f t="shared" si="3"/>
        <v>#N/A</v>
      </c>
      <c r="I76" s="1275"/>
      <c r="J76" s="1168" t="e">
        <f t="shared" si="4"/>
        <v>#N/A</v>
      </c>
      <c r="K76" s="1274"/>
      <c r="L76" s="1274"/>
      <c r="M76" s="1251"/>
      <c r="N76" s="2747"/>
      <c r="O76" s="2748"/>
      <c r="P76" s="2748"/>
      <c r="Q76" s="2749"/>
      <c r="R76" s="1546"/>
      <c r="S76" s="1546"/>
    </row>
    <row r="77" spans="1:19" s="1466" customFormat="1" ht="12.75" customHeight="1">
      <c r="A77" s="1527"/>
      <c r="B77" s="1275"/>
      <c r="C77" s="2745"/>
      <c r="D77" s="2746"/>
      <c r="E77" s="1274"/>
      <c r="F77" s="1275"/>
      <c r="G77" s="1274"/>
      <c r="H77" s="1168" t="e">
        <f t="shared" si="3"/>
        <v>#N/A</v>
      </c>
      <c r="I77" s="1275"/>
      <c r="J77" s="1168" t="e">
        <f t="shared" si="4"/>
        <v>#N/A</v>
      </c>
      <c r="K77" s="1274"/>
      <c r="L77" s="1274"/>
      <c r="M77" s="1251"/>
      <c r="N77" s="2747"/>
      <c r="O77" s="2748"/>
      <c r="P77" s="2748"/>
      <c r="Q77" s="2749"/>
      <c r="R77" s="1546"/>
      <c r="S77" s="1546"/>
    </row>
    <row r="78" spans="1:19" s="1466" customFormat="1" ht="12.75" customHeight="1">
      <c r="A78" s="1527"/>
      <c r="B78" s="1275"/>
      <c r="C78" s="2745"/>
      <c r="D78" s="2746"/>
      <c r="E78" s="1274"/>
      <c r="F78" s="1275"/>
      <c r="G78" s="1274"/>
      <c r="H78" s="1168" t="e">
        <f t="shared" si="3"/>
        <v>#N/A</v>
      </c>
      <c r="I78" s="1275"/>
      <c r="J78" s="1168" t="e">
        <f t="shared" si="4"/>
        <v>#N/A</v>
      </c>
      <c r="K78" s="1274"/>
      <c r="L78" s="1274"/>
      <c r="M78" s="1251"/>
      <c r="N78" s="2747"/>
      <c r="O78" s="2748"/>
      <c r="P78" s="2748"/>
      <c r="Q78" s="2749"/>
      <c r="R78" s="1546"/>
      <c r="S78" s="1546"/>
    </row>
    <row r="79" spans="1:19" ht="38.25" customHeight="1">
      <c r="A79" s="1457"/>
      <c r="B79" s="1581"/>
      <c r="C79" s="1581"/>
      <c r="D79" s="1459"/>
      <c r="E79" s="1459"/>
      <c r="F79" s="1459"/>
      <c r="G79" s="1459"/>
      <c r="H79" s="1459"/>
      <c r="I79" s="1459"/>
      <c r="J79" s="1459"/>
      <c r="K79" s="1463"/>
      <c r="L79" s="1465"/>
      <c r="M79" s="1465"/>
      <c r="N79" s="2572"/>
      <c r="O79" s="2750"/>
      <c r="P79" s="2750"/>
      <c r="Q79" s="2750"/>
      <c r="R79" s="1460"/>
      <c r="S79" s="1460"/>
    </row>
    <row r="80" spans="1:19" ht="89.25" customHeight="1">
      <c r="A80" s="1457"/>
      <c r="B80" s="1456" t="s">
        <v>1633</v>
      </c>
      <c r="C80" s="1581"/>
      <c r="D80" s="1459"/>
      <c r="E80" s="1459"/>
      <c r="F80" s="1459"/>
      <c r="G80" s="1459"/>
      <c r="H80" s="1459"/>
      <c r="I80" s="1459"/>
      <c r="J80" s="1459" t="s">
        <v>1626</v>
      </c>
      <c r="K80" s="1463" t="s">
        <v>1703</v>
      </c>
      <c r="L80" s="1465" t="s">
        <v>1628</v>
      </c>
      <c r="M80" s="1465" t="s">
        <v>1629</v>
      </c>
      <c r="N80" s="2572" t="s">
        <v>1630</v>
      </c>
      <c r="O80" s="2705"/>
      <c r="P80" s="2705"/>
      <c r="Q80" s="2705"/>
      <c r="R80" s="1460"/>
      <c r="S80" s="1460"/>
    </row>
    <row r="81" spans="1:19" ht="51" customHeight="1">
      <c r="A81" s="1623"/>
      <c r="B81" s="2586" t="s">
        <v>1981</v>
      </c>
      <c r="C81" s="2586"/>
      <c r="D81" s="2586"/>
      <c r="E81" s="2586"/>
      <c r="F81" s="2586"/>
      <c r="G81" s="2586"/>
      <c r="H81" s="2586"/>
      <c r="I81" s="2575"/>
      <c r="J81" s="1284"/>
      <c r="K81" s="1271"/>
      <c r="L81" s="1284"/>
      <c r="M81" s="1252"/>
      <c r="N81" s="2697"/>
      <c r="O81" s="2737"/>
      <c r="P81" s="2737"/>
      <c r="Q81" s="2737"/>
      <c r="R81" s="1460"/>
      <c r="S81" s="1460"/>
    </row>
    <row r="82" spans="1:19" ht="186.75" customHeight="1">
      <c r="A82" s="1623"/>
      <c r="B82" s="2586" t="s">
        <v>1982</v>
      </c>
      <c r="C82" s="2586"/>
      <c r="D82" s="2586"/>
      <c r="E82" s="2586"/>
      <c r="F82" s="2586"/>
      <c r="G82" s="2586"/>
      <c r="H82" s="2586"/>
      <c r="I82" s="2575"/>
      <c r="J82" s="1284"/>
      <c r="K82" s="1271"/>
      <c r="L82" s="1284"/>
      <c r="M82" s="1252"/>
      <c r="N82" s="2697"/>
      <c r="O82" s="2737"/>
      <c r="P82" s="2737"/>
      <c r="Q82" s="2737"/>
      <c r="R82" s="1460"/>
      <c r="S82" s="1460"/>
    </row>
    <row r="83" spans="1:19" ht="84" customHeight="1">
      <c r="A83" s="1457"/>
      <c r="B83" s="1456" t="s">
        <v>1633</v>
      </c>
      <c r="C83" s="1581"/>
      <c r="D83" s="2643" t="s">
        <v>1619</v>
      </c>
      <c r="E83" s="2643"/>
      <c r="F83" s="2643" t="s">
        <v>1714</v>
      </c>
      <c r="G83" s="2643"/>
      <c r="H83" s="2643"/>
      <c r="I83" s="2643"/>
      <c r="J83" s="1459" t="s">
        <v>1626</v>
      </c>
      <c r="K83" s="1463" t="s">
        <v>1703</v>
      </c>
      <c r="L83" s="1465" t="s">
        <v>1628</v>
      </c>
      <c r="M83" s="1465" t="s">
        <v>1629</v>
      </c>
      <c r="N83" s="2572" t="s">
        <v>1968</v>
      </c>
      <c r="O83" s="2750"/>
      <c r="P83" s="2750"/>
      <c r="Q83" s="2750"/>
      <c r="R83" s="1460"/>
      <c r="S83" s="1460"/>
    </row>
    <row r="84" spans="1:19" ht="261.75" customHeight="1">
      <c r="A84" s="1623"/>
      <c r="B84" s="2588" t="s">
        <v>1983</v>
      </c>
      <c r="C84" s="2598"/>
      <c r="D84" s="2613" t="str">
        <f>IF('Project Info'!C4='Project Info'!P32,'Mod Prescriptive Path Checklist'!C103,IF('Project Info'!C4='Project Info'!P33,#REF!,"&lt;Select compliance path on the 'Project Info' tab&gt;"))</f>
        <v>All non-apartment spaces, except those where automatic shutoff would endanger the safety of occupants, must have occupancy sensors or automatic bi-level lighting controls. Automatic controls must be specified for spaces intended for 24-hour operation such as corridors and stairwells.</v>
      </c>
      <c r="E84" s="2738"/>
      <c r="F84" s="2595">
        <f>ERMs!C42</f>
        <v>0</v>
      </c>
      <c r="G84" s="2597"/>
      <c r="H84" s="2597"/>
      <c r="I84" s="2638"/>
      <c r="J84" s="1284"/>
      <c r="K84" s="1271"/>
      <c r="L84" s="1284"/>
      <c r="M84" s="1252"/>
      <c r="N84" s="2697"/>
      <c r="O84" s="2737"/>
      <c r="P84" s="2737"/>
      <c r="Q84" s="2737"/>
      <c r="R84" s="1460"/>
      <c r="S84" s="1460"/>
    </row>
    <row r="85" spans="1:19" ht="246" customHeight="1">
      <c r="A85" s="1631"/>
      <c r="B85" s="2588" t="s">
        <v>1984</v>
      </c>
      <c r="C85" s="2751"/>
      <c r="D85" s="2752" t="str">
        <f>IF('Project Info'!C4='Project Info'!P32,'Mod Prescriptive Path Checklist'!C104,IF('Project Info'!C4='Project Info'!P33,#REF!,"&lt;Select compliance path on the 'Project Info' tab&gt;"))</f>
        <v>All light fixtures in non-apartments spaces, including hallways, stairwells, lobbies, elevators and decorative fixtures, shall have a combined lamp and ballast efficacies meeting or exceeding ENERGY STAR specifications.  Alternatively, T-5 or T-8 lamps with electronic ballasts or ENERGY STAR qualified screw-in lamps may be used.</v>
      </c>
      <c r="E85" s="2752"/>
      <c r="F85" s="2740">
        <f>ERMs!C43</f>
        <v>0</v>
      </c>
      <c r="G85" s="2741"/>
      <c r="H85" s="2741"/>
      <c r="I85" s="2742"/>
      <c r="J85" s="1284"/>
      <c r="K85" s="1271"/>
      <c r="L85" s="1284"/>
      <c r="M85" s="1252"/>
      <c r="N85" s="2697"/>
      <c r="O85" s="2737"/>
      <c r="P85" s="2737"/>
      <c r="Q85" s="2737"/>
      <c r="R85" s="1460"/>
      <c r="S85" s="1460"/>
    </row>
    <row r="86" spans="1:19" ht="140.25" customHeight="1">
      <c r="A86" s="1623"/>
      <c r="B86" s="2588" t="s">
        <v>1985</v>
      </c>
      <c r="C86" s="2598"/>
      <c r="D86" s="2753" t="str">
        <f>IF('Project Info'!C4='Project Info'!P32,'Mod Prescriptive Path Checklist'!C105,IF('Project Info'!C4='Project Info'!P33,#REF!,"&lt;Select compliance path on the 'Project Info' tab&gt;"))</f>
        <v xml:space="preserve">Total specified lighting power for the combined non-apartment spaces must not exceed ASHRAE 90.1-2010 allowances for those combined spaces. 
Lighting power densities and allowances must be determined using ASHRAE 90.1-2010, Table 9.5.1 or Table 9.6.1. For senior living, an increase in lighting power densities and allowances corresponding to the increase in footcandles, is permitted.
If following the Modified Prescriptive Path, when calculating overall lighting power density, use 1.1 W/ft2 for spaces where lighting is not installed.
</v>
      </c>
      <c r="E86" s="2754"/>
      <c r="F86" s="2659"/>
      <c r="G86" s="2744"/>
      <c r="H86" s="2744"/>
      <c r="I86" s="2660"/>
      <c r="J86" s="1284"/>
      <c r="K86" s="1271"/>
      <c r="L86" s="1284"/>
      <c r="M86" s="1252"/>
      <c r="N86" s="2697"/>
      <c r="O86" s="2737"/>
      <c r="P86" s="2737"/>
      <c r="Q86" s="2737"/>
      <c r="R86" s="1460"/>
      <c r="S86" s="1460"/>
    </row>
    <row r="87" spans="1:19" ht="170.25" customHeight="1">
      <c r="A87" s="1457"/>
      <c r="B87" s="2588" t="s">
        <v>1986</v>
      </c>
      <c r="C87" s="2598"/>
      <c r="D87" s="2595" t="str">
        <f>IF('Project Info'!C4='Project Info'!P32,'Mod Prescriptive Path Checklist'!C106,IF('Project Info'!C4='Project Info'!P33,#REF!,"&lt;Select compliance path on the 'Project Info' tab&gt;"))</f>
        <v>All exit signs shall be specified as LED (not to exceed 5W per face) or photo-luminescent and shall conform to local building code; fixtures located above stairwell doors and other forms of egress shall contain a battery back-up feature.</v>
      </c>
      <c r="E87" s="2596"/>
      <c r="F87" s="2595">
        <f>ERMs!C44</f>
        <v>0</v>
      </c>
      <c r="G87" s="2597"/>
      <c r="H87" s="2597"/>
      <c r="I87" s="2638"/>
      <c r="J87" s="1284"/>
      <c r="K87" s="1271"/>
      <c r="L87" s="1284"/>
      <c r="M87" s="1252"/>
      <c r="N87" s="2697"/>
      <c r="O87" s="2737"/>
      <c r="P87" s="2737"/>
      <c r="Q87" s="2737"/>
      <c r="R87" s="1568"/>
      <c r="S87" s="1460"/>
    </row>
    <row r="88" spans="1:19" ht="132" customHeight="1">
      <c r="A88" s="1457"/>
      <c r="B88" s="2588" t="s">
        <v>1987</v>
      </c>
      <c r="C88" s="2598"/>
      <c r="D88" s="2613" t="str">
        <f>IF('Project Info'!C4='Project Info'!P32,'Mod Prescriptive Path Checklist'!C107,IF('Project Info'!C4='Project Info'!P33,#REF!,"&lt;Select compliance path on the 'Project Info' tab&gt;"))</f>
        <v>Fixtures must include automatic switching on timers or photocell controls except fixtures intended for 24-hour operation, required for security, or located on apartment balconies.</v>
      </c>
      <c r="E88" s="2738"/>
      <c r="F88" s="2740">
        <f>ERMs!C45</f>
        <v>0</v>
      </c>
      <c r="G88" s="2741"/>
      <c r="H88" s="2741"/>
      <c r="I88" s="2742"/>
      <c r="J88" s="1284"/>
      <c r="K88" s="1271"/>
      <c r="L88" s="1284"/>
      <c r="M88" s="1252"/>
      <c r="N88" s="2697"/>
      <c r="O88" s="2737"/>
      <c r="P88" s="2737"/>
      <c r="Q88" s="2737"/>
      <c r="R88" s="1460"/>
      <c r="S88" s="1460"/>
    </row>
    <row r="89" spans="1:19" ht="198" customHeight="1">
      <c r="A89" s="1457"/>
      <c r="B89" s="2588" t="s">
        <v>1988</v>
      </c>
      <c r="C89" s="2598"/>
      <c r="D89" s="2613" t="str">
        <f>IF('Project Info'!C4='Project Info'!P32,'Mod Prescriptive Path Checklist'!C108,IF('Project Info'!C4='Project Info'!P33,#REF!,"&lt;Select compliance path on the 'Project Info' tab&gt;"))</f>
        <v>All outdoor lighting fixtures shall have combined lamp and ballast efficacies meeting or exceeding ENERGY STAR specifications.</v>
      </c>
      <c r="E89" s="2738"/>
      <c r="F89" s="2657"/>
      <c r="G89" s="2743"/>
      <c r="H89" s="2743"/>
      <c r="I89" s="2658"/>
      <c r="J89" s="1284"/>
      <c r="K89" s="1271"/>
      <c r="L89" s="1284"/>
      <c r="M89" s="1252"/>
      <c r="N89" s="2697"/>
      <c r="O89" s="2737"/>
      <c r="P89" s="2737"/>
      <c r="Q89" s="2737"/>
      <c r="R89" s="1460"/>
      <c r="S89" s="1460"/>
    </row>
    <row r="90" spans="1:19" ht="70.5" customHeight="1">
      <c r="A90" s="1457"/>
      <c r="B90" s="2588" t="s">
        <v>1989</v>
      </c>
      <c r="C90" s="2598"/>
      <c r="D90" s="2613" t="str">
        <f>IF('Project Info'!C4='Project Info'!P32,'Mod Prescriptive Path Checklist'!C109,IF('Project Info'!C4='Project Info'!P33,#REF!,"&lt;Select compliance path on the 'Project Info' tab&gt;"))</f>
        <v xml:space="preserve">Total specified exterior lighting power cannot exceed ASHRAE 90.1-2010 allowances.                    </v>
      </c>
      <c r="E90" s="2738"/>
      <c r="F90" s="2659"/>
      <c r="G90" s="2744"/>
      <c r="H90" s="2744"/>
      <c r="I90" s="2660"/>
      <c r="J90" s="1284"/>
      <c r="K90" s="1271"/>
      <c r="L90" s="1284"/>
      <c r="M90" s="1252"/>
      <c r="N90" s="2697"/>
      <c r="O90" s="2737"/>
      <c r="P90" s="2737"/>
      <c r="Q90" s="2737"/>
      <c r="R90" s="1460"/>
      <c r="S90" s="1460"/>
    </row>
    <row r="91" spans="1:19" ht="115.5" customHeight="1">
      <c r="A91" s="1623"/>
      <c r="B91" s="2588" t="s">
        <v>1990</v>
      </c>
      <c r="C91" s="2598"/>
      <c r="D91" s="2595" t="str">
        <f>IF('Project Info'!C4='Project Info'!P32,'Mod Prescriptive Path Checklist'!C108,IF('Project Info'!C4='Project Info'!P33,#REF!,"&lt;Select compliance path on the 'Project Info' tab&gt;"))</f>
        <v>All outdoor lighting fixtures shall have combined lamp and ballast efficacies meeting or exceeding ENERGY STAR specifications.</v>
      </c>
      <c r="E91" s="2738"/>
      <c r="F91" s="2595">
        <f>ERMs!C46</f>
        <v>0</v>
      </c>
      <c r="G91" s="2597"/>
      <c r="H91" s="2597"/>
      <c r="I91" s="2638"/>
      <c r="J91" s="1284"/>
      <c r="K91" s="1271"/>
      <c r="L91" s="1284"/>
      <c r="M91" s="1252"/>
      <c r="N91" s="2697"/>
      <c r="O91" s="2737"/>
      <c r="P91" s="2737"/>
      <c r="Q91" s="2737"/>
      <c r="R91" s="1460"/>
      <c r="S91" s="1460"/>
    </row>
    <row r="92" spans="1:19" ht="258" customHeight="1">
      <c r="A92" s="1623"/>
      <c r="B92" s="2588" t="s">
        <v>1991</v>
      </c>
      <c r="C92" s="2598"/>
      <c r="D92" s="2613" t="str">
        <f>IF('Project Info'!C4='Project Info'!P32,'Mod Prescriptive Path Checklist'!C110,IF('Project Info'!C4='Project Info'!P33,#REF!,"&lt;Select compliance path on the 'Project Info' tab&gt;"))</f>
        <v>All hard-wired lighting fixtures and ceiling fans installed within apartments shall meet or exceed ENERGY STAR specifications.  ENERGY STAR qualified screw-in lamps may be used in  the following applications only:  Closets, storage spaces, and other locations that are not within habitable living space.
Overall in-unit lighting power density may not exceed 0.7 W/ft2.</v>
      </c>
      <c r="E92" s="2738"/>
      <c r="F92" s="2595">
        <f>ERMs!C47</f>
        <v>0</v>
      </c>
      <c r="G92" s="2597"/>
      <c r="H92" s="2597"/>
      <c r="I92" s="2638"/>
      <c r="J92" s="1284"/>
      <c r="K92" s="1271"/>
      <c r="L92" s="1284"/>
      <c r="M92" s="1252"/>
      <c r="N92" s="2697"/>
      <c r="O92" s="2737"/>
      <c r="P92" s="2737"/>
      <c r="Q92" s="2737"/>
      <c r="R92" s="1460"/>
      <c r="S92" s="1460"/>
    </row>
    <row r="93" spans="1:19" ht="27.75" customHeight="1">
      <c r="A93" s="1457"/>
      <c r="B93" s="2586" t="s">
        <v>1992</v>
      </c>
      <c r="C93" s="2586"/>
      <c r="D93" s="2586"/>
      <c r="E93" s="2586"/>
      <c r="F93" s="2586"/>
      <c r="G93" s="2586"/>
      <c r="H93" s="2739"/>
      <c r="I93" s="2739"/>
      <c r="J93" s="2739"/>
      <c r="K93" s="2739"/>
      <c r="L93" s="2568"/>
      <c r="M93" s="1252"/>
      <c r="N93" s="2697"/>
      <c r="O93" s="2737"/>
      <c r="P93" s="2737"/>
      <c r="Q93" s="2737"/>
      <c r="R93" s="1460"/>
      <c r="S93" s="1460"/>
    </row>
    <row r="94" spans="1:19" ht="53.25" customHeight="1">
      <c r="A94" s="1457"/>
      <c r="B94" s="2586" t="s">
        <v>1993</v>
      </c>
      <c r="C94" s="2586"/>
      <c r="D94" s="2586"/>
      <c r="E94" s="2586"/>
      <c r="F94" s="2586"/>
      <c r="G94" s="2586"/>
      <c r="H94" s="2586"/>
      <c r="I94" s="2586"/>
      <c r="J94" s="2586"/>
      <c r="K94" s="2586"/>
      <c r="L94" s="2575"/>
      <c r="M94" s="1252"/>
      <c r="N94" s="2697"/>
      <c r="O94" s="2737"/>
      <c r="P94" s="2737"/>
      <c r="Q94" s="2737"/>
      <c r="R94" s="1460"/>
      <c r="S94" s="1460"/>
    </row>
    <row r="95" spans="1:19" ht="51.75" customHeight="1">
      <c r="A95" s="1457"/>
      <c r="B95" s="2586" t="s">
        <v>1994</v>
      </c>
      <c r="C95" s="2586"/>
      <c r="D95" s="2586"/>
      <c r="E95" s="2586"/>
      <c r="F95" s="2586"/>
      <c r="G95" s="2586"/>
      <c r="H95" s="2586"/>
      <c r="I95" s="2586"/>
      <c r="J95" s="2586"/>
      <c r="K95" s="2586"/>
      <c r="L95" s="2575"/>
      <c r="M95" s="1252"/>
      <c r="N95" s="2697"/>
      <c r="O95" s="2737"/>
      <c r="P95" s="2737"/>
      <c r="Q95" s="2737"/>
      <c r="R95" s="1460"/>
      <c r="S95" s="1460"/>
    </row>
    <row r="96" spans="1:19">
      <c r="A96" s="1457"/>
      <c r="R96" s="1460"/>
      <c r="S96" s="1460"/>
    </row>
    <row r="98" spans="1:21" ht="25.5">
      <c r="C98" s="1468"/>
    </row>
    <row r="99" spans="1:21" ht="25.5">
      <c r="C99" s="1468"/>
    </row>
    <row r="100" spans="1:21" ht="25.5">
      <c r="C100" s="1468"/>
      <c r="U100" s="1321" t="s">
        <v>403</v>
      </c>
    </row>
    <row r="101" spans="1:21">
      <c r="A101" s="1457"/>
      <c r="R101" s="1460"/>
      <c r="S101" s="1460"/>
      <c r="U101" s="1321" t="s">
        <v>405</v>
      </c>
    </row>
    <row r="102" spans="1:21">
      <c r="A102" s="1457"/>
      <c r="R102" s="1460"/>
      <c r="S102" s="1460"/>
      <c r="U102" s="1321" t="s">
        <v>404</v>
      </c>
    </row>
    <row r="103" spans="1:21">
      <c r="A103" s="1457"/>
      <c r="R103" s="1460"/>
      <c r="S103" s="1460"/>
    </row>
    <row r="104" spans="1:21">
      <c r="A104" s="1457"/>
      <c r="R104" s="1460"/>
      <c r="S104" s="1460"/>
    </row>
    <row r="105" spans="1:21">
      <c r="A105" s="1457"/>
      <c r="R105" s="1460"/>
      <c r="S105" s="1460"/>
    </row>
    <row r="106" spans="1:21">
      <c r="A106" s="1457"/>
      <c r="R106" s="1460"/>
      <c r="S106" s="1460"/>
    </row>
    <row r="107" spans="1:21">
      <c r="A107" s="1321"/>
      <c r="R107" s="1460"/>
      <c r="S107" s="1460"/>
    </row>
    <row r="108" spans="1:21">
      <c r="B108" s="1489"/>
      <c r="R108" s="1460"/>
      <c r="S108" s="1460"/>
    </row>
    <row r="109" spans="1:21">
      <c r="B109" s="1489"/>
    </row>
    <row r="182" spans="2:2" ht="18">
      <c r="B182" s="1323"/>
    </row>
  </sheetData>
  <sheetProtection sheet="1" objects="1" scenarios="1" formatCells="0" formatColumns="0" formatRows="0" insertColumns="0" insertRows="0"/>
  <mergeCells count="144">
    <mergeCell ref="B11:M11"/>
    <mergeCell ref="B12:M12"/>
    <mergeCell ref="M13:N13"/>
    <mergeCell ref="O13:P13"/>
    <mergeCell ref="N14:O14"/>
    <mergeCell ref="P14:Q14"/>
    <mergeCell ref="B29:I29"/>
    <mergeCell ref="F33:G33"/>
    <mergeCell ref="H33:I33"/>
    <mergeCell ref="P33:S33"/>
    <mergeCell ref="F34:G34"/>
    <mergeCell ref="H34:I34"/>
    <mergeCell ref="P34:Q34"/>
    <mergeCell ref="B22:M22"/>
    <mergeCell ref="B23:M23"/>
    <mergeCell ref="B24:M24"/>
    <mergeCell ref="B25:M25"/>
    <mergeCell ref="B27:I27"/>
    <mergeCell ref="B28:I28"/>
    <mergeCell ref="F37:G37"/>
    <mergeCell ref="H37:I37"/>
    <mergeCell ref="P37:Q37"/>
    <mergeCell ref="F38:G38"/>
    <mergeCell ref="H38:I38"/>
    <mergeCell ref="P38:Q38"/>
    <mergeCell ref="F35:G35"/>
    <mergeCell ref="H35:I35"/>
    <mergeCell ref="P35:Q35"/>
    <mergeCell ref="F36:G36"/>
    <mergeCell ref="H36:I36"/>
    <mergeCell ref="P36:Q36"/>
    <mergeCell ref="F41:G41"/>
    <mergeCell ref="H41:I41"/>
    <mergeCell ref="P41:Q41"/>
    <mergeCell ref="F42:G42"/>
    <mergeCell ref="H42:I42"/>
    <mergeCell ref="P42:Q42"/>
    <mergeCell ref="F39:G39"/>
    <mergeCell ref="H39:I39"/>
    <mergeCell ref="P39:Q39"/>
    <mergeCell ref="F40:G40"/>
    <mergeCell ref="H40:I40"/>
    <mergeCell ref="P40:Q40"/>
    <mergeCell ref="N48:Q48"/>
    <mergeCell ref="N49:Q49"/>
    <mergeCell ref="N50:Q50"/>
    <mergeCell ref="N51:Q51"/>
    <mergeCell ref="N52:Q52"/>
    <mergeCell ref="N53:Q53"/>
    <mergeCell ref="F43:G43"/>
    <mergeCell ref="H43:I43"/>
    <mergeCell ref="P43:Q43"/>
    <mergeCell ref="N45:Q45"/>
    <mergeCell ref="N46:Q46"/>
    <mergeCell ref="N47:Q47"/>
    <mergeCell ref="N60:Q60"/>
    <mergeCell ref="N61:Q61"/>
    <mergeCell ref="N62:Q62"/>
    <mergeCell ref="C63:D63"/>
    <mergeCell ref="N63:Q63"/>
    <mergeCell ref="C64:D64"/>
    <mergeCell ref="N64:Q64"/>
    <mergeCell ref="N54:Q54"/>
    <mergeCell ref="N55:Q55"/>
    <mergeCell ref="N56:Q56"/>
    <mergeCell ref="N57:Q57"/>
    <mergeCell ref="N58:Q58"/>
    <mergeCell ref="N59:Q59"/>
    <mergeCell ref="C68:D68"/>
    <mergeCell ref="N68:Q68"/>
    <mergeCell ref="C69:D69"/>
    <mergeCell ref="N69:Q69"/>
    <mergeCell ref="C70:D70"/>
    <mergeCell ref="N70:Q70"/>
    <mergeCell ref="C65:D65"/>
    <mergeCell ref="N65:Q65"/>
    <mergeCell ref="C66:D66"/>
    <mergeCell ref="N66:Q66"/>
    <mergeCell ref="C67:D67"/>
    <mergeCell ref="N67:Q67"/>
    <mergeCell ref="C74:D74"/>
    <mergeCell ref="N74:Q74"/>
    <mergeCell ref="C75:D75"/>
    <mergeCell ref="N75:Q75"/>
    <mergeCell ref="C76:D76"/>
    <mergeCell ref="N76:Q76"/>
    <mergeCell ref="C71:D71"/>
    <mergeCell ref="N71:Q71"/>
    <mergeCell ref="C72:D72"/>
    <mergeCell ref="N72:Q72"/>
    <mergeCell ref="C73:D73"/>
    <mergeCell ref="N73:Q73"/>
    <mergeCell ref="N80:Q80"/>
    <mergeCell ref="B81:I81"/>
    <mergeCell ref="N81:Q81"/>
    <mergeCell ref="C77:D77"/>
    <mergeCell ref="N77:Q77"/>
    <mergeCell ref="C78:D78"/>
    <mergeCell ref="N78:Q78"/>
    <mergeCell ref="N79:Q79"/>
    <mergeCell ref="B85:C85"/>
    <mergeCell ref="D85:E85"/>
    <mergeCell ref="F85:I86"/>
    <mergeCell ref="N85:Q85"/>
    <mergeCell ref="B86:C86"/>
    <mergeCell ref="D86:E86"/>
    <mergeCell ref="N86:Q86"/>
    <mergeCell ref="B82:I82"/>
    <mergeCell ref="N82:Q82"/>
    <mergeCell ref="D83:E83"/>
    <mergeCell ref="F83:I83"/>
    <mergeCell ref="N83:Q83"/>
    <mergeCell ref="B84:C84"/>
    <mergeCell ref="D84:E84"/>
    <mergeCell ref="F84:I84"/>
    <mergeCell ref="N84:Q84"/>
    <mergeCell ref="N89:Q89"/>
    <mergeCell ref="B90:C90"/>
    <mergeCell ref="D90:E90"/>
    <mergeCell ref="N90:Q90"/>
    <mergeCell ref="B91:C91"/>
    <mergeCell ref="D91:E91"/>
    <mergeCell ref="F91:I91"/>
    <mergeCell ref="N91:Q91"/>
    <mergeCell ref="B87:C87"/>
    <mergeCell ref="D87:E87"/>
    <mergeCell ref="F87:I87"/>
    <mergeCell ref="N87:Q87"/>
    <mergeCell ref="B88:C88"/>
    <mergeCell ref="D88:E88"/>
    <mergeCell ref="F88:I90"/>
    <mergeCell ref="N88:Q88"/>
    <mergeCell ref="B89:C89"/>
    <mergeCell ref="D89:E89"/>
    <mergeCell ref="B94:L94"/>
    <mergeCell ref="N94:Q94"/>
    <mergeCell ref="B95:L95"/>
    <mergeCell ref="N95:Q95"/>
    <mergeCell ref="B92:C92"/>
    <mergeCell ref="D92:E92"/>
    <mergeCell ref="F92:I92"/>
    <mergeCell ref="N92:Q92"/>
    <mergeCell ref="B93:L93"/>
    <mergeCell ref="N93:Q93"/>
  </mergeCells>
  <dataValidations count="8">
    <dataValidation type="list" allowBlank="1" showInputMessage="1" showErrorMessage="1" sqref="H34:I43 JD34:JE43 SZ34:TA43 ACV34:ACW43 AMR34:AMS43 AWN34:AWO43 BGJ34:BGK43 BQF34:BQG43 CAB34:CAC43 CJX34:CJY43 CTT34:CTU43 DDP34:DDQ43 DNL34:DNM43 DXH34:DXI43 EHD34:EHE43 EQZ34:ERA43 FAV34:FAW43 FKR34:FKS43 FUN34:FUO43 GEJ34:GEK43 GOF34:GOG43 GYB34:GYC43 HHX34:HHY43 HRT34:HRU43 IBP34:IBQ43 ILL34:ILM43 IVH34:IVI43 JFD34:JFE43 JOZ34:JPA43 JYV34:JYW43 KIR34:KIS43 KSN34:KSO43 LCJ34:LCK43 LMF34:LMG43 LWB34:LWC43 MFX34:MFY43 MPT34:MPU43 MZP34:MZQ43 NJL34:NJM43 NTH34:NTI43 ODD34:ODE43 OMZ34:ONA43 OWV34:OWW43 PGR34:PGS43 PQN34:PQO43 QAJ34:QAK43 QKF34:QKG43 QUB34:QUC43 RDX34:RDY43 RNT34:RNU43 RXP34:RXQ43 SHL34:SHM43 SRH34:SRI43 TBD34:TBE43 TKZ34:TLA43 TUV34:TUW43 UER34:UES43 UON34:UOO43 UYJ34:UYK43 VIF34:VIG43 VSB34:VSC43 WBX34:WBY43 WLT34:WLU43 WVP34:WVQ43 H65566:I65575 JD65566:JE65575 SZ65566:TA65575 ACV65566:ACW65575 AMR65566:AMS65575 AWN65566:AWO65575 BGJ65566:BGK65575 BQF65566:BQG65575 CAB65566:CAC65575 CJX65566:CJY65575 CTT65566:CTU65575 DDP65566:DDQ65575 DNL65566:DNM65575 DXH65566:DXI65575 EHD65566:EHE65575 EQZ65566:ERA65575 FAV65566:FAW65575 FKR65566:FKS65575 FUN65566:FUO65575 GEJ65566:GEK65575 GOF65566:GOG65575 GYB65566:GYC65575 HHX65566:HHY65575 HRT65566:HRU65575 IBP65566:IBQ65575 ILL65566:ILM65575 IVH65566:IVI65575 JFD65566:JFE65575 JOZ65566:JPA65575 JYV65566:JYW65575 KIR65566:KIS65575 KSN65566:KSO65575 LCJ65566:LCK65575 LMF65566:LMG65575 LWB65566:LWC65575 MFX65566:MFY65575 MPT65566:MPU65575 MZP65566:MZQ65575 NJL65566:NJM65575 NTH65566:NTI65575 ODD65566:ODE65575 OMZ65566:ONA65575 OWV65566:OWW65575 PGR65566:PGS65575 PQN65566:PQO65575 QAJ65566:QAK65575 QKF65566:QKG65575 QUB65566:QUC65575 RDX65566:RDY65575 RNT65566:RNU65575 RXP65566:RXQ65575 SHL65566:SHM65575 SRH65566:SRI65575 TBD65566:TBE65575 TKZ65566:TLA65575 TUV65566:TUW65575 UER65566:UES65575 UON65566:UOO65575 UYJ65566:UYK65575 VIF65566:VIG65575 VSB65566:VSC65575 WBX65566:WBY65575 WLT65566:WLU65575 WVP65566:WVQ65575 H131102:I131111 JD131102:JE131111 SZ131102:TA131111 ACV131102:ACW131111 AMR131102:AMS131111 AWN131102:AWO131111 BGJ131102:BGK131111 BQF131102:BQG131111 CAB131102:CAC131111 CJX131102:CJY131111 CTT131102:CTU131111 DDP131102:DDQ131111 DNL131102:DNM131111 DXH131102:DXI131111 EHD131102:EHE131111 EQZ131102:ERA131111 FAV131102:FAW131111 FKR131102:FKS131111 FUN131102:FUO131111 GEJ131102:GEK131111 GOF131102:GOG131111 GYB131102:GYC131111 HHX131102:HHY131111 HRT131102:HRU131111 IBP131102:IBQ131111 ILL131102:ILM131111 IVH131102:IVI131111 JFD131102:JFE131111 JOZ131102:JPA131111 JYV131102:JYW131111 KIR131102:KIS131111 KSN131102:KSO131111 LCJ131102:LCK131111 LMF131102:LMG131111 LWB131102:LWC131111 MFX131102:MFY131111 MPT131102:MPU131111 MZP131102:MZQ131111 NJL131102:NJM131111 NTH131102:NTI131111 ODD131102:ODE131111 OMZ131102:ONA131111 OWV131102:OWW131111 PGR131102:PGS131111 PQN131102:PQO131111 QAJ131102:QAK131111 QKF131102:QKG131111 QUB131102:QUC131111 RDX131102:RDY131111 RNT131102:RNU131111 RXP131102:RXQ131111 SHL131102:SHM131111 SRH131102:SRI131111 TBD131102:TBE131111 TKZ131102:TLA131111 TUV131102:TUW131111 UER131102:UES131111 UON131102:UOO131111 UYJ131102:UYK131111 VIF131102:VIG131111 VSB131102:VSC131111 WBX131102:WBY131111 WLT131102:WLU131111 WVP131102:WVQ131111 H196638:I196647 JD196638:JE196647 SZ196638:TA196647 ACV196638:ACW196647 AMR196638:AMS196647 AWN196638:AWO196647 BGJ196638:BGK196647 BQF196638:BQG196647 CAB196638:CAC196647 CJX196638:CJY196647 CTT196638:CTU196647 DDP196638:DDQ196647 DNL196638:DNM196647 DXH196638:DXI196647 EHD196638:EHE196647 EQZ196638:ERA196647 FAV196638:FAW196647 FKR196638:FKS196647 FUN196638:FUO196647 GEJ196638:GEK196647 GOF196638:GOG196647 GYB196638:GYC196647 HHX196638:HHY196647 HRT196638:HRU196647 IBP196638:IBQ196647 ILL196638:ILM196647 IVH196638:IVI196647 JFD196638:JFE196647 JOZ196638:JPA196647 JYV196638:JYW196647 KIR196638:KIS196647 KSN196638:KSO196647 LCJ196638:LCK196647 LMF196638:LMG196647 LWB196638:LWC196647 MFX196638:MFY196647 MPT196638:MPU196647 MZP196638:MZQ196647 NJL196638:NJM196647 NTH196638:NTI196647 ODD196638:ODE196647 OMZ196638:ONA196647 OWV196638:OWW196647 PGR196638:PGS196647 PQN196638:PQO196647 QAJ196638:QAK196647 QKF196638:QKG196647 QUB196638:QUC196647 RDX196638:RDY196647 RNT196638:RNU196647 RXP196638:RXQ196647 SHL196638:SHM196647 SRH196638:SRI196647 TBD196638:TBE196647 TKZ196638:TLA196647 TUV196638:TUW196647 UER196638:UES196647 UON196638:UOO196647 UYJ196638:UYK196647 VIF196638:VIG196647 VSB196638:VSC196647 WBX196638:WBY196647 WLT196638:WLU196647 WVP196638:WVQ196647 H262174:I262183 JD262174:JE262183 SZ262174:TA262183 ACV262174:ACW262183 AMR262174:AMS262183 AWN262174:AWO262183 BGJ262174:BGK262183 BQF262174:BQG262183 CAB262174:CAC262183 CJX262174:CJY262183 CTT262174:CTU262183 DDP262174:DDQ262183 DNL262174:DNM262183 DXH262174:DXI262183 EHD262174:EHE262183 EQZ262174:ERA262183 FAV262174:FAW262183 FKR262174:FKS262183 FUN262174:FUO262183 GEJ262174:GEK262183 GOF262174:GOG262183 GYB262174:GYC262183 HHX262174:HHY262183 HRT262174:HRU262183 IBP262174:IBQ262183 ILL262174:ILM262183 IVH262174:IVI262183 JFD262174:JFE262183 JOZ262174:JPA262183 JYV262174:JYW262183 KIR262174:KIS262183 KSN262174:KSO262183 LCJ262174:LCK262183 LMF262174:LMG262183 LWB262174:LWC262183 MFX262174:MFY262183 MPT262174:MPU262183 MZP262174:MZQ262183 NJL262174:NJM262183 NTH262174:NTI262183 ODD262174:ODE262183 OMZ262174:ONA262183 OWV262174:OWW262183 PGR262174:PGS262183 PQN262174:PQO262183 QAJ262174:QAK262183 QKF262174:QKG262183 QUB262174:QUC262183 RDX262174:RDY262183 RNT262174:RNU262183 RXP262174:RXQ262183 SHL262174:SHM262183 SRH262174:SRI262183 TBD262174:TBE262183 TKZ262174:TLA262183 TUV262174:TUW262183 UER262174:UES262183 UON262174:UOO262183 UYJ262174:UYK262183 VIF262174:VIG262183 VSB262174:VSC262183 WBX262174:WBY262183 WLT262174:WLU262183 WVP262174:WVQ262183 H327710:I327719 JD327710:JE327719 SZ327710:TA327719 ACV327710:ACW327719 AMR327710:AMS327719 AWN327710:AWO327719 BGJ327710:BGK327719 BQF327710:BQG327719 CAB327710:CAC327719 CJX327710:CJY327719 CTT327710:CTU327719 DDP327710:DDQ327719 DNL327710:DNM327719 DXH327710:DXI327719 EHD327710:EHE327719 EQZ327710:ERA327719 FAV327710:FAW327719 FKR327710:FKS327719 FUN327710:FUO327719 GEJ327710:GEK327719 GOF327710:GOG327719 GYB327710:GYC327719 HHX327710:HHY327719 HRT327710:HRU327719 IBP327710:IBQ327719 ILL327710:ILM327719 IVH327710:IVI327719 JFD327710:JFE327719 JOZ327710:JPA327719 JYV327710:JYW327719 KIR327710:KIS327719 KSN327710:KSO327719 LCJ327710:LCK327719 LMF327710:LMG327719 LWB327710:LWC327719 MFX327710:MFY327719 MPT327710:MPU327719 MZP327710:MZQ327719 NJL327710:NJM327719 NTH327710:NTI327719 ODD327710:ODE327719 OMZ327710:ONA327719 OWV327710:OWW327719 PGR327710:PGS327719 PQN327710:PQO327719 QAJ327710:QAK327719 QKF327710:QKG327719 QUB327710:QUC327719 RDX327710:RDY327719 RNT327710:RNU327719 RXP327710:RXQ327719 SHL327710:SHM327719 SRH327710:SRI327719 TBD327710:TBE327719 TKZ327710:TLA327719 TUV327710:TUW327719 UER327710:UES327719 UON327710:UOO327719 UYJ327710:UYK327719 VIF327710:VIG327719 VSB327710:VSC327719 WBX327710:WBY327719 WLT327710:WLU327719 WVP327710:WVQ327719 H393246:I393255 JD393246:JE393255 SZ393246:TA393255 ACV393246:ACW393255 AMR393246:AMS393255 AWN393246:AWO393255 BGJ393246:BGK393255 BQF393246:BQG393255 CAB393246:CAC393255 CJX393246:CJY393255 CTT393246:CTU393255 DDP393246:DDQ393255 DNL393246:DNM393255 DXH393246:DXI393255 EHD393246:EHE393255 EQZ393246:ERA393255 FAV393246:FAW393255 FKR393246:FKS393255 FUN393246:FUO393255 GEJ393246:GEK393255 GOF393246:GOG393255 GYB393246:GYC393255 HHX393246:HHY393255 HRT393246:HRU393255 IBP393246:IBQ393255 ILL393246:ILM393255 IVH393246:IVI393255 JFD393246:JFE393255 JOZ393246:JPA393255 JYV393246:JYW393255 KIR393246:KIS393255 KSN393246:KSO393255 LCJ393246:LCK393255 LMF393246:LMG393255 LWB393246:LWC393255 MFX393246:MFY393255 MPT393246:MPU393255 MZP393246:MZQ393255 NJL393246:NJM393255 NTH393246:NTI393255 ODD393246:ODE393255 OMZ393246:ONA393255 OWV393246:OWW393255 PGR393246:PGS393255 PQN393246:PQO393255 QAJ393246:QAK393255 QKF393246:QKG393255 QUB393246:QUC393255 RDX393246:RDY393255 RNT393246:RNU393255 RXP393246:RXQ393255 SHL393246:SHM393255 SRH393246:SRI393255 TBD393246:TBE393255 TKZ393246:TLA393255 TUV393246:TUW393255 UER393246:UES393255 UON393246:UOO393255 UYJ393246:UYK393255 VIF393246:VIG393255 VSB393246:VSC393255 WBX393246:WBY393255 WLT393246:WLU393255 WVP393246:WVQ393255 H458782:I458791 JD458782:JE458791 SZ458782:TA458791 ACV458782:ACW458791 AMR458782:AMS458791 AWN458782:AWO458791 BGJ458782:BGK458791 BQF458782:BQG458791 CAB458782:CAC458791 CJX458782:CJY458791 CTT458782:CTU458791 DDP458782:DDQ458791 DNL458782:DNM458791 DXH458782:DXI458791 EHD458782:EHE458791 EQZ458782:ERA458791 FAV458782:FAW458791 FKR458782:FKS458791 FUN458782:FUO458791 GEJ458782:GEK458791 GOF458782:GOG458791 GYB458782:GYC458791 HHX458782:HHY458791 HRT458782:HRU458791 IBP458782:IBQ458791 ILL458782:ILM458791 IVH458782:IVI458791 JFD458782:JFE458791 JOZ458782:JPA458791 JYV458782:JYW458791 KIR458782:KIS458791 KSN458782:KSO458791 LCJ458782:LCK458791 LMF458782:LMG458791 LWB458782:LWC458791 MFX458782:MFY458791 MPT458782:MPU458791 MZP458782:MZQ458791 NJL458782:NJM458791 NTH458782:NTI458791 ODD458782:ODE458791 OMZ458782:ONA458791 OWV458782:OWW458791 PGR458782:PGS458791 PQN458782:PQO458791 QAJ458782:QAK458791 QKF458782:QKG458791 QUB458782:QUC458791 RDX458782:RDY458791 RNT458782:RNU458791 RXP458782:RXQ458791 SHL458782:SHM458791 SRH458782:SRI458791 TBD458782:TBE458791 TKZ458782:TLA458791 TUV458782:TUW458791 UER458782:UES458791 UON458782:UOO458791 UYJ458782:UYK458791 VIF458782:VIG458791 VSB458782:VSC458791 WBX458782:WBY458791 WLT458782:WLU458791 WVP458782:WVQ458791 H524318:I524327 JD524318:JE524327 SZ524318:TA524327 ACV524318:ACW524327 AMR524318:AMS524327 AWN524318:AWO524327 BGJ524318:BGK524327 BQF524318:BQG524327 CAB524318:CAC524327 CJX524318:CJY524327 CTT524318:CTU524327 DDP524318:DDQ524327 DNL524318:DNM524327 DXH524318:DXI524327 EHD524318:EHE524327 EQZ524318:ERA524327 FAV524318:FAW524327 FKR524318:FKS524327 FUN524318:FUO524327 GEJ524318:GEK524327 GOF524318:GOG524327 GYB524318:GYC524327 HHX524318:HHY524327 HRT524318:HRU524327 IBP524318:IBQ524327 ILL524318:ILM524327 IVH524318:IVI524327 JFD524318:JFE524327 JOZ524318:JPA524327 JYV524318:JYW524327 KIR524318:KIS524327 KSN524318:KSO524327 LCJ524318:LCK524327 LMF524318:LMG524327 LWB524318:LWC524327 MFX524318:MFY524327 MPT524318:MPU524327 MZP524318:MZQ524327 NJL524318:NJM524327 NTH524318:NTI524327 ODD524318:ODE524327 OMZ524318:ONA524327 OWV524318:OWW524327 PGR524318:PGS524327 PQN524318:PQO524327 QAJ524318:QAK524327 QKF524318:QKG524327 QUB524318:QUC524327 RDX524318:RDY524327 RNT524318:RNU524327 RXP524318:RXQ524327 SHL524318:SHM524327 SRH524318:SRI524327 TBD524318:TBE524327 TKZ524318:TLA524327 TUV524318:TUW524327 UER524318:UES524327 UON524318:UOO524327 UYJ524318:UYK524327 VIF524318:VIG524327 VSB524318:VSC524327 WBX524318:WBY524327 WLT524318:WLU524327 WVP524318:WVQ524327 H589854:I589863 JD589854:JE589863 SZ589854:TA589863 ACV589854:ACW589863 AMR589854:AMS589863 AWN589854:AWO589863 BGJ589854:BGK589863 BQF589854:BQG589863 CAB589854:CAC589863 CJX589854:CJY589863 CTT589854:CTU589863 DDP589854:DDQ589863 DNL589854:DNM589863 DXH589854:DXI589863 EHD589854:EHE589863 EQZ589854:ERA589863 FAV589854:FAW589863 FKR589854:FKS589863 FUN589854:FUO589863 GEJ589854:GEK589863 GOF589854:GOG589863 GYB589854:GYC589863 HHX589854:HHY589863 HRT589854:HRU589863 IBP589854:IBQ589863 ILL589854:ILM589863 IVH589854:IVI589863 JFD589854:JFE589863 JOZ589854:JPA589863 JYV589854:JYW589863 KIR589854:KIS589863 KSN589854:KSO589863 LCJ589854:LCK589863 LMF589854:LMG589863 LWB589854:LWC589863 MFX589854:MFY589863 MPT589854:MPU589863 MZP589854:MZQ589863 NJL589854:NJM589863 NTH589854:NTI589863 ODD589854:ODE589863 OMZ589854:ONA589863 OWV589854:OWW589863 PGR589854:PGS589863 PQN589854:PQO589863 QAJ589854:QAK589863 QKF589854:QKG589863 QUB589854:QUC589863 RDX589854:RDY589863 RNT589854:RNU589863 RXP589854:RXQ589863 SHL589854:SHM589863 SRH589854:SRI589863 TBD589854:TBE589863 TKZ589854:TLA589863 TUV589854:TUW589863 UER589854:UES589863 UON589854:UOO589863 UYJ589854:UYK589863 VIF589854:VIG589863 VSB589854:VSC589863 WBX589854:WBY589863 WLT589854:WLU589863 WVP589854:WVQ589863 H655390:I655399 JD655390:JE655399 SZ655390:TA655399 ACV655390:ACW655399 AMR655390:AMS655399 AWN655390:AWO655399 BGJ655390:BGK655399 BQF655390:BQG655399 CAB655390:CAC655399 CJX655390:CJY655399 CTT655390:CTU655399 DDP655390:DDQ655399 DNL655390:DNM655399 DXH655390:DXI655399 EHD655390:EHE655399 EQZ655390:ERA655399 FAV655390:FAW655399 FKR655390:FKS655399 FUN655390:FUO655399 GEJ655390:GEK655399 GOF655390:GOG655399 GYB655390:GYC655399 HHX655390:HHY655399 HRT655390:HRU655399 IBP655390:IBQ655399 ILL655390:ILM655399 IVH655390:IVI655399 JFD655390:JFE655399 JOZ655390:JPA655399 JYV655390:JYW655399 KIR655390:KIS655399 KSN655390:KSO655399 LCJ655390:LCK655399 LMF655390:LMG655399 LWB655390:LWC655399 MFX655390:MFY655399 MPT655390:MPU655399 MZP655390:MZQ655399 NJL655390:NJM655399 NTH655390:NTI655399 ODD655390:ODE655399 OMZ655390:ONA655399 OWV655390:OWW655399 PGR655390:PGS655399 PQN655390:PQO655399 QAJ655390:QAK655399 QKF655390:QKG655399 QUB655390:QUC655399 RDX655390:RDY655399 RNT655390:RNU655399 RXP655390:RXQ655399 SHL655390:SHM655399 SRH655390:SRI655399 TBD655390:TBE655399 TKZ655390:TLA655399 TUV655390:TUW655399 UER655390:UES655399 UON655390:UOO655399 UYJ655390:UYK655399 VIF655390:VIG655399 VSB655390:VSC655399 WBX655390:WBY655399 WLT655390:WLU655399 WVP655390:WVQ655399 H720926:I720935 JD720926:JE720935 SZ720926:TA720935 ACV720926:ACW720935 AMR720926:AMS720935 AWN720926:AWO720935 BGJ720926:BGK720935 BQF720926:BQG720935 CAB720926:CAC720935 CJX720926:CJY720935 CTT720926:CTU720935 DDP720926:DDQ720935 DNL720926:DNM720935 DXH720926:DXI720935 EHD720926:EHE720935 EQZ720926:ERA720935 FAV720926:FAW720935 FKR720926:FKS720935 FUN720926:FUO720935 GEJ720926:GEK720935 GOF720926:GOG720935 GYB720926:GYC720935 HHX720926:HHY720935 HRT720926:HRU720935 IBP720926:IBQ720935 ILL720926:ILM720935 IVH720926:IVI720935 JFD720926:JFE720935 JOZ720926:JPA720935 JYV720926:JYW720935 KIR720926:KIS720935 KSN720926:KSO720935 LCJ720926:LCK720935 LMF720926:LMG720935 LWB720926:LWC720935 MFX720926:MFY720935 MPT720926:MPU720935 MZP720926:MZQ720935 NJL720926:NJM720935 NTH720926:NTI720935 ODD720926:ODE720935 OMZ720926:ONA720935 OWV720926:OWW720935 PGR720926:PGS720935 PQN720926:PQO720935 QAJ720926:QAK720935 QKF720926:QKG720935 QUB720926:QUC720935 RDX720926:RDY720935 RNT720926:RNU720935 RXP720926:RXQ720935 SHL720926:SHM720935 SRH720926:SRI720935 TBD720926:TBE720935 TKZ720926:TLA720935 TUV720926:TUW720935 UER720926:UES720935 UON720926:UOO720935 UYJ720926:UYK720935 VIF720926:VIG720935 VSB720926:VSC720935 WBX720926:WBY720935 WLT720926:WLU720935 WVP720926:WVQ720935 H786462:I786471 JD786462:JE786471 SZ786462:TA786471 ACV786462:ACW786471 AMR786462:AMS786471 AWN786462:AWO786471 BGJ786462:BGK786471 BQF786462:BQG786471 CAB786462:CAC786471 CJX786462:CJY786471 CTT786462:CTU786471 DDP786462:DDQ786471 DNL786462:DNM786471 DXH786462:DXI786471 EHD786462:EHE786471 EQZ786462:ERA786471 FAV786462:FAW786471 FKR786462:FKS786471 FUN786462:FUO786471 GEJ786462:GEK786471 GOF786462:GOG786471 GYB786462:GYC786471 HHX786462:HHY786471 HRT786462:HRU786471 IBP786462:IBQ786471 ILL786462:ILM786471 IVH786462:IVI786471 JFD786462:JFE786471 JOZ786462:JPA786471 JYV786462:JYW786471 KIR786462:KIS786471 KSN786462:KSO786471 LCJ786462:LCK786471 LMF786462:LMG786471 LWB786462:LWC786471 MFX786462:MFY786471 MPT786462:MPU786471 MZP786462:MZQ786471 NJL786462:NJM786471 NTH786462:NTI786471 ODD786462:ODE786471 OMZ786462:ONA786471 OWV786462:OWW786471 PGR786462:PGS786471 PQN786462:PQO786471 QAJ786462:QAK786471 QKF786462:QKG786471 QUB786462:QUC786471 RDX786462:RDY786471 RNT786462:RNU786471 RXP786462:RXQ786471 SHL786462:SHM786471 SRH786462:SRI786471 TBD786462:TBE786471 TKZ786462:TLA786471 TUV786462:TUW786471 UER786462:UES786471 UON786462:UOO786471 UYJ786462:UYK786471 VIF786462:VIG786471 VSB786462:VSC786471 WBX786462:WBY786471 WLT786462:WLU786471 WVP786462:WVQ786471 H851998:I852007 JD851998:JE852007 SZ851998:TA852007 ACV851998:ACW852007 AMR851998:AMS852007 AWN851998:AWO852007 BGJ851998:BGK852007 BQF851998:BQG852007 CAB851998:CAC852007 CJX851998:CJY852007 CTT851998:CTU852007 DDP851998:DDQ852007 DNL851998:DNM852007 DXH851998:DXI852007 EHD851998:EHE852007 EQZ851998:ERA852007 FAV851998:FAW852007 FKR851998:FKS852007 FUN851998:FUO852007 GEJ851998:GEK852007 GOF851998:GOG852007 GYB851998:GYC852007 HHX851998:HHY852007 HRT851998:HRU852007 IBP851998:IBQ852007 ILL851998:ILM852007 IVH851998:IVI852007 JFD851998:JFE852007 JOZ851998:JPA852007 JYV851998:JYW852007 KIR851998:KIS852007 KSN851998:KSO852007 LCJ851998:LCK852007 LMF851998:LMG852007 LWB851998:LWC852007 MFX851998:MFY852007 MPT851998:MPU852007 MZP851998:MZQ852007 NJL851998:NJM852007 NTH851998:NTI852007 ODD851998:ODE852007 OMZ851998:ONA852007 OWV851998:OWW852007 PGR851998:PGS852007 PQN851998:PQO852007 QAJ851998:QAK852007 QKF851998:QKG852007 QUB851998:QUC852007 RDX851998:RDY852007 RNT851998:RNU852007 RXP851998:RXQ852007 SHL851998:SHM852007 SRH851998:SRI852007 TBD851998:TBE852007 TKZ851998:TLA852007 TUV851998:TUW852007 UER851998:UES852007 UON851998:UOO852007 UYJ851998:UYK852007 VIF851998:VIG852007 VSB851998:VSC852007 WBX851998:WBY852007 WLT851998:WLU852007 WVP851998:WVQ852007 H917534:I917543 JD917534:JE917543 SZ917534:TA917543 ACV917534:ACW917543 AMR917534:AMS917543 AWN917534:AWO917543 BGJ917534:BGK917543 BQF917534:BQG917543 CAB917534:CAC917543 CJX917534:CJY917543 CTT917534:CTU917543 DDP917534:DDQ917543 DNL917534:DNM917543 DXH917534:DXI917543 EHD917534:EHE917543 EQZ917534:ERA917543 FAV917534:FAW917543 FKR917534:FKS917543 FUN917534:FUO917543 GEJ917534:GEK917543 GOF917534:GOG917543 GYB917534:GYC917543 HHX917534:HHY917543 HRT917534:HRU917543 IBP917534:IBQ917543 ILL917534:ILM917543 IVH917534:IVI917543 JFD917534:JFE917543 JOZ917534:JPA917543 JYV917534:JYW917543 KIR917534:KIS917543 KSN917534:KSO917543 LCJ917534:LCK917543 LMF917534:LMG917543 LWB917534:LWC917543 MFX917534:MFY917543 MPT917534:MPU917543 MZP917534:MZQ917543 NJL917534:NJM917543 NTH917534:NTI917543 ODD917534:ODE917543 OMZ917534:ONA917543 OWV917534:OWW917543 PGR917534:PGS917543 PQN917534:PQO917543 QAJ917534:QAK917543 QKF917534:QKG917543 QUB917534:QUC917543 RDX917534:RDY917543 RNT917534:RNU917543 RXP917534:RXQ917543 SHL917534:SHM917543 SRH917534:SRI917543 TBD917534:TBE917543 TKZ917534:TLA917543 TUV917534:TUW917543 UER917534:UES917543 UON917534:UOO917543 UYJ917534:UYK917543 VIF917534:VIG917543 VSB917534:VSC917543 WBX917534:WBY917543 WLT917534:WLU917543 WVP917534:WVQ917543 H983070:I983079 JD983070:JE983079 SZ983070:TA983079 ACV983070:ACW983079 AMR983070:AMS983079 AWN983070:AWO983079 BGJ983070:BGK983079 BQF983070:BQG983079 CAB983070:CAC983079 CJX983070:CJY983079 CTT983070:CTU983079 DDP983070:DDQ983079 DNL983070:DNM983079 DXH983070:DXI983079 EHD983070:EHE983079 EQZ983070:ERA983079 FAV983070:FAW983079 FKR983070:FKS983079 FUN983070:FUO983079 GEJ983070:GEK983079 GOF983070:GOG983079 GYB983070:GYC983079 HHX983070:HHY983079 HRT983070:HRU983079 IBP983070:IBQ983079 ILL983070:ILM983079 IVH983070:IVI983079 JFD983070:JFE983079 JOZ983070:JPA983079 JYV983070:JYW983079 KIR983070:KIS983079 KSN983070:KSO983079 LCJ983070:LCK983079 LMF983070:LMG983079 LWB983070:LWC983079 MFX983070:MFY983079 MPT983070:MPU983079 MZP983070:MZQ983079 NJL983070:NJM983079 NTH983070:NTI983079 ODD983070:ODE983079 OMZ983070:ONA983079 OWV983070:OWW983079 PGR983070:PGS983079 PQN983070:PQO983079 QAJ983070:QAK983079 QKF983070:QKG983079 QUB983070:QUC983079 RDX983070:RDY983079 RNT983070:RNU983079 RXP983070:RXQ983079 SHL983070:SHM983079 SRH983070:SRI983079 TBD983070:TBE983079 TKZ983070:TLA983079 TUV983070:TUW983079 UER983070:UES983079 UON983070:UOO983079 UYJ983070:UYK983079 VIF983070:VIG983079 VSB983070:VSC983079 WBX983070:WBY983079 WLT983070:WLU983079 WVP983070:WVQ983079">
      <formula1>"Apartments, Common Space, Exterior"</formula1>
    </dataValidation>
    <dataValidation type="list" allowBlank="1" showInputMessage="1" showErrorMessage="1" sqref="C64:C78 IY64:IY78 SU64:SU78 ACQ64:ACQ78 AMM64:AMM78 AWI64:AWI78 BGE64:BGE78 BQA64:BQA78 BZW64:BZW78 CJS64:CJS78 CTO64:CTO78 DDK64:DDK78 DNG64:DNG78 DXC64:DXC78 EGY64:EGY78 EQU64:EQU78 FAQ64:FAQ78 FKM64:FKM78 FUI64:FUI78 GEE64:GEE78 GOA64:GOA78 GXW64:GXW78 HHS64:HHS78 HRO64:HRO78 IBK64:IBK78 ILG64:ILG78 IVC64:IVC78 JEY64:JEY78 JOU64:JOU78 JYQ64:JYQ78 KIM64:KIM78 KSI64:KSI78 LCE64:LCE78 LMA64:LMA78 LVW64:LVW78 MFS64:MFS78 MPO64:MPO78 MZK64:MZK78 NJG64:NJG78 NTC64:NTC78 OCY64:OCY78 OMU64:OMU78 OWQ64:OWQ78 PGM64:PGM78 PQI64:PQI78 QAE64:QAE78 QKA64:QKA78 QTW64:QTW78 RDS64:RDS78 RNO64:RNO78 RXK64:RXK78 SHG64:SHG78 SRC64:SRC78 TAY64:TAY78 TKU64:TKU78 TUQ64:TUQ78 UEM64:UEM78 UOI64:UOI78 UYE64:UYE78 VIA64:VIA78 VRW64:VRW78 WBS64:WBS78 WLO64:WLO78 WVK64:WVK78 C65596:C65610 IY65596:IY65610 SU65596:SU65610 ACQ65596:ACQ65610 AMM65596:AMM65610 AWI65596:AWI65610 BGE65596:BGE65610 BQA65596:BQA65610 BZW65596:BZW65610 CJS65596:CJS65610 CTO65596:CTO65610 DDK65596:DDK65610 DNG65596:DNG65610 DXC65596:DXC65610 EGY65596:EGY65610 EQU65596:EQU65610 FAQ65596:FAQ65610 FKM65596:FKM65610 FUI65596:FUI65610 GEE65596:GEE65610 GOA65596:GOA65610 GXW65596:GXW65610 HHS65596:HHS65610 HRO65596:HRO65610 IBK65596:IBK65610 ILG65596:ILG65610 IVC65596:IVC65610 JEY65596:JEY65610 JOU65596:JOU65610 JYQ65596:JYQ65610 KIM65596:KIM65610 KSI65596:KSI65610 LCE65596:LCE65610 LMA65596:LMA65610 LVW65596:LVW65610 MFS65596:MFS65610 MPO65596:MPO65610 MZK65596:MZK65610 NJG65596:NJG65610 NTC65596:NTC65610 OCY65596:OCY65610 OMU65596:OMU65610 OWQ65596:OWQ65610 PGM65596:PGM65610 PQI65596:PQI65610 QAE65596:QAE65610 QKA65596:QKA65610 QTW65596:QTW65610 RDS65596:RDS65610 RNO65596:RNO65610 RXK65596:RXK65610 SHG65596:SHG65610 SRC65596:SRC65610 TAY65596:TAY65610 TKU65596:TKU65610 TUQ65596:TUQ65610 UEM65596:UEM65610 UOI65596:UOI65610 UYE65596:UYE65610 VIA65596:VIA65610 VRW65596:VRW65610 WBS65596:WBS65610 WLO65596:WLO65610 WVK65596:WVK65610 C131132:C131146 IY131132:IY131146 SU131132:SU131146 ACQ131132:ACQ131146 AMM131132:AMM131146 AWI131132:AWI131146 BGE131132:BGE131146 BQA131132:BQA131146 BZW131132:BZW131146 CJS131132:CJS131146 CTO131132:CTO131146 DDK131132:DDK131146 DNG131132:DNG131146 DXC131132:DXC131146 EGY131132:EGY131146 EQU131132:EQU131146 FAQ131132:FAQ131146 FKM131132:FKM131146 FUI131132:FUI131146 GEE131132:GEE131146 GOA131132:GOA131146 GXW131132:GXW131146 HHS131132:HHS131146 HRO131132:HRO131146 IBK131132:IBK131146 ILG131132:ILG131146 IVC131132:IVC131146 JEY131132:JEY131146 JOU131132:JOU131146 JYQ131132:JYQ131146 KIM131132:KIM131146 KSI131132:KSI131146 LCE131132:LCE131146 LMA131132:LMA131146 LVW131132:LVW131146 MFS131132:MFS131146 MPO131132:MPO131146 MZK131132:MZK131146 NJG131132:NJG131146 NTC131132:NTC131146 OCY131132:OCY131146 OMU131132:OMU131146 OWQ131132:OWQ131146 PGM131132:PGM131146 PQI131132:PQI131146 QAE131132:QAE131146 QKA131132:QKA131146 QTW131132:QTW131146 RDS131132:RDS131146 RNO131132:RNO131146 RXK131132:RXK131146 SHG131132:SHG131146 SRC131132:SRC131146 TAY131132:TAY131146 TKU131132:TKU131146 TUQ131132:TUQ131146 UEM131132:UEM131146 UOI131132:UOI131146 UYE131132:UYE131146 VIA131132:VIA131146 VRW131132:VRW131146 WBS131132:WBS131146 WLO131132:WLO131146 WVK131132:WVK131146 C196668:C196682 IY196668:IY196682 SU196668:SU196682 ACQ196668:ACQ196682 AMM196668:AMM196682 AWI196668:AWI196682 BGE196668:BGE196682 BQA196668:BQA196682 BZW196668:BZW196682 CJS196668:CJS196682 CTO196668:CTO196682 DDK196668:DDK196682 DNG196668:DNG196682 DXC196668:DXC196682 EGY196668:EGY196682 EQU196668:EQU196682 FAQ196668:FAQ196682 FKM196668:FKM196682 FUI196668:FUI196682 GEE196668:GEE196682 GOA196668:GOA196682 GXW196668:GXW196682 HHS196668:HHS196682 HRO196668:HRO196682 IBK196668:IBK196682 ILG196668:ILG196682 IVC196668:IVC196682 JEY196668:JEY196682 JOU196668:JOU196682 JYQ196668:JYQ196682 KIM196668:KIM196682 KSI196668:KSI196682 LCE196668:LCE196682 LMA196668:LMA196682 LVW196668:LVW196682 MFS196668:MFS196682 MPO196668:MPO196682 MZK196668:MZK196682 NJG196668:NJG196682 NTC196668:NTC196682 OCY196668:OCY196682 OMU196668:OMU196682 OWQ196668:OWQ196682 PGM196668:PGM196682 PQI196668:PQI196682 QAE196668:QAE196682 QKA196668:QKA196682 QTW196668:QTW196682 RDS196668:RDS196682 RNO196668:RNO196682 RXK196668:RXK196682 SHG196668:SHG196682 SRC196668:SRC196682 TAY196668:TAY196682 TKU196668:TKU196682 TUQ196668:TUQ196682 UEM196668:UEM196682 UOI196668:UOI196682 UYE196668:UYE196682 VIA196668:VIA196682 VRW196668:VRW196682 WBS196668:WBS196682 WLO196668:WLO196682 WVK196668:WVK196682 C262204:C262218 IY262204:IY262218 SU262204:SU262218 ACQ262204:ACQ262218 AMM262204:AMM262218 AWI262204:AWI262218 BGE262204:BGE262218 BQA262204:BQA262218 BZW262204:BZW262218 CJS262204:CJS262218 CTO262204:CTO262218 DDK262204:DDK262218 DNG262204:DNG262218 DXC262204:DXC262218 EGY262204:EGY262218 EQU262204:EQU262218 FAQ262204:FAQ262218 FKM262204:FKM262218 FUI262204:FUI262218 GEE262204:GEE262218 GOA262204:GOA262218 GXW262204:GXW262218 HHS262204:HHS262218 HRO262204:HRO262218 IBK262204:IBK262218 ILG262204:ILG262218 IVC262204:IVC262218 JEY262204:JEY262218 JOU262204:JOU262218 JYQ262204:JYQ262218 KIM262204:KIM262218 KSI262204:KSI262218 LCE262204:LCE262218 LMA262204:LMA262218 LVW262204:LVW262218 MFS262204:MFS262218 MPO262204:MPO262218 MZK262204:MZK262218 NJG262204:NJG262218 NTC262204:NTC262218 OCY262204:OCY262218 OMU262204:OMU262218 OWQ262204:OWQ262218 PGM262204:PGM262218 PQI262204:PQI262218 QAE262204:QAE262218 QKA262204:QKA262218 QTW262204:QTW262218 RDS262204:RDS262218 RNO262204:RNO262218 RXK262204:RXK262218 SHG262204:SHG262218 SRC262204:SRC262218 TAY262204:TAY262218 TKU262204:TKU262218 TUQ262204:TUQ262218 UEM262204:UEM262218 UOI262204:UOI262218 UYE262204:UYE262218 VIA262204:VIA262218 VRW262204:VRW262218 WBS262204:WBS262218 WLO262204:WLO262218 WVK262204:WVK262218 C327740:C327754 IY327740:IY327754 SU327740:SU327754 ACQ327740:ACQ327754 AMM327740:AMM327754 AWI327740:AWI327754 BGE327740:BGE327754 BQA327740:BQA327754 BZW327740:BZW327754 CJS327740:CJS327754 CTO327740:CTO327754 DDK327740:DDK327754 DNG327740:DNG327754 DXC327740:DXC327754 EGY327740:EGY327754 EQU327740:EQU327754 FAQ327740:FAQ327754 FKM327740:FKM327754 FUI327740:FUI327754 GEE327740:GEE327754 GOA327740:GOA327754 GXW327740:GXW327754 HHS327740:HHS327754 HRO327740:HRO327754 IBK327740:IBK327754 ILG327740:ILG327754 IVC327740:IVC327754 JEY327740:JEY327754 JOU327740:JOU327754 JYQ327740:JYQ327754 KIM327740:KIM327754 KSI327740:KSI327754 LCE327740:LCE327754 LMA327740:LMA327754 LVW327740:LVW327754 MFS327740:MFS327754 MPO327740:MPO327754 MZK327740:MZK327754 NJG327740:NJG327754 NTC327740:NTC327754 OCY327740:OCY327754 OMU327740:OMU327754 OWQ327740:OWQ327754 PGM327740:PGM327754 PQI327740:PQI327754 QAE327740:QAE327754 QKA327740:QKA327754 QTW327740:QTW327754 RDS327740:RDS327754 RNO327740:RNO327754 RXK327740:RXK327754 SHG327740:SHG327754 SRC327740:SRC327754 TAY327740:TAY327754 TKU327740:TKU327754 TUQ327740:TUQ327754 UEM327740:UEM327754 UOI327740:UOI327754 UYE327740:UYE327754 VIA327740:VIA327754 VRW327740:VRW327754 WBS327740:WBS327754 WLO327740:WLO327754 WVK327740:WVK327754 C393276:C393290 IY393276:IY393290 SU393276:SU393290 ACQ393276:ACQ393290 AMM393276:AMM393290 AWI393276:AWI393290 BGE393276:BGE393290 BQA393276:BQA393290 BZW393276:BZW393290 CJS393276:CJS393290 CTO393276:CTO393290 DDK393276:DDK393290 DNG393276:DNG393290 DXC393276:DXC393290 EGY393276:EGY393290 EQU393276:EQU393290 FAQ393276:FAQ393290 FKM393276:FKM393290 FUI393276:FUI393290 GEE393276:GEE393290 GOA393276:GOA393290 GXW393276:GXW393290 HHS393276:HHS393290 HRO393276:HRO393290 IBK393276:IBK393290 ILG393276:ILG393290 IVC393276:IVC393290 JEY393276:JEY393290 JOU393276:JOU393290 JYQ393276:JYQ393290 KIM393276:KIM393290 KSI393276:KSI393290 LCE393276:LCE393290 LMA393276:LMA393290 LVW393276:LVW393290 MFS393276:MFS393290 MPO393276:MPO393290 MZK393276:MZK393290 NJG393276:NJG393290 NTC393276:NTC393290 OCY393276:OCY393290 OMU393276:OMU393290 OWQ393276:OWQ393290 PGM393276:PGM393290 PQI393276:PQI393290 QAE393276:QAE393290 QKA393276:QKA393290 QTW393276:QTW393290 RDS393276:RDS393290 RNO393276:RNO393290 RXK393276:RXK393290 SHG393276:SHG393290 SRC393276:SRC393290 TAY393276:TAY393290 TKU393276:TKU393290 TUQ393276:TUQ393290 UEM393276:UEM393290 UOI393276:UOI393290 UYE393276:UYE393290 VIA393276:VIA393290 VRW393276:VRW393290 WBS393276:WBS393290 WLO393276:WLO393290 WVK393276:WVK393290 C458812:C458826 IY458812:IY458826 SU458812:SU458826 ACQ458812:ACQ458826 AMM458812:AMM458826 AWI458812:AWI458826 BGE458812:BGE458826 BQA458812:BQA458826 BZW458812:BZW458826 CJS458812:CJS458826 CTO458812:CTO458826 DDK458812:DDK458826 DNG458812:DNG458826 DXC458812:DXC458826 EGY458812:EGY458826 EQU458812:EQU458826 FAQ458812:FAQ458826 FKM458812:FKM458826 FUI458812:FUI458826 GEE458812:GEE458826 GOA458812:GOA458826 GXW458812:GXW458826 HHS458812:HHS458826 HRO458812:HRO458826 IBK458812:IBK458826 ILG458812:ILG458826 IVC458812:IVC458826 JEY458812:JEY458826 JOU458812:JOU458826 JYQ458812:JYQ458826 KIM458812:KIM458826 KSI458812:KSI458826 LCE458812:LCE458826 LMA458812:LMA458826 LVW458812:LVW458826 MFS458812:MFS458826 MPO458812:MPO458826 MZK458812:MZK458826 NJG458812:NJG458826 NTC458812:NTC458826 OCY458812:OCY458826 OMU458812:OMU458826 OWQ458812:OWQ458826 PGM458812:PGM458826 PQI458812:PQI458826 QAE458812:QAE458826 QKA458812:QKA458826 QTW458812:QTW458826 RDS458812:RDS458826 RNO458812:RNO458826 RXK458812:RXK458826 SHG458812:SHG458826 SRC458812:SRC458826 TAY458812:TAY458826 TKU458812:TKU458826 TUQ458812:TUQ458826 UEM458812:UEM458826 UOI458812:UOI458826 UYE458812:UYE458826 VIA458812:VIA458826 VRW458812:VRW458826 WBS458812:WBS458826 WLO458812:WLO458826 WVK458812:WVK458826 C524348:C524362 IY524348:IY524362 SU524348:SU524362 ACQ524348:ACQ524362 AMM524348:AMM524362 AWI524348:AWI524362 BGE524348:BGE524362 BQA524348:BQA524362 BZW524348:BZW524362 CJS524348:CJS524362 CTO524348:CTO524362 DDK524348:DDK524362 DNG524348:DNG524362 DXC524348:DXC524362 EGY524348:EGY524362 EQU524348:EQU524362 FAQ524348:FAQ524362 FKM524348:FKM524362 FUI524348:FUI524362 GEE524348:GEE524362 GOA524348:GOA524362 GXW524348:GXW524362 HHS524348:HHS524362 HRO524348:HRO524362 IBK524348:IBK524362 ILG524348:ILG524362 IVC524348:IVC524362 JEY524348:JEY524362 JOU524348:JOU524362 JYQ524348:JYQ524362 KIM524348:KIM524362 KSI524348:KSI524362 LCE524348:LCE524362 LMA524348:LMA524362 LVW524348:LVW524362 MFS524348:MFS524362 MPO524348:MPO524362 MZK524348:MZK524362 NJG524348:NJG524362 NTC524348:NTC524362 OCY524348:OCY524362 OMU524348:OMU524362 OWQ524348:OWQ524362 PGM524348:PGM524362 PQI524348:PQI524362 QAE524348:QAE524362 QKA524348:QKA524362 QTW524348:QTW524362 RDS524348:RDS524362 RNO524348:RNO524362 RXK524348:RXK524362 SHG524348:SHG524362 SRC524348:SRC524362 TAY524348:TAY524362 TKU524348:TKU524362 TUQ524348:TUQ524362 UEM524348:UEM524362 UOI524348:UOI524362 UYE524348:UYE524362 VIA524348:VIA524362 VRW524348:VRW524362 WBS524348:WBS524362 WLO524348:WLO524362 WVK524348:WVK524362 C589884:C589898 IY589884:IY589898 SU589884:SU589898 ACQ589884:ACQ589898 AMM589884:AMM589898 AWI589884:AWI589898 BGE589884:BGE589898 BQA589884:BQA589898 BZW589884:BZW589898 CJS589884:CJS589898 CTO589884:CTO589898 DDK589884:DDK589898 DNG589884:DNG589898 DXC589884:DXC589898 EGY589884:EGY589898 EQU589884:EQU589898 FAQ589884:FAQ589898 FKM589884:FKM589898 FUI589884:FUI589898 GEE589884:GEE589898 GOA589884:GOA589898 GXW589884:GXW589898 HHS589884:HHS589898 HRO589884:HRO589898 IBK589884:IBK589898 ILG589884:ILG589898 IVC589884:IVC589898 JEY589884:JEY589898 JOU589884:JOU589898 JYQ589884:JYQ589898 KIM589884:KIM589898 KSI589884:KSI589898 LCE589884:LCE589898 LMA589884:LMA589898 LVW589884:LVW589898 MFS589884:MFS589898 MPO589884:MPO589898 MZK589884:MZK589898 NJG589884:NJG589898 NTC589884:NTC589898 OCY589884:OCY589898 OMU589884:OMU589898 OWQ589884:OWQ589898 PGM589884:PGM589898 PQI589884:PQI589898 QAE589884:QAE589898 QKA589884:QKA589898 QTW589884:QTW589898 RDS589884:RDS589898 RNO589884:RNO589898 RXK589884:RXK589898 SHG589884:SHG589898 SRC589884:SRC589898 TAY589884:TAY589898 TKU589884:TKU589898 TUQ589884:TUQ589898 UEM589884:UEM589898 UOI589884:UOI589898 UYE589884:UYE589898 VIA589884:VIA589898 VRW589884:VRW589898 WBS589884:WBS589898 WLO589884:WLO589898 WVK589884:WVK589898 C655420:C655434 IY655420:IY655434 SU655420:SU655434 ACQ655420:ACQ655434 AMM655420:AMM655434 AWI655420:AWI655434 BGE655420:BGE655434 BQA655420:BQA655434 BZW655420:BZW655434 CJS655420:CJS655434 CTO655420:CTO655434 DDK655420:DDK655434 DNG655420:DNG655434 DXC655420:DXC655434 EGY655420:EGY655434 EQU655420:EQU655434 FAQ655420:FAQ655434 FKM655420:FKM655434 FUI655420:FUI655434 GEE655420:GEE655434 GOA655420:GOA655434 GXW655420:GXW655434 HHS655420:HHS655434 HRO655420:HRO655434 IBK655420:IBK655434 ILG655420:ILG655434 IVC655420:IVC655434 JEY655420:JEY655434 JOU655420:JOU655434 JYQ655420:JYQ655434 KIM655420:KIM655434 KSI655420:KSI655434 LCE655420:LCE655434 LMA655420:LMA655434 LVW655420:LVW655434 MFS655420:MFS655434 MPO655420:MPO655434 MZK655420:MZK655434 NJG655420:NJG655434 NTC655420:NTC655434 OCY655420:OCY655434 OMU655420:OMU655434 OWQ655420:OWQ655434 PGM655420:PGM655434 PQI655420:PQI655434 QAE655420:QAE655434 QKA655420:QKA655434 QTW655420:QTW655434 RDS655420:RDS655434 RNO655420:RNO655434 RXK655420:RXK655434 SHG655420:SHG655434 SRC655420:SRC655434 TAY655420:TAY655434 TKU655420:TKU655434 TUQ655420:TUQ655434 UEM655420:UEM655434 UOI655420:UOI655434 UYE655420:UYE655434 VIA655420:VIA655434 VRW655420:VRW655434 WBS655420:WBS655434 WLO655420:WLO655434 WVK655420:WVK655434 C720956:C720970 IY720956:IY720970 SU720956:SU720970 ACQ720956:ACQ720970 AMM720956:AMM720970 AWI720956:AWI720970 BGE720956:BGE720970 BQA720956:BQA720970 BZW720956:BZW720970 CJS720956:CJS720970 CTO720956:CTO720970 DDK720956:DDK720970 DNG720956:DNG720970 DXC720956:DXC720970 EGY720956:EGY720970 EQU720956:EQU720970 FAQ720956:FAQ720970 FKM720956:FKM720970 FUI720956:FUI720970 GEE720956:GEE720970 GOA720956:GOA720970 GXW720956:GXW720970 HHS720956:HHS720970 HRO720956:HRO720970 IBK720956:IBK720970 ILG720956:ILG720970 IVC720956:IVC720970 JEY720956:JEY720970 JOU720956:JOU720970 JYQ720956:JYQ720970 KIM720956:KIM720970 KSI720956:KSI720970 LCE720956:LCE720970 LMA720956:LMA720970 LVW720956:LVW720970 MFS720956:MFS720970 MPO720956:MPO720970 MZK720956:MZK720970 NJG720956:NJG720970 NTC720956:NTC720970 OCY720956:OCY720970 OMU720956:OMU720970 OWQ720956:OWQ720970 PGM720956:PGM720970 PQI720956:PQI720970 QAE720956:QAE720970 QKA720956:QKA720970 QTW720956:QTW720970 RDS720956:RDS720970 RNO720956:RNO720970 RXK720956:RXK720970 SHG720956:SHG720970 SRC720956:SRC720970 TAY720956:TAY720970 TKU720956:TKU720970 TUQ720956:TUQ720970 UEM720956:UEM720970 UOI720956:UOI720970 UYE720956:UYE720970 VIA720956:VIA720970 VRW720956:VRW720970 WBS720956:WBS720970 WLO720956:WLO720970 WVK720956:WVK720970 C786492:C786506 IY786492:IY786506 SU786492:SU786506 ACQ786492:ACQ786506 AMM786492:AMM786506 AWI786492:AWI786506 BGE786492:BGE786506 BQA786492:BQA786506 BZW786492:BZW786506 CJS786492:CJS786506 CTO786492:CTO786506 DDK786492:DDK786506 DNG786492:DNG786506 DXC786492:DXC786506 EGY786492:EGY786506 EQU786492:EQU786506 FAQ786492:FAQ786506 FKM786492:FKM786506 FUI786492:FUI786506 GEE786492:GEE786506 GOA786492:GOA786506 GXW786492:GXW786506 HHS786492:HHS786506 HRO786492:HRO786506 IBK786492:IBK786506 ILG786492:ILG786506 IVC786492:IVC786506 JEY786492:JEY786506 JOU786492:JOU786506 JYQ786492:JYQ786506 KIM786492:KIM786506 KSI786492:KSI786506 LCE786492:LCE786506 LMA786492:LMA786506 LVW786492:LVW786506 MFS786492:MFS786506 MPO786492:MPO786506 MZK786492:MZK786506 NJG786492:NJG786506 NTC786492:NTC786506 OCY786492:OCY786506 OMU786492:OMU786506 OWQ786492:OWQ786506 PGM786492:PGM786506 PQI786492:PQI786506 QAE786492:QAE786506 QKA786492:QKA786506 QTW786492:QTW786506 RDS786492:RDS786506 RNO786492:RNO786506 RXK786492:RXK786506 SHG786492:SHG786506 SRC786492:SRC786506 TAY786492:TAY786506 TKU786492:TKU786506 TUQ786492:TUQ786506 UEM786492:UEM786506 UOI786492:UOI786506 UYE786492:UYE786506 VIA786492:VIA786506 VRW786492:VRW786506 WBS786492:WBS786506 WLO786492:WLO786506 WVK786492:WVK786506 C852028:C852042 IY852028:IY852042 SU852028:SU852042 ACQ852028:ACQ852042 AMM852028:AMM852042 AWI852028:AWI852042 BGE852028:BGE852042 BQA852028:BQA852042 BZW852028:BZW852042 CJS852028:CJS852042 CTO852028:CTO852042 DDK852028:DDK852042 DNG852028:DNG852042 DXC852028:DXC852042 EGY852028:EGY852042 EQU852028:EQU852042 FAQ852028:FAQ852042 FKM852028:FKM852042 FUI852028:FUI852042 GEE852028:GEE852042 GOA852028:GOA852042 GXW852028:GXW852042 HHS852028:HHS852042 HRO852028:HRO852042 IBK852028:IBK852042 ILG852028:ILG852042 IVC852028:IVC852042 JEY852028:JEY852042 JOU852028:JOU852042 JYQ852028:JYQ852042 KIM852028:KIM852042 KSI852028:KSI852042 LCE852028:LCE852042 LMA852028:LMA852042 LVW852028:LVW852042 MFS852028:MFS852042 MPO852028:MPO852042 MZK852028:MZK852042 NJG852028:NJG852042 NTC852028:NTC852042 OCY852028:OCY852042 OMU852028:OMU852042 OWQ852028:OWQ852042 PGM852028:PGM852042 PQI852028:PQI852042 QAE852028:QAE852042 QKA852028:QKA852042 QTW852028:QTW852042 RDS852028:RDS852042 RNO852028:RNO852042 RXK852028:RXK852042 SHG852028:SHG852042 SRC852028:SRC852042 TAY852028:TAY852042 TKU852028:TKU852042 TUQ852028:TUQ852042 UEM852028:UEM852042 UOI852028:UOI852042 UYE852028:UYE852042 VIA852028:VIA852042 VRW852028:VRW852042 WBS852028:WBS852042 WLO852028:WLO852042 WVK852028:WVK852042 C917564:C917578 IY917564:IY917578 SU917564:SU917578 ACQ917564:ACQ917578 AMM917564:AMM917578 AWI917564:AWI917578 BGE917564:BGE917578 BQA917564:BQA917578 BZW917564:BZW917578 CJS917564:CJS917578 CTO917564:CTO917578 DDK917564:DDK917578 DNG917564:DNG917578 DXC917564:DXC917578 EGY917564:EGY917578 EQU917564:EQU917578 FAQ917564:FAQ917578 FKM917564:FKM917578 FUI917564:FUI917578 GEE917564:GEE917578 GOA917564:GOA917578 GXW917564:GXW917578 HHS917564:HHS917578 HRO917564:HRO917578 IBK917564:IBK917578 ILG917564:ILG917578 IVC917564:IVC917578 JEY917564:JEY917578 JOU917564:JOU917578 JYQ917564:JYQ917578 KIM917564:KIM917578 KSI917564:KSI917578 LCE917564:LCE917578 LMA917564:LMA917578 LVW917564:LVW917578 MFS917564:MFS917578 MPO917564:MPO917578 MZK917564:MZK917578 NJG917564:NJG917578 NTC917564:NTC917578 OCY917564:OCY917578 OMU917564:OMU917578 OWQ917564:OWQ917578 PGM917564:PGM917578 PQI917564:PQI917578 QAE917564:QAE917578 QKA917564:QKA917578 QTW917564:QTW917578 RDS917564:RDS917578 RNO917564:RNO917578 RXK917564:RXK917578 SHG917564:SHG917578 SRC917564:SRC917578 TAY917564:TAY917578 TKU917564:TKU917578 TUQ917564:TUQ917578 UEM917564:UEM917578 UOI917564:UOI917578 UYE917564:UYE917578 VIA917564:VIA917578 VRW917564:VRW917578 WBS917564:WBS917578 WLO917564:WLO917578 WVK917564:WVK917578 C983100:C983114 IY983100:IY983114 SU983100:SU983114 ACQ983100:ACQ983114 AMM983100:AMM983114 AWI983100:AWI983114 BGE983100:BGE983114 BQA983100:BQA983114 BZW983100:BZW983114 CJS983100:CJS983114 CTO983100:CTO983114 DDK983100:DDK983114 DNG983100:DNG983114 DXC983100:DXC983114 EGY983100:EGY983114 EQU983100:EQU983114 FAQ983100:FAQ983114 FKM983100:FKM983114 FUI983100:FUI983114 GEE983100:GEE983114 GOA983100:GOA983114 GXW983100:GXW983114 HHS983100:HHS983114 HRO983100:HRO983114 IBK983100:IBK983114 ILG983100:ILG983114 IVC983100:IVC983114 JEY983100:JEY983114 JOU983100:JOU983114 JYQ983100:JYQ983114 KIM983100:KIM983114 KSI983100:KSI983114 LCE983100:LCE983114 LMA983100:LMA983114 LVW983100:LVW983114 MFS983100:MFS983114 MPO983100:MPO983114 MZK983100:MZK983114 NJG983100:NJG983114 NTC983100:NTC983114 OCY983100:OCY983114 OMU983100:OMU983114 OWQ983100:OWQ983114 PGM983100:PGM983114 PQI983100:PQI983114 QAE983100:QAE983114 QKA983100:QKA983114 QTW983100:QTW983114 RDS983100:RDS983114 RNO983100:RNO983114 RXK983100:RXK983114 SHG983100:SHG983114 SRC983100:SRC983114 TAY983100:TAY983114 TKU983100:TKU983114 TUQ983100:TUQ983114 UEM983100:UEM983114 UOI983100:UOI983114 UYE983100:UYE983114 VIA983100:VIA983114 VRW983100:VRW983114 WBS983100:WBS983114 WLO983100:WLO983114 WVK983100:WVK983114 D65:D78 IZ65:IZ78 SV65:SV78 ACR65:ACR78 AMN65:AMN78 AWJ65:AWJ78 BGF65:BGF78 BQB65:BQB78 BZX65:BZX78 CJT65:CJT78 CTP65:CTP78 DDL65:DDL78 DNH65:DNH78 DXD65:DXD78 EGZ65:EGZ78 EQV65:EQV78 FAR65:FAR78 FKN65:FKN78 FUJ65:FUJ78 GEF65:GEF78 GOB65:GOB78 GXX65:GXX78 HHT65:HHT78 HRP65:HRP78 IBL65:IBL78 ILH65:ILH78 IVD65:IVD78 JEZ65:JEZ78 JOV65:JOV78 JYR65:JYR78 KIN65:KIN78 KSJ65:KSJ78 LCF65:LCF78 LMB65:LMB78 LVX65:LVX78 MFT65:MFT78 MPP65:MPP78 MZL65:MZL78 NJH65:NJH78 NTD65:NTD78 OCZ65:OCZ78 OMV65:OMV78 OWR65:OWR78 PGN65:PGN78 PQJ65:PQJ78 QAF65:QAF78 QKB65:QKB78 QTX65:QTX78 RDT65:RDT78 RNP65:RNP78 RXL65:RXL78 SHH65:SHH78 SRD65:SRD78 TAZ65:TAZ78 TKV65:TKV78 TUR65:TUR78 UEN65:UEN78 UOJ65:UOJ78 UYF65:UYF78 VIB65:VIB78 VRX65:VRX78 WBT65:WBT78 WLP65:WLP78 WVL65:WVL78 D65597:D65610 IZ65597:IZ65610 SV65597:SV65610 ACR65597:ACR65610 AMN65597:AMN65610 AWJ65597:AWJ65610 BGF65597:BGF65610 BQB65597:BQB65610 BZX65597:BZX65610 CJT65597:CJT65610 CTP65597:CTP65610 DDL65597:DDL65610 DNH65597:DNH65610 DXD65597:DXD65610 EGZ65597:EGZ65610 EQV65597:EQV65610 FAR65597:FAR65610 FKN65597:FKN65610 FUJ65597:FUJ65610 GEF65597:GEF65610 GOB65597:GOB65610 GXX65597:GXX65610 HHT65597:HHT65610 HRP65597:HRP65610 IBL65597:IBL65610 ILH65597:ILH65610 IVD65597:IVD65610 JEZ65597:JEZ65610 JOV65597:JOV65610 JYR65597:JYR65610 KIN65597:KIN65610 KSJ65597:KSJ65610 LCF65597:LCF65610 LMB65597:LMB65610 LVX65597:LVX65610 MFT65597:MFT65610 MPP65597:MPP65610 MZL65597:MZL65610 NJH65597:NJH65610 NTD65597:NTD65610 OCZ65597:OCZ65610 OMV65597:OMV65610 OWR65597:OWR65610 PGN65597:PGN65610 PQJ65597:PQJ65610 QAF65597:QAF65610 QKB65597:QKB65610 QTX65597:QTX65610 RDT65597:RDT65610 RNP65597:RNP65610 RXL65597:RXL65610 SHH65597:SHH65610 SRD65597:SRD65610 TAZ65597:TAZ65610 TKV65597:TKV65610 TUR65597:TUR65610 UEN65597:UEN65610 UOJ65597:UOJ65610 UYF65597:UYF65610 VIB65597:VIB65610 VRX65597:VRX65610 WBT65597:WBT65610 WLP65597:WLP65610 WVL65597:WVL65610 D131133:D131146 IZ131133:IZ131146 SV131133:SV131146 ACR131133:ACR131146 AMN131133:AMN131146 AWJ131133:AWJ131146 BGF131133:BGF131146 BQB131133:BQB131146 BZX131133:BZX131146 CJT131133:CJT131146 CTP131133:CTP131146 DDL131133:DDL131146 DNH131133:DNH131146 DXD131133:DXD131146 EGZ131133:EGZ131146 EQV131133:EQV131146 FAR131133:FAR131146 FKN131133:FKN131146 FUJ131133:FUJ131146 GEF131133:GEF131146 GOB131133:GOB131146 GXX131133:GXX131146 HHT131133:HHT131146 HRP131133:HRP131146 IBL131133:IBL131146 ILH131133:ILH131146 IVD131133:IVD131146 JEZ131133:JEZ131146 JOV131133:JOV131146 JYR131133:JYR131146 KIN131133:KIN131146 KSJ131133:KSJ131146 LCF131133:LCF131146 LMB131133:LMB131146 LVX131133:LVX131146 MFT131133:MFT131146 MPP131133:MPP131146 MZL131133:MZL131146 NJH131133:NJH131146 NTD131133:NTD131146 OCZ131133:OCZ131146 OMV131133:OMV131146 OWR131133:OWR131146 PGN131133:PGN131146 PQJ131133:PQJ131146 QAF131133:QAF131146 QKB131133:QKB131146 QTX131133:QTX131146 RDT131133:RDT131146 RNP131133:RNP131146 RXL131133:RXL131146 SHH131133:SHH131146 SRD131133:SRD131146 TAZ131133:TAZ131146 TKV131133:TKV131146 TUR131133:TUR131146 UEN131133:UEN131146 UOJ131133:UOJ131146 UYF131133:UYF131146 VIB131133:VIB131146 VRX131133:VRX131146 WBT131133:WBT131146 WLP131133:WLP131146 WVL131133:WVL131146 D196669:D196682 IZ196669:IZ196682 SV196669:SV196682 ACR196669:ACR196682 AMN196669:AMN196682 AWJ196669:AWJ196682 BGF196669:BGF196682 BQB196669:BQB196682 BZX196669:BZX196682 CJT196669:CJT196682 CTP196669:CTP196682 DDL196669:DDL196682 DNH196669:DNH196682 DXD196669:DXD196682 EGZ196669:EGZ196682 EQV196669:EQV196682 FAR196669:FAR196682 FKN196669:FKN196682 FUJ196669:FUJ196682 GEF196669:GEF196682 GOB196669:GOB196682 GXX196669:GXX196682 HHT196669:HHT196682 HRP196669:HRP196682 IBL196669:IBL196682 ILH196669:ILH196682 IVD196669:IVD196682 JEZ196669:JEZ196682 JOV196669:JOV196682 JYR196669:JYR196682 KIN196669:KIN196682 KSJ196669:KSJ196682 LCF196669:LCF196682 LMB196669:LMB196682 LVX196669:LVX196682 MFT196669:MFT196682 MPP196669:MPP196682 MZL196669:MZL196682 NJH196669:NJH196682 NTD196669:NTD196682 OCZ196669:OCZ196682 OMV196669:OMV196682 OWR196669:OWR196682 PGN196669:PGN196682 PQJ196669:PQJ196682 QAF196669:QAF196682 QKB196669:QKB196682 QTX196669:QTX196682 RDT196669:RDT196682 RNP196669:RNP196682 RXL196669:RXL196682 SHH196669:SHH196682 SRD196669:SRD196682 TAZ196669:TAZ196682 TKV196669:TKV196682 TUR196669:TUR196682 UEN196669:UEN196682 UOJ196669:UOJ196682 UYF196669:UYF196682 VIB196669:VIB196682 VRX196669:VRX196682 WBT196669:WBT196682 WLP196669:WLP196682 WVL196669:WVL196682 D262205:D262218 IZ262205:IZ262218 SV262205:SV262218 ACR262205:ACR262218 AMN262205:AMN262218 AWJ262205:AWJ262218 BGF262205:BGF262218 BQB262205:BQB262218 BZX262205:BZX262218 CJT262205:CJT262218 CTP262205:CTP262218 DDL262205:DDL262218 DNH262205:DNH262218 DXD262205:DXD262218 EGZ262205:EGZ262218 EQV262205:EQV262218 FAR262205:FAR262218 FKN262205:FKN262218 FUJ262205:FUJ262218 GEF262205:GEF262218 GOB262205:GOB262218 GXX262205:GXX262218 HHT262205:HHT262218 HRP262205:HRP262218 IBL262205:IBL262218 ILH262205:ILH262218 IVD262205:IVD262218 JEZ262205:JEZ262218 JOV262205:JOV262218 JYR262205:JYR262218 KIN262205:KIN262218 KSJ262205:KSJ262218 LCF262205:LCF262218 LMB262205:LMB262218 LVX262205:LVX262218 MFT262205:MFT262218 MPP262205:MPP262218 MZL262205:MZL262218 NJH262205:NJH262218 NTD262205:NTD262218 OCZ262205:OCZ262218 OMV262205:OMV262218 OWR262205:OWR262218 PGN262205:PGN262218 PQJ262205:PQJ262218 QAF262205:QAF262218 QKB262205:QKB262218 QTX262205:QTX262218 RDT262205:RDT262218 RNP262205:RNP262218 RXL262205:RXL262218 SHH262205:SHH262218 SRD262205:SRD262218 TAZ262205:TAZ262218 TKV262205:TKV262218 TUR262205:TUR262218 UEN262205:UEN262218 UOJ262205:UOJ262218 UYF262205:UYF262218 VIB262205:VIB262218 VRX262205:VRX262218 WBT262205:WBT262218 WLP262205:WLP262218 WVL262205:WVL262218 D327741:D327754 IZ327741:IZ327754 SV327741:SV327754 ACR327741:ACR327754 AMN327741:AMN327754 AWJ327741:AWJ327754 BGF327741:BGF327754 BQB327741:BQB327754 BZX327741:BZX327754 CJT327741:CJT327754 CTP327741:CTP327754 DDL327741:DDL327754 DNH327741:DNH327754 DXD327741:DXD327754 EGZ327741:EGZ327754 EQV327741:EQV327754 FAR327741:FAR327754 FKN327741:FKN327754 FUJ327741:FUJ327754 GEF327741:GEF327754 GOB327741:GOB327754 GXX327741:GXX327754 HHT327741:HHT327754 HRP327741:HRP327754 IBL327741:IBL327754 ILH327741:ILH327754 IVD327741:IVD327754 JEZ327741:JEZ327754 JOV327741:JOV327754 JYR327741:JYR327754 KIN327741:KIN327754 KSJ327741:KSJ327754 LCF327741:LCF327754 LMB327741:LMB327754 LVX327741:LVX327754 MFT327741:MFT327754 MPP327741:MPP327754 MZL327741:MZL327754 NJH327741:NJH327754 NTD327741:NTD327754 OCZ327741:OCZ327754 OMV327741:OMV327754 OWR327741:OWR327754 PGN327741:PGN327754 PQJ327741:PQJ327754 QAF327741:QAF327754 QKB327741:QKB327754 QTX327741:QTX327754 RDT327741:RDT327754 RNP327741:RNP327754 RXL327741:RXL327754 SHH327741:SHH327754 SRD327741:SRD327754 TAZ327741:TAZ327754 TKV327741:TKV327754 TUR327741:TUR327754 UEN327741:UEN327754 UOJ327741:UOJ327754 UYF327741:UYF327754 VIB327741:VIB327754 VRX327741:VRX327754 WBT327741:WBT327754 WLP327741:WLP327754 WVL327741:WVL327754 D393277:D393290 IZ393277:IZ393290 SV393277:SV393290 ACR393277:ACR393290 AMN393277:AMN393290 AWJ393277:AWJ393290 BGF393277:BGF393290 BQB393277:BQB393290 BZX393277:BZX393290 CJT393277:CJT393290 CTP393277:CTP393290 DDL393277:DDL393290 DNH393277:DNH393290 DXD393277:DXD393290 EGZ393277:EGZ393290 EQV393277:EQV393290 FAR393277:FAR393290 FKN393277:FKN393290 FUJ393277:FUJ393290 GEF393277:GEF393290 GOB393277:GOB393290 GXX393277:GXX393290 HHT393277:HHT393290 HRP393277:HRP393290 IBL393277:IBL393290 ILH393277:ILH393290 IVD393277:IVD393290 JEZ393277:JEZ393290 JOV393277:JOV393290 JYR393277:JYR393290 KIN393277:KIN393290 KSJ393277:KSJ393290 LCF393277:LCF393290 LMB393277:LMB393290 LVX393277:LVX393290 MFT393277:MFT393290 MPP393277:MPP393290 MZL393277:MZL393290 NJH393277:NJH393290 NTD393277:NTD393290 OCZ393277:OCZ393290 OMV393277:OMV393290 OWR393277:OWR393290 PGN393277:PGN393290 PQJ393277:PQJ393290 QAF393277:QAF393290 QKB393277:QKB393290 QTX393277:QTX393290 RDT393277:RDT393290 RNP393277:RNP393290 RXL393277:RXL393290 SHH393277:SHH393290 SRD393277:SRD393290 TAZ393277:TAZ393290 TKV393277:TKV393290 TUR393277:TUR393290 UEN393277:UEN393290 UOJ393277:UOJ393290 UYF393277:UYF393290 VIB393277:VIB393290 VRX393277:VRX393290 WBT393277:WBT393290 WLP393277:WLP393290 WVL393277:WVL393290 D458813:D458826 IZ458813:IZ458826 SV458813:SV458826 ACR458813:ACR458826 AMN458813:AMN458826 AWJ458813:AWJ458826 BGF458813:BGF458826 BQB458813:BQB458826 BZX458813:BZX458826 CJT458813:CJT458826 CTP458813:CTP458826 DDL458813:DDL458826 DNH458813:DNH458826 DXD458813:DXD458826 EGZ458813:EGZ458826 EQV458813:EQV458826 FAR458813:FAR458826 FKN458813:FKN458826 FUJ458813:FUJ458826 GEF458813:GEF458826 GOB458813:GOB458826 GXX458813:GXX458826 HHT458813:HHT458826 HRP458813:HRP458826 IBL458813:IBL458826 ILH458813:ILH458826 IVD458813:IVD458826 JEZ458813:JEZ458826 JOV458813:JOV458826 JYR458813:JYR458826 KIN458813:KIN458826 KSJ458813:KSJ458826 LCF458813:LCF458826 LMB458813:LMB458826 LVX458813:LVX458826 MFT458813:MFT458826 MPP458813:MPP458826 MZL458813:MZL458826 NJH458813:NJH458826 NTD458813:NTD458826 OCZ458813:OCZ458826 OMV458813:OMV458826 OWR458813:OWR458826 PGN458813:PGN458826 PQJ458813:PQJ458826 QAF458813:QAF458826 QKB458813:QKB458826 QTX458813:QTX458826 RDT458813:RDT458826 RNP458813:RNP458826 RXL458813:RXL458826 SHH458813:SHH458826 SRD458813:SRD458826 TAZ458813:TAZ458826 TKV458813:TKV458826 TUR458813:TUR458826 UEN458813:UEN458826 UOJ458813:UOJ458826 UYF458813:UYF458826 VIB458813:VIB458826 VRX458813:VRX458826 WBT458813:WBT458826 WLP458813:WLP458826 WVL458813:WVL458826 D524349:D524362 IZ524349:IZ524362 SV524349:SV524362 ACR524349:ACR524362 AMN524349:AMN524362 AWJ524349:AWJ524362 BGF524349:BGF524362 BQB524349:BQB524362 BZX524349:BZX524362 CJT524349:CJT524362 CTP524349:CTP524362 DDL524349:DDL524362 DNH524349:DNH524362 DXD524349:DXD524362 EGZ524349:EGZ524362 EQV524349:EQV524362 FAR524349:FAR524362 FKN524349:FKN524362 FUJ524349:FUJ524362 GEF524349:GEF524362 GOB524349:GOB524362 GXX524349:GXX524362 HHT524349:HHT524362 HRP524349:HRP524362 IBL524349:IBL524362 ILH524349:ILH524362 IVD524349:IVD524362 JEZ524349:JEZ524362 JOV524349:JOV524362 JYR524349:JYR524362 KIN524349:KIN524362 KSJ524349:KSJ524362 LCF524349:LCF524362 LMB524349:LMB524362 LVX524349:LVX524362 MFT524349:MFT524362 MPP524349:MPP524362 MZL524349:MZL524362 NJH524349:NJH524362 NTD524349:NTD524362 OCZ524349:OCZ524362 OMV524349:OMV524362 OWR524349:OWR524362 PGN524349:PGN524362 PQJ524349:PQJ524362 QAF524349:QAF524362 QKB524349:QKB524362 QTX524349:QTX524362 RDT524349:RDT524362 RNP524349:RNP524362 RXL524349:RXL524362 SHH524349:SHH524362 SRD524349:SRD524362 TAZ524349:TAZ524362 TKV524349:TKV524362 TUR524349:TUR524362 UEN524349:UEN524362 UOJ524349:UOJ524362 UYF524349:UYF524362 VIB524349:VIB524362 VRX524349:VRX524362 WBT524349:WBT524362 WLP524349:WLP524362 WVL524349:WVL524362 D589885:D589898 IZ589885:IZ589898 SV589885:SV589898 ACR589885:ACR589898 AMN589885:AMN589898 AWJ589885:AWJ589898 BGF589885:BGF589898 BQB589885:BQB589898 BZX589885:BZX589898 CJT589885:CJT589898 CTP589885:CTP589898 DDL589885:DDL589898 DNH589885:DNH589898 DXD589885:DXD589898 EGZ589885:EGZ589898 EQV589885:EQV589898 FAR589885:FAR589898 FKN589885:FKN589898 FUJ589885:FUJ589898 GEF589885:GEF589898 GOB589885:GOB589898 GXX589885:GXX589898 HHT589885:HHT589898 HRP589885:HRP589898 IBL589885:IBL589898 ILH589885:ILH589898 IVD589885:IVD589898 JEZ589885:JEZ589898 JOV589885:JOV589898 JYR589885:JYR589898 KIN589885:KIN589898 KSJ589885:KSJ589898 LCF589885:LCF589898 LMB589885:LMB589898 LVX589885:LVX589898 MFT589885:MFT589898 MPP589885:MPP589898 MZL589885:MZL589898 NJH589885:NJH589898 NTD589885:NTD589898 OCZ589885:OCZ589898 OMV589885:OMV589898 OWR589885:OWR589898 PGN589885:PGN589898 PQJ589885:PQJ589898 QAF589885:QAF589898 QKB589885:QKB589898 QTX589885:QTX589898 RDT589885:RDT589898 RNP589885:RNP589898 RXL589885:RXL589898 SHH589885:SHH589898 SRD589885:SRD589898 TAZ589885:TAZ589898 TKV589885:TKV589898 TUR589885:TUR589898 UEN589885:UEN589898 UOJ589885:UOJ589898 UYF589885:UYF589898 VIB589885:VIB589898 VRX589885:VRX589898 WBT589885:WBT589898 WLP589885:WLP589898 WVL589885:WVL589898 D655421:D655434 IZ655421:IZ655434 SV655421:SV655434 ACR655421:ACR655434 AMN655421:AMN655434 AWJ655421:AWJ655434 BGF655421:BGF655434 BQB655421:BQB655434 BZX655421:BZX655434 CJT655421:CJT655434 CTP655421:CTP655434 DDL655421:DDL655434 DNH655421:DNH655434 DXD655421:DXD655434 EGZ655421:EGZ655434 EQV655421:EQV655434 FAR655421:FAR655434 FKN655421:FKN655434 FUJ655421:FUJ655434 GEF655421:GEF655434 GOB655421:GOB655434 GXX655421:GXX655434 HHT655421:HHT655434 HRP655421:HRP655434 IBL655421:IBL655434 ILH655421:ILH655434 IVD655421:IVD655434 JEZ655421:JEZ655434 JOV655421:JOV655434 JYR655421:JYR655434 KIN655421:KIN655434 KSJ655421:KSJ655434 LCF655421:LCF655434 LMB655421:LMB655434 LVX655421:LVX655434 MFT655421:MFT655434 MPP655421:MPP655434 MZL655421:MZL655434 NJH655421:NJH655434 NTD655421:NTD655434 OCZ655421:OCZ655434 OMV655421:OMV655434 OWR655421:OWR655434 PGN655421:PGN655434 PQJ655421:PQJ655434 QAF655421:QAF655434 QKB655421:QKB655434 QTX655421:QTX655434 RDT655421:RDT655434 RNP655421:RNP655434 RXL655421:RXL655434 SHH655421:SHH655434 SRD655421:SRD655434 TAZ655421:TAZ655434 TKV655421:TKV655434 TUR655421:TUR655434 UEN655421:UEN655434 UOJ655421:UOJ655434 UYF655421:UYF655434 VIB655421:VIB655434 VRX655421:VRX655434 WBT655421:WBT655434 WLP655421:WLP655434 WVL655421:WVL655434 D720957:D720970 IZ720957:IZ720970 SV720957:SV720970 ACR720957:ACR720970 AMN720957:AMN720970 AWJ720957:AWJ720970 BGF720957:BGF720970 BQB720957:BQB720970 BZX720957:BZX720970 CJT720957:CJT720970 CTP720957:CTP720970 DDL720957:DDL720970 DNH720957:DNH720970 DXD720957:DXD720970 EGZ720957:EGZ720970 EQV720957:EQV720970 FAR720957:FAR720970 FKN720957:FKN720970 FUJ720957:FUJ720970 GEF720957:GEF720970 GOB720957:GOB720970 GXX720957:GXX720970 HHT720957:HHT720970 HRP720957:HRP720970 IBL720957:IBL720970 ILH720957:ILH720970 IVD720957:IVD720970 JEZ720957:JEZ720970 JOV720957:JOV720970 JYR720957:JYR720970 KIN720957:KIN720970 KSJ720957:KSJ720970 LCF720957:LCF720970 LMB720957:LMB720970 LVX720957:LVX720970 MFT720957:MFT720970 MPP720957:MPP720970 MZL720957:MZL720970 NJH720957:NJH720970 NTD720957:NTD720970 OCZ720957:OCZ720970 OMV720957:OMV720970 OWR720957:OWR720970 PGN720957:PGN720970 PQJ720957:PQJ720970 QAF720957:QAF720970 QKB720957:QKB720970 QTX720957:QTX720970 RDT720957:RDT720970 RNP720957:RNP720970 RXL720957:RXL720970 SHH720957:SHH720970 SRD720957:SRD720970 TAZ720957:TAZ720970 TKV720957:TKV720970 TUR720957:TUR720970 UEN720957:UEN720970 UOJ720957:UOJ720970 UYF720957:UYF720970 VIB720957:VIB720970 VRX720957:VRX720970 WBT720957:WBT720970 WLP720957:WLP720970 WVL720957:WVL720970 D786493:D786506 IZ786493:IZ786506 SV786493:SV786506 ACR786493:ACR786506 AMN786493:AMN786506 AWJ786493:AWJ786506 BGF786493:BGF786506 BQB786493:BQB786506 BZX786493:BZX786506 CJT786493:CJT786506 CTP786493:CTP786506 DDL786493:DDL786506 DNH786493:DNH786506 DXD786493:DXD786506 EGZ786493:EGZ786506 EQV786493:EQV786506 FAR786493:FAR786506 FKN786493:FKN786506 FUJ786493:FUJ786506 GEF786493:GEF786506 GOB786493:GOB786506 GXX786493:GXX786506 HHT786493:HHT786506 HRP786493:HRP786506 IBL786493:IBL786506 ILH786493:ILH786506 IVD786493:IVD786506 JEZ786493:JEZ786506 JOV786493:JOV786506 JYR786493:JYR786506 KIN786493:KIN786506 KSJ786493:KSJ786506 LCF786493:LCF786506 LMB786493:LMB786506 LVX786493:LVX786506 MFT786493:MFT786506 MPP786493:MPP786506 MZL786493:MZL786506 NJH786493:NJH786506 NTD786493:NTD786506 OCZ786493:OCZ786506 OMV786493:OMV786506 OWR786493:OWR786506 PGN786493:PGN786506 PQJ786493:PQJ786506 QAF786493:QAF786506 QKB786493:QKB786506 QTX786493:QTX786506 RDT786493:RDT786506 RNP786493:RNP786506 RXL786493:RXL786506 SHH786493:SHH786506 SRD786493:SRD786506 TAZ786493:TAZ786506 TKV786493:TKV786506 TUR786493:TUR786506 UEN786493:UEN786506 UOJ786493:UOJ786506 UYF786493:UYF786506 VIB786493:VIB786506 VRX786493:VRX786506 WBT786493:WBT786506 WLP786493:WLP786506 WVL786493:WVL786506 D852029:D852042 IZ852029:IZ852042 SV852029:SV852042 ACR852029:ACR852042 AMN852029:AMN852042 AWJ852029:AWJ852042 BGF852029:BGF852042 BQB852029:BQB852042 BZX852029:BZX852042 CJT852029:CJT852042 CTP852029:CTP852042 DDL852029:DDL852042 DNH852029:DNH852042 DXD852029:DXD852042 EGZ852029:EGZ852042 EQV852029:EQV852042 FAR852029:FAR852042 FKN852029:FKN852042 FUJ852029:FUJ852042 GEF852029:GEF852042 GOB852029:GOB852042 GXX852029:GXX852042 HHT852029:HHT852042 HRP852029:HRP852042 IBL852029:IBL852042 ILH852029:ILH852042 IVD852029:IVD852042 JEZ852029:JEZ852042 JOV852029:JOV852042 JYR852029:JYR852042 KIN852029:KIN852042 KSJ852029:KSJ852042 LCF852029:LCF852042 LMB852029:LMB852042 LVX852029:LVX852042 MFT852029:MFT852042 MPP852029:MPP852042 MZL852029:MZL852042 NJH852029:NJH852042 NTD852029:NTD852042 OCZ852029:OCZ852042 OMV852029:OMV852042 OWR852029:OWR852042 PGN852029:PGN852042 PQJ852029:PQJ852042 QAF852029:QAF852042 QKB852029:QKB852042 QTX852029:QTX852042 RDT852029:RDT852042 RNP852029:RNP852042 RXL852029:RXL852042 SHH852029:SHH852042 SRD852029:SRD852042 TAZ852029:TAZ852042 TKV852029:TKV852042 TUR852029:TUR852042 UEN852029:UEN852042 UOJ852029:UOJ852042 UYF852029:UYF852042 VIB852029:VIB852042 VRX852029:VRX852042 WBT852029:WBT852042 WLP852029:WLP852042 WVL852029:WVL852042 D917565:D917578 IZ917565:IZ917578 SV917565:SV917578 ACR917565:ACR917578 AMN917565:AMN917578 AWJ917565:AWJ917578 BGF917565:BGF917578 BQB917565:BQB917578 BZX917565:BZX917578 CJT917565:CJT917578 CTP917565:CTP917578 DDL917565:DDL917578 DNH917565:DNH917578 DXD917565:DXD917578 EGZ917565:EGZ917578 EQV917565:EQV917578 FAR917565:FAR917578 FKN917565:FKN917578 FUJ917565:FUJ917578 GEF917565:GEF917578 GOB917565:GOB917578 GXX917565:GXX917578 HHT917565:HHT917578 HRP917565:HRP917578 IBL917565:IBL917578 ILH917565:ILH917578 IVD917565:IVD917578 JEZ917565:JEZ917578 JOV917565:JOV917578 JYR917565:JYR917578 KIN917565:KIN917578 KSJ917565:KSJ917578 LCF917565:LCF917578 LMB917565:LMB917578 LVX917565:LVX917578 MFT917565:MFT917578 MPP917565:MPP917578 MZL917565:MZL917578 NJH917565:NJH917578 NTD917565:NTD917578 OCZ917565:OCZ917578 OMV917565:OMV917578 OWR917565:OWR917578 PGN917565:PGN917578 PQJ917565:PQJ917578 QAF917565:QAF917578 QKB917565:QKB917578 QTX917565:QTX917578 RDT917565:RDT917578 RNP917565:RNP917578 RXL917565:RXL917578 SHH917565:SHH917578 SRD917565:SRD917578 TAZ917565:TAZ917578 TKV917565:TKV917578 TUR917565:TUR917578 UEN917565:UEN917578 UOJ917565:UOJ917578 UYF917565:UYF917578 VIB917565:VIB917578 VRX917565:VRX917578 WBT917565:WBT917578 WLP917565:WLP917578 WVL917565:WVL917578 D983101:D983114 IZ983101:IZ983114 SV983101:SV983114 ACR983101:ACR983114 AMN983101:AMN983114 AWJ983101:AWJ983114 BGF983101:BGF983114 BQB983101:BQB983114 BZX983101:BZX983114 CJT983101:CJT983114 CTP983101:CTP983114 DDL983101:DDL983114 DNH983101:DNH983114 DXD983101:DXD983114 EGZ983101:EGZ983114 EQV983101:EQV983114 FAR983101:FAR983114 FKN983101:FKN983114 FUJ983101:FUJ983114 GEF983101:GEF983114 GOB983101:GOB983114 GXX983101:GXX983114 HHT983101:HHT983114 HRP983101:HRP983114 IBL983101:IBL983114 ILH983101:ILH983114 IVD983101:IVD983114 JEZ983101:JEZ983114 JOV983101:JOV983114 JYR983101:JYR983114 KIN983101:KIN983114 KSJ983101:KSJ983114 LCF983101:LCF983114 LMB983101:LMB983114 LVX983101:LVX983114 MFT983101:MFT983114 MPP983101:MPP983114 MZL983101:MZL983114 NJH983101:NJH983114 NTD983101:NTD983114 OCZ983101:OCZ983114 OMV983101:OMV983114 OWR983101:OWR983114 PGN983101:PGN983114 PQJ983101:PQJ983114 QAF983101:QAF983114 QKB983101:QKB983114 QTX983101:QTX983114 RDT983101:RDT983114 RNP983101:RNP983114 RXL983101:RXL983114 SHH983101:SHH983114 SRD983101:SRD983114 TAZ983101:TAZ983114 TKV983101:TKV983114 TUR983101:TUR983114 UEN983101:UEN983114 UOJ983101:UOJ983114 UYF983101:UYF983114 VIB983101:VIB983114 VRX983101:VRX983114 WBT983101:WBT983114 WLP983101:WLP983114 WVL983101:WVL983114">
      <formula1>"Bathroom,Bedroom,Closet,Dining Room,Family Room,Hall,Kitchen,Living Room,Office,Utility Room,Other"</formula1>
    </dataValidation>
    <dataValidation type="list" allowBlank="1" showInputMessage="1" showErrorMessage="1" sqref="G64:G78 JC64:JC78 SY64:SY78 ACU64:ACU78 AMQ64:AMQ78 AWM64:AWM78 BGI64:BGI78 BQE64:BQE78 CAA64:CAA78 CJW64:CJW78 CTS64:CTS78 DDO64:DDO78 DNK64:DNK78 DXG64:DXG78 EHC64:EHC78 EQY64:EQY78 FAU64:FAU78 FKQ64:FKQ78 FUM64:FUM78 GEI64:GEI78 GOE64:GOE78 GYA64:GYA78 HHW64:HHW78 HRS64:HRS78 IBO64:IBO78 ILK64:ILK78 IVG64:IVG78 JFC64:JFC78 JOY64:JOY78 JYU64:JYU78 KIQ64:KIQ78 KSM64:KSM78 LCI64:LCI78 LME64:LME78 LWA64:LWA78 MFW64:MFW78 MPS64:MPS78 MZO64:MZO78 NJK64:NJK78 NTG64:NTG78 ODC64:ODC78 OMY64:OMY78 OWU64:OWU78 PGQ64:PGQ78 PQM64:PQM78 QAI64:QAI78 QKE64:QKE78 QUA64:QUA78 RDW64:RDW78 RNS64:RNS78 RXO64:RXO78 SHK64:SHK78 SRG64:SRG78 TBC64:TBC78 TKY64:TKY78 TUU64:TUU78 UEQ64:UEQ78 UOM64:UOM78 UYI64:UYI78 VIE64:VIE78 VSA64:VSA78 WBW64:WBW78 WLS64:WLS78 WVO64:WVO78 G65596:G65610 JC65596:JC65610 SY65596:SY65610 ACU65596:ACU65610 AMQ65596:AMQ65610 AWM65596:AWM65610 BGI65596:BGI65610 BQE65596:BQE65610 CAA65596:CAA65610 CJW65596:CJW65610 CTS65596:CTS65610 DDO65596:DDO65610 DNK65596:DNK65610 DXG65596:DXG65610 EHC65596:EHC65610 EQY65596:EQY65610 FAU65596:FAU65610 FKQ65596:FKQ65610 FUM65596:FUM65610 GEI65596:GEI65610 GOE65596:GOE65610 GYA65596:GYA65610 HHW65596:HHW65610 HRS65596:HRS65610 IBO65596:IBO65610 ILK65596:ILK65610 IVG65596:IVG65610 JFC65596:JFC65610 JOY65596:JOY65610 JYU65596:JYU65610 KIQ65596:KIQ65610 KSM65596:KSM65610 LCI65596:LCI65610 LME65596:LME65610 LWA65596:LWA65610 MFW65596:MFW65610 MPS65596:MPS65610 MZO65596:MZO65610 NJK65596:NJK65610 NTG65596:NTG65610 ODC65596:ODC65610 OMY65596:OMY65610 OWU65596:OWU65610 PGQ65596:PGQ65610 PQM65596:PQM65610 QAI65596:QAI65610 QKE65596:QKE65610 QUA65596:QUA65610 RDW65596:RDW65610 RNS65596:RNS65610 RXO65596:RXO65610 SHK65596:SHK65610 SRG65596:SRG65610 TBC65596:TBC65610 TKY65596:TKY65610 TUU65596:TUU65610 UEQ65596:UEQ65610 UOM65596:UOM65610 UYI65596:UYI65610 VIE65596:VIE65610 VSA65596:VSA65610 WBW65596:WBW65610 WLS65596:WLS65610 WVO65596:WVO65610 G131132:G131146 JC131132:JC131146 SY131132:SY131146 ACU131132:ACU131146 AMQ131132:AMQ131146 AWM131132:AWM131146 BGI131132:BGI131146 BQE131132:BQE131146 CAA131132:CAA131146 CJW131132:CJW131146 CTS131132:CTS131146 DDO131132:DDO131146 DNK131132:DNK131146 DXG131132:DXG131146 EHC131132:EHC131146 EQY131132:EQY131146 FAU131132:FAU131146 FKQ131132:FKQ131146 FUM131132:FUM131146 GEI131132:GEI131146 GOE131132:GOE131146 GYA131132:GYA131146 HHW131132:HHW131146 HRS131132:HRS131146 IBO131132:IBO131146 ILK131132:ILK131146 IVG131132:IVG131146 JFC131132:JFC131146 JOY131132:JOY131146 JYU131132:JYU131146 KIQ131132:KIQ131146 KSM131132:KSM131146 LCI131132:LCI131146 LME131132:LME131146 LWA131132:LWA131146 MFW131132:MFW131146 MPS131132:MPS131146 MZO131132:MZO131146 NJK131132:NJK131146 NTG131132:NTG131146 ODC131132:ODC131146 OMY131132:OMY131146 OWU131132:OWU131146 PGQ131132:PGQ131146 PQM131132:PQM131146 QAI131132:QAI131146 QKE131132:QKE131146 QUA131132:QUA131146 RDW131132:RDW131146 RNS131132:RNS131146 RXO131132:RXO131146 SHK131132:SHK131146 SRG131132:SRG131146 TBC131132:TBC131146 TKY131132:TKY131146 TUU131132:TUU131146 UEQ131132:UEQ131146 UOM131132:UOM131146 UYI131132:UYI131146 VIE131132:VIE131146 VSA131132:VSA131146 WBW131132:WBW131146 WLS131132:WLS131146 WVO131132:WVO131146 G196668:G196682 JC196668:JC196682 SY196668:SY196682 ACU196668:ACU196682 AMQ196668:AMQ196682 AWM196668:AWM196682 BGI196668:BGI196682 BQE196668:BQE196682 CAA196668:CAA196682 CJW196668:CJW196682 CTS196668:CTS196682 DDO196668:DDO196682 DNK196668:DNK196682 DXG196668:DXG196682 EHC196668:EHC196682 EQY196668:EQY196682 FAU196668:FAU196682 FKQ196668:FKQ196682 FUM196668:FUM196682 GEI196668:GEI196682 GOE196668:GOE196682 GYA196668:GYA196682 HHW196668:HHW196682 HRS196668:HRS196682 IBO196668:IBO196682 ILK196668:ILK196682 IVG196668:IVG196682 JFC196668:JFC196682 JOY196668:JOY196682 JYU196668:JYU196682 KIQ196668:KIQ196682 KSM196668:KSM196682 LCI196668:LCI196682 LME196668:LME196682 LWA196668:LWA196682 MFW196668:MFW196682 MPS196668:MPS196682 MZO196668:MZO196682 NJK196668:NJK196682 NTG196668:NTG196682 ODC196668:ODC196682 OMY196668:OMY196682 OWU196668:OWU196682 PGQ196668:PGQ196682 PQM196668:PQM196682 QAI196668:QAI196682 QKE196668:QKE196682 QUA196668:QUA196682 RDW196668:RDW196682 RNS196668:RNS196682 RXO196668:RXO196682 SHK196668:SHK196682 SRG196668:SRG196682 TBC196668:TBC196682 TKY196668:TKY196682 TUU196668:TUU196682 UEQ196668:UEQ196682 UOM196668:UOM196682 UYI196668:UYI196682 VIE196668:VIE196682 VSA196668:VSA196682 WBW196668:WBW196682 WLS196668:WLS196682 WVO196668:WVO196682 G262204:G262218 JC262204:JC262218 SY262204:SY262218 ACU262204:ACU262218 AMQ262204:AMQ262218 AWM262204:AWM262218 BGI262204:BGI262218 BQE262204:BQE262218 CAA262204:CAA262218 CJW262204:CJW262218 CTS262204:CTS262218 DDO262204:DDO262218 DNK262204:DNK262218 DXG262204:DXG262218 EHC262204:EHC262218 EQY262204:EQY262218 FAU262204:FAU262218 FKQ262204:FKQ262218 FUM262204:FUM262218 GEI262204:GEI262218 GOE262204:GOE262218 GYA262204:GYA262218 HHW262204:HHW262218 HRS262204:HRS262218 IBO262204:IBO262218 ILK262204:ILK262218 IVG262204:IVG262218 JFC262204:JFC262218 JOY262204:JOY262218 JYU262204:JYU262218 KIQ262204:KIQ262218 KSM262204:KSM262218 LCI262204:LCI262218 LME262204:LME262218 LWA262204:LWA262218 MFW262204:MFW262218 MPS262204:MPS262218 MZO262204:MZO262218 NJK262204:NJK262218 NTG262204:NTG262218 ODC262204:ODC262218 OMY262204:OMY262218 OWU262204:OWU262218 PGQ262204:PGQ262218 PQM262204:PQM262218 QAI262204:QAI262218 QKE262204:QKE262218 QUA262204:QUA262218 RDW262204:RDW262218 RNS262204:RNS262218 RXO262204:RXO262218 SHK262204:SHK262218 SRG262204:SRG262218 TBC262204:TBC262218 TKY262204:TKY262218 TUU262204:TUU262218 UEQ262204:UEQ262218 UOM262204:UOM262218 UYI262204:UYI262218 VIE262204:VIE262218 VSA262204:VSA262218 WBW262204:WBW262218 WLS262204:WLS262218 WVO262204:WVO262218 G327740:G327754 JC327740:JC327754 SY327740:SY327754 ACU327740:ACU327754 AMQ327740:AMQ327754 AWM327740:AWM327754 BGI327740:BGI327754 BQE327740:BQE327754 CAA327740:CAA327754 CJW327740:CJW327754 CTS327740:CTS327754 DDO327740:DDO327754 DNK327740:DNK327754 DXG327740:DXG327754 EHC327740:EHC327754 EQY327740:EQY327754 FAU327740:FAU327754 FKQ327740:FKQ327754 FUM327740:FUM327754 GEI327740:GEI327754 GOE327740:GOE327754 GYA327740:GYA327754 HHW327740:HHW327754 HRS327740:HRS327754 IBO327740:IBO327754 ILK327740:ILK327754 IVG327740:IVG327754 JFC327740:JFC327754 JOY327740:JOY327754 JYU327740:JYU327754 KIQ327740:KIQ327754 KSM327740:KSM327754 LCI327740:LCI327754 LME327740:LME327754 LWA327740:LWA327754 MFW327740:MFW327754 MPS327740:MPS327754 MZO327740:MZO327754 NJK327740:NJK327754 NTG327740:NTG327754 ODC327740:ODC327754 OMY327740:OMY327754 OWU327740:OWU327754 PGQ327740:PGQ327754 PQM327740:PQM327754 QAI327740:QAI327754 QKE327740:QKE327754 QUA327740:QUA327754 RDW327740:RDW327754 RNS327740:RNS327754 RXO327740:RXO327754 SHK327740:SHK327754 SRG327740:SRG327754 TBC327740:TBC327754 TKY327740:TKY327754 TUU327740:TUU327754 UEQ327740:UEQ327754 UOM327740:UOM327754 UYI327740:UYI327754 VIE327740:VIE327754 VSA327740:VSA327754 WBW327740:WBW327754 WLS327740:WLS327754 WVO327740:WVO327754 G393276:G393290 JC393276:JC393290 SY393276:SY393290 ACU393276:ACU393290 AMQ393276:AMQ393290 AWM393276:AWM393290 BGI393276:BGI393290 BQE393276:BQE393290 CAA393276:CAA393290 CJW393276:CJW393290 CTS393276:CTS393290 DDO393276:DDO393290 DNK393276:DNK393290 DXG393276:DXG393290 EHC393276:EHC393290 EQY393276:EQY393290 FAU393276:FAU393290 FKQ393276:FKQ393290 FUM393276:FUM393290 GEI393276:GEI393290 GOE393276:GOE393290 GYA393276:GYA393290 HHW393276:HHW393290 HRS393276:HRS393290 IBO393276:IBO393290 ILK393276:ILK393290 IVG393276:IVG393290 JFC393276:JFC393290 JOY393276:JOY393290 JYU393276:JYU393290 KIQ393276:KIQ393290 KSM393276:KSM393290 LCI393276:LCI393290 LME393276:LME393290 LWA393276:LWA393290 MFW393276:MFW393290 MPS393276:MPS393290 MZO393276:MZO393290 NJK393276:NJK393290 NTG393276:NTG393290 ODC393276:ODC393290 OMY393276:OMY393290 OWU393276:OWU393290 PGQ393276:PGQ393290 PQM393276:PQM393290 QAI393276:QAI393290 QKE393276:QKE393290 QUA393276:QUA393290 RDW393276:RDW393290 RNS393276:RNS393290 RXO393276:RXO393290 SHK393276:SHK393290 SRG393276:SRG393290 TBC393276:TBC393290 TKY393276:TKY393290 TUU393276:TUU393290 UEQ393276:UEQ393290 UOM393276:UOM393290 UYI393276:UYI393290 VIE393276:VIE393290 VSA393276:VSA393290 WBW393276:WBW393290 WLS393276:WLS393290 WVO393276:WVO393290 G458812:G458826 JC458812:JC458826 SY458812:SY458826 ACU458812:ACU458826 AMQ458812:AMQ458826 AWM458812:AWM458826 BGI458812:BGI458826 BQE458812:BQE458826 CAA458812:CAA458826 CJW458812:CJW458826 CTS458812:CTS458826 DDO458812:DDO458826 DNK458812:DNK458826 DXG458812:DXG458826 EHC458812:EHC458826 EQY458812:EQY458826 FAU458812:FAU458826 FKQ458812:FKQ458826 FUM458812:FUM458826 GEI458812:GEI458826 GOE458812:GOE458826 GYA458812:GYA458826 HHW458812:HHW458826 HRS458812:HRS458826 IBO458812:IBO458826 ILK458812:ILK458826 IVG458812:IVG458826 JFC458812:JFC458826 JOY458812:JOY458826 JYU458812:JYU458826 KIQ458812:KIQ458826 KSM458812:KSM458826 LCI458812:LCI458826 LME458812:LME458826 LWA458812:LWA458826 MFW458812:MFW458826 MPS458812:MPS458826 MZO458812:MZO458826 NJK458812:NJK458826 NTG458812:NTG458826 ODC458812:ODC458826 OMY458812:OMY458826 OWU458812:OWU458826 PGQ458812:PGQ458826 PQM458812:PQM458826 QAI458812:QAI458826 QKE458812:QKE458826 QUA458812:QUA458826 RDW458812:RDW458826 RNS458812:RNS458826 RXO458812:RXO458826 SHK458812:SHK458826 SRG458812:SRG458826 TBC458812:TBC458826 TKY458812:TKY458826 TUU458812:TUU458826 UEQ458812:UEQ458826 UOM458812:UOM458826 UYI458812:UYI458826 VIE458812:VIE458826 VSA458812:VSA458826 WBW458812:WBW458826 WLS458812:WLS458826 WVO458812:WVO458826 G524348:G524362 JC524348:JC524362 SY524348:SY524362 ACU524348:ACU524362 AMQ524348:AMQ524362 AWM524348:AWM524362 BGI524348:BGI524362 BQE524348:BQE524362 CAA524348:CAA524362 CJW524348:CJW524362 CTS524348:CTS524362 DDO524348:DDO524362 DNK524348:DNK524362 DXG524348:DXG524362 EHC524348:EHC524362 EQY524348:EQY524362 FAU524348:FAU524362 FKQ524348:FKQ524362 FUM524348:FUM524362 GEI524348:GEI524362 GOE524348:GOE524362 GYA524348:GYA524362 HHW524348:HHW524362 HRS524348:HRS524362 IBO524348:IBO524362 ILK524348:ILK524362 IVG524348:IVG524362 JFC524348:JFC524362 JOY524348:JOY524362 JYU524348:JYU524362 KIQ524348:KIQ524362 KSM524348:KSM524362 LCI524348:LCI524362 LME524348:LME524362 LWA524348:LWA524362 MFW524348:MFW524362 MPS524348:MPS524362 MZO524348:MZO524362 NJK524348:NJK524362 NTG524348:NTG524362 ODC524348:ODC524362 OMY524348:OMY524362 OWU524348:OWU524362 PGQ524348:PGQ524362 PQM524348:PQM524362 QAI524348:QAI524362 QKE524348:QKE524362 QUA524348:QUA524362 RDW524348:RDW524362 RNS524348:RNS524362 RXO524348:RXO524362 SHK524348:SHK524362 SRG524348:SRG524362 TBC524348:TBC524362 TKY524348:TKY524362 TUU524348:TUU524362 UEQ524348:UEQ524362 UOM524348:UOM524362 UYI524348:UYI524362 VIE524348:VIE524362 VSA524348:VSA524362 WBW524348:WBW524362 WLS524348:WLS524362 WVO524348:WVO524362 G589884:G589898 JC589884:JC589898 SY589884:SY589898 ACU589884:ACU589898 AMQ589884:AMQ589898 AWM589884:AWM589898 BGI589884:BGI589898 BQE589884:BQE589898 CAA589884:CAA589898 CJW589884:CJW589898 CTS589884:CTS589898 DDO589884:DDO589898 DNK589884:DNK589898 DXG589884:DXG589898 EHC589884:EHC589898 EQY589884:EQY589898 FAU589884:FAU589898 FKQ589884:FKQ589898 FUM589884:FUM589898 GEI589884:GEI589898 GOE589884:GOE589898 GYA589884:GYA589898 HHW589884:HHW589898 HRS589884:HRS589898 IBO589884:IBO589898 ILK589884:ILK589898 IVG589884:IVG589898 JFC589884:JFC589898 JOY589884:JOY589898 JYU589884:JYU589898 KIQ589884:KIQ589898 KSM589884:KSM589898 LCI589884:LCI589898 LME589884:LME589898 LWA589884:LWA589898 MFW589884:MFW589898 MPS589884:MPS589898 MZO589884:MZO589898 NJK589884:NJK589898 NTG589884:NTG589898 ODC589884:ODC589898 OMY589884:OMY589898 OWU589884:OWU589898 PGQ589884:PGQ589898 PQM589884:PQM589898 QAI589884:QAI589898 QKE589884:QKE589898 QUA589884:QUA589898 RDW589884:RDW589898 RNS589884:RNS589898 RXO589884:RXO589898 SHK589884:SHK589898 SRG589884:SRG589898 TBC589884:TBC589898 TKY589884:TKY589898 TUU589884:TUU589898 UEQ589884:UEQ589898 UOM589884:UOM589898 UYI589884:UYI589898 VIE589884:VIE589898 VSA589884:VSA589898 WBW589884:WBW589898 WLS589884:WLS589898 WVO589884:WVO589898 G655420:G655434 JC655420:JC655434 SY655420:SY655434 ACU655420:ACU655434 AMQ655420:AMQ655434 AWM655420:AWM655434 BGI655420:BGI655434 BQE655420:BQE655434 CAA655420:CAA655434 CJW655420:CJW655434 CTS655420:CTS655434 DDO655420:DDO655434 DNK655420:DNK655434 DXG655420:DXG655434 EHC655420:EHC655434 EQY655420:EQY655434 FAU655420:FAU655434 FKQ655420:FKQ655434 FUM655420:FUM655434 GEI655420:GEI655434 GOE655420:GOE655434 GYA655420:GYA655434 HHW655420:HHW655434 HRS655420:HRS655434 IBO655420:IBO655434 ILK655420:ILK655434 IVG655420:IVG655434 JFC655420:JFC655434 JOY655420:JOY655434 JYU655420:JYU655434 KIQ655420:KIQ655434 KSM655420:KSM655434 LCI655420:LCI655434 LME655420:LME655434 LWA655420:LWA655434 MFW655420:MFW655434 MPS655420:MPS655434 MZO655420:MZO655434 NJK655420:NJK655434 NTG655420:NTG655434 ODC655420:ODC655434 OMY655420:OMY655434 OWU655420:OWU655434 PGQ655420:PGQ655434 PQM655420:PQM655434 QAI655420:QAI655434 QKE655420:QKE655434 QUA655420:QUA655434 RDW655420:RDW655434 RNS655420:RNS655434 RXO655420:RXO655434 SHK655420:SHK655434 SRG655420:SRG655434 TBC655420:TBC655434 TKY655420:TKY655434 TUU655420:TUU655434 UEQ655420:UEQ655434 UOM655420:UOM655434 UYI655420:UYI655434 VIE655420:VIE655434 VSA655420:VSA655434 WBW655420:WBW655434 WLS655420:WLS655434 WVO655420:WVO655434 G720956:G720970 JC720956:JC720970 SY720956:SY720970 ACU720956:ACU720970 AMQ720956:AMQ720970 AWM720956:AWM720970 BGI720956:BGI720970 BQE720956:BQE720970 CAA720956:CAA720970 CJW720956:CJW720970 CTS720956:CTS720970 DDO720956:DDO720970 DNK720956:DNK720970 DXG720956:DXG720970 EHC720956:EHC720970 EQY720956:EQY720970 FAU720956:FAU720970 FKQ720956:FKQ720970 FUM720956:FUM720970 GEI720956:GEI720970 GOE720956:GOE720970 GYA720956:GYA720970 HHW720956:HHW720970 HRS720956:HRS720970 IBO720956:IBO720970 ILK720956:ILK720970 IVG720956:IVG720970 JFC720956:JFC720970 JOY720956:JOY720970 JYU720956:JYU720970 KIQ720956:KIQ720970 KSM720956:KSM720970 LCI720956:LCI720970 LME720956:LME720970 LWA720956:LWA720970 MFW720956:MFW720970 MPS720956:MPS720970 MZO720956:MZO720970 NJK720956:NJK720970 NTG720956:NTG720970 ODC720956:ODC720970 OMY720956:OMY720970 OWU720956:OWU720970 PGQ720956:PGQ720970 PQM720956:PQM720970 QAI720956:QAI720970 QKE720956:QKE720970 QUA720956:QUA720970 RDW720956:RDW720970 RNS720956:RNS720970 RXO720956:RXO720970 SHK720956:SHK720970 SRG720956:SRG720970 TBC720956:TBC720970 TKY720956:TKY720970 TUU720956:TUU720970 UEQ720956:UEQ720970 UOM720956:UOM720970 UYI720956:UYI720970 VIE720956:VIE720970 VSA720956:VSA720970 WBW720956:WBW720970 WLS720956:WLS720970 WVO720956:WVO720970 G786492:G786506 JC786492:JC786506 SY786492:SY786506 ACU786492:ACU786506 AMQ786492:AMQ786506 AWM786492:AWM786506 BGI786492:BGI786506 BQE786492:BQE786506 CAA786492:CAA786506 CJW786492:CJW786506 CTS786492:CTS786506 DDO786492:DDO786506 DNK786492:DNK786506 DXG786492:DXG786506 EHC786492:EHC786506 EQY786492:EQY786506 FAU786492:FAU786506 FKQ786492:FKQ786506 FUM786492:FUM786506 GEI786492:GEI786506 GOE786492:GOE786506 GYA786492:GYA786506 HHW786492:HHW786506 HRS786492:HRS786506 IBO786492:IBO786506 ILK786492:ILK786506 IVG786492:IVG786506 JFC786492:JFC786506 JOY786492:JOY786506 JYU786492:JYU786506 KIQ786492:KIQ786506 KSM786492:KSM786506 LCI786492:LCI786506 LME786492:LME786506 LWA786492:LWA786506 MFW786492:MFW786506 MPS786492:MPS786506 MZO786492:MZO786506 NJK786492:NJK786506 NTG786492:NTG786506 ODC786492:ODC786506 OMY786492:OMY786506 OWU786492:OWU786506 PGQ786492:PGQ786506 PQM786492:PQM786506 QAI786492:QAI786506 QKE786492:QKE786506 QUA786492:QUA786506 RDW786492:RDW786506 RNS786492:RNS786506 RXO786492:RXO786506 SHK786492:SHK786506 SRG786492:SRG786506 TBC786492:TBC786506 TKY786492:TKY786506 TUU786492:TUU786506 UEQ786492:UEQ786506 UOM786492:UOM786506 UYI786492:UYI786506 VIE786492:VIE786506 VSA786492:VSA786506 WBW786492:WBW786506 WLS786492:WLS786506 WVO786492:WVO786506 G852028:G852042 JC852028:JC852042 SY852028:SY852042 ACU852028:ACU852042 AMQ852028:AMQ852042 AWM852028:AWM852042 BGI852028:BGI852042 BQE852028:BQE852042 CAA852028:CAA852042 CJW852028:CJW852042 CTS852028:CTS852042 DDO852028:DDO852042 DNK852028:DNK852042 DXG852028:DXG852042 EHC852028:EHC852042 EQY852028:EQY852042 FAU852028:FAU852042 FKQ852028:FKQ852042 FUM852028:FUM852042 GEI852028:GEI852042 GOE852028:GOE852042 GYA852028:GYA852042 HHW852028:HHW852042 HRS852028:HRS852042 IBO852028:IBO852042 ILK852028:ILK852042 IVG852028:IVG852042 JFC852028:JFC852042 JOY852028:JOY852042 JYU852028:JYU852042 KIQ852028:KIQ852042 KSM852028:KSM852042 LCI852028:LCI852042 LME852028:LME852042 LWA852028:LWA852042 MFW852028:MFW852042 MPS852028:MPS852042 MZO852028:MZO852042 NJK852028:NJK852042 NTG852028:NTG852042 ODC852028:ODC852042 OMY852028:OMY852042 OWU852028:OWU852042 PGQ852028:PGQ852042 PQM852028:PQM852042 QAI852028:QAI852042 QKE852028:QKE852042 QUA852028:QUA852042 RDW852028:RDW852042 RNS852028:RNS852042 RXO852028:RXO852042 SHK852028:SHK852042 SRG852028:SRG852042 TBC852028:TBC852042 TKY852028:TKY852042 TUU852028:TUU852042 UEQ852028:UEQ852042 UOM852028:UOM852042 UYI852028:UYI852042 VIE852028:VIE852042 VSA852028:VSA852042 WBW852028:WBW852042 WLS852028:WLS852042 WVO852028:WVO852042 G917564:G917578 JC917564:JC917578 SY917564:SY917578 ACU917564:ACU917578 AMQ917564:AMQ917578 AWM917564:AWM917578 BGI917564:BGI917578 BQE917564:BQE917578 CAA917564:CAA917578 CJW917564:CJW917578 CTS917564:CTS917578 DDO917564:DDO917578 DNK917564:DNK917578 DXG917564:DXG917578 EHC917564:EHC917578 EQY917564:EQY917578 FAU917564:FAU917578 FKQ917564:FKQ917578 FUM917564:FUM917578 GEI917564:GEI917578 GOE917564:GOE917578 GYA917564:GYA917578 HHW917564:HHW917578 HRS917564:HRS917578 IBO917564:IBO917578 ILK917564:ILK917578 IVG917564:IVG917578 JFC917564:JFC917578 JOY917564:JOY917578 JYU917564:JYU917578 KIQ917564:KIQ917578 KSM917564:KSM917578 LCI917564:LCI917578 LME917564:LME917578 LWA917564:LWA917578 MFW917564:MFW917578 MPS917564:MPS917578 MZO917564:MZO917578 NJK917564:NJK917578 NTG917564:NTG917578 ODC917564:ODC917578 OMY917564:OMY917578 OWU917564:OWU917578 PGQ917564:PGQ917578 PQM917564:PQM917578 QAI917564:QAI917578 QKE917564:QKE917578 QUA917564:QUA917578 RDW917564:RDW917578 RNS917564:RNS917578 RXO917564:RXO917578 SHK917564:SHK917578 SRG917564:SRG917578 TBC917564:TBC917578 TKY917564:TKY917578 TUU917564:TUU917578 UEQ917564:UEQ917578 UOM917564:UOM917578 UYI917564:UYI917578 VIE917564:VIE917578 VSA917564:VSA917578 WBW917564:WBW917578 WLS917564:WLS917578 WVO917564:WVO917578 G983100:G983114 JC983100:JC983114 SY983100:SY983114 ACU983100:ACU983114 AMQ983100:AMQ983114 AWM983100:AWM983114 BGI983100:BGI983114 BQE983100:BQE983114 CAA983100:CAA983114 CJW983100:CJW983114 CTS983100:CTS983114 DDO983100:DDO983114 DNK983100:DNK983114 DXG983100:DXG983114 EHC983100:EHC983114 EQY983100:EQY983114 FAU983100:FAU983114 FKQ983100:FKQ983114 FUM983100:FUM983114 GEI983100:GEI983114 GOE983100:GOE983114 GYA983100:GYA983114 HHW983100:HHW983114 HRS983100:HRS983114 IBO983100:IBO983114 ILK983100:ILK983114 IVG983100:IVG983114 JFC983100:JFC983114 JOY983100:JOY983114 JYU983100:JYU983114 KIQ983100:KIQ983114 KSM983100:KSM983114 LCI983100:LCI983114 LME983100:LME983114 LWA983100:LWA983114 MFW983100:MFW983114 MPS983100:MPS983114 MZO983100:MZO983114 NJK983100:NJK983114 NTG983100:NTG983114 ODC983100:ODC983114 OMY983100:OMY983114 OWU983100:OWU983114 PGQ983100:PGQ983114 PQM983100:PQM983114 QAI983100:QAI983114 QKE983100:QKE983114 QUA983100:QUA983114 RDW983100:RDW983114 RNS983100:RNS983114 RXO983100:RXO983114 SHK983100:SHK983114 SRG983100:SRG983114 TBC983100:TBC983114 TKY983100:TKY983114 TUU983100:TUU983114 UEQ983100:UEQ983114 UOM983100:UOM983114 UYI983100:UYI983114 VIE983100:VIE983114 VSA983100:VSA983114 WBW983100:WBW983114 WLS983100:WLS983114 WVO983100:WVO983114 E47:E61 JA47:JA61 SW47:SW61 ACS47:ACS61 AMO47:AMO61 AWK47:AWK61 BGG47:BGG61 BQC47:BQC61 BZY47:BZY61 CJU47:CJU61 CTQ47:CTQ61 DDM47:DDM61 DNI47:DNI61 DXE47:DXE61 EHA47:EHA61 EQW47:EQW61 FAS47:FAS61 FKO47:FKO61 FUK47:FUK61 GEG47:GEG61 GOC47:GOC61 GXY47:GXY61 HHU47:HHU61 HRQ47:HRQ61 IBM47:IBM61 ILI47:ILI61 IVE47:IVE61 JFA47:JFA61 JOW47:JOW61 JYS47:JYS61 KIO47:KIO61 KSK47:KSK61 LCG47:LCG61 LMC47:LMC61 LVY47:LVY61 MFU47:MFU61 MPQ47:MPQ61 MZM47:MZM61 NJI47:NJI61 NTE47:NTE61 ODA47:ODA61 OMW47:OMW61 OWS47:OWS61 PGO47:PGO61 PQK47:PQK61 QAG47:QAG61 QKC47:QKC61 QTY47:QTY61 RDU47:RDU61 RNQ47:RNQ61 RXM47:RXM61 SHI47:SHI61 SRE47:SRE61 TBA47:TBA61 TKW47:TKW61 TUS47:TUS61 UEO47:UEO61 UOK47:UOK61 UYG47:UYG61 VIC47:VIC61 VRY47:VRY61 WBU47:WBU61 WLQ47:WLQ61 WVM47:WVM61 E65579:E65593 JA65579:JA65593 SW65579:SW65593 ACS65579:ACS65593 AMO65579:AMO65593 AWK65579:AWK65593 BGG65579:BGG65593 BQC65579:BQC65593 BZY65579:BZY65593 CJU65579:CJU65593 CTQ65579:CTQ65593 DDM65579:DDM65593 DNI65579:DNI65593 DXE65579:DXE65593 EHA65579:EHA65593 EQW65579:EQW65593 FAS65579:FAS65593 FKO65579:FKO65593 FUK65579:FUK65593 GEG65579:GEG65593 GOC65579:GOC65593 GXY65579:GXY65593 HHU65579:HHU65593 HRQ65579:HRQ65593 IBM65579:IBM65593 ILI65579:ILI65593 IVE65579:IVE65593 JFA65579:JFA65593 JOW65579:JOW65593 JYS65579:JYS65593 KIO65579:KIO65593 KSK65579:KSK65593 LCG65579:LCG65593 LMC65579:LMC65593 LVY65579:LVY65593 MFU65579:MFU65593 MPQ65579:MPQ65593 MZM65579:MZM65593 NJI65579:NJI65593 NTE65579:NTE65593 ODA65579:ODA65593 OMW65579:OMW65593 OWS65579:OWS65593 PGO65579:PGO65593 PQK65579:PQK65593 QAG65579:QAG65593 QKC65579:QKC65593 QTY65579:QTY65593 RDU65579:RDU65593 RNQ65579:RNQ65593 RXM65579:RXM65593 SHI65579:SHI65593 SRE65579:SRE65593 TBA65579:TBA65593 TKW65579:TKW65593 TUS65579:TUS65593 UEO65579:UEO65593 UOK65579:UOK65593 UYG65579:UYG65593 VIC65579:VIC65593 VRY65579:VRY65593 WBU65579:WBU65593 WLQ65579:WLQ65593 WVM65579:WVM65593 E131115:E131129 JA131115:JA131129 SW131115:SW131129 ACS131115:ACS131129 AMO131115:AMO131129 AWK131115:AWK131129 BGG131115:BGG131129 BQC131115:BQC131129 BZY131115:BZY131129 CJU131115:CJU131129 CTQ131115:CTQ131129 DDM131115:DDM131129 DNI131115:DNI131129 DXE131115:DXE131129 EHA131115:EHA131129 EQW131115:EQW131129 FAS131115:FAS131129 FKO131115:FKO131129 FUK131115:FUK131129 GEG131115:GEG131129 GOC131115:GOC131129 GXY131115:GXY131129 HHU131115:HHU131129 HRQ131115:HRQ131129 IBM131115:IBM131129 ILI131115:ILI131129 IVE131115:IVE131129 JFA131115:JFA131129 JOW131115:JOW131129 JYS131115:JYS131129 KIO131115:KIO131129 KSK131115:KSK131129 LCG131115:LCG131129 LMC131115:LMC131129 LVY131115:LVY131129 MFU131115:MFU131129 MPQ131115:MPQ131129 MZM131115:MZM131129 NJI131115:NJI131129 NTE131115:NTE131129 ODA131115:ODA131129 OMW131115:OMW131129 OWS131115:OWS131129 PGO131115:PGO131129 PQK131115:PQK131129 QAG131115:QAG131129 QKC131115:QKC131129 QTY131115:QTY131129 RDU131115:RDU131129 RNQ131115:RNQ131129 RXM131115:RXM131129 SHI131115:SHI131129 SRE131115:SRE131129 TBA131115:TBA131129 TKW131115:TKW131129 TUS131115:TUS131129 UEO131115:UEO131129 UOK131115:UOK131129 UYG131115:UYG131129 VIC131115:VIC131129 VRY131115:VRY131129 WBU131115:WBU131129 WLQ131115:WLQ131129 WVM131115:WVM131129 E196651:E196665 JA196651:JA196665 SW196651:SW196665 ACS196651:ACS196665 AMO196651:AMO196665 AWK196651:AWK196665 BGG196651:BGG196665 BQC196651:BQC196665 BZY196651:BZY196665 CJU196651:CJU196665 CTQ196651:CTQ196665 DDM196651:DDM196665 DNI196651:DNI196665 DXE196651:DXE196665 EHA196651:EHA196665 EQW196651:EQW196665 FAS196651:FAS196665 FKO196651:FKO196665 FUK196651:FUK196665 GEG196651:GEG196665 GOC196651:GOC196665 GXY196651:GXY196665 HHU196651:HHU196665 HRQ196651:HRQ196665 IBM196651:IBM196665 ILI196651:ILI196665 IVE196651:IVE196665 JFA196651:JFA196665 JOW196651:JOW196665 JYS196651:JYS196665 KIO196651:KIO196665 KSK196651:KSK196665 LCG196651:LCG196665 LMC196651:LMC196665 LVY196651:LVY196665 MFU196651:MFU196665 MPQ196651:MPQ196665 MZM196651:MZM196665 NJI196651:NJI196665 NTE196651:NTE196665 ODA196651:ODA196665 OMW196651:OMW196665 OWS196651:OWS196665 PGO196651:PGO196665 PQK196651:PQK196665 QAG196651:QAG196665 QKC196651:QKC196665 QTY196651:QTY196665 RDU196651:RDU196665 RNQ196651:RNQ196665 RXM196651:RXM196665 SHI196651:SHI196665 SRE196651:SRE196665 TBA196651:TBA196665 TKW196651:TKW196665 TUS196651:TUS196665 UEO196651:UEO196665 UOK196651:UOK196665 UYG196651:UYG196665 VIC196651:VIC196665 VRY196651:VRY196665 WBU196651:WBU196665 WLQ196651:WLQ196665 WVM196651:WVM196665 E262187:E262201 JA262187:JA262201 SW262187:SW262201 ACS262187:ACS262201 AMO262187:AMO262201 AWK262187:AWK262201 BGG262187:BGG262201 BQC262187:BQC262201 BZY262187:BZY262201 CJU262187:CJU262201 CTQ262187:CTQ262201 DDM262187:DDM262201 DNI262187:DNI262201 DXE262187:DXE262201 EHA262187:EHA262201 EQW262187:EQW262201 FAS262187:FAS262201 FKO262187:FKO262201 FUK262187:FUK262201 GEG262187:GEG262201 GOC262187:GOC262201 GXY262187:GXY262201 HHU262187:HHU262201 HRQ262187:HRQ262201 IBM262187:IBM262201 ILI262187:ILI262201 IVE262187:IVE262201 JFA262187:JFA262201 JOW262187:JOW262201 JYS262187:JYS262201 KIO262187:KIO262201 KSK262187:KSK262201 LCG262187:LCG262201 LMC262187:LMC262201 LVY262187:LVY262201 MFU262187:MFU262201 MPQ262187:MPQ262201 MZM262187:MZM262201 NJI262187:NJI262201 NTE262187:NTE262201 ODA262187:ODA262201 OMW262187:OMW262201 OWS262187:OWS262201 PGO262187:PGO262201 PQK262187:PQK262201 QAG262187:QAG262201 QKC262187:QKC262201 QTY262187:QTY262201 RDU262187:RDU262201 RNQ262187:RNQ262201 RXM262187:RXM262201 SHI262187:SHI262201 SRE262187:SRE262201 TBA262187:TBA262201 TKW262187:TKW262201 TUS262187:TUS262201 UEO262187:UEO262201 UOK262187:UOK262201 UYG262187:UYG262201 VIC262187:VIC262201 VRY262187:VRY262201 WBU262187:WBU262201 WLQ262187:WLQ262201 WVM262187:WVM262201 E327723:E327737 JA327723:JA327737 SW327723:SW327737 ACS327723:ACS327737 AMO327723:AMO327737 AWK327723:AWK327737 BGG327723:BGG327737 BQC327723:BQC327737 BZY327723:BZY327737 CJU327723:CJU327737 CTQ327723:CTQ327737 DDM327723:DDM327737 DNI327723:DNI327737 DXE327723:DXE327737 EHA327723:EHA327737 EQW327723:EQW327737 FAS327723:FAS327737 FKO327723:FKO327737 FUK327723:FUK327737 GEG327723:GEG327737 GOC327723:GOC327737 GXY327723:GXY327737 HHU327723:HHU327737 HRQ327723:HRQ327737 IBM327723:IBM327737 ILI327723:ILI327737 IVE327723:IVE327737 JFA327723:JFA327737 JOW327723:JOW327737 JYS327723:JYS327737 KIO327723:KIO327737 KSK327723:KSK327737 LCG327723:LCG327737 LMC327723:LMC327737 LVY327723:LVY327737 MFU327723:MFU327737 MPQ327723:MPQ327737 MZM327723:MZM327737 NJI327723:NJI327737 NTE327723:NTE327737 ODA327723:ODA327737 OMW327723:OMW327737 OWS327723:OWS327737 PGO327723:PGO327737 PQK327723:PQK327737 QAG327723:QAG327737 QKC327723:QKC327737 QTY327723:QTY327737 RDU327723:RDU327737 RNQ327723:RNQ327737 RXM327723:RXM327737 SHI327723:SHI327737 SRE327723:SRE327737 TBA327723:TBA327737 TKW327723:TKW327737 TUS327723:TUS327737 UEO327723:UEO327737 UOK327723:UOK327737 UYG327723:UYG327737 VIC327723:VIC327737 VRY327723:VRY327737 WBU327723:WBU327737 WLQ327723:WLQ327737 WVM327723:WVM327737 E393259:E393273 JA393259:JA393273 SW393259:SW393273 ACS393259:ACS393273 AMO393259:AMO393273 AWK393259:AWK393273 BGG393259:BGG393273 BQC393259:BQC393273 BZY393259:BZY393273 CJU393259:CJU393273 CTQ393259:CTQ393273 DDM393259:DDM393273 DNI393259:DNI393273 DXE393259:DXE393273 EHA393259:EHA393273 EQW393259:EQW393273 FAS393259:FAS393273 FKO393259:FKO393273 FUK393259:FUK393273 GEG393259:GEG393273 GOC393259:GOC393273 GXY393259:GXY393273 HHU393259:HHU393273 HRQ393259:HRQ393273 IBM393259:IBM393273 ILI393259:ILI393273 IVE393259:IVE393273 JFA393259:JFA393273 JOW393259:JOW393273 JYS393259:JYS393273 KIO393259:KIO393273 KSK393259:KSK393273 LCG393259:LCG393273 LMC393259:LMC393273 LVY393259:LVY393273 MFU393259:MFU393273 MPQ393259:MPQ393273 MZM393259:MZM393273 NJI393259:NJI393273 NTE393259:NTE393273 ODA393259:ODA393273 OMW393259:OMW393273 OWS393259:OWS393273 PGO393259:PGO393273 PQK393259:PQK393273 QAG393259:QAG393273 QKC393259:QKC393273 QTY393259:QTY393273 RDU393259:RDU393273 RNQ393259:RNQ393273 RXM393259:RXM393273 SHI393259:SHI393273 SRE393259:SRE393273 TBA393259:TBA393273 TKW393259:TKW393273 TUS393259:TUS393273 UEO393259:UEO393273 UOK393259:UOK393273 UYG393259:UYG393273 VIC393259:VIC393273 VRY393259:VRY393273 WBU393259:WBU393273 WLQ393259:WLQ393273 WVM393259:WVM393273 E458795:E458809 JA458795:JA458809 SW458795:SW458809 ACS458795:ACS458809 AMO458795:AMO458809 AWK458795:AWK458809 BGG458795:BGG458809 BQC458795:BQC458809 BZY458795:BZY458809 CJU458795:CJU458809 CTQ458795:CTQ458809 DDM458795:DDM458809 DNI458795:DNI458809 DXE458795:DXE458809 EHA458795:EHA458809 EQW458795:EQW458809 FAS458795:FAS458809 FKO458795:FKO458809 FUK458795:FUK458809 GEG458795:GEG458809 GOC458795:GOC458809 GXY458795:GXY458809 HHU458795:HHU458809 HRQ458795:HRQ458809 IBM458795:IBM458809 ILI458795:ILI458809 IVE458795:IVE458809 JFA458795:JFA458809 JOW458795:JOW458809 JYS458795:JYS458809 KIO458795:KIO458809 KSK458795:KSK458809 LCG458795:LCG458809 LMC458795:LMC458809 LVY458795:LVY458809 MFU458795:MFU458809 MPQ458795:MPQ458809 MZM458795:MZM458809 NJI458795:NJI458809 NTE458795:NTE458809 ODA458795:ODA458809 OMW458795:OMW458809 OWS458795:OWS458809 PGO458795:PGO458809 PQK458795:PQK458809 QAG458795:QAG458809 QKC458795:QKC458809 QTY458795:QTY458809 RDU458795:RDU458809 RNQ458795:RNQ458809 RXM458795:RXM458809 SHI458795:SHI458809 SRE458795:SRE458809 TBA458795:TBA458809 TKW458795:TKW458809 TUS458795:TUS458809 UEO458795:UEO458809 UOK458795:UOK458809 UYG458795:UYG458809 VIC458795:VIC458809 VRY458795:VRY458809 WBU458795:WBU458809 WLQ458795:WLQ458809 WVM458795:WVM458809 E524331:E524345 JA524331:JA524345 SW524331:SW524345 ACS524331:ACS524345 AMO524331:AMO524345 AWK524331:AWK524345 BGG524331:BGG524345 BQC524331:BQC524345 BZY524331:BZY524345 CJU524331:CJU524345 CTQ524331:CTQ524345 DDM524331:DDM524345 DNI524331:DNI524345 DXE524331:DXE524345 EHA524331:EHA524345 EQW524331:EQW524345 FAS524331:FAS524345 FKO524331:FKO524345 FUK524331:FUK524345 GEG524331:GEG524345 GOC524331:GOC524345 GXY524331:GXY524345 HHU524331:HHU524345 HRQ524331:HRQ524345 IBM524331:IBM524345 ILI524331:ILI524345 IVE524331:IVE524345 JFA524331:JFA524345 JOW524331:JOW524345 JYS524331:JYS524345 KIO524331:KIO524345 KSK524331:KSK524345 LCG524331:LCG524345 LMC524331:LMC524345 LVY524331:LVY524345 MFU524331:MFU524345 MPQ524331:MPQ524345 MZM524331:MZM524345 NJI524331:NJI524345 NTE524331:NTE524345 ODA524331:ODA524345 OMW524331:OMW524345 OWS524331:OWS524345 PGO524331:PGO524345 PQK524331:PQK524345 QAG524331:QAG524345 QKC524331:QKC524345 QTY524331:QTY524345 RDU524331:RDU524345 RNQ524331:RNQ524345 RXM524331:RXM524345 SHI524331:SHI524345 SRE524331:SRE524345 TBA524331:TBA524345 TKW524331:TKW524345 TUS524331:TUS524345 UEO524331:UEO524345 UOK524331:UOK524345 UYG524331:UYG524345 VIC524331:VIC524345 VRY524331:VRY524345 WBU524331:WBU524345 WLQ524331:WLQ524345 WVM524331:WVM524345 E589867:E589881 JA589867:JA589881 SW589867:SW589881 ACS589867:ACS589881 AMO589867:AMO589881 AWK589867:AWK589881 BGG589867:BGG589881 BQC589867:BQC589881 BZY589867:BZY589881 CJU589867:CJU589881 CTQ589867:CTQ589881 DDM589867:DDM589881 DNI589867:DNI589881 DXE589867:DXE589881 EHA589867:EHA589881 EQW589867:EQW589881 FAS589867:FAS589881 FKO589867:FKO589881 FUK589867:FUK589881 GEG589867:GEG589881 GOC589867:GOC589881 GXY589867:GXY589881 HHU589867:HHU589881 HRQ589867:HRQ589881 IBM589867:IBM589881 ILI589867:ILI589881 IVE589867:IVE589881 JFA589867:JFA589881 JOW589867:JOW589881 JYS589867:JYS589881 KIO589867:KIO589881 KSK589867:KSK589881 LCG589867:LCG589881 LMC589867:LMC589881 LVY589867:LVY589881 MFU589867:MFU589881 MPQ589867:MPQ589881 MZM589867:MZM589881 NJI589867:NJI589881 NTE589867:NTE589881 ODA589867:ODA589881 OMW589867:OMW589881 OWS589867:OWS589881 PGO589867:PGO589881 PQK589867:PQK589881 QAG589867:QAG589881 QKC589867:QKC589881 QTY589867:QTY589881 RDU589867:RDU589881 RNQ589867:RNQ589881 RXM589867:RXM589881 SHI589867:SHI589881 SRE589867:SRE589881 TBA589867:TBA589881 TKW589867:TKW589881 TUS589867:TUS589881 UEO589867:UEO589881 UOK589867:UOK589881 UYG589867:UYG589881 VIC589867:VIC589881 VRY589867:VRY589881 WBU589867:WBU589881 WLQ589867:WLQ589881 WVM589867:WVM589881 E655403:E655417 JA655403:JA655417 SW655403:SW655417 ACS655403:ACS655417 AMO655403:AMO655417 AWK655403:AWK655417 BGG655403:BGG655417 BQC655403:BQC655417 BZY655403:BZY655417 CJU655403:CJU655417 CTQ655403:CTQ655417 DDM655403:DDM655417 DNI655403:DNI655417 DXE655403:DXE655417 EHA655403:EHA655417 EQW655403:EQW655417 FAS655403:FAS655417 FKO655403:FKO655417 FUK655403:FUK655417 GEG655403:GEG655417 GOC655403:GOC655417 GXY655403:GXY655417 HHU655403:HHU655417 HRQ655403:HRQ655417 IBM655403:IBM655417 ILI655403:ILI655417 IVE655403:IVE655417 JFA655403:JFA655417 JOW655403:JOW655417 JYS655403:JYS655417 KIO655403:KIO655417 KSK655403:KSK655417 LCG655403:LCG655417 LMC655403:LMC655417 LVY655403:LVY655417 MFU655403:MFU655417 MPQ655403:MPQ655417 MZM655403:MZM655417 NJI655403:NJI655417 NTE655403:NTE655417 ODA655403:ODA655417 OMW655403:OMW655417 OWS655403:OWS655417 PGO655403:PGO655417 PQK655403:PQK655417 QAG655403:QAG655417 QKC655403:QKC655417 QTY655403:QTY655417 RDU655403:RDU655417 RNQ655403:RNQ655417 RXM655403:RXM655417 SHI655403:SHI655417 SRE655403:SRE655417 TBA655403:TBA655417 TKW655403:TKW655417 TUS655403:TUS655417 UEO655403:UEO655417 UOK655403:UOK655417 UYG655403:UYG655417 VIC655403:VIC655417 VRY655403:VRY655417 WBU655403:WBU655417 WLQ655403:WLQ655417 WVM655403:WVM655417 E720939:E720953 JA720939:JA720953 SW720939:SW720953 ACS720939:ACS720953 AMO720939:AMO720953 AWK720939:AWK720953 BGG720939:BGG720953 BQC720939:BQC720953 BZY720939:BZY720953 CJU720939:CJU720953 CTQ720939:CTQ720953 DDM720939:DDM720953 DNI720939:DNI720953 DXE720939:DXE720953 EHA720939:EHA720953 EQW720939:EQW720953 FAS720939:FAS720953 FKO720939:FKO720953 FUK720939:FUK720953 GEG720939:GEG720953 GOC720939:GOC720953 GXY720939:GXY720953 HHU720939:HHU720953 HRQ720939:HRQ720953 IBM720939:IBM720953 ILI720939:ILI720953 IVE720939:IVE720953 JFA720939:JFA720953 JOW720939:JOW720953 JYS720939:JYS720953 KIO720939:KIO720953 KSK720939:KSK720953 LCG720939:LCG720953 LMC720939:LMC720953 LVY720939:LVY720953 MFU720939:MFU720953 MPQ720939:MPQ720953 MZM720939:MZM720953 NJI720939:NJI720953 NTE720939:NTE720953 ODA720939:ODA720953 OMW720939:OMW720953 OWS720939:OWS720953 PGO720939:PGO720953 PQK720939:PQK720953 QAG720939:QAG720953 QKC720939:QKC720953 QTY720939:QTY720953 RDU720939:RDU720953 RNQ720939:RNQ720953 RXM720939:RXM720953 SHI720939:SHI720953 SRE720939:SRE720953 TBA720939:TBA720953 TKW720939:TKW720953 TUS720939:TUS720953 UEO720939:UEO720953 UOK720939:UOK720953 UYG720939:UYG720953 VIC720939:VIC720953 VRY720939:VRY720953 WBU720939:WBU720953 WLQ720939:WLQ720953 WVM720939:WVM720953 E786475:E786489 JA786475:JA786489 SW786475:SW786489 ACS786475:ACS786489 AMO786475:AMO786489 AWK786475:AWK786489 BGG786475:BGG786489 BQC786475:BQC786489 BZY786475:BZY786489 CJU786475:CJU786489 CTQ786475:CTQ786489 DDM786475:DDM786489 DNI786475:DNI786489 DXE786475:DXE786489 EHA786475:EHA786489 EQW786475:EQW786489 FAS786475:FAS786489 FKO786475:FKO786489 FUK786475:FUK786489 GEG786475:GEG786489 GOC786475:GOC786489 GXY786475:GXY786489 HHU786475:HHU786489 HRQ786475:HRQ786489 IBM786475:IBM786489 ILI786475:ILI786489 IVE786475:IVE786489 JFA786475:JFA786489 JOW786475:JOW786489 JYS786475:JYS786489 KIO786475:KIO786489 KSK786475:KSK786489 LCG786475:LCG786489 LMC786475:LMC786489 LVY786475:LVY786489 MFU786475:MFU786489 MPQ786475:MPQ786489 MZM786475:MZM786489 NJI786475:NJI786489 NTE786475:NTE786489 ODA786475:ODA786489 OMW786475:OMW786489 OWS786475:OWS786489 PGO786475:PGO786489 PQK786475:PQK786489 QAG786475:QAG786489 QKC786475:QKC786489 QTY786475:QTY786489 RDU786475:RDU786489 RNQ786475:RNQ786489 RXM786475:RXM786489 SHI786475:SHI786489 SRE786475:SRE786489 TBA786475:TBA786489 TKW786475:TKW786489 TUS786475:TUS786489 UEO786475:UEO786489 UOK786475:UOK786489 UYG786475:UYG786489 VIC786475:VIC786489 VRY786475:VRY786489 WBU786475:WBU786489 WLQ786475:WLQ786489 WVM786475:WVM786489 E852011:E852025 JA852011:JA852025 SW852011:SW852025 ACS852011:ACS852025 AMO852011:AMO852025 AWK852011:AWK852025 BGG852011:BGG852025 BQC852011:BQC852025 BZY852011:BZY852025 CJU852011:CJU852025 CTQ852011:CTQ852025 DDM852011:DDM852025 DNI852011:DNI852025 DXE852011:DXE852025 EHA852011:EHA852025 EQW852011:EQW852025 FAS852011:FAS852025 FKO852011:FKO852025 FUK852011:FUK852025 GEG852011:GEG852025 GOC852011:GOC852025 GXY852011:GXY852025 HHU852011:HHU852025 HRQ852011:HRQ852025 IBM852011:IBM852025 ILI852011:ILI852025 IVE852011:IVE852025 JFA852011:JFA852025 JOW852011:JOW852025 JYS852011:JYS852025 KIO852011:KIO852025 KSK852011:KSK852025 LCG852011:LCG852025 LMC852011:LMC852025 LVY852011:LVY852025 MFU852011:MFU852025 MPQ852011:MPQ852025 MZM852011:MZM852025 NJI852011:NJI852025 NTE852011:NTE852025 ODA852011:ODA852025 OMW852011:OMW852025 OWS852011:OWS852025 PGO852011:PGO852025 PQK852011:PQK852025 QAG852011:QAG852025 QKC852011:QKC852025 QTY852011:QTY852025 RDU852011:RDU852025 RNQ852011:RNQ852025 RXM852011:RXM852025 SHI852011:SHI852025 SRE852011:SRE852025 TBA852011:TBA852025 TKW852011:TKW852025 TUS852011:TUS852025 UEO852011:UEO852025 UOK852011:UOK852025 UYG852011:UYG852025 VIC852011:VIC852025 VRY852011:VRY852025 WBU852011:WBU852025 WLQ852011:WLQ852025 WVM852011:WVM852025 E917547:E917561 JA917547:JA917561 SW917547:SW917561 ACS917547:ACS917561 AMO917547:AMO917561 AWK917547:AWK917561 BGG917547:BGG917561 BQC917547:BQC917561 BZY917547:BZY917561 CJU917547:CJU917561 CTQ917547:CTQ917561 DDM917547:DDM917561 DNI917547:DNI917561 DXE917547:DXE917561 EHA917547:EHA917561 EQW917547:EQW917561 FAS917547:FAS917561 FKO917547:FKO917561 FUK917547:FUK917561 GEG917547:GEG917561 GOC917547:GOC917561 GXY917547:GXY917561 HHU917547:HHU917561 HRQ917547:HRQ917561 IBM917547:IBM917561 ILI917547:ILI917561 IVE917547:IVE917561 JFA917547:JFA917561 JOW917547:JOW917561 JYS917547:JYS917561 KIO917547:KIO917561 KSK917547:KSK917561 LCG917547:LCG917561 LMC917547:LMC917561 LVY917547:LVY917561 MFU917547:MFU917561 MPQ917547:MPQ917561 MZM917547:MZM917561 NJI917547:NJI917561 NTE917547:NTE917561 ODA917547:ODA917561 OMW917547:OMW917561 OWS917547:OWS917561 PGO917547:PGO917561 PQK917547:PQK917561 QAG917547:QAG917561 QKC917547:QKC917561 QTY917547:QTY917561 RDU917547:RDU917561 RNQ917547:RNQ917561 RXM917547:RXM917561 SHI917547:SHI917561 SRE917547:SRE917561 TBA917547:TBA917561 TKW917547:TKW917561 TUS917547:TUS917561 UEO917547:UEO917561 UOK917547:UOK917561 UYG917547:UYG917561 VIC917547:VIC917561 VRY917547:VRY917561 WBU917547:WBU917561 WLQ917547:WLQ917561 WVM917547:WVM917561 E983083:E983097 JA983083:JA983097 SW983083:SW983097 ACS983083:ACS983097 AMO983083:AMO983097 AWK983083:AWK983097 BGG983083:BGG983097 BQC983083:BQC983097 BZY983083:BZY983097 CJU983083:CJU983097 CTQ983083:CTQ983097 DDM983083:DDM983097 DNI983083:DNI983097 DXE983083:DXE983097 EHA983083:EHA983097 EQW983083:EQW983097 FAS983083:FAS983097 FKO983083:FKO983097 FUK983083:FUK983097 GEG983083:GEG983097 GOC983083:GOC983097 GXY983083:GXY983097 HHU983083:HHU983097 HRQ983083:HRQ983097 IBM983083:IBM983097 ILI983083:ILI983097 IVE983083:IVE983097 JFA983083:JFA983097 JOW983083:JOW983097 JYS983083:JYS983097 KIO983083:KIO983097 KSK983083:KSK983097 LCG983083:LCG983097 LMC983083:LMC983097 LVY983083:LVY983097 MFU983083:MFU983097 MPQ983083:MPQ983097 MZM983083:MZM983097 NJI983083:NJI983097 NTE983083:NTE983097 ODA983083:ODA983097 OMW983083:OMW983097 OWS983083:OWS983097 PGO983083:PGO983097 PQK983083:PQK983097 QAG983083:QAG983097 QKC983083:QKC983097 QTY983083:QTY983097 RDU983083:RDU983097 RNQ983083:RNQ983097 RXM983083:RXM983097 SHI983083:SHI983097 SRE983083:SRE983097 TBA983083:TBA983097 TKW983083:TKW983097 TUS983083:TUS983097 UEO983083:UEO983097 UOK983083:UOK983097 UYG983083:UYG983097 VIC983083:VIC983097 VRY983083:VRY983097 WBU983083:WBU983097 WLQ983083:WLQ983097 WVM983083:WVM983097">
      <formula1>"Storage (active),Storage (inactive),Lobby,Corridor/Transition,Stairs - Active,Restroom,Office,Conference/meeting/multipurpose,Electrical/Mechanical,Workshop,Parking Garage,Exit Signs"</formula1>
    </dataValidation>
    <dataValidation type="list" allowBlank="1" showInputMessage="1" showErrorMessage="1" sqref="K34:K43 JG34:JG43 TC34:TC43 ACY34:ACY43 AMU34:AMU43 AWQ34:AWQ43 BGM34:BGM43 BQI34:BQI43 CAE34:CAE43 CKA34:CKA43 CTW34:CTW43 DDS34:DDS43 DNO34:DNO43 DXK34:DXK43 EHG34:EHG43 ERC34:ERC43 FAY34:FAY43 FKU34:FKU43 FUQ34:FUQ43 GEM34:GEM43 GOI34:GOI43 GYE34:GYE43 HIA34:HIA43 HRW34:HRW43 IBS34:IBS43 ILO34:ILO43 IVK34:IVK43 JFG34:JFG43 JPC34:JPC43 JYY34:JYY43 KIU34:KIU43 KSQ34:KSQ43 LCM34:LCM43 LMI34:LMI43 LWE34:LWE43 MGA34:MGA43 MPW34:MPW43 MZS34:MZS43 NJO34:NJO43 NTK34:NTK43 ODG34:ODG43 ONC34:ONC43 OWY34:OWY43 PGU34:PGU43 PQQ34:PQQ43 QAM34:QAM43 QKI34:QKI43 QUE34:QUE43 REA34:REA43 RNW34:RNW43 RXS34:RXS43 SHO34:SHO43 SRK34:SRK43 TBG34:TBG43 TLC34:TLC43 TUY34:TUY43 UEU34:UEU43 UOQ34:UOQ43 UYM34:UYM43 VII34:VII43 VSE34:VSE43 WCA34:WCA43 WLW34:WLW43 WVS34:WVS43 K65566:K65575 JG65566:JG65575 TC65566:TC65575 ACY65566:ACY65575 AMU65566:AMU65575 AWQ65566:AWQ65575 BGM65566:BGM65575 BQI65566:BQI65575 CAE65566:CAE65575 CKA65566:CKA65575 CTW65566:CTW65575 DDS65566:DDS65575 DNO65566:DNO65575 DXK65566:DXK65575 EHG65566:EHG65575 ERC65566:ERC65575 FAY65566:FAY65575 FKU65566:FKU65575 FUQ65566:FUQ65575 GEM65566:GEM65575 GOI65566:GOI65575 GYE65566:GYE65575 HIA65566:HIA65575 HRW65566:HRW65575 IBS65566:IBS65575 ILO65566:ILO65575 IVK65566:IVK65575 JFG65566:JFG65575 JPC65566:JPC65575 JYY65566:JYY65575 KIU65566:KIU65575 KSQ65566:KSQ65575 LCM65566:LCM65575 LMI65566:LMI65575 LWE65566:LWE65575 MGA65566:MGA65575 MPW65566:MPW65575 MZS65566:MZS65575 NJO65566:NJO65575 NTK65566:NTK65575 ODG65566:ODG65575 ONC65566:ONC65575 OWY65566:OWY65575 PGU65566:PGU65575 PQQ65566:PQQ65575 QAM65566:QAM65575 QKI65566:QKI65575 QUE65566:QUE65575 REA65566:REA65575 RNW65566:RNW65575 RXS65566:RXS65575 SHO65566:SHO65575 SRK65566:SRK65575 TBG65566:TBG65575 TLC65566:TLC65575 TUY65566:TUY65575 UEU65566:UEU65575 UOQ65566:UOQ65575 UYM65566:UYM65575 VII65566:VII65575 VSE65566:VSE65575 WCA65566:WCA65575 WLW65566:WLW65575 WVS65566:WVS65575 K131102:K131111 JG131102:JG131111 TC131102:TC131111 ACY131102:ACY131111 AMU131102:AMU131111 AWQ131102:AWQ131111 BGM131102:BGM131111 BQI131102:BQI131111 CAE131102:CAE131111 CKA131102:CKA131111 CTW131102:CTW131111 DDS131102:DDS131111 DNO131102:DNO131111 DXK131102:DXK131111 EHG131102:EHG131111 ERC131102:ERC131111 FAY131102:FAY131111 FKU131102:FKU131111 FUQ131102:FUQ131111 GEM131102:GEM131111 GOI131102:GOI131111 GYE131102:GYE131111 HIA131102:HIA131111 HRW131102:HRW131111 IBS131102:IBS131111 ILO131102:ILO131111 IVK131102:IVK131111 JFG131102:JFG131111 JPC131102:JPC131111 JYY131102:JYY131111 KIU131102:KIU131111 KSQ131102:KSQ131111 LCM131102:LCM131111 LMI131102:LMI131111 LWE131102:LWE131111 MGA131102:MGA131111 MPW131102:MPW131111 MZS131102:MZS131111 NJO131102:NJO131111 NTK131102:NTK131111 ODG131102:ODG131111 ONC131102:ONC131111 OWY131102:OWY131111 PGU131102:PGU131111 PQQ131102:PQQ131111 QAM131102:QAM131111 QKI131102:QKI131111 QUE131102:QUE131111 REA131102:REA131111 RNW131102:RNW131111 RXS131102:RXS131111 SHO131102:SHO131111 SRK131102:SRK131111 TBG131102:TBG131111 TLC131102:TLC131111 TUY131102:TUY131111 UEU131102:UEU131111 UOQ131102:UOQ131111 UYM131102:UYM131111 VII131102:VII131111 VSE131102:VSE131111 WCA131102:WCA131111 WLW131102:WLW131111 WVS131102:WVS131111 K196638:K196647 JG196638:JG196647 TC196638:TC196647 ACY196638:ACY196647 AMU196638:AMU196647 AWQ196638:AWQ196647 BGM196638:BGM196647 BQI196638:BQI196647 CAE196638:CAE196647 CKA196638:CKA196647 CTW196638:CTW196647 DDS196638:DDS196647 DNO196638:DNO196647 DXK196638:DXK196647 EHG196638:EHG196647 ERC196638:ERC196647 FAY196638:FAY196647 FKU196638:FKU196647 FUQ196638:FUQ196647 GEM196638:GEM196647 GOI196638:GOI196647 GYE196638:GYE196647 HIA196638:HIA196647 HRW196638:HRW196647 IBS196638:IBS196647 ILO196638:ILO196647 IVK196638:IVK196647 JFG196638:JFG196647 JPC196638:JPC196647 JYY196638:JYY196647 KIU196638:KIU196647 KSQ196638:KSQ196647 LCM196638:LCM196647 LMI196638:LMI196647 LWE196638:LWE196647 MGA196638:MGA196647 MPW196638:MPW196647 MZS196638:MZS196647 NJO196638:NJO196647 NTK196638:NTK196647 ODG196638:ODG196647 ONC196638:ONC196647 OWY196638:OWY196647 PGU196638:PGU196647 PQQ196638:PQQ196647 QAM196638:QAM196647 QKI196638:QKI196647 QUE196638:QUE196647 REA196638:REA196647 RNW196638:RNW196647 RXS196638:RXS196647 SHO196638:SHO196647 SRK196638:SRK196647 TBG196638:TBG196647 TLC196638:TLC196647 TUY196638:TUY196647 UEU196638:UEU196647 UOQ196638:UOQ196647 UYM196638:UYM196647 VII196638:VII196647 VSE196638:VSE196647 WCA196638:WCA196647 WLW196638:WLW196647 WVS196638:WVS196647 K262174:K262183 JG262174:JG262183 TC262174:TC262183 ACY262174:ACY262183 AMU262174:AMU262183 AWQ262174:AWQ262183 BGM262174:BGM262183 BQI262174:BQI262183 CAE262174:CAE262183 CKA262174:CKA262183 CTW262174:CTW262183 DDS262174:DDS262183 DNO262174:DNO262183 DXK262174:DXK262183 EHG262174:EHG262183 ERC262174:ERC262183 FAY262174:FAY262183 FKU262174:FKU262183 FUQ262174:FUQ262183 GEM262174:GEM262183 GOI262174:GOI262183 GYE262174:GYE262183 HIA262174:HIA262183 HRW262174:HRW262183 IBS262174:IBS262183 ILO262174:ILO262183 IVK262174:IVK262183 JFG262174:JFG262183 JPC262174:JPC262183 JYY262174:JYY262183 KIU262174:KIU262183 KSQ262174:KSQ262183 LCM262174:LCM262183 LMI262174:LMI262183 LWE262174:LWE262183 MGA262174:MGA262183 MPW262174:MPW262183 MZS262174:MZS262183 NJO262174:NJO262183 NTK262174:NTK262183 ODG262174:ODG262183 ONC262174:ONC262183 OWY262174:OWY262183 PGU262174:PGU262183 PQQ262174:PQQ262183 QAM262174:QAM262183 QKI262174:QKI262183 QUE262174:QUE262183 REA262174:REA262183 RNW262174:RNW262183 RXS262174:RXS262183 SHO262174:SHO262183 SRK262174:SRK262183 TBG262174:TBG262183 TLC262174:TLC262183 TUY262174:TUY262183 UEU262174:UEU262183 UOQ262174:UOQ262183 UYM262174:UYM262183 VII262174:VII262183 VSE262174:VSE262183 WCA262174:WCA262183 WLW262174:WLW262183 WVS262174:WVS262183 K327710:K327719 JG327710:JG327719 TC327710:TC327719 ACY327710:ACY327719 AMU327710:AMU327719 AWQ327710:AWQ327719 BGM327710:BGM327719 BQI327710:BQI327719 CAE327710:CAE327719 CKA327710:CKA327719 CTW327710:CTW327719 DDS327710:DDS327719 DNO327710:DNO327719 DXK327710:DXK327719 EHG327710:EHG327719 ERC327710:ERC327719 FAY327710:FAY327719 FKU327710:FKU327719 FUQ327710:FUQ327719 GEM327710:GEM327719 GOI327710:GOI327719 GYE327710:GYE327719 HIA327710:HIA327719 HRW327710:HRW327719 IBS327710:IBS327719 ILO327710:ILO327719 IVK327710:IVK327719 JFG327710:JFG327719 JPC327710:JPC327719 JYY327710:JYY327719 KIU327710:KIU327719 KSQ327710:KSQ327719 LCM327710:LCM327719 LMI327710:LMI327719 LWE327710:LWE327719 MGA327710:MGA327719 MPW327710:MPW327719 MZS327710:MZS327719 NJO327710:NJO327719 NTK327710:NTK327719 ODG327710:ODG327719 ONC327710:ONC327719 OWY327710:OWY327719 PGU327710:PGU327719 PQQ327710:PQQ327719 QAM327710:QAM327719 QKI327710:QKI327719 QUE327710:QUE327719 REA327710:REA327719 RNW327710:RNW327719 RXS327710:RXS327719 SHO327710:SHO327719 SRK327710:SRK327719 TBG327710:TBG327719 TLC327710:TLC327719 TUY327710:TUY327719 UEU327710:UEU327719 UOQ327710:UOQ327719 UYM327710:UYM327719 VII327710:VII327719 VSE327710:VSE327719 WCA327710:WCA327719 WLW327710:WLW327719 WVS327710:WVS327719 K393246:K393255 JG393246:JG393255 TC393246:TC393255 ACY393246:ACY393255 AMU393246:AMU393255 AWQ393246:AWQ393255 BGM393246:BGM393255 BQI393246:BQI393255 CAE393246:CAE393255 CKA393246:CKA393255 CTW393246:CTW393255 DDS393246:DDS393255 DNO393246:DNO393255 DXK393246:DXK393255 EHG393246:EHG393255 ERC393246:ERC393255 FAY393246:FAY393255 FKU393246:FKU393255 FUQ393246:FUQ393255 GEM393246:GEM393255 GOI393246:GOI393255 GYE393246:GYE393255 HIA393246:HIA393255 HRW393246:HRW393255 IBS393246:IBS393255 ILO393246:ILO393255 IVK393246:IVK393255 JFG393246:JFG393255 JPC393246:JPC393255 JYY393246:JYY393255 KIU393246:KIU393255 KSQ393246:KSQ393255 LCM393246:LCM393255 LMI393246:LMI393255 LWE393246:LWE393255 MGA393246:MGA393255 MPW393246:MPW393255 MZS393246:MZS393255 NJO393246:NJO393255 NTK393246:NTK393255 ODG393246:ODG393255 ONC393246:ONC393255 OWY393246:OWY393255 PGU393246:PGU393255 PQQ393246:PQQ393255 QAM393246:QAM393255 QKI393246:QKI393255 QUE393246:QUE393255 REA393246:REA393255 RNW393246:RNW393255 RXS393246:RXS393255 SHO393246:SHO393255 SRK393246:SRK393255 TBG393246:TBG393255 TLC393246:TLC393255 TUY393246:TUY393255 UEU393246:UEU393255 UOQ393246:UOQ393255 UYM393246:UYM393255 VII393246:VII393255 VSE393246:VSE393255 WCA393246:WCA393255 WLW393246:WLW393255 WVS393246:WVS393255 K458782:K458791 JG458782:JG458791 TC458782:TC458791 ACY458782:ACY458791 AMU458782:AMU458791 AWQ458782:AWQ458791 BGM458782:BGM458791 BQI458782:BQI458791 CAE458782:CAE458791 CKA458782:CKA458791 CTW458782:CTW458791 DDS458782:DDS458791 DNO458782:DNO458791 DXK458782:DXK458791 EHG458782:EHG458791 ERC458782:ERC458791 FAY458782:FAY458791 FKU458782:FKU458791 FUQ458782:FUQ458791 GEM458782:GEM458791 GOI458782:GOI458791 GYE458782:GYE458791 HIA458782:HIA458791 HRW458782:HRW458791 IBS458782:IBS458791 ILO458782:ILO458791 IVK458782:IVK458791 JFG458782:JFG458791 JPC458782:JPC458791 JYY458782:JYY458791 KIU458782:KIU458791 KSQ458782:KSQ458791 LCM458782:LCM458791 LMI458782:LMI458791 LWE458782:LWE458791 MGA458782:MGA458791 MPW458782:MPW458791 MZS458782:MZS458791 NJO458782:NJO458791 NTK458782:NTK458791 ODG458782:ODG458791 ONC458782:ONC458791 OWY458782:OWY458791 PGU458782:PGU458791 PQQ458782:PQQ458791 QAM458782:QAM458791 QKI458782:QKI458791 QUE458782:QUE458791 REA458782:REA458791 RNW458782:RNW458791 RXS458782:RXS458791 SHO458782:SHO458791 SRK458782:SRK458791 TBG458782:TBG458791 TLC458782:TLC458791 TUY458782:TUY458791 UEU458782:UEU458791 UOQ458782:UOQ458791 UYM458782:UYM458791 VII458782:VII458791 VSE458782:VSE458791 WCA458782:WCA458791 WLW458782:WLW458791 WVS458782:WVS458791 K524318:K524327 JG524318:JG524327 TC524318:TC524327 ACY524318:ACY524327 AMU524318:AMU524327 AWQ524318:AWQ524327 BGM524318:BGM524327 BQI524318:BQI524327 CAE524318:CAE524327 CKA524318:CKA524327 CTW524318:CTW524327 DDS524318:DDS524327 DNO524318:DNO524327 DXK524318:DXK524327 EHG524318:EHG524327 ERC524318:ERC524327 FAY524318:FAY524327 FKU524318:FKU524327 FUQ524318:FUQ524327 GEM524318:GEM524327 GOI524318:GOI524327 GYE524318:GYE524327 HIA524318:HIA524327 HRW524318:HRW524327 IBS524318:IBS524327 ILO524318:ILO524327 IVK524318:IVK524327 JFG524318:JFG524327 JPC524318:JPC524327 JYY524318:JYY524327 KIU524318:KIU524327 KSQ524318:KSQ524327 LCM524318:LCM524327 LMI524318:LMI524327 LWE524318:LWE524327 MGA524318:MGA524327 MPW524318:MPW524327 MZS524318:MZS524327 NJO524318:NJO524327 NTK524318:NTK524327 ODG524318:ODG524327 ONC524318:ONC524327 OWY524318:OWY524327 PGU524318:PGU524327 PQQ524318:PQQ524327 QAM524318:QAM524327 QKI524318:QKI524327 QUE524318:QUE524327 REA524318:REA524327 RNW524318:RNW524327 RXS524318:RXS524327 SHO524318:SHO524327 SRK524318:SRK524327 TBG524318:TBG524327 TLC524318:TLC524327 TUY524318:TUY524327 UEU524318:UEU524327 UOQ524318:UOQ524327 UYM524318:UYM524327 VII524318:VII524327 VSE524318:VSE524327 WCA524318:WCA524327 WLW524318:WLW524327 WVS524318:WVS524327 K589854:K589863 JG589854:JG589863 TC589854:TC589863 ACY589854:ACY589863 AMU589854:AMU589863 AWQ589854:AWQ589863 BGM589854:BGM589863 BQI589854:BQI589863 CAE589854:CAE589863 CKA589854:CKA589863 CTW589854:CTW589863 DDS589854:DDS589863 DNO589854:DNO589863 DXK589854:DXK589863 EHG589854:EHG589863 ERC589854:ERC589863 FAY589854:FAY589863 FKU589854:FKU589863 FUQ589854:FUQ589863 GEM589854:GEM589863 GOI589854:GOI589863 GYE589854:GYE589863 HIA589854:HIA589863 HRW589854:HRW589863 IBS589854:IBS589863 ILO589854:ILO589863 IVK589854:IVK589863 JFG589854:JFG589863 JPC589854:JPC589863 JYY589854:JYY589863 KIU589854:KIU589863 KSQ589854:KSQ589863 LCM589854:LCM589863 LMI589854:LMI589863 LWE589854:LWE589863 MGA589854:MGA589863 MPW589854:MPW589863 MZS589854:MZS589863 NJO589854:NJO589863 NTK589854:NTK589863 ODG589854:ODG589863 ONC589854:ONC589863 OWY589854:OWY589863 PGU589854:PGU589863 PQQ589854:PQQ589863 QAM589854:QAM589863 QKI589854:QKI589863 QUE589854:QUE589863 REA589854:REA589863 RNW589854:RNW589863 RXS589854:RXS589863 SHO589854:SHO589863 SRK589854:SRK589863 TBG589854:TBG589863 TLC589854:TLC589863 TUY589854:TUY589863 UEU589854:UEU589863 UOQ589854:UOQ589863 UYM589854:UYM589863 VII589854:VII589863 VSE589854:VSE589863 WCA589854:WCA589863 WLW589854:WLW589863 WVS589854:WVS589863 K655390:K655399 JG655390:JG655399 TC655390:TC655399 ACY655390:ACY655399 AMU655390:AMU655399 AWQ655390:AWQ655399 BGM655390:BGM655399 BQI655390:BQI655399 CAE655390:CAE655399 CKA655390:CKA655399 CTW655390:CTW655399 DDS655390:DDS655399 DNO655390:DNO655399 DXK655390:DXK655399 EHG655390:EHG655399 ERC655390:ERC655399 FAY655390:FAY655399 FKU655390:FKU655399 FUQ655390:FUQ655399 GEM655390:GEM655399 GOI655390:GOI655399 GYE655390:GYE655399 HIA655390:HIA655399 HRW655390:HRW655399 IBS655390:IBS655399 ILO655390:ILO655399 IVK655390:IVK655399 JFG655390:JFG655399 JPC655390:JPC655399 JYY655390:JYY655399 KIU655390:KIU655399 KSQ655390:KSQ655399 LCM655390:LCM655399 LMI655390:LMI655399 LWE655390:LWE655399 MGA655390:MGA655399 MPW655390:MPW655399 MZS655390:MZS655399 NJO655390:NJO655399 NTK655390:NTK655399 ODG655390:ODG655399 ONC655390:ONC655399 OWY655390:OWY655399 PGU655390:PGU655399 PQQ655390:PQQ655399 QAM655390:QAM655399 QKI655390:QKI655399 QUE655390:QUE655399 REA655390:REA655399 RNW655390:RNW655399 RXS655390:RXS655399 SHO655390:SHO655399 SRK655390:SRK655399 TBG655390:TBG655399 TLC655390:TLC655399 TUY655390:TUY655399 UEU655390:UEU655399 UOQ655390:UOQ655399 UYM655390:UYM655399 VII655390:VII655399 VSE655390:VSE655399 WCA655390:WCA655399 WLW655390:WLW655399 WVS655390:WVS655399 K720926:K720935 JG720926:JG720935 TC720926:TC720935 ACY720926:ACY720935 AMU720926:AMU720935 AWQ720926:AWQ720935 BGM720926:BGM720935 BQI720926:BQI720935 CAE720926:CAE720935 CKA720926:CKA720935 CTW720926:CTW720935 DDS720926:DDS720935 DNO720926:DNO720935 DXK720926:DXK720935 EHG720926:EHG720935 ERC720926:ERC720935 FAY720926:FAY720935 FKU720926:FKU720935 FUQ720926:FUQ720935 GEM720926:GEM720935 GOI720926:GOI720935 GYE720926:GYE720935 HIA720926:HIA720935 HRW720926:HRW720935 IBS720926:IBS720935 ILO720926:ILO720935 IVK720926:IVK720935 JFG720926:JFG720935 JPC720926:JPC720935 JYY720926:JYY720935 KIU720926:KIU720935 KSQ720926:KSQ720935 LCM720926:LCM720935 LMI720926:LMI720935 LWE720926:LWE720935 MGA720926:MGA720935 MPW720926:MPW720935 MZS720926:MZS720935 NJO720926:NJO720935 NTK720926:NTK720935 ODG720926:ODG720935 ONC720926:ONC720935 OWY720926:OWY720935 PGU720926:PGU720935 PQQ720926:PQQ720935 QAM720926:QAM720935 QKI720926:QKI720935 QUE720926:QUE720935 REA720926:REA720935 RNW720926:RNW720935 RXS720926:RXS720935 SHO720926:SHO720935 SRK720926:SRK720935 TBG720926:TBG720935 TLC720926:TLC720935 TUY720926:TUY720935 UEU720926:UEU720935 UOQ720926:UOQ720935 UYM720926:UYM720935 VII720926:VII720935 VSE720926:VSE720935 WCA720926:WCA720935 WLW720926:WLW720935 WVS720926:WVS720935 K786462:K786471 JG786462:JG786471 TC786462:TC786471 ACY786462:ACY786471 AMU786462:AMU786471 AWQ786462:AWQ786471 BGM786462:BGM786471 BQI786462:BQI786471 CAE786462:CAE786471 CKA786462:CKA786471 CTW786462:CTW786471 DDS786462:DDS786471 DNO786462:DNO786471 DXK786462:DXK786471 EHG786462:EHG786471 ERC786462:ERC786471 FAY786462:FAY786471 FKU786462:FKU786471 FUQ786462:FUQ786471 GEM786462:GEM786471 GOI786462:GOI786471 GYE786462:GYE786471 HIA786462:HIA786471 HRW786462:HRW786471 IBS786462:IBS786471 ILO786462:ILO786471 IVK786462:IVK786471 JFG786462:JFG786471 JPC786462:JPC786471 JYY786462:JYY786471 KIU786462:KIU786471 KSQ786462:KSQ786471 LCM786462:LCM786471 LMI786462:LMI786471 LWE786462:LWE786471 MGA786462:MGA786471 MPW786462:MPW786471 MZS786462:MZS786471 NJO786462:NJO786471 NTK786462:NTK786471 ODG786462:ODG786471 ONC786462:ONC786471 OWY786462:OWY786471 PGU786462:PGU786471 PQQ786462:PQQ786471 QAM786462:QAM786471 QKI786462:QKI786471 QUE786462:QUE786471 REA786462:REA786471 RNW786462:RNW786471 RXS786462:RXS786471 SHO786462:SHO786471 SRK786462:SRK786471 TBG786462:TBG786471 TLC786462:TLC786471 TUY786462:TUY786471 UEU786462:UEU786471 UOQ786462:UOQ786471 UYM786462:UYM786471 VII786462:VII786471 VSE786462:VSE786471 WCA786462:WCA786471 WLW786462:WLW786471 WVS786462:WVS786471 K851998:K852007 JG851998:JG852007 TC851998:TC852007 ACY851998:ACY852007 AMU851998:AMU852007 AWQ851998:AWQ852007 BGM851998:BGM852007 BQI851998:BQI852007 CAE851998:CAE852007 CKA851998:CKA852007 CTW851998:CTW852007 DDS851998:DDS852007 DNO851998:DNO852007 DXK851998:DXK852007 EHG851998:EHG852007 ERC851998:ERC852007 FAY851998:FAY852007 FKU851998:FKU852007 FUQ851998:FUQ852007 GEM851998:GEM852007 GOI851998:GOI852007 GYE851998:GYE852007 HIA851998:HIA852007 HRW851998:HRW852007 IBS851998:IBS852007 ILO851998:ILO852007 IVK851998:IVK852007 JFG851998:JFG852007 JPC851998:JPC852007 JYY851998:JYY852007 KIU851998:KIU852007 KSQ851998:KSQ852007 LCM851998:LCM852007 LMI851998:LMI852007 LWE851998:LWE852007 MGA851998:MGA852007 MPW851998:MPW852007 MZS851998:MZS852007 NJO851998:NJO852007 NTK851998:NTK852007 ODG851998:ODG852007 ONC851998:ONC852007 OWY851998:OWY852007 PGU851998:PGU852007 PQQ851998:PQQ852007 QAM851998:QAM852007 QKI851998:QKI852007 QUE851998:QUE852007 REA851998:REA852007 RNW851998:RNW852007 RXS851998:RXS852007 SHO851998:SHO852007 SRK851998:SRK852007 TBG851998:TBG852007 TLC851998:TLC852007 TUY851998:TUY852007 UEU851998:UEU852007 UOQ851998:UOQ852007 UYM851998:UYM852007 VII851998:VII852007 VSE851998:VSE852007 WCA851998:WCA852007 WLW851998:WLW852007 WVS851998:WVS852007 K917534:K917543 JG917534:JG917543 TC917534:TC917543 ACY917534:ACY917543 AMU917534:AMU917543 AWQ917534:AWQ917543 BGM917534:BGM917543 BQI917534:BQI917543 CAE917534:CAE917543 CKA917534:CKA917543 CTW917534:CTW917543 DDS917534:DDS917543 DNO917534:DNO917543 DXK917534:DXK917543 EHG917534:EHG917543 ERC917534:ERC917543 FAY917534:FAY917543 FKU917534:FKU917543 FUQ917534:FUQ917543 GEM917534:GEM917543 GOI917534:GOI917543 GYE917534:GYE917543 HIA917534:HIA917543 HRW917534:HRW917543 IBS917534:IBS917543 ILO917534:ILO917543 IVK917534:IVK917543 JFG917534:JFG917543 JPC917534:JPC917543 JYY917534:JYY917543 KIU917534:KIU917543 KSQ917534:KSQ917543 LCM917534:LCM917543 LMI917534:LMI917543 LWE917534:LWE917543 MGA917534:MGA917543 MPW917534:MPW917543 MZS917534:MZS917543 NJO917534:NJO917543 NTK917534:NTK917543 ODG917534:ODG917543 ONC917534:ONC917543 OWY917534:OWY917543 PGU917534:PGU917543 PQQ917534:PQQ917543 QAM917534:QAM917543 QKI917534:QKI917543 QUE917534:QUE917543 REA917534:REA917543 RNW917534:RNW917543 RXS917534:RXS917543 SHO917534:SHO917543 SRK917534:SRK917543 TBG917534:TBG917543 TLC917534:TLC917543 TUY917534:TUY917543 UEU917534:UEU917543 UOQ917534:UOQ917543 UYM917534:UYM917543 VII917534:VII917543 VSE917534:VSE917543 WCA917534:WCA917543 WLW917534:WLW917543 WVS917534:WVS917543 K983070:K983079 JG983070:JG983079 TC983070:TC983079 ACY983070:ACY983079 AMU983070:AMU983079 AWQ983070:AWQ983079 BGM983070:BGM983079 BQI983070:BQI983079 CAE983070:CAE983079 CKA983070:CKA983079 CTW983070:CTW983079 DDS983070:DDS983079 DNO983070:DNO983079 DXK983070:DXK983079 EHG983070:EHG983079 ERC983070:ERC983079 FAY983070:FAY983079 FKU983070:FKU983079 FUQ983070:FUQ983079 GEM983070:GEM983079 GOI983070:GOI983079 GYE983070:GYE983079 HIA983070:HIA983079 HRW983070:HRW983079 IBS983070:IBS983079 ILO983070:ILO983079 IVK983070:IVK983079 JFG983070:JFG983079 JPC983070:JPC983079 JYY983070:JYY983079 KIU983070:KIU983079 KSQ983070:KSQ983079 LCM983070:LCM983079 LMI983070:LMI983079 LWE983070:LWE983079 MGA983070:MGA983079 MPW983070:MPW983079 MZS983070:MZS983079 NJO983070:NJO983079 NTK983070:NTK983079 ODG983070:ODG983079 ONC983070:ONC983079 OWY983070:OWY983079 PGU983070:PGU983079 PQQ983070:PQQ983079 QAM983070:QAM983079 QKI983070:QKI983079 QUE983070:QUE983079 REA983070:REA983079 RNW983070:RNW983079 RXS983070:RXS983079 SHO983070:SHO983079 SRK983070:SRK983079 TBG983070:TBG983079 TLC983070:TLC983079 TUY983070:TUY983079 UEU983070:UEU983079 UOQ983070:UOQ983079 UYM983070:UYM983079 VII983070:VII983079 VSE983070:VSE983079 WCA983070:WCA983079 WLW983070:WLW983079 WVS983070:WVS983079">
      <formula1>"Yes,No,Sensors"</formula1>
    </dataValidation>
    <dataValidation type="list" allowBlank="1" showInputMessage="1" showErrorMessage="1" sqref="J34:J43 JF34:JF43 TB34:TB43 ACX34:ACX43 AMT34:AMT43 AWP34:AWP43 BGL34:BGL43 BQH34:BQH43 CAD34:CAD43 CJZ34:CJZ43 CTV34:CTV43 DDR34:DDR43 DNN34:DNN43 DXJ34:DXJ43 EHF34:EHF43 ERB34:ERB43 FAX34:FAX43 FKT34:FKT43 FUP34:FUP43 GEL34:GEL43 GOH34:GOH43 GYD34:GYD43 HHZ34:HHZ43 HRV34:HRV43 IBR34:IBR43 ILN34:ILN43 IVJ34:IVJ43 JFF34:JFF43 JPB34:JPB43 JYX34:JYX43 KIT34:KIT43 KSP34:KSP43 LCL34:LCL43 LMH34:LMH43 LWD34:LWD43 MFZ34:MFZ43 MPV34:MPV43 MZR34:MZR43 NJN34:NJN43 NTJ34:NTJ43 ODF34:ODF43 ONB34:ONB43 OWX34:OWX43 PGT34:PGT43 PQP34:PQP43 QAL34:QAL43 QKH34:QKH43 QUD34:QUD43 RDZ34:RDZ43 RNV34:RNV43 RXR34:RXR43 SHN34:SHN43 SRJ34:SRJ43 TBF34:TBF43 TLB34:TLB43 TUX34:TUX43 UET34:UET43 UOP34:UOP43 UYL34:UYL43 VIH34:VIH43 VSD34:VSD43 WBZ34:WBZ43 WLV34:WLV43 WVR34:WVR43 J65566:J65575 JF65566:JF65575 TB65566:TB65575 ACX65566:ACX65575 AMT65566:AMT65575 AWP65566:AWP65575 BGL65566:BGL65575 BQH65566:BQH65575 CAD65566:CAD65575 CJZ65566:CJZ65575 CTV65566:CTV65575 DDR65566:DDR65575 DNN65566:DNN65575 DXJ65566:DXJ65575 EHF65566:EHF65575 ERB65566:ERB65575 FAX65566:FAX65575 FKT65566:FKT65575 FUP65566:FUP65575 GEL65566:GEL65575 GOH65566:GOH65575 GYD65566:GYD65575 HHZ65566:HHZ65575 HRV65566:HRV65575 IBR65566:IBR65575 ILN65566:ILN65575 IVJ65566:IVJ65575 JFF65566:JFF65575 JPB65566:JPB65575 JYX65566:JYX65575 KIT65566:KIT65575 KSP65566:KSP65575 LCL65566:LCL65575 LMH65566:LMH65575 LWD65566:LWD65575 MFZ65566:MFZ65575 MPV65566:MPV65575 MZR65566:MZR65575 NJN65566:NJN65575 NTJ65566:NTJ65575 ODF65566:ODF65575 ONB65566:ONB65575 OWX65566:OWX65575 PGT65566:PGT65575 PQP65566:PQP65575 QAL65566:QAL65575 QKH65566:QKH65575 QUD65566:QUD65575 RDZ65566:RDZ65575 RNV65566:RNV65575 RXR65566:RXR65575 SHN65566:SHN65575 SRJ65566:SRJ65575 TBF65566:TBF65575 TLB65566:TLB65575 TUX65566:TUX65575 UET65566:UET65575 UOP65566:UOP65575 UYL65566:UYL65575 VIH65566:VIH65575 VSD65566:VSD65575 WBZ65566:WBZ65575 WLV65566:WLV65575 WVR65566:WVR65575 J131102:J131111 JF131102:JF131111 TB131102:TB131111 ACX131102:ACX131111 AMT131102:AMT131111 AWP131102:AWP131111 BGL131102:BGL131111 BQH131102:BQH131111 CAD131102:CAD131111 CJZ131102:CJZ131111 CTV131102:CTV131111 DDR131102:DDR131111 DNN131102:DNN131111 DXJ131102:DXJ131111 EHF131102:EHF131111 ERB131102:ERB131111 FAX131102:FAX131111 FKT131102:FKT131111 FUP131102:FUP131111 GEL131102:GEL131111 GOH131102:GOH131111 GYD131102:GYD131111 HHZ131102:HHZ131111 HRV131102:HRV131111 IBR131102:IBR131111 ILN131102:ILN131111 IVJ131102:IVJ131111 JFF131102:JFF131111 JPB131102:JPB131111 JYX131102:JYX131111 KIT131102:KIT131111 KSP131102:KSP131111 LCL131102:LCL131111 LMH131102:LMH131111 LWD131102:LWD131111 MFZ131102:MFZ131111 MPV131102:MPV131111 MZR131102:MZR131111 NJN131102:NJN131111 NTJ131102:NTJ131111 ODF131102:ODF131111 ONB131102:ONB131111 OWX131102:OWX131111 PGT131102:PGT131111 PQP131102:PQP131111 QAL131102:QAL131111 QKH131102:QKH131111 QUD131102:QUD131111 RDZ131102:RDZ131111 RNV131102:RNV131111 RXR131102:RXR131111 SHN131102:SHN131111 SRJ131102:SRJ131111 TBF131102:TBF131111 TLB131102:TLB131111 TUX131102:TUX131111 UET131102:UET131111 UOP131102:UOP131111 UYL131102:UYL131111 VIH131102:VIH131111 VSD131102:VSD131111 WBZ131102:WBZ131111 WLV131102:WLV131111 WVR131102:WVR131111 J196638:J196647 JF196638:JF196647 TB196638:TB196647 ACX196638:ACX196647 AMT196638:AMT196647 AWP196638:AWP196647 BGL196638:BGL196647 BQH196638:BQH196647 CAD196638:CAD196647 CJZ196638:CJZ196647 CTV196638:CTV196647 DDR196638:DDR196647 DNN196638:DNN196647 DXJ196638:DXJ196647 EHF196638:EHF196647 ERB196638:ERB196647 FAX196638:FAX196647 FKT196638:FKT196647 FUP196638:FUP196647 GEL196638:GEL196647 GOH196638:GOH196647 GYD196638:GYD196647 HHZ196638:HHZ196647 HRV196638:HRV196647 IBR196638:IBR196647 ILN196638:ILN196647 IVJ196638:IVJ196647 JFF196638:JFF196647 JPB196638:JPB196647 JYX196638:JYX196647 KIT196638:KIT196647 KSP196638:KSP196647 LCL196638:LCL196647 LMH196638:LMH196647 LWD196638:LWD196647 MFZ196638:MFZ196647 MPV196638:MPV196647 MZR196638:MZR196647 NJN196638:NJN196647 NTJ196638:NTJ196647 ODF196638:ODF196647 ONB196638:ONB196647 OWX196638:OWX196647 PGT196638:PGT196647 PQP196638:PQP196647 QAL196638:QAL196647 QKH196638:QKH196647 QUD196638:QUD196647 RDZ196638:RDZ196647 RNV196638:RNV196647 RXR196638:RXR196647 SHN196638:SHN196647 SRJ196638:SRJ196647 TBF196638:TBF196647 TLB196638:TLB196647 TUX196638:TUX196647 UET196638:UET196647 UOP196638:UOP196647 UYL196638:UYL196647 VIH196638:VIH196647 VSD196638:VSD196647 WBZ196638:WBZ196647 WLV196638:WLV196647 WVR196638:WVR196647 J262174:J262183 JF262174:JF262183 TB262174:TB262183 ACX262174:ACX262183 AMT262174:AMT262183 AWP262174:AWP262183 BGL262174:BGL262183 BQH262174:BQH262183 CAD262174:CAD262183 CJZ262174:CJZ262183 CTV262174:CTV262183 DDR262174:DDR262183 DNN262174:DNN262183 DXJ262174:DXJ262183 EHF262174:EHF262183 ERB262174:ERB262183 FAX262174:FAX262183 FKT262174:FKT262183 FUP262174:FUP262183 GEL262174:GEL262183 GOH262174:GOH262183 GYD262174:GYD262183 HHZ262174:HHZ262183 HRV262174:HRV262183 IBR262174:IBR262183 ILN262174:ILN262183 IVJ262174:IVJ262183 JFF262174:JFF262183 JPB262174:JPB262183 JYX262174:JYX262183 KIT262174:KIT262183 KSP262174:KSP262183 LCL262174:LCL262183 LMH262174:LMH262183 LWD262174:LWD262183 MFZ262174:MFZ262183 MPV262174:MPV262183 MZR262174:MZR262183 NJN262174:NJN262183 NTJ262174:NTJ262183 ODF262174:ODF262183 ONB262174:ONB262183 OWX262174:OWX262183 PGT262174:PGT262183 PQP262174:PQP262183 QAL262174:QAL262183 QKH262174:QKH262183 QUD262174:QUD262183 RDZ262174:RDZ262183 RNV262174:RNV262183 RXR262174:RXR262183 SHN262174:SHN262183 SRJ262174:SRJ262183 TBF262174:TBF262183 TLB262174:TLB262183 TUX262174:TUX262183 UET262174:UET262183 UOP262174:UOP262183 UYL262174:UYL262183 VIH262174:VIH262183 VSD262174:VSD262183 WBZ262174:WBZ262183 WLV262174:WLV262183 WVR262174:WVR262183 J327710:J327719 JF327710:JF327719 TB327710:TB327719 ACX327710:ACX327719 AMT327710:AMT327719 AWP327710:AWP327719 BGL327710:BGL327719 BQH327710:BQH327719 CAD327710:CAD327719 CJZ327710:CJZ327719 CTV327710:CTV327719 DDR327710:DDR327719 DNN327710:DNN327719 DXJ327710:DXJ327719 EHF327710:EHF327719 ERB327710:ERB327719 FAX327710:FAX327719 FKT327710:FKT327719 FUP327710:FUP327719 GEL327710:GEL327719 GOH327710:GOH327719 GYD327710:GYD327719 HHZ327710:HHZ327719 HRV327710:HRV327719 IBR327710:IBR327719 ILN327710:ILN327719 IVJ327710:IVJ327719 JFF327710:JFF327719 JPB327710:JPB327719 JYX327710:JYX327719 KIT327710:KIT327719 KSP327710:KSP327719 LCL327710:LCL327719 LMH327710:LMH327719 LWD327710:LWD327719 MFZ327710:MFZ327719 MPV327710:MPV327719 MZR327710:MZR327719 NJN327710:NJN327719 NTJ327710:NTJ327719 ODF327710:ODF327719 ONB327710:ONB327719 OWX327710:OWX327719 PGT327710:PGT327719 PQP327710:PQP327719 QAL327710:QAL327719 QKH327710:QKH327719 QUD327710:QUD327719 RDZ327710:RDZ327719 RNV327710:RNV327719 RXR327710:RXR327719 SHN327710:SHN327719 SRJ327710:SRJ327719 TBF327710:TBF327719 TLB327710:TLB327719 TUX327710:TUX327719 UET327710:UET327719 UOP327710:UOP327719 UYL327710:UYL327719 VIH327710:VIH327719 VSD327710:VSD327719 WBZ327710:WBZ327719 WLV327710:WLV327719 WVR327710:WVR327719 J393246:J393255 JF393246:JF393255 TB393246:TB393255 ACX393246:ACX393255 AMT393246:AMT393255 AWP393246:AWP393255 BGL393246:BGL393255 BQH393246:BQH393255 CAD393246:CAD393255 CJZ393246:CJZ393255 CTV393246:CTV393255 DDR393246:DDR393255 DNN393246:DNN393255 DXJ393246:DXJ393255 EHF393246:EHF393255 ERB393246:ERB393255 FAX393246:FAX393255 FKT393246:FKT393255 FUP393246:FUP393255 GEL393246:GEL393255 GOH393246:GOH393255 GYD393246:GYD393255 HHZ393246:HHZ393255 HRV393246:HRV393255 IBR393246:IBR393255 ILN393246:ILN393255 IVJ393246:IVJ393255 JFF393246:JFF393255 JPB393246:JPB393255 JYX393246:JYX393255 KIT393246:KIT393255 KSP393246:KSP393255 LCL393246:LCL393255 LMH393246:LMH393255 LWD393246:LWD393255 MFZ393246:MFZ393255 MPV393246:MPV393255 MZR393246:MZR393255 NJN393246:NJN393255 NTJ393246:NTJ393255 ODF393246:ODF393255 ONB393246:ONB393255 OWX393246:OWX393255 PGT393246:PGT393255 PQP393246:PQP393255 QAL393246:QAL393255 QKH393246:QKH393255 QUD393246:QUD393255 RDZ393246:RDZ393255 RNV393246:RNV393255 RXR393246:RXR393255 SHN393246:SHN393255 SRJ393246:SRJ393255 TBF393246:TBF393255 TLB393246:TLB393255 TUX393246:TUX393255 UET393246:UET393255 UOP393246:UOP393255 UYL393246:UYL393255 VIH393246:VIH393255 VSD393246:VSD393255 WBZ393246:WBZ393255 WLV393246:WLV393255 WVR393246:WVR393255 J458782:J458791 JF458782:JF458791 TB458782:TB458791 ACX458782:ACX458791 AMT458782:AMT458791 AWP458782:AWP458791 BGL458782:BGL458791 BQH458782:BQH458791 CAD458782:CAD458791 CJZ458782:CJZ458791 CTV458782:CTV458791 DDR458782:DDR458791 DNN458782:DNN458791 DXJ458782:DXJ458791 EHF458782:EHF458791 ERB458782:ERB458791 FAX458782:FAX458791 FKT458782:FKT458791 FUP458782:FUP458791 GEL458782:GEL458791 GOH458782:GOH458791 GYD458782:GYD458791 HHZ458782:HHZ458791 HRV458782:HRV458791 IBR458782:IBR458791 ILN458782:ILN458791 IVJ458782:IVJ458791 JFF458782:JFF458791 JPB458782:JPB458791 JYX458782:JYX458791 KIT458782:KIT458791 KSP458782:KSP458791 LCL458782:LCL458791 LMH458782:LMH458791 LWD458782:LWD458791 MFZ458782:MFZ458791 MPV458782:MPV458791 MZR458782:MZR458791 NJN458782:NJN458791 NTJ458782:NTJ458791 ODF458782:ODF458791 ONB458782:ONB458791 OWX458782:OWX458791 PGT458782:PGT458791 PQP458782:PQP458791 QAL458782:QAL458791 QKH458782:QKH458791 QUD458782:QUD458791 RDZ458782:RDZ458791 RNV458782:RNV458791 RXR458782:RXR458791 SHN458782:SHN458791 SRJ458782:SRJ458791 TBF458782:TBF458791 TLB458782:TLB458791 TUX458782:TUX458791 UET458782:UET458791 UOP458782:UOP458791 UYL458782:UYL458791 VIH458782:VIH458791 VSD458782:VSD458791 WBZ458782:WBZ458791 WLV458782:WLV458791 WVR458782:WVR458791 J524318:J524327 JF524318:JF524327 TB524318:TB524327 ACX524318:ACX524327 AMT524318:AMT524327 AWP524318:AWP524327 BGL524318:BGL524327 BQH524318:BQH524327 CAD524318:CAD524327 CJZ524318:CJZ524327 CTV524318:CTV524327 DDR524318:DDR524327 DNN524318:DNN524327 DXJ524318:DXJ524327 EHF524318:EHF524327 ERB524318:ERB524327 FAX524318:FAX524327 FKT524318:FKT524327 FUP524318:FUP524327 GEL524318:GEL524327 GOH524318:GOH524327 GYD524318:GYD524327 HHZ524318:HHZ524327 HRV524318:HRV524327 IBR524318:IBR524327 ILN524318:ILN524327 IVJ524318:IVJ524327 JFF524318:JFF524327 JPB524318:JPB524327 JYX524318:JYX524327 KIT524318:KIT524327 KSP524318:KSP524327 LCL524318:LCL524327 LMH524318:LMH524327 LWD524318:LWD524327 MFZ524318:MFZ524327 MPV524318:MPV524327 MZR524318:MZR524327 NJN524318:NJN524327 NTJ524318:NTJ524327 ODF524318:ODF524327 ONB524318:ONB524327 OWX524318:OWX524327 PGT524318:PGT524327 PQP524318:PQP524327 QAL524318:QAL524327 QKH524318:QKH524327 QUD524318:QUD524327 RDZ524318:RDZ524327 RNV524318:RNV524327 RXR524318:RXR524327 SHN524318:SHN524327 SRJ524318:SRJ524327 TBF524318:TBF524327 TLB524318:TLB524327 TUX524318:TUX524327 UET524318:UET524327 UOP524318:UOP524327 UYL524318:UYL524327 VIH524318:VIH524327 VSD524318:VSD524327 WBZ524318:WBZ524327 WLV524318:WLV524327 WVR524318:WVR524327 J589854:J589863 JF589854:JF589863 TB589854:TB589863 ACX589854:ACX589863 AMT589854:AMT589863 AWP589854:AWP589863 BGL589854:BGL589863 BQH589854:BQH589863 CAD589854:CAD589863 CJZ589854:CJZ589863 CTV589854:CTV589863 DDR589854:DDR589863 DNN589854:DNN589863 DXJ589854:DXJ589863 EHF589854:EHF589863 ERB589854:ERB589863 FAX589854:FAX589863 FKT589854:FKT589863 FUP589854:FUP589863 GEL589854:GEL589863 GOH589854:GOH589863 GYD589854:GYD589863 HHZ589854:HHZ589863 HRV589854:HRV589863 IBR589854:IBR589863 ILN589854:ILN589863 IVJ589854:IVJ589863 JFF589854:JFF589863 JPB589854:JPB589863 JYX589854:JYX589863 KIT589854:KIT589863 KSP589854:KSP589863 LCL589854:LCL589863 LMH589854:LMH589863 LWD589854:LWD589863 MFZ589854:MFZ589863 MPV589854:MPV589863 MZR589854:MZR589863 NJN589854:NJN589863 NTJ589854:NTJ589863 ODF589854:ODF589863 ONB589854:ONB589863 OWX589854:OWX589863 PGT589854:PGT589863 PQP589854:PQP589863 QAL589854:QAL589863 QKH589854:QKH589863 QUD589854:QUD589863 RDZ589854:RDZ589863 RNV589854:RNV589863 RXR589854:RXR589863 SHN589854:SHN589863 SRJ589854:SRJ589863 TBF589854:TBF589863 TLB589854:TLB589863 TUX589854:TUX589863 UET589854:UET589863 UOP589854:UOP589863 UYL589854:UYL589863 VIH589854:VIH589863 VSD589854:VSD589863 WBZ589854:WBZ589863 WLV589854:WLV589863 WVR589854:WVR589863 J655390:J655399 JF655390:JF655399 TB655390:TB655399 ACX655390:ACX655399 AMT655390:AMT655399 AWP655390:AWP655399 BGL655390:BGL655399 BQH655390:BQH655399 CAD655390:CAD655399 CJZ655390:CJZ655399 CTV655390:CTV655399 DDR655390:DDR655399 DNN655390:DNN655399 DXJ655390:DXJ655399 EHF655390:EHF655399 ERB655390:ERB655399 FAX655390:FAX655399 FKT655390:FKT655399 FUP655390:FUP655399 GEL655390:GEL655399 GOH655390:GOH655399 GYD655390:GYD655399 HHZ655390:HHZ655399 HRV655390:HRV655399 IBR655390:IBR655399 ILN655390:ILN655399 IVJ655390:IVJ655399 JFF655390:JFF655399 JPB655390:JPB655399 JYX655390:JYX655399 KIT655390:KIT655399 KSP655390:KSP655399 LCL655390:LCL655399 LMH655390:LMH655399 LWD655390:LWD655399 MFZ655390:MFZ655399 MPV655390:MPV655399 MZR655390:MZR655399 NJN655390:NJN655399 NTJ655390:NTJ655399 ODF655390:ODF655399 ONB655390:ONB655399 OWX655390:OWX655399 PGT655390:PGT655399 PQP655390:PQP655399 QAL655390:QAL655399 QKH655390:QKH655399 QUD655390:QUD655399 RDZ655390:RDZ655399 RNV655390:RNV655399 RXR655390:RXR655399 SHN655390:SHN655399 SRJ655390:SRJ655399 TBF655390:TBF655399 TLB655390:TLB655399 TUX655390:TUX655399 UET655390:UET655399 UOP655390:UOP655399 UYL655390:UYL655399 VIH655390:VIH655399 VSD655390:VSD655399 WBZ655390:WBZ655399 WLV655390:WLV655399 WVR655390:WVR655399 J720926:J720935 JF720926:JF720935 TB720926:TB720935 ACX720926:ACX720935 AMT720926:AMT720935 AWP720926:AWP720935 BGL720926:BGL720935 BQH720926:BQH720935 CAD720926:CAD720935 CJZ720926:CJZ720935 CTV720926:CTV720935 DDR720926:DDR720935 DNN720926:DNN720935 DXJ720926:DXJ720935 EHF720926:EHF720935 ERB720926:ERB720935 FAX720926:FAX720935 FKT720926:FKT720935 FUP720926:FUP720935 GEL720926:GEL720935 GOH720926:GOH720935 GYD720926:GYD720935 HHZ720926:HHZ720935 HRV720926:HRV720935 IBR720926:IBR720935 ILN720926:ILN720935 IVJ720926:IVJ720935 JFF720926:JFF720935 JPB720926:JPB720935 JYX720926:JYX720935 KIT720926:KIT720935 KSP720926:KSP720935 LCL720926:LCL720935 LMH720926:LMH720935 LWD720926:LWD720935 MFZ720926:MFZ720935 MPV720926:MPV720935 MZR720926:MZR720935 NJN720926:NJN720935 NTJ720926:NTJ720935 ODF720926:ODF720935 ONB720926:ONB720935 OWX720926:OWX720935 PGT720926:PGT720935 PQP720926:PQP720935 QAL720926:QAL720935 QKH720926:QKH720935 QUD720926:QUD720935 RDZ720926:RDZ720935 RNV720926:RNV720935 RXR720926:RXR720935 SHN720926:SHN720935 SRJ720926:SRJ720935 TBF720926:TBF720935 TLB720926:TLB720935 TUX720926:TUX720935 UET720926:UET720935 UOP720926:UOP720935 UYL720926:UYL720935 VIH720926:VIH720935 VSD720926:VSD720935 WBZ720926:WBZ720935 WLV720926:WLV720935 WVR720926:WVR720935 J786462:J786471 JF786462:JF786471 TB786462:TB786471 ACX786462:ACX786471 AMT786462:AMT786471 AWP786462:AWP786471 BGL786462:BGL786471 BQH786462:BQH786471 CAD786462:CAD786471 CJZ786462:CJZ786471 CTV786462:CTV786471 DDR786462:DDR786471 DNN786462:DNN786471 DXJ786462:DXJ786471 EHF786462:EHF786471 ERB786462:ERB786471 FAX786462:FAX786471 FKT786462:FKT786471 FUP786462:FUP786471 GEL786462:GEL786471 GOH786462:GOH786471 GYD786462:GYD786471 HHZ786462:HHZ786471 HRV786462:HRV786471 IBR786462:IBR786471 ILN786462:ILN786471 IVJ786462:IVJ786471 JFF786462:JFF786471 JPB786462:JPB786471 JYX786462:JYX786471 KIT786462:KIT786471 KSP786462:KSP786471 LCL786462:LCL786471 LMH786462:LMH786471 LWD786462:LWD786471 MFZ786462:MFZ786471 MPV786462:MPV786471 MZR786462:MZR786471 NJN786462:NJN786471 NTJ786462:NTJ786471 ODF786462:ODF786471 ONB786462:ONB786471 OWX786462:OWX786471 PGT786462:PGT786471 PQP786462:PQP786471 QAL786462:QAL786471 QKH786462:QKH786471 QUD786462:QUD786471 RDZ786462:RDZ786471 RNV786462:RNV786471 RXR786462:RXR786471 SHN786462:SHN786471 SRJ786462:SRJ786471 TBF786462:TBF786471 TLB786462:TLB786471 TUX786462:TUX786471 UET786462:UET786471 UOP786462:UOP786471 UYL786462:UYL786471 VIH786462:VIH786471 VSD786462:VSD786471 WBZ786462:WBZ786471 WLV786462:WLV786471 WVR786462:WVR786471 J851998:J852007 JF851998:JF852007 TB851998:TB852007 ACX851998:ACX852007 AMT851998:AMT852007 AWP851998:AWP852007 BGL851998:BGL852007 BQH851998:BQH852007 CAD851998:CAD852007 CJZ851998:CJZ852007 CTV851998:CTV852007 DDR851998:DDR852007 DNN851998:DNN852007 DXJ851998:DXJ852007 EHF851998:EHF852007 ERB851998:ERB852007 FAX851998:FAX852007 FKT851998:FKT852007 FUP851998:FUP852007 GEL851998:GEL852007 GOH851998:GOH852007 GYD851998:GYD852007 HHZ851998:HHZ852007 HRV851998:HRV852007 IBR851998:IBR852007 ILN851998:ILN852007 IVJ851998:IVJ852007 JFF851998:JFF852007 JPB851998:JPB852007 JYX851998:JYX852007 KIT851998:KIT852007 KSP851998:KSP852007 LCL851998:LCL852007 LMH851998:LMH852007 LWD851998:LWD852007 MFZ851998:MFZ852007 MPV851998:MPV852007 MZR851998:MZR852007 NJN851998:NJN852007 NTJ851998:NTJ852007 ODF851998:ODF852007 ONB851998:ONB852007 OWX851998:OWX852007 PGT851998:PGT852007 PQP851998:PQP852007 QAL851998:QAL852007 QKH851998:QKH852007 QUD851998:QUD852007 RDZ851998:RDZ852007 RNV851998:RNV852007 RXR851998:RXR852007 SHN851998:SHN852007 SRJ851998:SRJ852007 TBF851998:TBF852007 TLB851998:TLB852007 TUX851998:TUX852007 UET851998:UET852007 UOP851998:UOP852007 UYL851998:UYL852007 VIH851998:VIH852007 VSD851998:VSD852007 WBZ851998:WBZ852007 WLV851998:WLV852007 WVR851998:WVR852007 J917534:J917543 JF917534:JF917543 TB917534:TB917543 ACX917534:ACX917543 AMT917534:AMT917543 AWP917534:AWP917543 BGL917534:BGL917543 BQH917534:BQH917543 CAD917534:CAD917543 CJZ917534:CJZ917543 CTV917534:CTV917543 DDR917534:DDR917543 DNN917534:DNN917543 DXJ917534:DXJ917543 EHF917534:EHF917543 ERB917534:ERB917543 FAX917534:FAX917543 FKT917534:FKT917543 FUP917534:FUP917543 GEL917534:GEL917543 GOH917534:GOH917543 GYD917534:GYD917543 HHZ917534:HHZ917543 HRV917534:HRV917543 IBR917534:IBR917543 ILN917534:ILN917543 IVJ917534:IVJ917543 JFF917534:JFF917543 JPB917534:JPB917543 JYX917534:JYX917543 KIT917534:KIT917543 KSP917534:KSP917543 LCL917534:LCL917543 LMH917534:LMH917543 LWD917534:LWD917543 MFZ917534:MFZ917543 MPV917534:MPV917543 MZR917534:MZR917543 NJN917534:NJN917543 NTJ917534:NTJ917543 ODF917534:ODF917543 ONB917534:ONB917543 OWX917534:OWX917543 PGT917534:PGT917543 PQP917534:PQP917543 QAL917534:QAL917543 QKH917534:QKH917543 QUD917534:QUD917543 RDZ917534:RDZ917543 RNV917534:RNV917543 RXR917534:RXR917543 SHN917534:SHN917543 SRJ917534:SRJ917543 TBF917534:TBF917543 TLB917534:TLB917543 TUX917534:TUX917543 UET917534:UET917543 UOP917534:UOP917543 UYL917534:UYL917543 VIH917534:VIH917543 VSD917534:VSD917543 WBZ917534:WBZ917543 WLV917534:WLV917543 WVR917534:WVR917543 J983070:J983079 JF983070:JF983079 TB983070:TB983079 ACX983070:ACX983079 AMT983070:AMT983079 AWP983070:AWP983079 BGL983070:BGL983079 BQH983070:BQH983079 CAD983070:CAD983079 CJZ983070:CJZ983079 CTV983070:CTV983079 DDR983070:DDR983079 DNN983070:DNN983079 DXJ983070:DXJ983079 EHF983070:EHF983079 ERB983070:ERB983079 FAX983070:FAX983079 FKT983070:FKT983079 FUP983070:FUP983079 GEL983070:GEL983079 GOH983070:GOH983079 GYD983070:GYD983079 HHZ983070:HHZ983079 HRV983070:HRV983079 IBR983070:IBR983079 ILN983070:ILN983079 IVJ983070:IVJ983079 JFF983070:JFF983079 JPB983070:JPB983079 JYX983070:JYX983079 KIT983070:KIT983079 KSP983070:KSP983079 LCL983070:LCL983079 LMH983070:LMH983079 LWD983070:LWD983079 MFZ983070:MFZ983079 MPV983070:MPV983079 MZR983070:MZR983079 NJN983070:NJN983079 NTJ983070:NTJ983079 ODF983070:ODF983079 ONB983070:ONB983079 OWX983070:OWX983079 PGT983070:PGT983079 PQP983070:PQP983079 QAL983070:QAL983079 QKH983070:QKH983079 QUD983070:QUD983079 RDZ983070:RDZ983079 RNV983070:RNV983079 RXR983070:RXR983079 SHN983070:SHN983079 SRJ983070:SRJ983079 TBF983070:TBF983079 TLB983070:TLB983079 TUX983070:TUX983079 UET983070:UET983079 UOP983070:UOP983079 UYL983070:UYL983079 VIH983070:VIH983079 VSD983070:VSD983079 WBZ983070:WBZ983079 WLV983070:WLV983079 WVR983070:WVR983079">
      <formula1>"Yes,No"</formula1>
    </dataValidation>
    <dataValidation type="list" allowBlank="1" showInputMessage="1" showErrorMessage="1" sqref="C34:C43 IY34:IY43 SU34:SU43 ACQ34:ACQ43 AMM34:AMM43 AWI34:AWI43 BGE34:BGE43 BQA34:BQA43 BZW34:BZW43 CJS34:CJS43 CTO34:CTO43 DDK34:DDK43 DNG34:DNG43 DXC34:DXC43 EGY34:EGY43 EQU34:EQU43 FAQ34:FAQ43 FKM34:FKM43 FUI34:FUI43 GEE34:GEE43 GOA34:GOA43 GXW34:GXW43 HHS34:HHS43 HRO34:HRO43 IBK34:IBK43 ILG34:ILG43 IVC34:IVC43 JEY34:JEY43 JOU34:JOU43 JYQ34:JYQ43 KIM34:KIM43 KSI34:KSI43 LCE34:LCE43 LMA34:LMA43 LVW34:LVW43 MFS34:MFS43 MPO34:MPO43 MZK34:MZK43 NJG34:NJG43 NTC34:NTC43 OCY34:OCY43 OMU34:OMU43 OWQ34:OWQ43 PGM34:PGM43 PQI34:PQI43 QAE34:QAE43 QKA34:QKA43 QTW34:QTW43 RDS34:RDS43 RNO34:RNO43 RXK34:RXK43 SHG34:SHG43 SRC34:SRC43 TAY34:TAY43 TKU34:TKU43 TUQ34:TUQ43 UEM34:UEM43 UOI34:UOI43 UYE34:UYE43 VIA34:VIA43 VRW34:VRW43 WBS34:WBS43 WLO34:WLO43 WVK34:WVK43 C65566:C65575 IY65566:IY65575 SU65566:SU65575 ACQ65566:ACQ65575 AMM65566:AMM65575 AWI65566:AWI65575 BGE65566:BGE65575 BQA65566:BQA65575 BZW65566:BZW65575 CJS65566:CJS65575 CTO65566:CTO65575 DDK65566:DDK65575 DNG65566:DNG65575 DXC65566:DXC65575 EGY65566:EGY65575 EQU65566:EQU65575 FAQ65566:FAQ65575 FKM65566:FKM65575 FUI65566:FUI65575 GEE65566:GEE65575 GOA65566:GOA65575 GXW65566:GXW65575 HHS65566:HHS65575 HRO65566:HRO65575 IBK65566:IBK65575 ILG65566:ILG65575 IVC65566:IVC65575 JEY65566:JEY65575 JOU65566:JOU65575 JYQ65566:JYQ65575 KIM65566:KIM65575 KSI65566:KSI65575 LCE65566:LCE65575 LMA65566:LMA65575 LVW65566:LVW65575 MFS65566:MFS65575 MPO65566:MPO65575 MZK65566:MZK65575 NJG65566:NJG65575 NTC65566:NTC65575 OCY65566:OCY65575 OMU65566:OMU65575 OWQ65566:OWQ65575 PGM65566:PGM65575 PQI65566:PQI65575 QAE65566:QAE65575 QKA65566:QKA65575 QTW65566:QTW65575 RDS65566:RDS65575 RNO65566:RNO65575 RXK65566:RXK65575 SHG65566:SHG65575 SRC65566:SRC65575 TAY65566:TAY65575 TKU65566:TKU65575 TUQ65566:TUQ65575 UEM65566:UEM65575 UOI65566:UOI65575 UYE65566:UYE65575 VIA65566:VIA65575 VRW65566:VRW65575 WBS65566:WBS65575 WLO65566:WLO65575 WVK65566:WVK65575 C131102:C131111 IY131102:IY131111 SU131102:SU131111 ACQ131102:ACQ131111 AMM131102:AMM131111 AWI131102:AWI131111 BGE131102:BGE131111 BQA131102:BQA131111 BZW131102:BZW131111 CJS131102:CJS131111 CTO131102:CTO131111 DDK131102:DDK131111 DNG131102:DNG131111 DXC131102:DXC131111 EGY131102:EGY131111 EQU131102:EQU131111 FAQ131102:FAQ131111 FKM131102:FKM131111 FUI131102:FUI131111 GEE131102:GEE131111 GOA131102:GOA131111 GXW131102:GXW131111 HHS131102:HHS131111 HRO131102:HRO131111 IBK131102:IBK131111 ILG131102:ILG131111 IVC131102:IVC131111 JEY131102:JEY131111 JOU131102:JOU131111 JYQ131102:JYQ131111 KIM131102:KIM131111 KSI131102:KSI131111 LCE131102:LCE131111 LMA131102:LMA131111 LVW131102:LVW131111 MFS131102:MFS131111 MPO131102:MPO131111 MZK131102:MZK131111 NJG131102:NJG131111 NTC131102:NTC131111 OCY131102:OCY131111 OMU131102:OMU131111 OWQ131102:OWQ131111 PGM131102:PGM131111 PQI131102:PQI131111 QAE131102:QAE131111 QKA131102:QKA131111 QTW131102:QTW131111 RDS131102:RDS131111 RNO131102:RNO131111 RXK131102:RXK131111 SHG131102:SHG131111 SRC131102:SRC131111 TAY131102:TAY131111 TKU131102:TKU131111 TUQ131102:TUQ131111 UEM131102:UEM131111 UOI131102:UOI131111 UYE131102:UYE131111 VIA131102:VIA131111 VRW131102:VRW131111 WBS131102:WBS131111 WLO131102:WLO131111 WVK131102:WVK131111 C196638:C196647 IY196638:IY196647 SU196638:SU196647 ACQ196638:ACQ196647 AMM196638:AMM196647 AWI196638:AWI196647 BGE196638:BGE196647 BQA196638:BQA196647 BZW196638:BZW196647 CJS196638:CJS196647 CTO196638:CTO196647 DDK196638:DDK196647 DNG196638:DNG196647 DXC196638:DXC196647 EGY196638:EGY196647 EQU196638:EQU196647 FAQ196638:FAQ196647 FKM196638:FKM196647 FUI196638:FUI196647 GEE196638:GEE196647 GOA196638:GOA196647 GXW196638:GXW196647 HHS196638:HHS196647 HRO196638:HRO196647 IBK196638:IBK196647 ILG196638:ILG196647 IVC196638:IVC196647 JEY196638:JEY196647 JOU196638:JOU196647 JYQ196638:JYQ196647 KIM196638:KIM196647 KSI196638:KSI196647 LCE196638:LCE196647 LMA196638:LMA196647 LVW196638:LVW196647 MFS196638:MFS196647 MPO196638:MPO196647 MZK196638:MZK196647 NJG196638:NJG196647 NTC196638:NTC196647 OCY196638:OCY196647 OMU196638:OMU196647 OWQ196638:OWQ196647 PGM196638:PGM196647 PQI196638:PQI196647 QAE196638:QAE196647 QKA196638:QKA196647 QTW196638:QTW196647 RDS196638:RDS196647 RNO196638:RNO196647 RXK196638:RXK196647 SHG196638:SHG196647 SRC196638:SRC196647 TAY196638:TAY196647 TKU196638:TKU196647 TUQ196638:TUQ196647 UEM196638:UEM196647 UOI196638:UOI196647 UYE196638:UYE196647 VIA196638:VIA196647 VRW196638:VRW196647 WBS196638:WBS196647 WLO196638:WLO196647 WVK196638:WVK196647 C262174:C262183 IY262174:IY262183 SU262174:SU262183 ACQ262174:ACQ262183 AMM262174:AMM262183 AWI262174:AWI262183 BGE262174:BGE262183 BQA262174:BQA262183 BZW262174:BZW262183 CJS262174:CJS262183 CTO262174:CTO262183 DDK262174:DDK262183 DNG262174:DNG262183 DXC262174:DXC262183 EGY262174:EGY262183 EQU262174:EQU262183 FAQ262174:FAQ262183 FKM262174:FKM262183 FUI262174:FUI262183 GEE262174:GEE262183 GOA262174:GOA262183 GXW262174:GXW262183 HHS262174:HHS262183 HRO262174:HRO262183 IBK262174:IBK262183 ILG262174:ILG262183 IVC262174:IVC262183 JEY262174:JEY262183 JOU262174:JOU262183 JYQ262174:JYQ262183 KIM262174:KIM262183 KSI262174:KSI262183 LCE262174:LCE262183 LMA262174:LMA262183 LVW262174:LVW262183 MFS262174:MFS262183 MPO262174:MPO262183 MZK262174:MZK262183 NJG262174:NJG262183 NTC262174:NTC262183 OCY262174:OCY262183 OMU262174:OMU262183 OWQ262174:OWQ262183 PGM262174:PGM262183 PQI262174:PQI262183 QAE262174:QAE262183 QKA262174:QKA262183 QTW262174:QTW262183 RDS262174:RDS262183 RNO262174:RNO262183 RXK262174:RXK262183 SHG262174:SHG262183 SRC262174:SRC262183 TAY262174:TAY262183 TKU262174:TKU262183 TUQ262174:TUQ262183 UEM262174:UEM262183 UOI262174:UOI262183 UYE262174:UYE262183 VIA262174:VIA262183 VRW262174:VRW262183 WBS262174:WBS262183 WLO262174:WLO262183 WVK262174:WVK262183 C327710:C327719 IY327710:IY327719 SU327710:SU327719 ACQ327710:ACQ327719 AMM327710:AMM327719 AWI327710:AWI327719 BGE327710:BGE327719 BQA327710:BQA327719 BZW327710:BZW327719 CJS327710:CJS327719 CTO327710:CTO327719 DDK327710:DDK327719 DNG327710:DNG327719 DXC327710:DXC327719 EGY327710:EGY327719 EQU327710:EQU327719 FAQ327710:FAQ327719 FKM327710:FKM327719 FUI327710:FUI327719 GEE327710:GEE327719 GOA327710:GOA327719 GXW327710:GXW327719 HHS327710:HHS327719 HRO327710:HRO327719 IBK327710:IBK327719 ILG327710:ILG327719 IVC327710:IVC327719 JEY327710:JEY327719 JOU327710:JOU327719 JYQ327710:JYQ327719 KIM327710:KIM327719 KSI327710:KSI327719 LCE327710:LCE327719 LMA327710:LMA327719 LVW327710:LVW327719 MFS327710:MFS327719 MPO327710:MPO327719 MZK327710:MZK327719 NJG327710:NJG327719 NTC327710:NTC327719 OCY327710:OCY327719 OMU327710:OMU327719 OWQ327710:OWQ327719 PGM327710:PGM327719 PQI327710:PQI327719 QAE327710:QAE327719 QKA327710:QKA327719 QTW327710:QTW327719 RDS327710:RDS327719 RNO327710:RNO327719 RXK327710:RXK327719 SHG327710:SHG327719 SRC327710:SRC327719 TAY327710:TAY327719 TKU327710:TKU327719 TUQ327710:TUQ327719 UEM327710:UEM327719 UOI327710:UOI327719 UYE327710:UYE327719 VIA327710:VIA327719 VRW327710:VRW327719 WBS327710:WBS327719 WLO327710:WLO327719 WVK327710:WVK327719 C393246:C393255 IY393246:IY393255 SU393246:SU393255 ACQ393246:ACQ393255 AMM393246:AMM393255 AWI393246:AWI393255 BGE393246:BGE393255 BQA393246:BQA393255 BZW393246:BZW393255 CJS393246:CJS393255 CTO393246:CTO393255 DDK393246:DDK393255 DNG393246:DNG393255 DXC393246:DXC393255 EGY393246:EGY393255 EQU393246:EQU393255 FAQ393246:FAQ393255 FKM393246:FKM393255 FUI393246:FUI393255 GEE393246:GEE393255 GOA393246:GOA393255 GXW393246:GXW393255 HHS393246:HHS393255 HRO393246:HRO393255 IBK393246:IBK393255 ILG393246:ILG393255 IVC393246:IVC393255 JEY393246:JEY393255 JOU393246:JOU393255 JYQ393246:JYQ393255 KIM393246:KIM393255 KSI393246:KSI393255 LCE393246:LCE393255 LMA393246:LMA393255 LVW393246:LVW393255 MFS393246:MFS393255 MPO393246:MPO393255 MZK393246:MZK393255 NJG393246:NJG393255 NTC393246:NTC393255 OCY393246:OCY393255 OMU393246:OMU393255 OWQ393246:OWQ393255 PGM393246:PGM393255 PQI393246:PQI393255 QAE393246:QAE393255 QKA393246:QKA393255 QTW393246:QTW393255 RDS393246:RDS393255 RNO393246:RNO393255 RXK393246:RXK393255 SHG393246:SHG393255 SRC393246:SRC393255 TAY393246:TAY393255 TKU393246:TKU393255 TUQ393246:TUQ393255 UEM393246:UEM393255 UOI393246:UOI393255 UYE393246:UYE393255 VIA393246:VIA393255 VRW393246:VRW393255 WBS393246:WBS393255 WLO393246:WLO393255 WVK393246:WVK393255 C458782:C458791 IY458782:IY458791 SU458782:SU458791 ACQ458782:ACQ458791 AMM458782:AMM458791 AWI458782:AWI458791 BGE458782:BGE458791 BQA458782:BQA458791 BZW458782:BZW458791 CJS458782:CJS458791 CTO458782:CTO458791 DDK458782:DDK458791 DNG458782:DNG458791 DXC458782:DXC458791 EGY458782:EGY458791 EQU458782:EQU458791 FAQ458782:FAQ458791 FKM458782:FKM458791 FUI458782:FUI458791 GEE458782:GEE458791 GOA458782:GOA458791 GXW458782:GXW458791 HHS458782:HHS458791 HRO458782:HRO458791 IBK458782:IBK458791 ILG458782:ILG458791 IVC458782:IVC458791 JEY458782:JEY458791 JOU458782:JOU458791 JYQ458782:JYQ458791 KIM458782:KIM458791 KSI458782:KSI458791 LCE458782:LCE458791 LMA458782:LMA458791 LVW458782:LVW458791 MFS458782:MFS458791 MPO458782:MPO458791 MZK458782:MZK458791 NJG458782:NJG458791 NTC458782:NTC458791 OCY458782:OCY458791 OMU458782:OMU458791 OWQ458782:OWQ458791 PGM458782:PGM458791 PQI458782:PQI458791 QAE458782:QAE458791 QKA458782:QKA458791 QTW458782:QTW458791 RDS458782:RDS458791 RNO458782:RNO458791 RXK458782:RXK458791 SHG458782:SHG458791 SRC458782:SRC458791 TAY458782:TAY458791 TKU458782:TKU458791 TUQ458782:TUQ458791 UEM458782:UEM458791 UOI458782:UOI458791 UYE458782:UYE458791 VIA458782:VIA458791 VRW458782:VRW458791 WBS458782:WBS458791 WLO458782:WLO458791 WVK458782:WVK458791 C524318:C524327 IY524318:IY524327 SU524318:SU524327 ACQ524318:ACQ524327 AMM524318:AMM524327 AWI524318:AWI524327 BGE524318:BGE524327 BQA524318:BQA524327 BZW524318:BZW524327 CJS524318:CJS524327 CTO524318:CTO524327 DDK524318:DDK524327 DNG524318:DNG524327 DXC524318:DXC524327 EGY524318:EGY524327 EQU524318:EQU524327 FAQ524318:FAQ524327 FKM524318:FKM524327 FUI524318:FUI524327 GEE524318:GEE524327 GOA524318:GOA524327 GXW524318:GXW524327 HHS524318:HHS524327 HRO524318:HRO524327 IBK524318:IBK524327 ILG524318:ILG524327 IVC524318:IVC524327 JEY524318:JEY524327 JOU524318:JOU524327 JYQ524318:JYQ524327 KIM524318:KIM524327 KSI524318:KSI524327 LCE524318:LCE524327 LMA524318:LMA524327 LVW524318:LVW524327 MFS524318:MFS524327 MPO524318:MPO524327 MZK524318:MZK524327 NJG524318:NJG524327 NTC524318:NTC524327 OCY524318:OCY524327 OMU524318:OMU524327 OWQ524318:OWQ524327 PGM524318:PGM524327 PQI524318:PQI524327 QAE524318:QAE524327 QKA524318:QKA524327 QTW524318:QTW524327 RDS524318:RDS524327 RNO524318:RNO524327 RXK524318:RXK524327 SHG524318:SHG524327 SRC524318:SRC524327 TAY524318:TAY524327 TKU524318:TKU524327 TUQ524318:TUQ524327 UEM524318:UEM524327 UOI524318:UOI524327 UYE524318:UYE524327 VIA524318:VIA524327 VRW524318:VRW524327 WBS524318:WBS524327 WLO524318:WLO524327 WVK524318:WVK524327 C589854:C589863 IY589854:IY589863 SU589854:SU589863 ACQ589854:ACQ589863 AMM589854:AMM589863 AWI589854:AWI589863 BGE589854:BGE589863 BQA589854:BQA589863 BZW589854:BZW589863 CJS589854:CJS589863 CTO589854:CTO589863 DDK589854:DDK589863 DNG589854:DNG589863 DXC589854:DXC589863 EGY589854:EGY589863 EQU589854:EQU589863 FAQ589854:FAQ589863 FKM589854:FKM589863 FUI589854:FUI589863 GEE589854:GEE589863 GOA589854:GOA589863 GXW589854:GXW589863 HHS589854:HHS589863 HRO589854:HRO589863 IBK589854:IBK589863 ILG589854:ILG589863 IVC589854:IVC589863 JEY589854:JEY589863 JOU589854:JOU589863 JYQ589854:JYQ589863 KIM589854:KIM589863 KSI589854:KSI589863 LCE589854:LCE589863 LMA589854:LMA589863 LVW589854:LVW589863 MFS589854:MFS589863 MPO589854:MPO589863 MZK589854:MZK589863 NJG589854:NJG589863 NTC589854:NTC589863 OCY589854:OCY589863 OMU589854:OMU589863 OWQ589854:OWQ589863 PGM589854:PGM589863 PQI589854:PQI589863 QAE589854:QAE589863 QKA589854:QKA589863 QTW589854:QTW589863 RDS589854:RDS589863 RNO589854:RNO589863 RXK589854:RXK589863 SHG589854:SHG589863 SRC589854:SRC589863 TAY589854:TAY589863 TKU589854:TKU589863 TUQ589854:TUQ589863 UEM589854:UEM589863 UOI589854:UOI589863 UYE589854:UYE589863 VIA589854:VIA589863 VRW589854:VRW589863 WBS589854:WBS589863 WLO589854:WLO589863 WVK589854:WVK589863 C655390:C655399 IY655390:IY655399 SU655390:SU655399 ACQ655390:ACQ655399 AMM655390:AMM655399 AWI655390:AWI655399 BGE655390:BGE655399 BQA655390:BQA655399 BZW655390:BZW655399 CJS655390:CJS655399 CTO655390:CTO655399 DDK655390:DDK655399 DNG655390:DNG655399 DXC655390:DXC655399 EGY655390:EGY655399 EQU655390:EQU655399 FAQ655390:FAQ655399 FKM655390:FKM655399 FUI655390:FUI655399 GEE655390:GEE655399 GOA655390:GOA655399 GXW655390:GXW655399 HHS655390:HHS655399 HRO655390:HRO655399 IBK655390:IBK655399 ILG655390:ILG655399 IVC655390:IVC655399 JEY655390:JEY655399 JOU655390:JOU655399 JYQ655390:JYQ655399 KIM655390:KIM655399 KSI655390:KSI655399 LCE655390:LCE655399 LMA655390:LMA655399 LVW655390:LVW655399 MFS655390:MFS655399 MPO655390:MPO655399 MZK655390:MZK655399 NJG655390:NJG655399 NTC655390:NTC655399 OCY655390:OCY655399 OMU655390:OMU655399 OWQ655390:OWQ655399 PGM655390:PGM655399 PQI655390:PQI655399 QAE655390:QAE655399 QKA655390:QKA655399 QTW655390:QTW655399 RDS655390:RDS655399 RNO655390:RNO655399 RXK655390:RXK655399 SHG655390:SHG655399 SRC655390:SRC655399 TAY655390:TAY655399 TKU655390:TKU655399 TUQ655390:TUQ655399 UEM655390:UEM655399 UOI655390:UOI655399 UYE655390:UYE655399 VIA655390:VIA655399 VRW655390:VRW655399 WBS655390:WBS655399 WLO655390:WLO655399 WVK655390:WVK655399 C720926:C720935 IY720926:IY720935 SU720926:SU720935 ACQ720926:ACQ720935 AMM720926:AMM720935 AWI720926:AWI720935 BGE720926:BGE720935 BQA720926:BQA720935 BZW720926:BZW720935 CJS720926:CJS720935 CTO720926:CTO720935 DDK720926:DDK720935 DNG720926:DNG720935 DXC720926:DXC720935 EGY720926:EGY720935 EQU720926:EQU720935 FAQ720926:FAQ720935 FKM720926:FKM720935 FUI720926:FUI720935 GEE720926:GEE720935 GOA720926:GOA720935 GXW720926:GXW720935 HHS720926:HHS720935 HRO720926:HRO720935 IBK720926:IBK720935 ILG720926:ILG720935 IVC720926:IVC720935 JEY720926:JEY720935 JOU720926:JOU720935 JYQ720926:JYQ720935 KIM720926:KIM720935 KSI720926:KSI720935 LCE720926:LCE720935 LMA720926:LMA720935 LVW720926:LVW720935 MFS720926:MFS720935 MPO720926:MPO720935 MZK720926:MZK720935 NJG720926:NJG720935 NTC720926:NTC720935 OCY720926:OCY720935 OMU720926:OMU720935 OWQ720926:OWQ720935 PGM720926:PGM720935 PQI720926:PQI720935 QAE720926:QAE720935 QKA720926:QKA720935 QTW720926:QTW720935 RDS720926:RDS720935 RNO720926:RNO720935 RXK720926:RXK720935 SHG720926:SHG720935 SRC720926:SRC720935 TAY720926:TAY720935 TKU720926:TKU720935 TUQ720926:TUQ720935 UEM720926:UEM720935 UOI720926:UOI720935 UYE720926:UYE720935 VIA720926:VIA720935 VRW720926:VRW720935 WBS720926:WBS720935 WLO720926:WLO720935 WVK720926:WVK720935 C786462:C786471 IY786462:IY786471 SU786462:SU786471 ACQ786462:ACQ786471 AMM786462:AMM786471 AWI786462:AWI786471 BGE786462:BGE786471 BQA786462:BQA786471 BZW786462:BZW786471 CJS786462:CJS786471 CTO786462:CTO786471 DDK786462:DDK786471 DNG786462:DNG786471 DXC786462:DXC786471 EGY786462:EGY786471 EQU786462:EQU786471 FAQ786462:FAQ786471 FKM786462:FKM786471 FUI786462:FUI786471 GEE786462:GEE786471 GOA786462:GOA786471 GXW786462:GXW786471 HHS786462:HHS786471 HRO786462:HRO786471 IBK786462:IBK786471 ILG786462:ILG786471 IVC786462:IVC786471 JEY786462:JEY786471 JOU786462:JOU786471 JYQ786462:JYQ786471 KIM786462:KIM786471 KSI786462:KSI786471 LCE786462:LCE786471 LMA786462:LMA786471 LVW786462:LVW786471 MFS786462:MFS786471 MPO786462:MPO786471 MZK786462:MZK786471 NJG786462:NJG786471 NTC786462:NTC786471 OCY786462:OCY786471 OMU786462:OMU786471 OWQ786462:OWQ786471 PGM786462:PGM786471 PQI786462:PQI786471 QAE786462:QAE786471 QKA786462:QKA786471 QTW786462:QTW786471 RDS786462:RDS786471 RNO786462:RNO786471 RXK786462:RXK786471 SHG786462:SHG786471 SRC786462:SRC786471 TAY786462:TAY786471 TKU786462:TKU786471 TUQ786462:TUQ786471 UEM786462:UEM786471 UOI786462:UOI786471 UYE786462:UYE786471 VIA786462:VIA786471 VRW786462:VRW786471 WBS786462:WBS786471 WLO786462:WLO786471 WVK786462:WVK786471 C851998:C852007 IY851998:IY852007 SU851998:SU852007 ACQ851998:ACQ852007 AMM851998:AMM852007 AWI851998:AWI852007 BGE851998:BGE852007 BQA851998:BQA852007 BZW851998:BZW852007 CJS851998:CJS852007 CTO851998:CTO852007 DDK851998:DDK852007 DNG851998:DNG852007 DXC851998:DXC852007 EGY851998:EGY852007 EQU851998:EQU852007 FAQ851998:FAQ852007 FKM851998:FKM852007 FUI851998:FUI852007 GEE851998:GEE852007 GOA851998:GOA852007 GXW851998:GXW852007 HHS851998:HHS852007 HRO851998:HRO852007 IBK851998:IBK852007 ILG851998:ILG852007 IVC851998:IVC852007 JEY851998:JEY852007 JOU851998:JOU852007 JYQ851998:JYQ852007 KIM851998:KIM852007 KSI851998:KSI852007 LCE851998:LCE852007 LMA851998:LMA852007 LVW851998:LVW852007 MFS851998:MFS852007 MPO851998:MPO852007 MZK851998:MZK852007 NJG851998:NJG852007 NTC851998:NTC852007 OCY851998:OCY852007 OMU851998:OMU852007 OWQ851998:OWQ852007 PGM851998:PGM852007 PQI851998:PQI852007 QAE851998:QAE852007 QKA851998:QKA852007 QTW851998:QTW852007 RDS851998:RDS852007 RNO851998:RNO852007 RXK851998:RXK852007 SHG851998:SHG852007 SRC851998:SRC852007 TAY851998:TAY852007 TKU851998:TKU852007 TUQ851998:TUQ852007 UEM851998:UEM852007 UOI851998:UOI852007 UYE851998:UYE852007 VIA851998:VIA852007 VRW851998:VRW852007 WBS851998:WBS852007 WLO851998:WLO852007 WVK851998:WVK852007 C917534:C917543 IY917534:IY917543 SU917534:SU917543 ACQ917534:ACQ917543 AMM917534:AMM917543 AWI917534:AWI917543 BGE917534:BGE917543 BQA917534:BQA917543 BZW917534:BZW917543 CJS917534:CJS917543 CTO917534:CTO917543 DDK917534:DDK917543 DNG917534:DNG917543 DXC917534:DXC917543 EGY917534:EGY917543 EQU917534:EQU917543 FAQ917534:FAQ917543 FKM917534:FKM917543 FUI917534:FUI917543 GEE917534:GEE917543 GOA917534:GOA917543 GXW917534:GXW917543 HHS917534:HHS917543 HRO917534:HRO917543 IBK917534:IBK917543 ILG917534:ILG917543 IVC917534:IVC917543 JEY917534:JEY917543 JOU917534:JOU917543 JYQ917534:JYQ917543 KIM917534:KIM917543 KSI917534:KSI917543 LCE917534:LCE917543 LMA917534:LMA917543 LVW917534:LVW917543 MFS917534:MFS917543 MPO917534:MPO917543 MZK917534:MZK917543 NJG917534:NJG917543 NTC917534:NTC917543 OCY917534:OCY917543 OMU917534:OMU917543 OWQ917534:OWQ917543 PGM917534:PGM917543 PQI917534:PQI917543 QAE917534:QAE917543 QKA917534:QKA917543 QTW917534:QTW917543 RDS917534:RDS917543 RNO917534:RNO917543 RXK917534:RXK917543 SHG917534:SHG917543 SRC917534:SRC917543 TAY917534:TAY917543 TKU917534:TKU917543 TUQ917534:TUQ917543 UEM917534:UEM917543 UOI917534:UOI917543 UYE917534:UYE917543 VIA917534:VIA917543 VRW917534:VRW917543 WBS917534:WBS917543 WLO917534:WLO917543 WVK917534:WVK917543 C983070:C983079 IY983070:IY983079 SU983070:SU983079 ACQ983070:ACQ983079 AMM983070:AMM983079 AWI983070:AWI983079 BGE983070:BGE983079 BQA983070:BQA983079 BZW983070:BZW983079 CJS983070:CJS983079 CTO983070:CTO983079 DDK983070:DDK983079 DNG983070:DNG983079 DXC983070:DXC983079 EGY983070:EGY983079 EQU983070:EQU983079 FAQ983070:FAQ983079 FKM983070:FKM983079 FUI983070:FUI983079 GEE983070:GEE983079 GOA983070:GOA983079 GXW983070:GXW983079 HHS983070:HHS983079 HRO983070:HRO983079 IBK983070:IBK983079 ILG983070:ILG983079 IVC983070:IVC983079 JEY983070:JEY983079 JOU983070:JOU983079 JYQ983070:JYQ983079 KIM983070:KIM983079 KSI983070:KSI983079 LCE983070:LCE983079 LMA983070:LMA983079 LVW983070:LVW983079 MFS983070:MFS983079 MPO983070:MPO983079 MZK983070:MZK983079 NJG983070:NJG983079 NTC983070:NTC983079 OCY983070:OCY983079 OMU983070:OMU983079 OWQ983070:OWQ983079 PGM983070:PGM983079 PQI983070:PQI983079 QAE983070:QAE983079 QKA983070:QKA983079 QTW983070:QTW983079 RDS983070:RDS983079 RNO983070:RNO983079 RXK983070:RXK983079 SHG983070:SHG983079 SRC983070:SRC983079 TAY983070:TAY983079 TKU983070:TKU983079 TUQ983070:TUQ983079 UEM983070:UEM983079 UOI983070:UOI983079 UYE983070:UYE983079 VIA983070:VIA983079 VRW983070:VRW983079 WBS983070:WBS983079 WLO983070:WLO983079 WVK983070:WVK983079">
      <formula1>"Incandescent,Screw-Based CFL,Pin-type fluorescent,Metal Halide,High Pressure Sodium,LED,Other"</formula1>
    </dataValidation>
    <dataValidation type="list" allowBlank="1" showInputMessage="1" showErrorMessage="1" sqref="L27:L29 JH27:JH29 TD27:TD29 ACZ27:ACZ29 AMV27:AMV29 AWR27:AWR29 BGN27:BGN29 BQJ27:BQJ29 CAF27:CAF29 CKB27:CKB29 CTX27:CTX29 DDT27:DDT29 DNP27:DNP29 DXL27:DXL29 EHH27:EHH29 ERD27:ERD29 FAZ27:FAZ29 FKV27:FKV29 FUR27:FUR29 GEN27:GEN29 GOJ27:GOJ29 GYF27:GYF29 HIB27:HIB29 HRX27:HRX29 IBT27:IBT29 ILP27:ILP29 IVL27:IVL29 JFH27:JFH29 JPD27:JPD29 JYZ27:JYZ29 KIV27:KIV29 KSR27:KSR29 LCN27:LCN29 LMJ27:LMJ29 LWF27:LWF29 MGB27:MGB29 MPX27:MPX29 MZT27:MZT29 NJP27:NJP29 NTL27:NTL29 ODH27:ODH29 OND27:OND29 OWZ27:OWZ29 PGV27:PGV29 PQR27:PQR29 QAN27:QAN29 QKJ27:QKJ29 QUF27:QUF29 REB27:REB29 RNX27:RNX29 RXT27:RXT29 SHP27:SHP29 SRL27:SRL29 TBH27:TBH29 TLD27:TLD29 TUZ27:TUZ29 UEV27:UEV29 UOR27:UOR29 UYN27:UYN29 VIJ27:VIJ29 VSF27:VSF29 WCB27:WCB29 WLX27:WLX29 WVT27:WVT29 L65559:L65561 JH65559:JH65561 TD65559:TD65561 ACZ65559:ACZ65561 AMV65559:AMV65561 AWR65559:AWR65561 BGN65559:BGN65561 BQJ65559:BQJ65561 CAF65559:CAF65561 CKB65559:CKB65561 CTX65559:CTX65561 DDT65559:DDT65561 DNP65559:DNP65561 DXL65559:DXL65561 EHH65559:EHH65561 ERD65559:ERD65561 FAZ65559:FAZ65561 FKV65559:FKV65561 FUR65559:FUR65561 GEN65559:GEN65561 GOJ65559:GOJ65561 GYF65559:GYF65561 HIB65559:HIB65561 HRX65559:HRX65561 IBT65559:IBT65561 ILP65559:ILP65561 IVL65559:IVL65561 JFH65559:JFH65561 JPD65559:JPD65561 JYZ65559:JYZ65561 KIV65559:KIV65561 KSR65559:KSR65561 LCN65559:LCN65561 LMJ65559:LMJ65561 LWF65559:LWF65561 MGB65559:MGB65561 MPX65559:MPX65561 MZT65559:MZT65561 NJP65559:NJP65561 NTL65559:NTL65561 ODH65559:ODH65561 OND65559:OND65561 OWZ65559:OWZ65561 PGV65559:PGV65561 PQR65559:PQR65561 QAN65559:QAN65561 QKJ65559:QKJ65561 QUF65559:QUF65561 REB65559:REB65561 RNX65559:RNX65561 RXT65559:RXT65561 SHP65559:SHP65561 SRL65559:SRL65561 TBH65559:TBH65561 TLD65559:TLD65561 TUZ65559:TUZ65561 UEV65559:UEV65561 UOR65559:UOR65561 UYN65559:UYN65561 VIJ65559:VIJ65561 VSF65559:VSF65561 WCB65559:WCB65561 WLX65559:WLX65561 WVT65559:WVT65561 L131095:L131097 JH131095:JH131097 TD131095:TD131097 ACZ131095:ACZ131097 AMV131095:AMV131097 AWR131095:AWR131097 BGN131095:BGN131097 BQJ131095:BQJ131097 CAF131095:CAF131097 CKB131095:CKB131097 CTX131095:CTX131097 DDT131095:DDT131097 DNP131095:DNP131097 DXL131095:DXL131097 EHH131095:EHH131097 ERD131095:ERD131097 FAZ131095:FAZ131097 FKV131095:FKV131097 FUR131095:FUR131097 GEN131095:GEN131097 GOJ131095:GOJ131097 GYF131095:GYF131097 HIB131095:HIB131097 HRX131095:HRX131097 IBT131095:IBT131097 ILP131095:ILP131097 IVL131095:IVL131097 JFH131095:JFH131097 JPD131095:JPD131097 JYZ131095:JYZ131097 KIV131095:KIV131097 KSR131095:KSR131097 LCN131095:LCN131097 LMJ131095:LMJ131097 LWF131095:LWF131097 MGB131095:MGB131097 MPX131095:MPX131097 MZT131095:MZT131097 NJP131095:NJP131097 NTL131095:NTL131097 ODH131095:ODH131097 OND131095:OND131097 OWZ131095:OWZ131097 PGV131095:PGV131097 PQR131095:PQR131097 QAN131095:QAN131097 QKJ131095:QKJ131097 QUF131095:QUF131097 REB131095:REB131097 RNX131095:RNX131097 RXT131095:RXT131097 SHP131095:SHP131097 SRL131095:SRL131097 TBH131095:TBH131097 TLD131095:TLD131097 TUZ131095:TUZ131097 UEV131095:UEV131097 UOR131095:UOR131097 UYN131095:UYN131097 VIJ131095:VIJ131097 VSF131095:VSF131097 WCB131095:WCB131097 WLX131095:WLX131097 WVT131095:WVT131097 L196631:L196633 JH196631:JH196633 TD196631:TD196633 ACZ196631:ACZ196633 AMV196631:AMV196633 AWR196631:AWR196633 BGN196631:BGN196633 BQJ196631:BQJ196633 CAF196631:CAF196633 CKB196631:CKB196633 CTX196631:CTX196633 DDT196631:DDT196633 DNP196631:DNP196633 DXL196631:DXL196633 EHH196631:EHH196633 ERD196631:ERD196633 FAZ196631:FAZ196633 FKV196631:FKV196633 FUR196631:FUR196633 GEN196631:GEN196633 GOJ196631:GOJ196633 GYF196631:GYF196633 HIB196631:HIB196633 HRX196631:HRX196633 IBT196631:IBT196633 ILP196631:ILP196633 IVL196631:IVL196633 JFH196631:JFH196633 JPD196631:JPD196633 JYZ196631:JYZ196633 KIV196631:KIV196633 KSR196631:KSR196633 LCN196631:LCN196633 LMJ196631:LMJ196633 LWF196631:LWF196633 MGB196631:MGB196633 MPX196631:MPX196633 MZT196631:MZT196633 NJP196631:NJP196633 NTL196631:NTL196633 ODH196631:ODH196633 OND196631:OND196633 OWZ196631:OWZ196633 PGV196631:PGV196633 PQR196631:PQR196633 QAN196631:QAN196633 QKJ196631:QKJ196633 QUF196631:QUF196633 REB196631:REB196633 RNX196631:RNX196633 RXT196631:RXT196633 SHP196631:SHP196633 SRL196631:SRL196633 TBH196631:TBH196633 TLD196631:TLD196633 TUZ196631:TUZ196633 UEV196631:UEV196633 UOR196631:UOR196633 UYN196631:UYN196633 VIJ196631:VIJ196633 VSF196631:VSF196633 WCB196631:WCB196633 WLX196631:WLX196633 WVT196631:WVT196633 L262167:L262169 JH262167:JH262169 TD262167:TD262169 ACZ262167:ACZ262169 AMV262167:AMV262169 AWR262167:AWR262169 BGN262167:BGN262169 BQJ262167:BQJ262169 CAF262167:CAF262169 CKB262167:CKB262169 CTX262167:CTX262169 DDT262167:DDT262169 DNP262167:DNP262169 DXL262167:DXL262169 EHH262167:EHH262169 ERD262167:ERD262169 FAZ262167:FAZ262169 FKV262167:FKV262169 FUR262167:FUR262169 GEN262167:GEN262169 GOJ262167:GOJ262169 GYF262167:GYF262169 HIB262167:HIB262169 HRX262167:HRX262169 IBT262167:IBT262169 ILP262167:ILP262169 IVL262167:IVL262169 JFH262167:JFH262169 JPD262167:JPD262169 JYZ262167:JYZ262169 KIV262167:KIV262169 KSR262167:KSR262169 LCN262167:LCN262169 LMJ262167:LMJ262169 LWF262167:LWF262169 MGB262167:MGB262169 MPX262167:MPX262169 MZT262167:MZT262169 NJP262167:NJP262169 NTL262167:NTL262169 ODH262167:ODH262169 OND262167:OND262169 OWZ262167:OWZ262169 PGV262167:PGV262169 PQR262167:PQR262169 QAN262167:QAN262169 QKJ262167:QKJ262169 QUF262167:QUF262169 REB262167:REB262169 RNX262167:RNX262169 RXT262167:RXT262169 SHP262167:SHP262169 SRL262167:SRL262169 TBH262167:TBH262169 TLD262167:TLD262169 TUZ262167:TUZ262169 UEV262167:UEV262169 UOR262167:UOR262169 UYN262167:UYN262169 VIJ262167:VIJ262169 VSF262167:VSF262169 WCB262167:WCB262169 WLX262167:WLX262169 WVT262167:WVT262169 L327703:L327705 JH327703:JH327705 TD327703:TD327705 ACZ327703:ACZ327705 AMV327703:AMV327705 AWR327703:AWR327705 BGN327703:BGN327705 BQJ327703:BQJ327705 CAF327703:CAF327705 CKB327703:CKB327705 CTX327703:CTX327705 DDT327703:DDT327705 DNP327703:DNP327705 DXL327703:DXL327705 EHH327703:EHH327705 ERD327703:ERD327705 FAZ327703:FAZ327705 FKV327703:FKV327705 FUR327703:FUR327705 GEN327703:GEN327705 GOJ327703:GOJ327705 GYF327703:GYF327705 HIB327703:HIB327705 HRX327703:HRX327705 IBT327703:IBT327705 ILP327703:ILP327705 IVL327703:IVL327705 JFH327703:JFH327705 JPD327703:JPD327705 JYZ327703:JYZ327705 KIV327703:KIV327705 KSR327703:KSR327705 LCN327703:LCN327705 LMJ327703:LMJ327705 LWF327703:LWF327705 MGB327703:MGB327705 MPX327703:MPX327705 MZT327703:MZT327705 NJP327703:NJP327705 NTL327703:NTL327705 ODH327703:ODH327705 OND327703:OND327705 OWZ327703:OWZ327705 PGV327703:PGV327705 PQR327703:PQR327705 QAN327703:QAN327705 QKJ327703:QKJ327705 QUF327703:QUF327705 REB327703:REB327705 RNX327703:RNX327705 RXT327703:RXT327705 SHP327703:SHP327705 SRL327703:SRL327705 TBH327703:TBH327705 TLD327703:TLD327705 TUZ327703:TUZ327705 UEV327703:UEV327705 UOR327703:UOR327705 UYN327703:UYN327705 VIJ327703:VIJ327705 VSF327703:VSF327705 WCB327703:WCB327705 WLX327703:WLX327705 WVT327703:WVT327705 L393239:L393241 JH393239:JH393241 TD393239:TD393241 ACZ393239:ACZ393241 AMV393239:AMV393241 AWR393239:AWR393241 BGN393239:BGN393241 BQJ393239:BQJ393241 CAF393239:CAF393241 CKB393239:CKB393241 CTX393239:CTX393241 DDT393239:DDT393241 DNP393239:DNP393241 DXL393239:DXL393241 EHH393239:EHH393241 ERD393239:ERD393241 FAZ393239:FAZ393241 FKV393239:FKV393241 FUR393239:FUR393241 GEN393239:GEN393241 GOJ393239:GOJ393241 GYF393239:GYF393241 HIB393239:HIB393241 HRX393239:HRX393241 IBT393239:IBT393241 ILP393239:ILP393241 IVL393239:IVL393241 JFH393239:JFH393241 JPD393239:JPD393241 JYZ393239:JYZ393241 KIV393239:KIV393241 KSR393239:KSR393241 LCN393239:LCN393241 LMJ393239:LMJ393241 LWF393239:LWF393241 MGB393239:MGB393241 MPX393239:MPX393241 MZT393239:MZT393241 NJP393239:NJP393241 NTL393239:NTL393241 ODH393239:ODH393241 OND393239:OND393241 OWZ393239:OWZ393241 PGV393239:PGV393241 PQR393239:PQR393241 QAN393239:QAN393241 QKJ393239:QKJ393241 QUF393239:QUF393241 REB393239:REB393241 RNX393239:RNX393241 RXT393239:RXT393241 SHP393239:SHP393241 SRL393239:SRL393241 TBH393239:TBH393241 TLD393239:TLD393241 TUZ393239:TUZ393241 UEV393239:UEV393241 UOR393239:UOR393241 UYN393239:UYN393241 VIJ393239:VIJ393241 VSF393239:VSF393241 WCB393239:WCB393241 WLX393239:WLX393241 WVT393239:WVT393241 L458775:L458777 JH458775:JH458777 TD458775:TD458777 ACZ458775:ACZ458777 AMV458775:AMV458777 AWR458775:AWR458777 BGN458775:BGN458777 BQJ458775:BQJ458777 CAF458775:CAF458777 CKB458775:CKB458777 CTX458775:CTX458777 DDT458775:DDT458777 DNP458775:DNP458777 DXL458775:DXL458777 EHH458775:EHH458777 ERD458775:ERD458777 FAZ458775:FAZ458777 FKV458775:FKV458777 FUR458775:FUR458777 GEN458775:GEN458777 GOJ458775:GOJ458777 GYF458775:GYF458777 HIB458775:HIB458777 HRX458775:HRX458777 IBT458775:IBT458777 ILP458775:ILP458777 IVL458775:IVL458777 JFH458775:JFH458777 JPD458775:JPD458777 JYZ458775:JYZ458777 KIV458775:KIV458777 KSR458775:KSR458777 LCN458775:LCN458777 LMJ458775:LMJ458777 LWF458775:LWF458777 MGB458775:MGB458777 MPX458775:MPX458777 MZT458775:MZT458777 NJP458775:NJP458777 NTL458775:NTL458777 ODH458775:ODH458777 OND458775:OND458777 OWZ458775:OWZ458777 PGV458775:PGV458777 PQR458775:PQR458777 QAN458775:QAN458777 QKJ458775:QKJ458777 QUF458775:QUF458777 REB458775:REB458777 RNX458775:RNX458777 RXT458775:RXT458777 SHP458775:SHP458777 SRL458775:SRL458777 TBH458775:TBH458777 TLD458775:TLD458777 TUZ458775:TUZ458777 UEV458775:UEV458777 UOR458775:UOR458777 UYN458775:UYN458777 VIJ458775:VIJ458777 VSF458775:VSF458777 WCB458775:WCB458777 WLX458775:WLX458777 WVT458775:WVT458777 L524311:L524313 JH524311:JH524313 TD524311:TD524313 ACZ524311:ACZ524313 AMV524311:AMV524313 AWR524311:AWR524313 BGN524311:BGN524313 BQJ524311:BQJ524313 CAF524311:CAF524313 CKB524311:CKB524313 CTX524311:CTX524313 DDT524311:DDT524313 DNP524311:DNP524313 DXL524311:DXL524313 EHH524311:EHH524313 ERD524311:ERD524313 FAZ524311:FAZ524313 FKV524311:FKV524313 FUR524311:FUR524313 GEN524311:GEN524313 GOJ524311:GOJ524313 GYF524311:GYF524313 HIB524311:HIB524313 HRX524311:HRX524313 IBT524311:IBT524313 ILP524311:ILP524313 IVL524311:IVL524313 JFH524311:JFH524313 JPD524311:JPD524313 JYZ524311:JYZ524313 KIV524311:KIV524313 KSR524311:KSR524313 LCN524311:LCN524313 LMJ524311:LMJ524313 LWF524311:LWF524313 MGB524311:MGB524313 MPX524311:MPX524313 MZT524311:MZT524313 NJP524311:NJP524313 NTL524311:NTL524313 ODH524311:ODH524313 OND524311:OND524313 OWZ524311:OWZ524313 PGV524311:PGV524313 PQR524311:PQR524313 QAN524311:QAN524313 QKJ524311:QKJ524313 QUF524311:QUF524313 REB524311:REB524313 RNX524311:RNX524313 RXT524311:RXT524313 SHP524311:SHP524313 SRL524311:SRL524313 TBH524311:TBH524313 TLD524311:TLD524313 TUZ524311:TUZ524313 UEV524311:UEV524313 UOR524311:UOR524313 UYN524311:UYN524313 VIJ524311:VIJ524313 VSF524311:VSF524313 WCB524311:WCB524313 WLX524311:WLX524313 WVT524311:WVT524313 L589847:L589849 JH589847:JH589849 TD589847:TD589849 ACZ589847:ACZ589849 AMV589847:AMV589849 AWR589847:AWR589849 BGN589847:BGN589849 BQJ589847:BQJ589849 CAF589847:CAF589849 CKB589847:CKB589849 CTX589847:CTX589849 DDT589847:DDT589849 DNP589847:DNP589849 DXL589847:DXL589849 EHH589847:EHH589849 ERD589847:ERD589849 FAZ589847:FAZ589849 FKV589847:FKV589849 FUR589847:FUR589849 GEN589847:GEN589849 GOJ589847:GOJ589849 GYF589847:GYF589849 HIB589847:HIB589849 HRX589847:HRX589849 IBT589847:IBT589849 ILP589847:ILP589849 IVL589847:IVL589849 JFH589847:JFH589849 JPD589847:JPD589849 JYZ589847:JYZ589849 KIV589847:KIV589849 KSR589847:KSR589849 LCN589847:LCN589849 LMJ589847:LMJ589849 LWF589847:LWF589849 MGB589847:MGB589849 MPX589847:MPX589849 MZT589847:MZT589849 NJP589847:NJP589849 NTL589847:NTL589849 ODH589847:ODH589849 OND589847:OND589849 OWZ589847:OWZ589849 PGV589847:PGV589849 PQR589847:PQR589849 QAN589847:QAN589849 QKJ589847:QKJ589849 QUF589847:QUF589849 REB589847:REB589849 RNX589847:RNX589849 RXT589847:RXT589849 SHP589847:SHP589849 SRL589847:SRL589849 TBH589847:TBH589849 TLD589847:TLD589849 TUZ589847:TUZ589849 UEV589847:UEV589849 UOR589847:UOR589849 UYN589847:UYN589849 VIJ589847:VIJ589849 VSF589847:VSF589849 WCB589847:WCB589849 WLX589847:WLX589849 WVT589847:WVT589849 L655383:L655385 JH655383:JH655385 TD655383:TD655385 ACZ655383:ACZ655385 AMV655383:AMV655385 AWR655383:AWR655385 BGN655383:BGN655385 BQJ655383:BQJ655385 CAF655383:CAF655385 CKB655383:CKB655385 CTX655383:CTX655385 DDT655383:DDT655385 DNP655383:DNP655385 DXL655383:DXL655385 EHH655383:EHH655385 ERD655383:ERD655385 FAZ655383:FAZ655385 FKV655383:FKV655385 FUR655383:FUR655385 GEN655383:GEN655385 GOJ655383:GOJ655385 GYF655383:GYF655385 HIB655383:HIB655385 HRX655383:HRX655385 IBT655383:IBT655385 ILP655383:ILP655385 IVL655383:IVL655385 JFH655383:JFH655385 JPD655383:JPD655385 JYZ655383:JYZ655385 KIV655383:KIV655385 KSR655383:KSR655385 LCN655383:LCN655385 LMJ655383:LMJ655385 LWF655383:LWF655385 MGB655383:MGB655385 MPX655383:MPX655385 MZT655383:MZT655385 NJP655383:NJP655385 NTL655383:NTL655385 ODH655383:ODH655385 OND655383:OND655385 OWZ655383:OWZ655385 PGV655383:PGV655385 PQR655383:PQR655385 QAN655383:QAN655385 QKJ655383:QKJ655385 QUF655383:QUF655385 REB655383:REB655385 RNX655383:RNX655385 RXT655383:RXT655385 SHP655383:SHP655385 SRL655383:SRL655385 TBH655383:TBH655385 TLD655383:TLD655385 TUZ655383:TUZ655385 UEV655383:UEV655385 UOR655383:UOR655385 UYN655383:UYN655385 VIJ655383:VIJ655385 VSF655383:VSF655385 WCB655383:WCB655385 WLX655383:WLX655385 WVT655383:WVT655385 L720919:L720921 JH720919:JH720921 TD720919:TD720921 ACZ720919:ACZ720921 AMV720919:AMV720921 AWR720919:AWR720921 BGN720919:BGN720921 BQJ720919:BQJ720921 CAF720919:CAF720921 CKB720919:CKB720921 CTX720919:CTX720921 DDT720919:DDT720921 DNP720919:DNP720921 DXL720919:DXL720921 EHH720919:EHH720921 ERD720919:ERD720921 FAZ720919:FAZ720921 FKV720919:FKV720921 FUR720919:FUR720921 GEN720919:GEN720921 GOJ720919:GOJ720921 GYF720919:GYF720921 HIB720919:HIB720921 HRX720919:HRX720921 IBT720919:IBT720921 ILP720919:ILP720921 IVL720919:IVL720921 JFH720919:JFH720921 JPD720919:JPD720921 JYZ720919:JYZ720921 KIV720919:KIV720921 KSR720919:KSR720921 LCN720919:LCN720921 LMJ720919:LMJ720921 LWF720919:LWF720921 MGB720919:MGB720921 MPX720919:MPX720921 MZT720919:MZT720921 NJP720919:NJP720921 NTL720919:NTL720921 ODH720919:ODH720921 OND720919:OND720921 OWZ720919:OWZ720921 PGV720919:PGV720921 PQR720919:PQR720921 QAN720919:QAN720921 QKJ720919:QKJ720921 QUF720919:QUF720921 REB720919:REB720921 RNX720919:RNX720921 RXT720919:RXT720921 SHP720919:SHP720921 SRL720919:SRL720921 TBH720919:TBH720921 TLD720919:TLD720921 TUZ720919:TUZ720921 UEV720919:UEV720921 UOR720919:UOR720921 UYN720919:UYN720921 VIJ720919:VIJ720921 VSF720919:VSF720921 WCB720919:WCB720921 WLX720919:WLX720921 WVT720919:WVT720921 L786455:L786457 JH786455:JH786457 TD786455:TD786457 ACZ786455:ACZ786457 AMV786455:AMV786457 AWR786455:AWR786457 BGN786455:BGN786457 BQJ786455:BQJ786457 CAF786455:CAF786457 CKB786455:CKB786457 CTX786455:CTX786457 DDT786455:DDT786457 DNP786455:DNP786457 DXL786455:DXL786457 EHH786455:EHH786457 ERD786455:ERD786457 FAZ786455:FAZ786457 FKV786455:FKV786457 FUR786455:FUR786457 GEN786455:GEN786457 GOJ786455:GOJ786457 GYF786455:GYF786457 HIB786455:HIB786457 HRX786455:HRX786457 IBT786455:IBT786457 ILP786455:ILP786457 IVL786455:IVL786457 JFH786455:JFH786457 JPD786455:JPD786457 JYZ786455:JYZ786457 KIV786455:KIV786457 KSR786455:KSR786457 LCN786455:LCN786457 LMJ786455:LMJ786457 LWF786455:LWF786457 MGB786455:MGB786457 MPX786455:MPX786457 MZT786455:MZT786457 NJP786455:NJP786457 NTL786455:NTL786457 ODH786455:ODH786457 OND786455:OND786457 OWZ786455:OWZ786457 PGV786455:PGV786457 PQR786455:PQR786457 QAN786455:QAN786457 QKJ786455:QKJ786457 QUF786455:QUF786457 REB786455:REB786457 RNX786455:RNX786457 RXT786455:RXT786457 SHP786455:SHP786457 SRL786455:SRL786457 TBH786455:TBH786457 TLD786455:TLD786457 TUZ786455:TUZ786457 UEV786455:UEV786457 UOR786455:UOR786457 UYN786455:UYN786457 VIJ786455:VIJ786457 VSF786455:VSF786457 WCB786455:WCB786457 WLX786455:WLX786457 WVT786455:WVT786457 L851991:L851993 JH851991:JH851993 TD851991:TD851993 ACZ851991:ACZ851993 AMV851991:AMV851993 AWR851991:AWR851993 BGN851991:BGN851993 BQJ851991:BQJ851993 CAF851991:CAF851993 CKB851991:CKB851993 CTX851991:CTX851993 DDT851991:DDT851993 DNP851991:DNP851993 DXL851991:DXL851993 EHH851991:EHH851993 ERD851991:ERD851993 FAZ851991:FAZ851993 FKV851991:FKV851993 FUR851991:FUR851993 GEN851991:GEN851993 GOJ851991:GOJ851993 GYF851991:GYF851993 HIB851991:HIB851993 HRX851991:HRX851993 IBT851991:IBT851993 ILP851991:ILP851993 IVL851991:IVL851993 JFH851991:JFH851993 JPD851991:JPD851993 JYZ851991:JYZ851993 KIV851991:KIV851993 KSR851991:KSR851993 LCN851991:LCN851993 LMJ851991:LMJ851993 LWF851991:LWF851993 MGB851991:MGB851993 MPX851991:MPX851993 MZT851991:MZT851993 NJP851991:NJP851993 NTL851991:NTL851993 ODH851991:ODH851993 OND851991:OND851993 OWZ851991:OWZ851993 PGV851991:PGV851993 PQR851991:PQR851993 QAN851991:QAN851993 QKJ851991:QKJ851993 QUF851991:QUF851993 REB851991:REB851993 RNX851991:RNX851993 RXT851991:RXT851993 SHP851991:SHP851993 SRL851991:SRL851993 TBH851991:TBH851993 TLD851991:TLD851993 TUZ851991:TUZ851993 UEV851991:UEV851993 UOR851991:UOR851993 UYN851991:UYN851993 VIJ851991:VIJ851993 VSF851991:VSF851993 WCB851991:WCB851993 WLX851991:WLX851993 WVT851991:WVT851993 L917527:L917529 JH917527:JH917529 TD917527:TD917529 ACZ917527:ACZ917529 AMV917527:AMV917529 AWR917527:AWR917529 BGN917527:BGN917529 BQJ917527:BQJ917529 CAF917527:CAF917529 CKB917527:CKB917529 CTX917527:CTX917529 DDT917527:DDT917529 DNP917527:DNP917529 DXL917527:DXL917529 EHH917527:EHH917529 ERD917527:ERD917529 FAZ917527:FAZ917529 FKV917527:FKV917529 FUR917527:FUR917529 GEN917527:GEN917529 GOJ917527:GOJ917529 GYF917527:GYF917529 HIB917527:HIB917529 HRX917527:HRX917529 IBT917527:IBT917529 ILP917527:ILP917529 IVL917527:IVL917529 JFH917527:JFH917529 JPD917527:JPD917529 JYZ917527:JYZ917529 KIV917527:KIV917529 KSR917527:KSR917529 LCN917527:LCN917529 LMJ917527:LMJ917529 LWF917527:LWF917529 MGB917527:MGB917529 MPX917527:MPX917529 MZT917527:MZT917529 NJP917527:NJP917529 NTL917527:NTL917529 ODH917527:ODH917529 OND917527:OND917529 OWZ917527:OWZ917529 PGV917527:PGV917529 PQR917527:PQR917529 QAN917527:QAN917529 QKJ917527:QKJ917529 QUF917527:QUF917529 REB917527:REB917529 RNX917527:RNX917529 RXT917527:RXT917529 SHP917527:SHP917529 SRL917527:SRL917529 TBH917527:TBH917529 TLD917527:TLD917529 TUZ917527:TUZ917529 UEV917527:UEV917529 UOR917527:UOR917529 UYN917527:UYN917529 VIJ917527:VIJ917529 VSF917527:VSF917529 WCB917527:WCB917529 WLX917527:WLX917529 WVT917527:WVT917529 L983063:L983065 JH983063:JH983065 TD983063:TD983065 ACZ983063:ACZ983065 AMV983063:AMV983065 AWR983063:AWR983065 BGN983063:BGN983065 BQJ983063:BQJ983065 CAF983063:CAF983065 CKB983063:CKB983065 CTX983063:CTX983065 DDT983063:DDT983065 DNP983063:DNP983065 DXL983063:DXL983065 EHH983063:EHH983065 ERD983063:ERD983065 FAZ983063:FAZ983065 FKV983063:FKV983065 FUR983063:FUR983065 GEN983063:GEN983065 GOJ983063:GOJ983065 GYF983063:GYF983065 HIB983063:HIB983065 HRX983063:HRX983065 IBT983063:IBT983065 ILP983063:ILP983065 IVL983063:IVL983065 JFH983063:JFH983065 JPD983063:JPD983065 JYZ983063:JYZ983065 KIV983063:KIV983065 KSR983063:KSR983065 LCN983063:LCN983065 LMJ983063:LMJ983065 LWF983063:LWF983065 MGB983063:MGB983065 MPX983063:MPX983065 MZT983063:MZT983065 NJP983063:NJP983065 NTL983063:NTL983065 ODH983063:ODH983065 OND983063:OND983065 OWZ983063:OWZ983065 PGV983063:PGV983065 PQR983063:PQR983065 QAN983063:QAN983065 QKJ983063:QKJ983065 QUF983063:QUF983065 REB983063:REB983065 RNX983063:RNX983065 RXT983063:RXT983065 SHP983063:SHP983065 SRL983063:SRL983065 TBH983063:TBH983065 TLD983063:TLD983065 TUZ983063:TUZ983065 UEV983063:UEV983065 UOR983063:UOR983065 UYN983063:UYN983065 VIJ983063:VIJ983065 VSF983063:VSF983065 WCB983063:WCB983065 WLX983063:WLX983065 WVT983063:WVT983065 N34:O43 JJ34:JK43 TF34:TG43 ADB34:ADC43 AMX34:AMY43 AWT34:AWU43 BGP34:BGQ43 BQL34:BQM43 CAH34:CAI43 CKD34:CKE43 CTZ34:CUA43 DDV34:DDW43 DNR34:DNS43 DXN34:DXO43 EHJ34:EHK43 ERF34:ERG43 FBB34:FBC43 FKX34:FKY43 FUT34:FUU43 GEP34:GEQ43 GOL34:GOM43 GYH34:GYI43 HID34:HIE43 HRZ34:HSA43 IBV34:IBW43 ILR34:ILS43 IVN34:IVO43 JFJ34:JFK43 JPF34:JPG43 JZB34:JZC43 KIX34:KIY43 KST34:KSU43 LCP34:LCQ43 LML34:LMM43 LWH34:LWI43 MGD34:MGE43 MPZ34:MQA43 MZV34:MZW43 NJR34:NJS43 NTN34:NTO43 ODJ34:ODK43 ONF34:ONG43 OXB34:OXC43 PGX34:PGY43 PQT34:PQU43 QAP34:QAQ43 QKL34:QKM43 QUH34:QUI43 RED34:REE43 RNZ34:ROA43 RXV34:RXW43 SHR34:SHS43 SRN34:SRO43 TBJ34:TBK43 TLF34:TLG43 TVB34:TVC43 UEX34:UEY43 UOT34:UOU43 UYP34:UYQ43 VIL34:VIM43 VSH34:VSI43 WCD34:WCE43 WLZ34:WMA43 WVV34:WVW43 N65566:O65575 JJ65566:JK65575 TF65566:TG65575 ADB65566:ADC65575 AMX65566:AMY65575 AWT65566:AWU65575 BGP65566:BGQ65575 BQL65566:BQM65575 CAH65566:CAI65575 CKD65566:CKE65575 CTZ65566:CUA65575 DDV65566:DDW65575 DNR65566:DNS65575 DXN65566:DXO65575 EHJ65566:EHK65575 ERF65566:ERG65575 FBB65566:FBC65575 FKX65566:FKY65575 FUT65566:FUU65575 GEP65566:GEQ65575 GOL65566:GOM65575 GYH65566:GYI65575 HID65566:HIE65575 HRZ65566:HSA65575 IBV65566:IBW65575 ILR65566:ILS65575 IVN65566:IVO65575 JFJ65566:JFK65575 JPF65566:JPG65575 JZB65566:JZC65575 KIX65566:KIY65575 KST65566:KSU65575 LCP65566:LCQ65575 LML65566:LMM65575 LWH65566:LWI65575 MGD65566:MGE65575 MPZ65566:MQA65575 MZV65566:MZW65575 NJR65566:NJS65575 NTN65566:NTO65575 ODJ65566:ODK65575 ONF65566:ONG65575 OXB65566:OXC65575 PGX65566:PGY65575 PQT65566:PQU65575 QAP65566:QAQ65575 QKL65566:QKM65575 QUH65566:QUI65575 RED65566:REE65575 RNZ65566:ROA65575 RXV65566:RXW65575 SHR65566:SHS65575 SRN65566:SRO65575 TBJ65566:TBK65575 TLF65566:TLG65575 TVB65566:TVC65575 UEX65566:UEY65575 UOT65566:UOU65575 UYP65566:UYQ65575 VIL65566:VIM65575 VSH65566:VSI65575 WCD65566:WCE65575 WLZ65566:WMA65575 WVV65566:WVW65575 N131102:O131111 JJ131102:JK131111 TF131102:TG131111 ADB131102:ADC131111 AMX131102:AMY131111 AWT131102:AWU131111 BGP131102:BGQ131111 BQL131102:BQM131111 CAH131102:CAI131111 CKD131102:CKE131111 CTZ131102:CUA131111 DDV131102:DDW131111 DNR131102:DNS131111 DXN131102:DXO131111 EHJ131102:EHK131111 ERF131102:ERG131111 FBB131102:FBC131111 FKX131102:FKY131111 FUT131102:FUU131111 GEP131102:GEQ131111 GOL131102:GOM131111 GYH131102:GYI131111 HID131102:HIE131111 HRZ131102:HSA131111 IBV131102:IBW131111 ILR131102:ILS131111 IVN131102:IVO131111 JFJ131102:JFK131111 JPF131102:JPG131111 JZB131102:JZC131111 KIX131102:KIY131111 KST131102:KSU131111 LCP131102:LCQ131111 LML131102:LMM131111 LWH131102:LWI131111 MGD131102:MGE131111 MPZ131102:MQA131111 MZV131102:MZW131111 NJR131102:NJS131111 NTN131102:NTO131111 ODJ131102:ODK131111 ONF131102:ONG131111 OXB131102:OXC131111 PGX131102:PGY131111 PQT131102:PQU131111 QAP131102:QAQ131111 QKL131102:QKM131111 QUH131102:QUI131111 RED131102:REE131111 RNZ131102:ROA131111 RXV131102:RXW131111 SHR131102:SHS131111 SRN131102:SRO131111 TBJ131102:TBK131111 TLF131102:TLG131111 TVB131102:TVC131111 UEX131102:UEY131111 UOT131102:UOU131111 UYP131102:UYQ131111 VIL131102:VIM131111 VSH131102:VSI131111 WCD131102:WCE131111 WLZ131102:WMA131111 WVV131102:WVW131111 N196638:O196647 JJ196638:JK196647 TF196638:TG196647 ADB196638:ADC196647 AMX196638:AMY196647 AWT196638:AWU196647 BGP196638:BGQ196647 BQL196638:BQM196647 CAH196638:CAI196647 CKD196638:CKE196647 CTZ196638:CUA196647 DDV196638:DDW196647 DNR196638:DNS196647 DXN196638:DXO196647 EHJ196638:EHK196647 ERF196638:ERG196647 FBB196638:FBC196647 FKX196638:FKY196647 FUT196638:FUU196647 GEP196638:GEQ196647 GOL196638:GOM196647 GYH196638:GYI196647 HID196638:HIE196647 HRZ196638:HSA196647 IBV196638:IBW196647 ILR196638:ILS196647 IVN196638:IVO196647 JFJ196638:JFK196647 JPF196638:JPG196647 JZB196638:JZC196647 KIX196638:KIY196647 KST196638:KSU196647 LCP196638:LCQ196647 LML196638:LMM196647 LWH196638:LWI196647 MGD196638:MGE196647 MPZ196638:MQA196647 MZV196638:MZW196647 NJR196638:NJS196647 NTN196638:NTO196647 ODJ196638:ODK196647 ONF196638:ONG196647 OXB196638:OXC196647 PGX196638:PGY196647 PQT196638:PQU196647 QAP196638:QAQ196647 QKL196638:QKM196647 QUH196638:QUI196647 RED196638:REE196647 RNZ196638:ROA196647 RXV196638:RXW196647 SHR196638:SHS196647 SRN196638:SRO196647 TBJ196638:TBK196647 TLF196638:TLG196647 TVB196638:TVC196647 UEX196638:UEY196647 UOT196638:UOU196647 UYP196638:UYQ196647 VIL196638:VIM196647 VSH196638:VSI196647 WCD196638:WCE196647 WLZ196638:WMA196647 WVV196638:WVW196647 N262174:O262183 JJ262174:JK262183 TF262174:TG262183 ADB262174:ADC262183 AMX262174:AMY262183 AWT262174:AWU262183 BGP262174:BGQ262183 BQL262174:BQM262183 CAH262174:CAI262183 CKD262174:CKE262183 CTZ262174:CUA262183 DDV262174:DDW262183 DNR262174:DNS262183 DXN262174:DXO262183 EHJ262174:EHK262183 ERF262174:ERG262183 FBB262174:FBC262183 FKX262174:FKY262183 FUT262174:FUU262183 GEP262174:GEQ262183 GOL262174:GOM262183 GYH262174:GYI262183 HID262174:HIE262183 HRZ262174:HSA262183 IBV262174:IBW262183 ILR262174:ILS262183 IVN262174:IVO262183 JFJ262174:JFK262183 JPF262174:JPG262183 JZB262174:JZC262183 KIX262174:KIY262183 KST262174:KSU262183 LCP262174:LCQ262183 LML262174:LMM262183 LWH262174:LWI262183 MGD262174:MGE262183 MPZ262174:MQA262183 MZV262174:MZW262183 NJR262174:NJS262183 NTN262174:NTO262183 ODJ262174:ODK262183 ONF262174:ONG262183 OXB262174:OXC262183 PGX262174:PGY262183 PQT262174:PQU262183 QAP262174:QAQ262183 QKL262174:QKM262183 QUH262174:QUI262183 RED262174:REE262183 RNZ262174:ROA262183 RXV262174:RXW262183 SHR262174:SHS262183 SRN262174:SRO262183 TBJ262174:TBK262183 TLF262174:TLG262183 TVB262174:TVC262183 UEX262174:UEY262183 UOT262174:UOU262183 UYP262174:UYQ262183 VIL262174:VIM262183 VSH262174:VSI262183 WCD262174:WCE262183 WLZ262174:WMA262183 WVV262174:WVW262183 N327710:O327719 JJ327710:JK327719 TF327710:TG327719 ADB327710:ADC327719 AMX327710:AMY327719 AWT327710:AWU327719 BGP327710:BGQ327719 BQL327710:BQM327719 CAH327710:CAI327719 CKD327710:CKE327719 CTZ327710:CUA327719 DDV327710:DDW327719 DNR327710:DNS327719 DXN327710:DXO327719 EHJ327710:EHK327719 ERF327710:ERG327719 FBB327710:FBC327719 FKX327710:FKY327719 FUT327710:FUU327719 GEP327710:GEQ327719 GOL327710:GOM327719 GYH327710:GYI327719 HID327710:HIE327719 HRZ327710:HSA327719 IBV327710:IBW327719 ILR327710:ILS327719 IVN327710:IVO327719 JFJ327710:JFK327719 JPF327710:JPG327719 JZB327710:JZC327719 KIX327710:KIY327719 KST327710:KSU327719 LCP327710:LCQ327719 LML327710:LMM327719 LWH327710:LWI327719 MGD327710:MGE327719 MPZ327710:MQA327719 MZV327710:MZW327719 NJR327710:NJS327719 NTN327710:NTO327719 ODJ327710:ODK327719 ONF327710:ONG327719 OXB327710:OXC327719 PGX327710:PGY327719 PQT327710:PQU327719 QAP327710:QAQ327719 QKL327710:QKM327719 QUH327710:QUI327719 RED327710:REE327719 RNZ327710:ROA327719 RXV327710:RXW327719 SHR327710:SHS327719 SRN327710:SRO327719 TBJ327710:TBK327719 TLF327710:TLG327719 TVB327710:TVC327719 UEX327710:UEY327719 UOT327710:UOU327719 UYP327710:UYQ327719 VIL327710:VIM327719 VSH327710:VSI327719 WCD327710:WCE327719 WLZ327710:WMA327719 WVV327710:WVW327719 N393246:O393255 JJ393246:JK393255 TF393246:TG393255 ADB393246:ADC393255 AMX393246:AMY393255 AWT393246:AWU393255 BGP393246:BGQ393255 BQL393246:BQM393255 CAH393246:CAI393255 CKD393246:CKE393255 CTZ393246:CUA393255 DDV393246:DDW393255 DNR393246:DNS393255 DXN393246:DXO393255 EHJ393246:EHK393255 ERF393246:ERG393255 FBB393246:FBC393255 FKX393246:FKY393255 FUT393246:FUU393255 GEP393246:GEQ393255 GOL393246:GOM393255 GYH393246:GYI393255 HID393246:HIE393255 HRZ393246:HSA393255 IBV393246:IBW393255 ILR393246:ILS393255 IVN393246:IVO393255 JFJ393246:JFK393255 JPF393246:JPG393255 JZB393246:JZC393255 KIX393246:KIY393255 KST393246:KSU393255 LCP393246:LCQ393255 LML393246:LMM393255 LWH393246:LWI393255 MGD393246:MGE393255 MPZ393246:MQA393255 MZV393246:MZW393255 NJR393246:NJS393255 NTN393246:NTO393255 ODJ393246:ODK393255 ONF393246:ONG393255 OXB393246:OXC393255 PGX393246:PGY393255 PQT393246:PQU393255 QAP393246:QAQ393255 QKL393246:QKM393255 QUH393246:QUI393255 RED393246:REE393255 RNZ393246:ROA393255 RXV393246:RXW393255 SHR393246:SHS393255 SRN393246:SRO393255 TBJ393246:TBK393255 TLF393246:TLG393255 TVB393246:TVC393255 UEX393246:UEY393255 UOT393246:UOU393255 UYP393246:UYQ393255 VIL393246:VIM393255 VSH393246:VSI393255 WCD393246:WCE393255 WLZ393246:WMA393255 WVV393246:WVW393255 N458782:O458791 JJ458782:JK458791 TF458782:TG458791 ADB458782:ADC458791 AMX458782:AMY458791 AWT458782:AWU458791 BGP458782:BGQ458791 BQL458782:BQM458791 CAH458782:CAI458791 CKD458782:CKE458791 CTZ458782:CUA458791 DDV458782:DDW458791 DNR458782:DNS458791 DXN458782:DXO458791 EHJ458782:EHK458791 ERF458782:ERG458791 FBB458782:FBC458791 FKX458782:FKY458791 FUT458782:FUU458791 GEP458782:GEQ458791 GOL458782:GOM458791 GYH458782:GYI458791 HID458782:HIE458791 HRZ458782:HSA458791 IBV458782:IBW458791 ILR458782:ILS458791 IVN458782:IVO458791 JFJ458782:JFK458791 JPF458782:JPG458791 JZB458782:JZC458791 KIX458782:KIY458791 KST458782:KSU458791 LCP458782:LCQ458791 LML458782:LMM458791 LWH458782:LWI458791 MGD458782:MGE458791 MPZ458782:MQA458791 MZV458782:MZW458791 NJR458782:NJS458791 NTN458782:NTO458791 ODJ458782:ODK458791 ONF458782:ONG458791 OXB458782:OXC458791 PGX458782:PGY458791 PQT458782:PQU458791 QAP458782:QAQ458791 QKL458782:QKM458791 QUH458782:QUI458791 RED458782:REE458791 RNZ458782:ROA458791 RXV458782:RXW458791 SHR458782:SHS458791 SRN458782:SRO458791 TBJ458782:TBK458791 TLF458782:TLG458791 TVB458782:TVC458791 UEX458782:UEY458791 UOT458782:UOU458791 UYP458782:UYQ458791 VIL458782:VIM458791 VSH458782:VSI458791 WCD458782:WCE458791 WLZ458782:WMA458791 WVV458782:WVW458791 N524318:O524327 JJ524318:JK524327 TF524318:TG524327 ADB524318:ADC524327 AMX524318:AMY524327 AWT524318:AWU524327 BGP524318:BGQ524327 BQL524318:BQM524327 CAH524318:CAI524327 CKD524318:CKE524327 CTZ524318:CUA524327 DDV524318:DDW524327 DNR524318:DNS524327 DXN524318:DXO524327 EHJ524318:EHK524327 ERF524318:ERG524327 FBB524318:FBC524327 FKX524318:FKY524327 FUT524318:FUU524327 GEP524318:GEQ524327 GOL524318:GOM524327 GYH524318:GYI524327 HID524318:HIE524327 HRZ524318:HSA524327 IBV524318:IBW524327 ILR524318:ILS524327 IVN524318:IVO524327 JFJ524318:JFK524327 JPF524318:JPG524327 JZB524318:JZC524327 KIX524318:KIY524327 KST524318:KSU524327 LCP524318:LCQ524327 LML524318:LMM524327 LWH524318:LWI524327 MGD524318:MGE524327 MPZ524318:MQA524327 MZV524318:MZW524327 NJR524318:NJS524327 NTN524318:NTO524327 ODJ524318:ODK524327 ONF524318:ONG524327 OXB524318:OXC524327 PGX524318:PGY524327 PQT524318:PQU524327 QAP524318:QAQ524327 QKL524318:QKM524327 QUH524318:QUI524327 RED524318:REE524327 RNZ524318:ROA524327 RXV524318:RXW524327 SHR524318:SHS524327 SRN524318:SRO524327 TBJ524318:TBK524327 TLF524318:TLG524327 TVB524318:TVC524327 UEX524318:UEY524327 UOT524318:UOU524327 UYP524318:UYQ524327 VIL524318:VIM524327 VSH524318:VSI524327 WCD524318:WCE524327 WLZ524318:WMA524327 WVV524318:WVW524327 N589854:O589863 JJ589854:JK589863 TF589854:TG589863 ADB589854:ADC589863 AMX589854:AMY589863 AWT589854:AWU589863 BGP589854:BGQ589863 BQL589854:BQM589863 CAH589854:CAI589863 CKD589854:CKE589863 CTZ589854:CUA589863 DDV589854:DDW589863 DNR589854:DNS589863 DXN589854:DXO589863 EHJ589854:EHK589863 ERF589854:ERG589863 FBB589854:FBC589863 FKX589854:FKY589863 FUT589854:FUU589863 GEP589854:GEQ589863 GOL589854:GOM589863 GYH589854:GYI589863 HID589854:HIE589863 HRZ589854:HSA589863 IBV589854:IBW589863 ILR589854:ILS589863 IVN589854:IVO589863 JFJ589854:JFK589863 JPF589854:JPG589863 JZB589854:JZC589863 KIX589854:KIY589863 KST589854:KSU589863 LCP589854:LCQ589863 LML589854:LMM589863 LWH589854:LWI589863 MGD589854:MGE589863 MPZ589854:MQA589863 MZV589854:MZW589863 NJR589854:NJS589863 NTN589854:NTO589863 ODJ589854:ODK589863 ONF589854:ONG589863 OXB589854:OXC589863 PGX589854:PGY589863 PQT589854:PQU589863 QAP589854:QAQ589863 QKL589854:QKM589863 QUH589854:QUI589863 RED589854:REE589863 RNZ589854:ROA589863 RXV589854:RXW589863 SHR589854:SHS589863 SRN589854:SRO589863 TBJ589854:TBK589863 TLF589854:TLG589863 TVB589854:TVC589863 UEX589854:UEY589863 UOT589854:UOU589863 UYP589854:UYQ589863 VIL589854:VIM589863 VSH589854:VSI589863 WCD589854:WCE589863 WLZ589854:WMA589863 WVV589854:WVW589863 N655390:O655399 JJ655390:JK655399 TF655390:TG655399 ADB655390:ADC655399 AMX655390:AMY655399 AWT655390:AWU655399 BGP655390:BGQ655399 BQL655390:BQM655399 CAH655390:CAI655399 CKD655390:CKE655399 CTZ655390:CUA655399 DDV655390:DDW655399 DNR655390:DNS655399 DXN655390:DXO655399 EHJ655390:EHK655399 ERF655390:ERG655399 FBB655390:FBC655399 FKX655390:FKY655399 FUT655390:FUU655399 GEP655390:GEQ655399 GOL655390:GOM655399 GYH655390:GYI655399 HID655390:HIE655399 HRZ655390:HSA655399 IBV655390:IBW655399 ILR655390:ILS655399 IVN655390:IVO655399 JFJ655390:JFK655399 JPF655390:JPG655399 JZB655390:JZC655399 KIX655390:KIY655399 KST655390:KSU655399 LCP655390:LCQ655399 LML655390:LMM655399 LWH655390:LWI655399 MGD655390:MGE655399 MPZ655390:MQA655399 MZV655390:MZW655399 NJR655390:NJS655399 NTN655390:NTO655399 ODJ655390:ODK655399 ONF655390:ONG655399 OXB655390:OXC655399 PGX655390:PGY655399 PQT655390:PQU655399 QAP655390:QAQ655399 QKL655390:QKM655399 QUH655390:QUI655399 RED655390:REE655399 RNZ655390:ROA655399 RXV655390:RXW655399 SHR655390:SHS655399 SRN655390:SRO655399 TBJ655390:TBK655399 TLF655390:TLG655399 TVB655390:TVC655399 UEX655390:UEY655399 UOT655390:UOU655399 UYP655390:UYQ655399 VIL655390:VIM655399 VSH655390:VSI655399 WCD655390:WCE655399 WLZ655390:WMA655399 WVV655390:WVW655399 N720926:O720935 JJ720926:JK720935 TF720926:TG720935 ADB720926:ADC720935 AMX720926:AMY720935 AWT720926:AWU720935 BGP720926:BGQ720935 BQL720926:BQM720935 CAH720926:CAI720935 CKD720926:CKE720935 CTZ720926:CUA720935 DDV720926:DDW720935 DNR720926:DNS720935 DXN720926:DXO720935 EHJ720926:EHK720935 ERF720926:ERG720935 FBB720926:FBC720935 FKX720926:FKY720935 FUT720926:FUU720935 GEP720926:GEQ720935 GOL720926:GOM720935 GYH720926:GYI720935 HID720926:HIE720935 HRZ720926:HSA720935 IBV720926:IBW720935 ILR720926:ILS720935 IVN720926:IVO720935 JFJ720926:JFK720935 JPF720926:JPG720935 JZB720926:JZC720935 KIX720926:KIY720935 KST720926:KSU720935 LCP720926:LCQ720935 LML720926:LMM720935 LWH720926:LWI720935 MGD720926:MGE720935 MPZ720926:MQA720935 MZV720926:MZW720935 NJR720926:NJS720935 NTN720926:NTO720935 ODJ720926:ODK720935 ONF720926:ONG720935 OXB720926:OXC720935 PGX720926:PGY720935 PQT720926:PQU720935 QAP720926:QAQ720935 QKL720926:QKM720935 QUH720926:QUI720935 RED720926:REE720935 RNZ720926:ROA720935 RXV720926:RXW720935 SHR720926:SHS720935 SRN720926:SRO720935 TBJ720926:TBK720935 TLF720926:TLG720935 TVB720926:TVC720935 UEX720926:UEY720935 UOT720926:UOU720935 UYP720926:UYQ720935 VIL720926:VIM720935 VSH720926:VSI720935 WCD720926:WCE720935 WLZ720926:WMA720935 WVV720926:WVW720935 N786462:O786471 JJ786462:JK786471 TF786462:TG786471 ADB786462:ADC786471 AMX786462:AMY786471 AWT786462:AWU786471 BGP786462:BGQ786471 BQL786462:BQM786471 CAH786462:CAI786471 CKD786462:CKE786471 CTZ786462:CUA786471 DDV786462:DDW786471 DNR786462:DNS786471 DXN786462:DXO786471 EHJ786462:EHK786471 ERF786462:ERG786471 FBB786462:FBC786471 FKX786462:FKY786471 FUT786462:FUU786471 GEP786462:GEQ786471 GOL786462:GOM786471 GYH786462:GYI786471 HID786462:HIE786471 HRZ786462:HSA786471 IBV786462:IBW786471 ILR786462:ILS786471 IVN786462:IVO786471 JFJ786462:JFK786471 JPF786462:JPG786471 JZB786462:JZC786471 KIX786462:KIY786471 KST786462:KSU786471 LCP786462:LCQ786471 LML786462:LMM786471 LWH786462:LWI786471 MGD786462:MGE786471 MPZ786462:MQA786471 MZV786462:MZW786471 NJR786462:NJS786471 NTN786462:NTO786471 ODJ786462:ODK786471 ONF786462:ONG786471 OXB786462:OXC786471 PGX786462:PGY786471 PQT786462:PQU786471 QAP786462:QAQ786471 QKL786462:QKM786471 QUH786462:QUI786471 RED786462:REE786471 RNZ786462:ROA786471 RXV786462:RXW786471 SHR786462:SHS786471 SRN786462:SRO786471 TBJ786462:TBK786471 TLF786462:TLG786471 TVB786462:TVC786471 UEX786462:UEY786471 UOT786462:UOU786471 UYP786462:UYQ786471 VIL786462:VIM786471 VSH786462:VSI786471 WCD786462:WCE786471 WLZ786462:WMA786471 WVV786462:WVW786471 N851998:O852007 JJ851998:JK852007 TF851998:TG852007 ADB851998:ADC852007 AMX851998:AMY852007 AWT851998:AWU852007 BGP851998:BGQ852007 BQL851998:BQM852007 CAH851998:CAI852007 CKD851998:CKE852007 CTZ851998:CUA852007 DDV851998:DDW852007 DNR851998:DNS852007 DXN851998:DXO852007 EHJ851998:EHK852007 ERF851998:ERG852007 FBB851998:FBC852007 FKX851998:FKY852007 FUT851998:FUU852007 GEP851998:GEQ852007 GOL851998:GOM852007 GYH851998:GYI852007 HID851998:HIE852007 HRZ851998:HSA852007 IBV851998:IBW852007 ILR851998:ILS852007 IVN851998:IVO852007 JFJ851998:JFK852007 JPF851998:JPG852007 JZB851998:JZC852007 KIX851998:KIY852007 KST851998:KSU852007 LCP851998:LCQ852007 LML851998:LMM852007 LWH851998:LWI852007 MGD851998:MGE852007 MPZ851998:MQA852007 MZV851998:MZW852007 NJR851998:NJS852007 NTN851998:NTO852007 ODJ851998:ODK852007 ONF851998:ONG852007 OXB851998:OXC852007 PGX851998:PGY852007 PQT851998:PQU852007 QAP851998:QAQ852007 QKL851998:QKM852007 QUH851998:QUI852007 RED851998:REE852007 RNZ851998:ROA852007 RXV851998:RXW852007 SHR851998:SHS852007 SRN851998:SRO852007 TBJ851998:TBK852007 TLF851998:TLG852007 TVB851998:TVC852007 UEX851998:UEY852007 UOT851998:UOU852007 UYP851998:UYQ852007 VIL851998:VIM852007 VSH851998:VSI852007 WCD851998:WCE852007 WLZ851998:WMA852007 WVV851998:WVW852007 N917534:O917543 JJ917534:JK917543 TF917534:TG917543 ADB917534:ADC917543 AMX917534:AMY917543 AWT917534:AWU917543 BGP917534:BGQ917543 BQL917534:BQM917543 CAH917534:CAI917543 CKD917534:CKE917543 CTZ917534:CUA917543 DDV917534:DDW917543 DNR917534:DNS917543 DXN917534:DXO917543 EHJ917534:EHK917543 ERF917534:ERG917543 FBB917534:FBC917543 FKX917534:FKY917543 FUT917534:FUU917543 GEP917534:GEQ917543 GOL917534:GOM917543 GYH917534:GYI917543 HID917534:HIE917543 HRZ917534:HSA917543 IBV917534:IBW917543 ILR917534:ILS917543 IVN917534:IVO917543 JFJ917534:JFK917543 JPF917534:JPG917543 JZB917534:JZC917543 KIX917534:KIY917543 KST917534:KSU917543 LCP917534:LCQ917543 LML917534:LMM917543 LWH917534:LWI917543 MGD917534:MGE917543 MPZ917534:MQA917543 MZV917534:MZW917543 NJR917534:NJS917543 NTN917534:NTO917543 ODJ917534:ODK917543 ONF917534:ONG917543 OXB917534:OXC917543 PGX917534:PGY917543 PQT917534:PQU917543 QAP917534:QAQ917543 QKL917534:QKM917543 QUH917534:QUI917543 RED917534:REE917543 RNZ917534:ROA917543 RXV917534:RXW917543 SHR917534:SHS917543 SRN917534:SRO917543 TBJ917534:TBK917543 TLF917534:TLG917543 TVB917534:TVC917543 UEX917534:UEY917543 UOT917534:UOU917543 UYP917534:UYQ917543 VIL917534:VIM917543 VSH917534:VSI917543 WCD917534:WCE917543 WLZ917534:WMA917543 WVV917534:WVW917543 N983070:O983079 JJ983070:JK983079 TF983070:TG983079 ADB983070:ADC983079 AMX983070:AMY983079 AWT983070:AWU983079 BGP983070:BGQ983079 BQL983070:BQM983079 CAH983070:CAI983079 CKD983070:CKE983079 CTZ983070:CUA983079 DDV983070:DDW983079 DNR983070:DNS983079 DXN983070:DXO983079 EHJ983070:EHK983079 ERF983070:ERG983079 FBB983070:FBC983079 FKX983070:FKY983079 FUT983070:FUU983079 GEP983070:GEQ983079 GOL983070:GOM983079 GYH983070:GYI983079 HID983070:HIE983079 HRZ983070:HSA983079 IBV983070:IBW983079 ILR983070:ILS983079 IVN983070:IVO983079 JFJ983070:JFK983079 JPF983070:JPG983079 JZB983070:JZC983079 KIX983070:KIY983079 KST983070:KSU983079 LCP983070:LCQ983079 LML983070:LMM983079 LWH983070:LWI983079 MGD983070:MGE983079 MPZ983070:MQA983079 MZV983070:MZW983079 NJR983070:NJS983079 NTN983070:NTO983079 ODJ983070:ODK983079 ONF983070:ONG983079 OXB983070:OXC983079 PGX983070:PGY983079 PQT983070:PQU983079 QAP983070:QAQ983079 QKL983070:QKM983079 QUH983070:QUI983079 RED983070:REE983079 RNZ983070:ROA983079 RXV983070:RXW983079 SHR983070:SHS983079 SRN983070:SRO983079 TBJ983070:TBK983079 TLF983070:TLG983079 TVB983070:TVC983079 UEX983070:UEY983079 UOT983070:UOU983079 UYP983070:UYQ983079 VIL983070:VIM983079 VSH983070:VSI983079 WCD983070:WCE983079 WLZ983070:WMA983079 WVV983070:WVW983079 L47:M61 JH47:JI61 TD47:TE61 ACZ47:ADA61 AMV47:AMW61 AWR47:AWS61 BGN47:BGO61 BQJ47:BQK61 CAF47:CAG61 CKB47:CKC61 CTX47:CTY61 DDT47:DDU61 DNP47:DNQ61 DXL47:DXM61 EHH47:EHI61 ERD47:ERE61 FAZ47:FBA61 FKV47:FKW61 FUR47:FUS61 GEN47:GEO61 GOJ47:GOK61 GYF47:GYG61 HIB47:HIC61 HRX47:HRY61 IBT47:IBU61 ILP47:ILQ61 IVL47:IVM61 JFH47:JFI61 JPD47:JPE61 JYZ47:JZA61 KIV47:KIW61 KSR47:KSS61 LCN47:LCO61 LMJ47:LMK61 LWF47:LWG61 MGB47:MGC61 MPX47:MPY61 MZT47:MZU61 NJP47:NJQ61 NTL47:NTM61 ODH47:ODI61 OND47:ONE61 OWZ47:OXA61 PGV47:PGW61 PQR47:PQS61 QAN47:QAO61 QKJ47:QKK61 QUF47:QUG61 REB47:REC61 RNX47:RNY61 RXT47:RXU61 SHP47:SHQ61 SRL47:SRM61 TBH47:TBI61 TLD47:TLE61 TUZ47:TVA61 UEV47:UEW61 UOR47:UOS61 UYN47:UYO61 VIJ47:VIK61 VSF47:VSG61 WCB47:WCC61 WLX47:WLY61 WVT47:WVU61 L65579:M65593 JH65579:JI65593 TD65579:TE65593 ACZ65579:ADA65593 AMV65579:AMW65593 AWR65579:AWS65593 BGN65579:BGO65593 BQJ65579:BQK65593 CAF65579:CAG65593 CKB65579:CKC65593 CTX65579:CTY65593 DDT65579:DDU65593 DNP65579:DNQ65593 DXL65579:DXM65593 EHH65579:EHI65593 ERD65579:ERE65593 FAZ65579:FBA65593 FKV65579:FKW65593 FUR65579:FUS65593 GEN65579:GEO65593 GOJ65579:GOK65593 GYF65579:GYG65593 HIB65579:HIC65593 HRX65579:HRY65593 IBT65579:IBU65593 ILP65579:ILQ65593 IVL65579:IVM65593 JFH65579:JFI65593 JPD65579:JPE65593 JYZ65579:JZA65593 KIV65579:KIW65593 KSR65579:KSS65593 LCN65579:LCO65593 LMJ65579:LMK65593 LWF65579:LWG65593 MGB65579:MGC65593 MPX65579:MPY65593 MZT65579:MZU65593 NJP65579:NJQ65593 NTL65579:NTM65593 ODH65579:ODI65593 OND65579:ONE65593 OWZ65579:OXA65593 PGV65579:PGW65593 PQR65579:PQS65593 QAN65579:QAO65593 QKJ65579:QKK65593 QUF65579:QUG65593 REB65579:REC65593 RNX65579:RNY65593 RXT65579:RXU65593 SHP65579:SHQ65593 SRL65579:SRM65593 TBH65579:TBI65593 TLD65579:TLE65593 TUZ65579:TVA65593 UEV65579:UEW65593 UOR65579:UOS65593 UYN65579:UYO65593 VIJ65579:VIK65593 VSF65579:VSG65593 WCB65579:WCC65593 WLX65579:WLY65593 WVT65579:WVU65593 L131115:M131129 JH131115:JI131129 TD131115:TE131129 ACZ131115:ADA131129 AMV131115:AMW131129 AWR131115:AWS131129 BGN131115:BGO131129 BQJ131115:BQK131129 CAF131115:CAG131129 CKB131115:CKC131129 CTX131115:CTY131129 DDT131115:DDU131129 DNP131115:DNQ131129 DXL131115:DXM131129 EHH131115:EHI131129 ERD131115:ERE131129 FAZ131115:FBA131129 FKV131115:FKW131129 FUR131115:FUS131129 GEN131115:GEO131129 GOJ131115:GOK131129 GYF131115:GYG131129 HIB131115:HIC131129 HRX131115:HRY131129 IBT131115:IBU131129 ILP131115:ILQ131129 IVL131115:IVM131129 JFH131115:JFI131129 JPD131115:JPE131129 JYZ131115:JZA131129 KIV131115:KIW131129 KSR131115:KSS131129 LCN131115:LCO131129 LMJ131115:LMK131129 LWF131115:LWG131129 MGB131115:MGC131129 MPX131115:MPY131129 MZT131115:MZU131129 NJP131115:NJQ131129 NTL131115:NTM131129 ODH131115:ODI131129 OND131115:ONE131129 OWZ131115:OXA131129 PGV131115:PGW131129 PQR131115:PQS131129 QAN131115:QAO131129 QKJ131115:QKK131129 QUF131115:QUG131129 REB131115:REC131129 RNX131115:RNY131129 RXT131115:RXU131129 SHP131115:SHQ131129 SRL131115:SRM131129 TBH131115:TBI131129 TLD131115:TLE131129 TUZ131115:TVA131129 UEV131115:UEW131129 UOR131115:UOS131129 UYN131115:UYO131129 VIJ131115:VIK131129 VSF131115:VSG131129 WCB131115:WCC131129 WLX131115:WLY131129 WVT131115:WVU131129 L196651:M196665 JH196651:JI196665 TD196651:TE196665 ACZ196651:ADA196665 AMV196651:AMW196665 AWR196651:AWS196665 BGN196651:BGO196665 BQJ196651:BQK196665 CAF196651:CAG196665 CKB196651:CKC196665 CTX196651:CTY196665 DDT196651:DDU196665 DNP196651:DNQ196665 DXL196651:DXM196665 EHH196651:EHI196665 ERD196651:ERE196665 FAZ196651:FBA196665 FKV196651:FKW196665 FUR196651:FUS196665 GEN196651:GEO196665 GOJ196651:GOK196665 GYF196651:GYG196665 HIB196651:HIC196665 HRX196651:HRY196665 IBT196651:IBU196665 ILP196651:ILQ196665 IVL196651:IVM196665 JFH196651:JFI196665 JPD196651:JPE196665 JYZ196651:JZA196665 KIV196651:KIW196665 KSR196651:KSS196665 LCN196651:LCO196665 LMJ196651:LMK196665 LWF196651:LWG196665 MGB196651:MGC196665 MPX196651:MPY196665 MZT196651:MZU196665 NJP196651:NJQ196665 NTL196651:NTM196665 ODH196651:ODI196665 OND196651:ONE196665 OWZ196651:OXA196665 PGV196651:PGW196665 PQR196651:PQS196665 QAN196651:QAO196665 QKJ196651:QKK196665 QUF196651:QUG196665 REB196651:REC196665 RNX196651:RNY196665 RXT196651:RXU196665 SHP196651:SHQ196665 SRL196651:SRM196665 TBH196651:TBI196665 TLD196651:TLE196665 TUZ196651:TVA196665 UEV196651:UEW196665 UOR196651:UOS196665 UYN196651:UYO196665 VIJ196651:VIK196665 VSF196651:VSG196665 WCB196651:WCC196665 WLX196651:WLY196665 WVT196651:WVU196665 L262187:M262201 JH262187:JI262201 TD262187:TE262201 ACZ262187:ADA262201 AMV262187:AMW262201 AWR262187:AWS262201 BGN262187:BGO262201 BQJ262187:BQK262201 CAF262187:CAG262201 CKB262187:CKC262201 CTX262187:CTY262201 DDT262187:DDU262201 DNP262187:DNQ262201 DXL262187:DXM262201 EHH262187:EHI262201 ERD262187:ERE262201 FAZ262187:FBA262201 FKV262187:FKW262201 FUR262187:FUS262201 GEN262187:GEO262201 GOJ262187:GOK262201 GYF262187:GYG262201 HIB262187:HIC262201 HRX262187:HRY262201 IBT262187:IBU262201 ILP262187:ILQ262201 IVL262187:IVM262201 JFH262187:JFI262201 JPD262187:JPE262201 JYZ262187:JZA262201 KIV262187:KIW262201 KSR262187:KSS262201 LCN262187:LCO262201 LMJ262187:LMK262201 LWF262187:LWG262201 MGB262187:MGC262201 MPX262187:MPY262201 MZT262187:MZU262201 NJP262187:NJQ262201 NTL262187:NTM262201 ODH262187:ODI262201 OND262187:ONE262201 OWZ262187:OXA262201 PGV262187:PGW262201 PQR262187:PQS262201 QAN262187:QAO262201 QKJ262187:QKK262201 QUF262187:QUG262201 REB262187:REC262201 RNX262187:RNY262201 RXT262187:RXU262201 SHP262187:SHQ262201 SRL262187:SRM262201 TBH262187:TBI262201 TLD262187:TLE262201 TUZ262187:TVA262201 UEV262187:UEW262201 UOR262187:UOS262201 UYN262187:UYO262201 VIJ262187:VIK262201 VSF262187:VSG262201 WCB262187:WCC262201 WLX262187:WLY262201 WVT262187:WVU262201 L327723:M327737 JH327723:JI327737 TD327723:TE327737 ACZ327723:ADA327737 AMV327723:AMW327737 AWR327723:AWS327737 BGN327723:BGO327737 BQJ327723:BQK327737 CAF327723:CAG327737 CKB327723:CKC327737 CTX327723:CTY327737 DDT327723:DDU327737 DNP327723:DNQ327737 DXL327723:DXM327737 EHH327723:EHI327737 ERD327723:ERE327737 FAZ327723:FBA327737 FKV327723:FKW327737 FUR327723:FUS327737 GEN327723:GEO327737 GOJ327723:GOK327737 GYF327723:GYG327737 HIB327723:HIC327737 HRX327723:HRY327737 IBT327723:IBU327737 ILP327723:ILQ327737 IVL327723:IVM327737 JFH327723:JFI327737 JPD327723:JPE327737 JYZ327723:JZA327737 KIV327723:KIW327737 KSR327723:KSS327737 LCN327723:LCO327737 LMJ327723:LMK327737 LWF327723:LWG327737 MGB327723:MGC327737 MPX327723:MPY327737 MZT327723:MZU327737 NJP327723:NJQ327737 NTL327723:NTM327737 ODH327723:ODI327737 OND327723:ONE327737 OWZ327723:OXA327737 PGV327723:PGW327737 PQR327723:PQS327737 QAN327723:QAO327737 QKJ327723:QKK327737 QUF327723:QUG327737 REB327723:REC327737 RNX327723:RNY327737 RXT327723:RXU327737 SHP327723:SHQ327737 SRL327723:SRM327737 TBH327723:TBI327737 TLD327723:TLE327737 TUZ327723:TVA327737 UEV327723:UEW327737 UOR327723:UOS327737 UYN327723:UYO327737 VIJ327723:VIK327737 VSF327723:VSG327737 WCB327723:WCC327737 WLX327723:WLY327737 WVT327723:WVU327737 L393259:M393273 JH393259:JI393273 TD393259:TE393273 ACZ393259:ADA393273 AMV393259:AMW393273 AWR393259:AWS393273 BGN393259:BGO393273 BQJ393259:BQK393273 CAF393259:CAG393273 CKB393259:CKC393273 CTX393259:CTY393273 DDT393259:DDU393273 DNP393259:DNQ393273 DXL393259:DXM393273 EHH393259:EHI393273 ERD393259:ERE393273 FAZ393259:FBA393273 FKV393259:FKW393273 FUR393259:FUS393273 GEN393259:GEO393273 GOJ393259:GOK393273 GYF393259:GYG393273 HIB393259:HIC393273 HRX393259:HRY393273 IBT393259:IBU393273 ILP393259:ILQ393273 IVL393259:IVM393273 JFH393259:JFI393273 JPD393259:JPE393273 JYZ393259:JZA393273 KIV393259:KIW393273 KSR393259:KSS393273 LCN393259:LCO393273 LMJ393259:LMK393273 LWF393259:LWG393273 MGB393259:MGC393273 MPX393259:MPY393273 MZT393259:MZU393273 NJP393259:NJQ393273 NTL393259:NTM393273 ODH393259:ODI393273 OND393259:ONE393273 OWZ393259:OXA393273 PGV393259:PGW393273 PQR393259:PQS393273 QAN393259:QAO393273 QKJ393259:QKK393273 QUF393259:QUG393273 REB393259:REC393273 RNX393259:RNY393273 RXT393259:RXU393273 SHP393259:SHQ393273 SRL393259:SRM393273 TBH393259:TBI393273 TLD393259:TLE393273 TUZ393259:TVA393273 UEV393259:UEW393273 UOR393259:UOS393273 UYN393259:UYO393273 VIJ393259:VIK393273 VSF393259:VSG393273 WCB393259:WCC393273 WLX393259:WLY393273 WVT393259:WVU393273 L458795:M458809 JH458795:JI458809 TD458795:TE458809 ACZ458795:ADA458809 AMV458795:AMW458809 AWR458795:AWS458809 BGN458795:BGO458809 BQJ458795:BQK458809 CAF458795:CAG458809 CKB458795:CKC458809 CTX458795:CTY458809 DDT458795:DDU458809 DNP458795:DNQ458809 DXL458795:DXM458809 EHH458795:EHI458809 ERD458795:ERE458809 FAZ458795:FBA458809 FKV458795:FKW458809 FUR458795:FUS458809 GEN458795:GEO458809 GOJ458795:GOK458809 GYF458795:GYG458809 HIB458795:HIC458809 HRX458795:HRY458809 IBT458795:IBU458809 ILP458795:ILQ458809 IVL458795:IVM458809 JFH458795:JFI458809 JPD458795:JPE458809 JYZ458795:JZA458809 KIV458795:KIW458809 KSR458795:KSS458809 LCN458795:LCO458809 LMJ458795:LMK458809 LWF458795:LWG458809 MGB458795:MGC458809 MPX458795:MPY458809 MZT458795:MZU458809 NJP458795:NJQ458809 NTL458795:NTM458809 ODH458795:ODI458809 OND458795:ONE458809 OWZ458795:OXA458809 PGV458795:PGW458809 PQR458795:PQS458809 QAN458795:QAO458809 QKJ458795:QKK458809 QUF458795:QUG458809 REB458795:REC458809 RNX458795:RNY458809 RXT458795:RXU458809 SHP458795:SHQ458809 SRL458795:SRM458809 TBH458795:TBI458809 TLD458795:TLE458809 TUZ458795:TVA458809 UEV458795:UEW458809 UOR458795:UOS458809 UYN458795:UYO458809 VIJ458795:VIK458809 VSF458795:VSG458809 WCB458795:WCC458809 WLX458795:WLY458809 WVT458795:WVU458809 L524331:M524345 JH524331:JI524345 TD524331:TE524345 ACZ524331:ADA524345 AMV524331:AMW524345 AWR524331:AWS524345 BGN524331:BGO524345 BQJ524331:BQK524345 CAF524331:CAG524345 CKB524331:CKC524345 CTX524331:CTY524345 DDT524331:DDU524345 DNP524331:DNQ524345 DXL524331:DXM524345 EHH524331:EHI524345 ERD524331:ERE524345 FAZ524331:FBA524345 FKV524331:FKW524345 FUR524331:FUS524345 GEN524331:GEO524345 GOJ524331:GOK524345 GYF524331:GYG524345 HIB524331:HIC524345 HRX524331:HRY524345 IBT524331:IBU524345 ILP524331:ILQ524345 IVL524331:IVM524345 JFH524331:JFI524345 JPD524331:JPE524345 JYZ524331:JZA524345 KIV524331:KIW524345 KSR524331:KSS524345 LCN524331:LCO524345 LMJ524331:LMK524345 LWF524331:LWG524345 MGB524331:MGC524345 MPX524331:MPY524345 MZT524331:MZU524345 NJP524331:NJQ524345 NTL524331:NTM524345 ODH524331:ODI524345 OND524331:ONE524345 OWZ524331:OXA524345 PGV524331:PGW524345 PQR524331:PQS524345 QAN524331:QAO524345 QKJ524331:QKK524345 QUF524331:QUG524345 REB524331:REC524345 RNX524331:RNY524345 RXT524331:RXU524345 SHP524331:SHQ524345 SRL524331:SRM524345 TBH524331:TBI524345 TLD524331:TLE524345 TUZ524331:TVA524345 UEV524331:UEW524345 UOR524331:UOS524345 UYN524331:UYO524345 VIJ524331:VIK524345 VSF524331:VSG524345 WCB524331:WCC524345 WLX524331:WLY524345 WVT524331:WVU524345 L589867:M589881 JH589867:JI589881 TD589867:TE589881 ACZ589867:ADA589881 AMV589867:AMW589881 AWR589867:AWS589881 BGN589867:BGO589881 BQJ589867:BQK589881 CAF589867:CAG589881 CKB589867:CKC589881 CTX589867:CTY589881 DDT589867:DDU589881 DNP589867:DNQ589881 DXL589867:DXM589881 EHH589867:EHI589881 ERD589867:ERE589881 FAZ589867:FBA589881 FKV589867:FKW589881 FUR589867:FUS589881 GEN589867:GEO589881 GOJ589867:GOK589881 GYF589867:GYG589881 HIB589867:HIC589881 HRX589867:HRY589881 IBT589867:IBU589881 ILP589867:ILQ589881 IVL589867:IVM589881 JFH589867:JFI589881 JPD589867:JPE589881 JYZ589867:JZA589881 KIV589867:KIW589881 KSR589867:KSS589881 LCN589867:LCO589881 LMJ589867:LMK589881 LWF589867:LWG589881 MGB589867:MGC589881 MPX589867:MPY589881 MZT589867:MZU589881 NJP589867:NJQ589881 NTL589867:NTM589881 ODH589867:ODI589881 OND589867:ONE589881 OWZ589867:OXA589881 PGV589867:PGW589881 PQR589867:PQS589881 QAN589867:QAO589881 QKJ589867:QKK589881 QUF589867:QUG589881 REB589867:REC589881 RNX589867:RNY589881 RXT589867:RXU589881 SHP589867:SHQ589881 SRL589867:SRM589881 TBH589867:TBI589881 TLD589867:TLE589881 TUZ589867:TVA589881 UEV589867:UEW589881 UOR589867:UOS589881 UYN589867:UYO589881 VIJ589867:VIK589881 VSF589867:VSG589881 WCB589867:WCC589881 WLX589867:WLY589881 WVT589867:WVU589881 L655403:M655417 JH655403:JI655417 TD655403:TE655417 ACZ655403:ADA655417 AMV655403:AMW655417 AWR655403:AWS655417 BGN655403:BGO655417 BQJ655403:BQK655417 CAF655403:CAG655417 CKB655403:CKC655417 CTX655403:CTY655417 DDT655403:DDU655417 DNP655403:DNQ655417 DXL655403:DXM655417 EHH655403:EHI655417 ERD655403:ERE655417 FAZ655403:FBA655417 FKV655403:FKW655417 FUR655403:FUS655417 GEN655403:GEO655417 GOJ655403:GOK655417 GYF655403:GYG655417 HIB655403:HIC655417 HRX655403:HRY655417 IBT655403:IBU655417 ILP655403:ILQ655417 IVL655403:IVM655417 JFH655403:JFI655417 JPD655403:JPE655417 JYZ655403:JZA655417 KIV655403:KIW655417 KSR655403:KSS655417 LCN655403:LCO655417 LMJ655403:LMK655417 LWF655403:LWG655417 MGB655403:MGC655417 MPX655403:MPY655417 MZT655403:MZU655417 NJP655403:NJQ655417 NTL655403:NTM655417 ODH655403:ODI655417 OND655403:ONE655417 OWZ655403:OXA655417 PGV655403:PGW655417 PQR655403:PQS655417 QAN655403:QAO655417 QKJ655403:QKK655417 QUF655403:QUG655417 REB655403:REC655417 RNX655403:RNY655417 RXT655403:RXU655417 SHP655403:SHQ655417 SRL655403:SRM655417 TBH655403:TBI655417 TLD655403:TLE655417 TUZ655403:TVA655417 UEV655403:UEW655417 UOR655403:UOS655417 UYN655403:UYO655417 VIJ655403:VIK655417 VSF655403:VSG655417 WCB655403:WCC655417 WLX655403:WLY655417 WVT655403:WVU655417 L720939:M720953 JH720939:JI720953 TD720939:TE720953 ACZ720939:ADA720953 AMV720939:AMW720953 AWR720939:AWS720953 BGN720939:BGO720953 BQJ720939:BQK720953 CAF720939:CAG720953 CKB720939:CKC720953 CTX720939:CTY720953 DDT720939:DDU720953 DNP720939:DNQ720953 DXL720939:DXM720953 EHH720939:EHI720953 ERD720939:ERE720953 FAZ720939:FBA720953 FKV720939:FKW720953 FUR720939:FUS720953 GEN720939:GEO720953 GOJ720939:GOK720953 GYF720939:GYG720953 HIB720939:HIC720953 HRX720939:HRY720953 IBT720939:IBU720953 ILP720939:ILQ720953 IVL720939:IVM720953 JFH720939:JFI720953 JPD720939:JPE720953 JYZ720939:JZA720953 KIV720939:KIW720953 KSR720939:KSS720953 LCN720939:LCO720953 LMJ720939:LMK720953 LWF720939:LWG720953 MGB720939:MGC720953 MPX720939:MPY720953 MZT720939:MZU720953 NJP720939:NJQ720953 NTL720939:NTM720953 ODH720939:ODI720953 OND720939:ONE720953 OWZ720939:OXA720953 PGV720939:PGW720953 PQR720939:PQS720953 QAN720939:QAO720953 QKJ720939:QKK720953 QUF720939:QUG720953 REB720939:REC720953 RNX720939:RNY720953 RXT720939:RXU720953 SHP720939:SHQ720953 SRL720939:SRM720953 TBH720939:TBI720953 TLD720939:TLE720953 TUZ720939:TVA720953 UEV720939:UEW720953 UOR720939:UOS720953 UYN720939:UYO720953 VIJ720939:VIK720953 VSF720939:VSG720953 WCB720939:WCC720953 WLX720939:WLY720953 WVT720939:WVU720953 L786475:M786489 JH786475:JI786489 TD786475:TE786489 ACZ786475:ADA786489 AMV786475:AMW786489 AWR786475:AWS786489 BGN786475:BGO786489 BQJ786475:BQK786489 CAF786475:CAG786489 CKB786475:CKC786489 CTX786475:CTY786489 DDT786475:DDU786489 DNP786475:DNQ786489 DXL786475:DXM786489 EHH786475:EHI786489 ERD786475:ERE786489 FAZ786475:FBA786489 FKV786475:FKW786489 FUR786475:FUS786489 GEN786475:GEO786489 GOJ786475:GOK786489 GYF786475:GYG786489 HIB786475:HIC786489 HRX786475:HRY786489 IBT786475:IBU786489 ILP786475:ILQ786489 IVL786475:IVM786489 JFH786475:JFI786489 JPD786475:JPE786489 JYZ786475:JZA786489 KIV786475:KIW786489 KSR786475:KSS786489 LCN786475:LCO786489 LMJ786475:LMK786489 LWF786475:LWG786489 MGB786475:MGC786489 MPX786475:MPY786489 MZT786475:MZU786489 NJP786475:NJQ786489 NTL786475:NTM786489 ODH786475:ODI786489 OND786475:ONE786489 OWZ786475:OXA786489 PGV786475:PGW786489 PQR786475:PQS786489 QAN786475:QAO786489 QKJ786475:QKK786489 QUF786475:QUG786489 REB786475:REC786489 RNX786475:RNY786489 RXT786475:RXU786489 SHP786475:SHQ786489 SRL786475:SRM786489 TBH786475:TBI786489 TLD786475:TLE786489 TUZ786475:TVA786489 UEV786475:UEW786489 UOR786475:UOS786489 UYN786475:UYO786489 VIJ786475:VIK786489 VSF786475:VSG786489 WCB786475:WCC786489 WLX786475:WLY786489 WVT786475:WVU786489 L852011:M852025 JH852011:JI852025 TD852011:TE852025 ACZ852011:ADA852025 AMV852011:AMW852025 AWR852011:AWS852025 BGN852011:BGO852025 BQJ852011:BQK852025 CAF852011:CAG852025 CKB852011:CKC852025 CTX852011:CTY852025 DDT852011:DDU852025 DNP852011:DNQ852025 DXL852011:DXM852025 EHH852011:EHI852025 ERD852011:ERE852025 FAZ852011:FBA852025 FKV852011:FKW852025 FUR852011:FUS852025 GEN852011:GEO852025 GOJ852011:GOK852025 GYF852011:GYG852025 HIB852011:HIC852025 HRX852011:HRY852025 IBT852011:IBU852025 ILP852011:ILQ852025 IVL852011:IVM852025 JFH852011:JFI852025 JPD852011:JPE852025 JYZ852011:JZA852025 KIV852011:KIW852025 KSR852011:KSS852025 LCN852011:LCO852025 LMJ852011:LMK852025 LWF852011:LWG852025 MGB852011:MGC852025 MPX852011:MPY852025 MZT852011:MZU852025 NJP852011:NJQ852025 NTL852011:NTM852025 ODH852011:ODI852025 OND852011:ONE852025 OWZ852011:OXA852025 PGV852011:PGW852025 PQR852011:PQS852025 QAN852011:QAO852025 QKJ852011:QKK852025 QUF852011:QUG852025 REB852011:REC852025 RNX852011:RNY852025 RXT852011:RXU852025 SHP852011:SHQ852025 SRL852011:SRM852025 TBH852011:TBI852025 TLD852011:TLE852025 TUZ852011:TVA852025 UEV852011:UEW852025 UOR852011:UOS852025 UYN852011:UYO852025 VIJ852011:VIK852025 VSF852011:VSG852025 WCB852011:WCC852025 WLX852011:WLY852025 WVT852011:WVU852025 L917547:M917561 JH917547:JI917561 TD917547:TE917561 ACZ917547:ADA917561 AMV917547:AMW917561 AWR917547:AWS917561 BGN917547:BGO917561 BQJ917547:BQK917561 CAF917547:CAG917561 CKB917547:CKC917561 CTX917547:CTY917561 DDT917547:DDU917561 DNP917547:DNQ917561 DXL917547:DXM917561 EHH917547:EHI917561 ERD917547:ERE917561 FAZ917547:FBA917561 FKV917547:FKW917561 FUR917547:FUS917561 GEN917547:GEO917561 GOJ917547:GOK917561 GYF917547:GYG917561 HIB917547:HIC917561 HRX917547:HRY917561 IBT917547:IBU917561 ILP917547:ILQ917561 IVL917547:IVM917561 JFH917547:JFI917561 JPD917547:JPE917561 JYZ917547:JZA917561 KIV917547:KIW917561 KSR917547:KSS917561 LCN917547:LCO917561 LMJ917547:LMK917561 LWF917547:LWG917561 MGB917547:MGC917561 MPX917547:MPY917561 MZT917547:MZU917561 NJP917547:NJQ917561 NTL917547:NTM917561 ODH917547:ODI917561 OND917547:ONE917561 OWZ917547:OXA917561 PGV917547:PGW917561 PQR917547:PQS917561 QAN917547:QAO917561 QKJ917547:QKK917561 QUF917547:QUG917561 REB917547:REC917561 RNX917547:RNY917561 RXT917547:RXU917561 SHP917547:SHQ917561 SRL917547:SRM917561 TBH917547:TBI917561 TLD917547:TLE917561 TUZ917547:TVA917561 UEV917547:UEW917561 UOR917547:UOS917561 UYN917547:UYO917561 VIJ917547:VIK917561 VSF917547:VSG917561 WCB917547:WCC917561 WLX917547:WLY917561 WVT917547:WVU917561 L983083:M983097 JH983083:JI983097 TD983083:TE983097 ACZ983083:ADA983097 AMV983083:AMW983097 AWR983083:AWS983097 BGN983083:BGO983097 BQJ983083:BQK983097 CAF983083:CAG983097 CKB983083:CKC983097 CTX983083:CTY983097 DDT983083:DDU983097 DNP983083:DNQ983097 DXL983083:DXM983097 EHH983083:EHI983097 ERD983083:ERE983097 FAZ983083:FBA983097 FKV983083:FKW983097 FUR983083:FUS983097 GEN983083:GEO983097 GOJ983083:GOK983097 GYF983083:GYG983097 HIB983083:HIC983097 HRX983083:HRY983097 IBT983083:IBU983097 ILP983083:ILQ983097 IVL983083:IVM983097 JFH983083:JFI983097 JPD983083:JPE983097 JYZ983083:JZA983097 KIV983083:KIW983097 KSR983083:KSS983097 LCN983083:LCO983097 LMJ983083:LMK983097 LWF983083:LWG983097 MGB983083:MGC983097 MPX983083:MPY983097 MZT983083:MZU983097 NJP983083:NJQ983097 NTL983083:NTM983097 ODH983083:ODI983097 OND983083:ONE983097 OWZ983083:OXA983097 PGV983083:PGW983097 PQR983083:PQS983097 QAN983083:QAO983097 QKJ983083:QKK983097 QUF983083:QUG983097 REB983083:REC983097 RNX983083:RNY983097 RXT983083:RXU983097 SHP983083:SHQ983097 SRL983083:SRM983097 TBH983083:TBI983097 TLD983083:TLE983097 TUZ983083:TVA983097 UEV983083:UEW983097 UOR983083:UOS983097 UYN983083:UYO983097 VIJ983083:VIK983097 VSF983083:VSG983097 WCB983083:WCC983097 WLX983083:WLY983097 WVT983083:WVU983097 L64:M78 JH64:JI78 TD64:TE78 ACZ64:ADA78 AMV64:AMW78 AWR64:AWS78 BGN64:BGO78 BQJ64:BQK78 CAF64:CAG78 CKB64:CKC78 CTX64:CTY78 DDT64:DDU78 DNP64:DNQ78 DXL64:DXM78 EHH64:EHI78 ERD64:ERE78 FAZ64:FBA78 FKV64:FKW78 FUR64:FUS78 GEN64:GEO78 GOJ64:GOK78 GYF64:GYG78 HIB64:HIC78 HRX64:HRY78 IBT64:IBU78 ILP64:ILQ78 IVL64:IVM78 JFH64:JFI78 JPD64:JPE78 JYZ64:JZA78 KIV64:KIW78 KSR64:KSS78 LCN64:LCO78 LMJ64:LMK78 LWF64:LWG78 MGB64:MGC78 MPX64:MPY78 MZT64:MZU78 NJP64:NJQ78 NTL64:NTM78 ODH64:ODI78 OND64:ONE78 OWZ64:OXA78 PGV64:PGW78 PQR64:PQS78 QAN64:QAO78 QKJ64:QKK78 QUF64:QUG78 REB64:REC78 RNX64:RNY78 RXT64:RXU78 SHP64:SHQ78 SRL64:SRM78 TBH64:TBI78 TLD64:TLE78 TUZ64:TVA78 UEV64:UEW78 UOR64:UOS78 UYN64:UYO78 VIJ64:VIK78 VSF64:VSG78 WCB64:WCC78 WLX64:WLY78 WVT64:WVU78 L65596:M65610 JH65596:JI65610 TD65596:TE65610 ACZ65596:ADA65610 AMV65596:AMW65610 AWR65596:AWS65610 BGN65596:BGO65610 BQJ65596:BQK65610 CAF65596:CAG65610 CKB65596:CKC65610 CTX65596:CTY65610 DDT65596:DDU65610 DNP65596:DNQ65610 DXL65596:DXM65610 EHH65596:EHI65610 ERD65596:ERE65610 FAZ65596:FBA65610 FKV65596:FKW65610 FUR65596:FUS65610 GEN65596:GEO65610 GOJ65596:GOK65610 GYF65596:GYG65610 HIB65596:HIC65610 HRX65596:HRY65610 IBT65596:IBU65610 ILP65596:ILQ65610 IVL65596:IVM65610 JFH65596:JFI65610 JPD65596:JPE65610 JYZ65596:JZA65610 KIV65596:KIW65610 KSR65596:KSS65610 LCN65596:LCO65610 LMJ65596:LMK65610 LWF65596:LWG65610 MGB65596:MGC65610 MPX65596:MPY65610 MZT65596:MZU65610 NJP65596:NJQ65610 NTL65596:NTM65610 ODH65596:ODI65610 OND65596:ONE65610 OWZ65596:OXA65610 PGV65596:PGW65610 PQR65596:PQS65610 QAN65596:QAO65610 QKJ65596:QKK65610 QUF65596:QUG65610 REB65596:REC65610 RNX65596:RNY65610 RXT65596:RXU65610 SHP65596:SHQ65610 SRL65596:SRM65610 TBH65596:TBI65610 TLD65596:TLE65610 TUZ65596:TVA65610 UEV65596:UEW65610 UOR65596:UOS65610 UYN65596:UYO65610 VIJ65596:VIK65610 VSF65596:VSG65610 WCB65596:WCC65610 WLX65596:WLY65610 WVT65596:WVU65610 L131132:M131146 JH131132:JI131146 TD131132:TE131146 ACZ131132:ADA131146 AMV131132:AMW131146 AWR131132:AWS131146 BGN131132:BGO131146 BQJ131132:BQK131146 CAF131132:CAG131146 CKB131132:CKC131146 CTX131132:CTY131146 DDT131132:DDU131146 DNP131132:DNQ131146 DXL131132:DXM131146 EHH131132:EHI131146 ERD131132:ERE131146 FAZ131132:FBA131146 FKV131132:FKW131146 FUR131132:FUS131146 GEN131132:GEO131146 GOJ131132:GOK131146 GYF131132:GYG131146 HIB131132:HIC131146 HRX131132:HRY131146 IBT131132:IBU131146 ILP131132:ILQ131146 IVL131132:IVM131146 JFH131132:JFI131146 JPD131132:JPE131146 JYZ131132:JZA131146 KIV131132:KIW131146 KSR131132:KSS131146 LCN131132:LCO131146 LMJ131132:LMK131146 LWF131132:LWG131146 MGB131132:MGC131146 MPX131132:MPY131146 MZT131132:MZU131146 NJP131132:NJQ131146 NTL131132:NTM131146 ODH131132:ODI131146 OND131132:ONE131146 OWZ131132:OXA131146 PGV131132:PGW131146 PQR131132:PQS131146 QAN131132:QAO131146 QKJ131132:QKK131146 QUF131132:QUG131146 REB131132:REC131146 RNX131132:RNY131146 RXT131132:RXU131146 SHP131132:SHQ131146 SRL131132:SRM131146 TBH131132:TBI131146 TLD131132:TLE131146 TUZ131132:TVA131146 UEV131132:UEW131146 UOR131132:UOS131146 UYN131132:UYO131146 VIJ131132:VIK131146 VSF131132:VSG131146 WCB131132:WCC131146 WLX131132:WLY131146 WVT131132:WVU131146 L196668:M196682 JH196668:JI196682 TD196668:TE196682 ACZ196668:ADA196682 AMV196668:AMW196682 AWR196668:AWS196682 BGN196668:BGO196682 BQJ196668:BQK196682 CAF196668:CAG196682 CKB196668:CKC196682 CTX196668:CTY196682 DDT196668:DDU196682 DNP196668:DNQ196682 DXL196668:DXM196682 EHH196668:EHI196682 ERD196668:ERE196682 FAZ196668:FBA196682 FKV196668:FKW196682 FUR196668:FUS196682 GEN196668:GEO196682 GOJ196668:GOK196682 GYF196668:GYG196682 HIB196668:HIC196682 HRX196668:HRY196682 IBT196668:IBU196682 ILP196668:ILQ196682 IVL196668:IVM196682 JFH196668:JFI196682 JPD196668:JPE196682 JYZ196668:JZA196682 KIV196668:KIW196682 KSR196668:KSS196682 LCN196668:LCO196682 LMJ196668:LMK196682 LWF196668:LWG196682 MGB196668:MGC196682 MPX196668:MPY196682 MZT196668:MZU196682 NJP196668:NJQ196682 NTL196668:NTM196682 ODH196668:ODI196682 OND196668:ONE196682 OWZ196668:OXA196682 PGV196668:PGW196682 PQR196668:PQS196682 QAN196668:QAO196682 QKJ196668:QKK196682 QUF196668:QUG196682 REB196668:REC196682 RNX196668:RNY196682 RXT196668:RXU196682 SHP196668:SHQ196682 SRL196668:SRM196682 TBH196668:TBI196682 TLD196668:TLE196682 TUZ196668:TVA196682 UEV196668:UEW196682 UOR196668:UOS196682 UYN196668:UYO196682 VIJ196668:VIK196682 VSF196668:VSG196682 WCB196668:WCC196682 WLX196668:WLY196682 WVT196668:WVU196682 L262204:M262218 JH262204:JI262218 TD262204:TE262218 ACZ262204:ADA262218 AMV262204:AMW262218 AWR262204:AWS262218 BGN262204:BGO262218 BQJ262204:BQK262218 CAF262204:CAG262218 CKB262204:CKC262218 CTX262204:CTY262218 DDT262204:DDU262218 DNP262204:DNQ262218 DXL262204:DXM262218 EHH262204:EHI262218 ERD262204:ERE262218 FAZ262204:FBA262218 FKV262204:FKW262218 FUR262204:FUS262218 GEN262204:GEO262218 GOJ262204:GOK262218 GYF262204:GYG262218 HIB262204:HIC262218 HRX262204:HRY262218 IBT262204:IBU262218 ILP262204:ILQ262218 IVL262204:IVM262218 JFH262204:JFI262218 JPD262204:JPE262218 JYZ262204:JZA262218 KIV262204:KIW262218 KSR262204:KSS262218 LCN262204:LCO262218 LMJ262204:LMK262218 LWF262204:LWG262218 MGB262204:MGC262218 MPX262204:MPY262218 MZT262204:MZU262218 NJP262204:NJQ262218 NTL262204:NTM262218 ODH262204:ODI262218 OND262204:ONE262218 OWZ262204:OXA262218 PGV262204:PGW262218 PQR262204:PQS262218 QAN262204:QAO262218 QKJ262204:QKK262218 QUF262204:QUG262218 REB262204:REC262218 RNX262204:RNY262218 RXT262204:RXU262218 SHP262204:SHQ262218 SRL262204:SRM262218 TBH262204:TBI262218 TLD262204:TLE262218 TUZ262204:TVA262218 UEV262204:UEW262218 UOR262204:UOS262218 UYN262204:UYO262218 VIJ262204:VIK262218 VSF262204:VSG262218 WCB262204:WCC262218 WLX262204:WLY262218 WVT262204:WVU262218 L327740:M327754 JH327740:JI327754 TD327740:TE327754 ACZ327740:ADA327754 AMV327740:AMW327754 AWR327740:AWS327754 BGN327740:BGO327754 BQJ327740:BQK327754 CAF327740:CAG327754 CKB327740:CKC327754 CTX327740:CTY327754 DDT327740:DDU327754 DNP327740:DNQ327754 DXL327740:DXM327754 EHH327740:EHI327754 ERD327740:ERE327754 FAZ327740:FBA327754 FKV327740:FKW327754 FUR327740:FUS327754 GEN327740:GEO327754 GOJ327740:GOK327754 GYF327740:GYG327754 HIB327740:HIC327754 HRX327740:HRY327754 IBT327740:IBU327754 ILP327740:ILQ327754 IVL327740:IVM327754 JFH327740:JFI327754 JPD327740:JPE327754 JYZ327740:JZA327754 KIV327740:KIW327754 KSR327740:KSS327754 LCN327740:LCO327754 LMJ327740:LMK327754 LWF327740:LWG327754 MGB327740:MGC327754 MPX327740:MPY327754 MZT327740:MZU327754 NJP327740:NJQ327754 NTL327740:NTM327754 ODH327740:ODI327754 OND327740:ONE327754 OWZ327740:OXA327754 PGV327740:PGW327754 PQR327740:PQS327754 QAN327740:QAO327754 QKJ327740:QKK327754 QUF327740:QUG327754 REB327740:REC327754 RNX327740:RNY327754 RXT327740:RXU327754 SHP327740:SHQ327754 SRL327740:SRM327754 TBH327740:TBI327754 TLD327740:TLE327754 TUZ327740:TVA327754 UEV327740:UEW327754 UOR327740:UOS327754 UYN327740:UYO327754 VIJ327740:VIK327754 VSF327740:VSG327754 WCB327740:WCC327754 WLX327740:WLY327754 WVT327740:WVU327754 L393276:M393290 JH393276:JI393290 TD393276:TE393290 ACZ393276:ADA393290 AMV393276:AMW393290 AWR393276:AWS393290 BGN393276:BGO393290 BQJ393276:BQK393290 CAF393276:CAG393290 CKB393276:CKC393290 CTX393276:CTY393290 DDT393276:DDU393290 DNP393276:DNQ393290 DXL393276:DXM393290 EHH393276:EHI393290 ERD393276:ERE393290 FAZ393276:FBA393290 FKV393276:FKW393290 FUR393276:FUS393290 GEN393276:GEO393290 GOJ393276:GOK393290 GYF393276:GYG393290 HIB393276:HIC393290 HRX393276:HRY393290 IBT393276:IBU393290 ILP393276:ILQ393290 IVL393276:IVM393290 JFH393276:JFI393290 JPD393276:JPE393290 JYZ393276:JZA393290 KIV393276:KIW393290 KSR393276:KSS393290 LCN393276:LCO393290 LMJ393276:LMK393290 LWF393276:LWG393290 MGB393276:MGC393290 MPX393276:MPY393290 MZT393276:MZU393290 NJP393276:NJQ393290 NTL393276:NTM393290 ODH393276:ODI393290 OND393276:ONE393290 OWZ393276:OXA393290 PGV393276:PGW393290 PQR393276:PQS393290 QAN393276:QAO393290 QKJ393276:QKK393290 QUF393276:QUG393290 REB393276:REC393290 RNX393276:RNY393290 RXT393276:RXU393290 SHP393276:SHQ393290 SRL393276:SRM393290 TBH393276:TBI393290 TLD393276:TLE393290 TUZ393276:TVA393290 UEV393276:UEW393290 UOR393276:UOS393290 UYN393276:UYO393290 VIJ393276:VIK393290 VSF393276:VSG393290 WCB393276:WCC393290 WLX393276:WLY393290 WVT393276:WVU393290 L458812:M458826 JH458812:JI458826 TD458812:TE458826 ACZ458812:ADA458826 AMV458812:AMW458826 AWR458812:AWS458826 BGN458812:BGO458826 BQJ458812:BQK458826 CAF458812:CAG458826 CKB458812:CKC458826 CTX458812:CTY458826 DDT458812:DDU458826 DNP458812:DNQ458826 DXL458812:DXM458826 EHH458812:EHI458826 ERD458812:ERE458826 FAZ458812:FBA458826 FKV458812:FKW458826 FUR458812:FUS458826 GEN458812:GEO458826 GOJ458812:GOK458826 GYF458812:GYG458826 HIB458812:HIC458826 HRX458812:HRY458826 IBT458812:IBU458826 ILP458812:ILQ458826 IVL458812:IVM458826 JFH458812:JFI458826 JPD458812:JPE458826 JYZ458812:JZA458826 KIV458812:KIW458826 KSR458812:KSS458826 LCN458812:LCO458826 LMJ458812:LMK458826 LWF458812:LWG458826 MGB458812:MGC458826 MPX458812:MPY458826 MZT458812:MZU458826 NJP458812:NJQ458826 NTL458812:NTM458826 ODH458812:ODI458826 OND458812:ONE458826 OWZ458812:OXA458826 PGV458812:PGW458826 PQR458812:PQS458826 QAN458812:QAO458826 QKJ458812:QKK458826 QUF458812:QUG458826 REB458812:REC458826 RNX458812:RNY458826 RXT458812:RXU458826 SHP458812:SHQ458826 SRL458812:SRM458826 TBH458812:TBI458826 TLD458812:TLE458826 TUZ458812:TVA458826 UEV458812:UEW458826 UOR458812:UOS458826 UYN458812:UYO458826 VIJ458812:VIK458826 VSF458812:VSG458826 WCB458812:WCC458826 WLX458812:WLY458826 WVT458812:WVU458826 L524348:M524362 JH524348:JI524362 TD524348:TE524362 ACZ524348:ADA524362 AMV524348:AMW524362 AWR524348:AWS524362 BGN524348:BGO524362 BQJ524348:BQK524362 CAF524348:CAG524362 CKB524348:CKC524362 CTX524348:CTY524362 DDT524348:DDU524362 DNP524348:DNQ524362 DXL524348:DXM524362 EHH524348:EHI524362 ERD524348:ERE524362 FAZ524348:FBA524362 FKV524348:FKW524362 FUR524348:FUS524362 GEN524348:GEO524362 GOJ524348:GOK524362 GYF524348:GYG524362 HIB524348:HIC524362 HRX524348:HRY524362 IBT524348:IBU524362 ILP524348:ILQ524362 IVL524348:IVM524362 JFH524348:JFI524362 JPD524348:JPE524362 JYZ524348:JZA524362 KIV524348:KIW524362 KSR524348:KSS524362 LCN524348:LCO524362 LMJ524348:LMK524362 LWF524348:LWG524362 MGB524348:MGC524362 MPX524348:MPY524362 MZT524348:MZU524362 NJP524348:NJQ524362 NTL524348:NTM524362 ODH524348:ODI524362 OND524348:ONE524362 OWZ524348:OXA524362 PGV524348:PGW524362 PQR524348:PQS524362 QAN524348:QAO524362 QKJ524348:QKK524362 QUF524348:QUG524362 REB524348:REC524362 RNX524348:RNY524362 RXT524348:RXU524362 SHP524348:SHQ524362 SRL524348:SRM524362 TBH524348:TBI524362 TLD524348:TLE524362 TUZ524348:TVA524362 UEV524348:UEW524362 UOR524348:UOS524362 UYN524348:UYO524362 VIJ524348:VIK524362 VSF524348:VSG524362 WCB524348:WCC524362 WLX524348:WLY524362 WVT524348:WVU524362 L589884:M589898 JH589884:JI589898 TD589884:TE589898 ACZ589884:ADA589898 AMV589884:AMW589898 AWR589884:AWS589898 BGN589884:BGO589898 BQJ589884:BQK589898 CAF589884:CAG589898 CKB589884:CKC589898 CTX589884:CTY589898 DDT589884:DDU589898 DNP589884:DNQ589898 DXL589884:DXM589898 EHH589884:EHI589898 ERD589884:ERE589898 FAZ589884:FBA589898 FKV589884:FKW589898 FUR589884:FUS589898 GEN589884:GEO589898 GOJ589884:GOK589898 GYF589884:GYG589898 HIB589884:HIC589898 HRX589884:HRY589898 IBT589884:IBU589898 ILP589884:ILQ589898 IVL589884:IVM589898 JFH589884:JFI589898 JPD589884:JPE589898 JYZ589884:JZA589898 KIV589884:KIW589898 KSR589884:KSS589898 LCN589884:LCO589898 LMJ589884:LMK589898 LWF589884:LWG589898 MGB589884:MGC589898 MPX589884:MPY589898 MZT589884:MZU589898 NJP589884:NJQ589898 NTL589884:NTM589898 ODH589884:ODI589898 OND589884:ONE589898 OWZ589884:OXA589898 PGV589884:PGW589898 PQR589884:PQS589898 QAN589884:QAO589898 QKJ589884:QKK589898 QUF589884:QUG589898 REB589884:REC589898 RNX589884:RNY589898 RXT589884:RXU589898 SHP589884:SHQ589898 SRL589884:SRM589898 TBH589884:TBI589898 TLD589884:TLE589898 TUZ589884:TVA589898 UEV589884:UEW589898 UOR589884:UOS589898 UYN589884:UYO589898 VIJ589884:VIK589898 VSF589884:VSG589898 WCB589884:WCC589898 WLX589884:WLY589898 WVT589884:WVU589898 L655420:M655434 JH655420:JI655434 TD655420:TE655434 ACZ655420:ADA655434 AMV655420:AMW655434 AWR655420:AWS655434 BGN655420:BGO655434 BQJ655420:BQK655434 CAF655420:CAG655434 CKB655420:CKC655434 CTX655420:CTY655434 DDT655420:DDU655434 DNP655420:DNQ655434 DXL655420:DXM655434 EHH655420:EHI655434 ERD655420:ERE655434 FAZ655420:FBA655434 FKV655420:FKW655434 FUR655420:FUS655434 GEN655420:GEO655434 GOJ655420:GOK655434 GYF655420:GYG655434 HIB655420:HIC655434 HRX655420:HRY655434 IBT655420:IBU655434 ILP655420:ILQ655434 IVL655420:IVM655434 JFH655420:JFI655434 JPD655420:JPE655434 JYZ655420:JZA655434 KIV655420:KIW655434 KSR655420:KSS655434 LCN655420:LCO655434 LMJ655420:LMK655434 LWF655420:LWG655434 MGB655420:MGC655434 MPX655420:MPY655434 MZT655420:MZU655434 NJP655420:NJQ655434 NTL655420:NTM655434 ODH655420:ODI655434 OND655420:ONE655434 OWZ655420:OXA655434 PGV655420:PGW655434 PQR655420:PQS655434 QAN655420:QAO655434 QKJ655420:QKK655434 QUF655420:QUG655434 REB655420:REC655434 RNX655420:RNY655434 RXT655420:RXU655434 SHP655420:SHQ655434 SRL655420:SRM655434 TBH655420:TBI655434 TLD655420:TLE655434 TUZ655420:TVA655434 UEV655420:UEW655434 UOR655420:UOS655434 UYN655420:UYO655434 VIJ655420:VIK655434 VSF655420:VSG655434 WCB655420:WCC655434 WLX655420:WLY655434 WVT655420:WVU655434 L720956:M720970 JH720956:JI720970 TD720956:TE720970 ACZ720956:ADA720970 AMV720956:AMW720970 AWR720956:AWS720970 BGN720956:BGO720970 BQJ720956:BQK720970 CAF720956:CAG720970 CKB720956:CKC720970 CTX720956:CTY720970 DDT720956:DDU720970 DNP720956:DNQ720970 DXL720956:DXM720970 EHH720956:EHI720970 ERD720956:ERE720970 FAZ720956:FBA720970 FKV720956:FKW720970 FUR720956:FUS720970 GEN720956:GEO720970 GOJ720956:GOK720970 GYF720956:GYG720970 HIB720956:HIC720970 HRX720956:HRY720970 IBT720956:IBU720970 ILP720956:ILQ720970 IVL720956:IVM720970 JFH720956:JFI720970 JPD720956:JPE720970 JYZ720956:JZA720970 KIV720956:KIW720970 KSR720956:KSS720970 LCN720956:LCO720970 LMJ720956:LMK720970 LWF720956:LWG720970 MGB720956:MGC720970 MPX720956:MPY720970 MZT720956:MZU720970 NJP720956:NJQ720970 NTL720956:NTM720970 ODH720956:ODI720970 OND720956:ONE720970 OWZ720956:OXA720970 PGV720956:PGW720970 PQR720956:PQS720970 QAN720956:QAO720970 QKJ720956:QKK720970 QUF720956:QUG720970 REB720956:REC720970 RNX720956:RNY720970 RXT720956:RXU720970 SHP720956:SHQ720970 SRL720956:SRM720970 TBH720956:TBI720970 TLD720956:TLE720970 TUZ720956:TVA720970 UEV720956:UEW720970 UOR720956:UOS720970 UYN720956:UYO720970 VIJ720956:VIK720970 VSF720956:VSG720970 WCB720956:WCC720970 WLX720956:WLY720970 WVT720956:WVU720970 L786492:M786506 JH786492:JI786506 TD786492:TE786506 ACZ786492:ADA786506 AMV786492:AMW786506 AWR786492:AWS786506 BGN786492:BGO786506 BQJ786492:BQK786506 CAF786492:CAG786506 CKB786492:CKC786506 CTX786492:CTY786506 DDT786492:DDU786506 DNP786492:DNQ786506 DXL786492:DXM786506 EHH786492:EHI786506 ERD786492:ERE786506 FAZ786492:FBA786506 FKV786492:FKW786506 FUR786492:FUS786506 GEN786492:GEO786506 GOJ786492:GOK786506 GYF786492:GYG786506 HIB786492:HIC786506 HRX786492:HRY786506 IBT786492:IBU786506 ILP786492:ILQ786506 IVL786492:IVM786506 JFH786492:JFI786506 JPD786492:JPE786506 JYZ786492:JZA786506 KIV786492:KIW786506 KSR786492:KSS786506 LCN786492:LCO786506 LMJ786492:LMK786506 LWF786492:LWG786506 MGB786492:MGC786506 MPX786492:MPY786506 MZT786492:MZU786506 NJP786492:NJQ786506 NTL786492:NTM786506 ODH786492:ODI786506 OND786492:ONE786506 OWZ786492:OXA786506 PGV786492:PGW786506 PQR786492:PQS786506 QAN786492:QAO786506 QKJ786492:QKK786506 QUF786492:QUG786506 REB786492:REC786506 RNX786492:RNY786506 RXT786492:RXU786506 SHP786492:SHQ786506 SRL786492:SRM786506 TBH786492:TBI786506 TLD786492:TLE786506 TUZ786492:TVA786506 UEV786492:UEW786506 UOR786492:UOS786506 UYN786492:UYO786506 VIJ786492:VIK786506 VSF786492:VSG786506 WCB786492:WCC786506 WLX786492:WLY786506 WVT786492:WVU786506 L852028:M852042 JH852028:JI852042 TD852028:TE852042 ACZ852028:ADA852042 AMV852028:AMW852042 AWR852028:AWS852042 BGN852028:BGO852042 BQJ852028:BQK852042 CAF852028:CAG852042 CKB852028:CKC852042 CTX852028:CTY852042 DDT852028:DDU852042 DNP852028:DNQ852042 DXL852028:DXM852042 EHH852028:EHI852042 ERD852028:ERE852042 FAZ852028:FBA852042 FKV852028:FKW852042 FUR852028:FUS852042 GEN852028:GEO852042 GOJ852028:GOK852042 GYF852028:GYG852042 HIB852028:HIC852042 HRX852028:HRY852042 IBT852028:IBU852042 ILP852028:ILQ852042 IVL852028:IVM852042 JFH852028:JFI852042 JPD852028:JPE852042 JYZ852028:JZA852042 KIV852028:KIW852042 KSR852028:KSS852042 LCN852028:LCO852042 LMJ852028:LMK852042 LWF852028:LWG852042 MGB852028:MGC852042 MPX852028:MPY852042 MZT852028:MZU852042 NJP852028:NJQ852042 NTL852028:NTM852042 ODH852028:ODI852042 OND852028:ONE852042 OWZ852028:OXA852042 PGV852028:PGW852042 PQR852028:PQS852042 QAN852028:QAO852042 QKJ852028:QKK852042 QUF852028:QUG852042 REB852028:REC852042 RNX852028:RNY852042 RXT852028:RXU852042 SHP852028:SHQ852042 SRL852028:SRM852042 TBH852028:TBI852042 TLD852028:TLE852042 TUZ852028:TVA852042 UEV852028:UEW852042 UOR852028:UOS852042 UYN852028:UYO852042 VIJ852028:VIK852042 VSF852028:VSG852042 WCB852028:WCC852042 WLX852028:WLY852042 WVT852028:WVU852042 L917564:M917578 JH917564:JI917578 TD917564:TE917578 ACZ917564:ADA917578 AMV917564:AMW917578 AWR917564:AWS917578 BGN917564:BGO917578 BQJ917564:BQK917578 CAF917564:CAG917578 CKB917564:CKC917578 CTX917564:CTY917578 DDT917564:DDU917578 DNP917564:DNQ917578 DXL917564:DXM917578 EHH917564:EHI917578 ERD917564:ERE917578 FAZ917564:FBA917578 FKV917564:FKW917578 FUR917564:FUS917578 GEN917564:GEO917578 GOJ917564:GOK917578 GYF917564:GYG917578 HIB917564:HIC917578 HRX917564:HRY917578 IBT917564:IBU917578 ILP917564:ILQ917578 IVL917564:IVM917578 JFH917564:JFI917578 JPD917564:JPE917578 JYZ917564:JZA917578 KIV917564:KIW917578 KSR917564:KSS917578 LCN917564:LCO917578 LMJ917564:LMK917578 LWF917564:LWG917578 MGB917564:MGC917578 MPX917564:MPY917578 MZT917564:MZU917578 NJP917564:NJQ917578 NTL917564:NTM917578 ODH917564:ODI917578 OND917564:ONE917578 OWZ917564:OXA917578 PGV917564:PGW917578 PQR917564:PQS917578 QAN917564:QAO917578 QKJ917564:QKK917578 QUF917564:QUG917578 REB917564:REC917578 RNX917564:RNY917578 RXT917564:RXU917578 SHP917564:SHQ917578 SRL917564:SRM917578 TBH917564:TBI917578 TLD917564:TLE917578 TUZ917564:TVA917578 UEV917564:UEW917578 UOR917564:UOS917578 UYN917564:UYO917578 VIJ917564:VIK917578 VSF917564:VSG917578 WCB917564:WCC917578 WLX917564:WLY917578 WVT917564:WVU917578 L983100:M983114 JH983100:JI983114 TD983100:TE983114 ACZ983100:ADA983114 AMV983100:AMW983114 AWR983100:AWS983114 BGN983100:BGO983114 BQJ983100:BQK983114 CAF983100:CAG983114 CKB983100:CKC983114 CTX983100:CTY983114 DDT983100:DDU983114 DNP983100:DNQ983114 DXL983100:DXM983114 EHH983100:EHI983114 ERD983100:ERE983114 FAZ983100:FBA983114 FKV983100:FKW983114 FUR983100:FUS983114 GEN983100:GEO983114 GOJ983100:GOK983114 GYF983100:GYG983114 HIB983100:HIC983114 HRX983100:HRY983114 IBT983100:IBU983114 ILP983100:ILQ983114 IVL983100:IVM983114 JFH983100:JFI983114 JPD983100:JPE983114 JYZ983100:JZA983114 KIV983100:KIW983114 KSR983100:KSS983114 LCN983100:LCO983114 LMJ983100:LMK983114 LWF983100:LWG983114 MGB983100:MGC983114 MPX983100:MPY983114 MZT983100:MZU983114 NJP983100:NJQ983114 NTL983100:NTM983114 ODH983100:ODI983114 OND983100:ONE983114 OWZ983100:OXA983114 PGV983100:PGW983114 PQR983100:PQS983114 QAN983100:QAO983114 QKJ983100:QKK983114 QUF983100:QUG983114 REB983100:REC983114 RNX983100:RNY983114 RXT983100:RXU983114 SHP983100:SHQ983114 SRL983100:SRM983114 TBH983100:TBI983114 TLD983100:TLE983114 TUZ983100:TVA983114 UEV983100:UEW983114 UOR983100:UOS983114 UYN983100:UYO983114 VIJ983100:VIK983114 VSF983100:VSG983114 WCB983100:WCC983114 WLX983100:WLY983114 WVT983100:WVU983114 L81:M82 JH81:JI82 TD81:TE82 ACZ81:ADA82 AMV81:AMW82 AWR81:AWS82 BGN81:BGO82 BQJ81:BQK82 CAF81:CAG82 CKB81:CKC82 CTX81:CTY82 DDT81:DDU82 DNP81:DNQ82 DXL81:DXM82 EHH81:EHI82 ERD81:ERE82 FAZ81:FBA82 FKV81:FKW82 FUR81:FUS82 GEN81:GEO82 GOJ81:GOK82 GYF81:GYG82 HIB81:HIC82 HRX81:HRY82 IBT81:IBU82 ILP81:ILQ82 IVL81:IVM82 JFH81:JFI82 JPD81:JPE82 JYZ81:JZA82 KIV81:KIW82 KSR81:KSS82 LCN81:LCO82 LMJ81:LMK82 LWF81:LWG82 MGB81:MGC82 MPX81:MPY82 MZT81:MZU82 NJP81:NJQ82 NTL81:NTM82 ODH81:ODI82 OND81:ONE82 OWZ81:OXA82 PGV81:PGW82 PQR81:PQS82 QAN81:QAO82 QKJ81:QKK82 QUF81:QUG82 REB81:REC82 RNX81:RNY82 RXT81:RXU82 SHP81:SHQ82 SRL81:SRM82 TBH81:TBI82 TLD81:TLE82 TUZ81:TVA82 UEV81:UEW82 UOR81:UOS82 UYN81:UYO82 VIJ81:VIK82 VSF81:VSG82 WCB81:WCC82 WLX81:WLY82 WVT81:WVU82 L65617:M65618 JH65617:JI65618 TD65617:TE65618 ACZ65617:ADA65618 AMV65617:AMW65618 AWR65617:AWS65618 BGN65617:BGO65618 BQJ65617:BQK65618 CAF65617:CAG65618 CKB65617:CKC65618 CTX65617:CTY65618 DDT65617:DDU65618 DNP65617:DNQ65618 DXL65617:DXM65618 EHH65617:EHI65618 ERD65617:ERE65618 FAZ65617:FBA65618 FKV65617:FKW65618 FUR65617:FUS65618 GEN65617:GEO65618 GOJ65617:GOK65618 GYF65617:GYG65618 HIB65617:HIC65618 HRX65617:HRY65618 IBT65617:IBU65618 ILP65617:ILQ65618 IVL65617:IVM65618 JFH65617:JFI65618 JPD65617:JPE65618 JYZ65617:JZA65618 KIV65617:KIW65618 KSR65617:KSS65618 LCN65617:LCO65618 LMJ65617:LMK65618 LWF65617:LWG65618 MGB65617:MGC65618 MPX65617:MPY65618 MZT65617:MZU65618 NJP65617:NJQ65618 NTL65617:NTM65618 ODH65617:ODI65618 OND65617:ONE65618 OWZ65617:OXA65618 PGV65617:PGW65618 PQR65617:PQS65618 QAN65617:QAO65618 QKJ65617:QKK65618 QUF65617:QUG65618 REB65617:REC65618 RNX65617:RNY65618 RXT65617:RXU65618 SHP65617:SHQ65618 SRL65617:SRM65618 TBH65617:TBI65618 TLD65617:TLE65618 TUZ65617:TVA65618 UEV65617:UEW65618 UOR65617:UOS65618 UYN65617:UYO65618 VIJ65617:VIK65618 VSF65617:VSG65618 WCB65617:WCC65618 WLX65617:WLY65618 WVT65617:WVU65618 L131153:M131154 JH131153:JI131154 TD131153:TE131154 ACZ131153:ADA131154 AMV131153:AMW131154 AWR131153:AWS131154 BGN131153:BGO131154 BQJ131153:BQK131154 CAF131153:CAG131154 CKB131153:CKC131154 CTX131153:CTY131154 DDT131153:DDU131154 DNP131153:DNQ131154 DXL131153:DXM131154 EHH131153:EHI131154 ERD131153:ERE131154 FAZ131153:FBA131154 FKV131153:FKW131154 FUR131153:FUS131154 GEN131153:GEO131154 GOJ131153:GOK131154 GYF131153:GYG131154 HIB131153:HIC131154 HRX131153:HRY131154 IBT131153:IBU131154 ILP131153:ILQ131154 IVL131153:IVM131154 JFH131153:JFI131154 JPD131153:JPE131154 JYZ131153:JZA131154 KIV131153:KIW131154 KSR131153:KSS131154 LCN131153:LCO131154 LMJ131153:LMK131154 LWF131153:LWG131154 MGB131153:MGC131154 MPX131153:MPY131154 MZT131153:MZU131154 NJP131153:NJQ131154 NTL131153:NTM131154 ODH131153:ODI131154 OND131153:ONE131154 OWZ131153:OXA131154 PGV131153:PGW131154 PQR131153:PQS131154 QAN131153:QAO131154 QKJ131153:QKK131154 QUF131153:QUG131154 REB131153:REC131154 RNX131153:RNY131154 RXT131153:RXU131154 SHP131153:SHQ131154 SRL131153:SRM131154 TBH131153:TBI131154 TLD131153:TLE131154 TUZ131153:TVA131154 UEV131153:UEW131154 UOR131153:UOS131154 UYN131153:UYO131154 VIJ131153:VIK131154 VSF131153:VSG131154 WCB131153:WCC131154 WLX131153:WLY131154 WVT131153:WVU131154 L196689:M196690 JH196689:JI196690 TD196689:TE196690 ACZ196689:ADA196690 AMV196689:AMW196690 AWR196689:AWS196690 BGN196689:BGO196690 BQJ196689:BQK196690 CAF196689:CAG196690 CKB196689:CKC196690 CTX196689:CTY196690 DDT196689:DDU196690 DNP196689:DNQ196690 DXL196689:DXM196690 EHH196689:EHI196690 ERD196689:ERE196690 FAZ196689:FBA196690 FKV196689:FKW196690 FUR196689:FUS196690 GEN196689:GEO196690 GOJ196689:GOK196690 GYF196689:GYG196690 HIB196689:HIC196690 HRX196689:HRY196690 IBT196689:IBU196690 ILP196689:ILQ196690 IVL196689:IVM196690 JFH196689:JFI196690 JPD196689:JPE196690 JYZ196689:JZA196690 KIV196689:KIW196690 KSR196689:KSS196690 LCN196689:LCO196690 LMJ196689:LMK196690 LWF196689:LWG196690 MGB196689:MGC196690 MPX196689:MPY196690 MZT196689:MZU196690 NJP196689:NJQ196690 NTL196689:NTM196690 ODH196689:ODI196690 OND196689:ONE196690 OWZ196689:OXA196690 PGV196689:PGW196690 PQR196689:PQS196690 QAN196689:QAO196690 QKJ196689:QKK196690 QUF196689:QUG196690 REB196689:REC196690 RNX196689:RNY196690 RXT196689:RXU196690 SHP196689:SHQ196690 SRL196689:SRM196690 TBH196689:TBI196690 TLD196689:TLE196690 TUZ196689:TVA196690 UEV196689:UEW196690 UOR196689:UOS196690 UYN196689:UYO196690 VIJ196689:VIK196690 VSF196689:VSG196690 WCB196689:WCC196690 WLX196689:WLY196690 WVT196689:WVU196690 L262225:M262226 JH262225:JI262226 TD262225:TE262226 ACZ262225:ADA262226 AMV262225:AMW262226 AWR262225:AWS262226 BGN262225:BGO262226 BQJ262225:BQK262226 CAF262225:CAG262226 CKB262225:CKC262226 CTX262225:CTY262226 DDT262225:DDU262226 DNP262225:DNQ262226 DXL262225:DXM262226 EHH262225:EHI262226 ERD262225:ERE262226 FAZ262225:FBA262226 FKV262225:FKW262226 FUR262225:FUS262226 GEN262225:GEO262226 GOJ262225:GOK262226 GYF262225:GYG262226 HIB262225:HIC262226 HRX262225:HRY262226 IBT262225:IBU262226 ILP262225:ILQ262226 IVL262225:IVM262226 JFH262225:JFI262226 JPD262225:JPE262226 JYZ262225:JZA262226 KIV262225:KIW262226 KSR262225:KSS262226 LCN262225:LCO262226 LMJ262225:LMK262226 LWF262225:LWG262226 MGB262225:MGC262226 MPX262225:MPY262226 MZT262225:MZU262226 NJP262225:NJQ262226 NTL262225:NTM262226 ODH262225:ODI262226 OND262225:ONE262226 OWZ262225:OXA262226 PGV262225:PGW262226 PQR262225:PQS262226 QAN262225:QAO262226 QKJ262225:QKK262226 QUF262225:QUG262226 REB262225:REC262226 RNX262225:RNY262226 RXT262225:RXU262226 SHP262225:SHQ262226 SRL262225:SRM262226 TBH262225:TBI262226 TLD262225:TLE262226 TUZ262225:TVA262226 UEV262225:UEW262226 UOR262225:UOS262226 UYN262225:UYO262226 VIJ262225:VIK262226 VSF262225:VSG262226 WCB262225:WCC262226 WLX262225:WLY262226 WVT262225:WVU262226 L327761:M327762 JH327761:JI327762 TD327761:TE327762 ACZ327761:ADA327762 AMV327761:AMW327762 AWR327761:AWS327762 BGN327761:BGO327762 BQJ327761:BQK327762 CAF327761:CAG327762 CKB327761:CKC327762 CTX327761:CTY327762 DDT327761:DDU327762 DNP327761:DNQ327762 DXL327761:DXM327762 EHH327761:EHI327762 ERD327761:ERE327762 FAZ327761:FBA327762 FKV327761:FKW327762 FUR327761:FUS327762 GEN327761:GEO327762 GOJ327761:GOK327762 GYF327761:GYG327762 HIB327761:HIC327762 HRX327761:HRY327762 IBT327761:IBU327762 ILP327761:ILQ327762 IVL327761:IVM327762 JFH327761:JFI327762 JPD327761:JPE327762 JYZ327761:JZA327762 KIV327761:KIW327762 KSR327761:KSS327762 LCN327761:LCO327762 LMJ327761:LMK327762 LWF327761:LWG327762 MGB327761:MGC327762 MPX327761:MPY327762 MZT327761:MZU327762 NJP327761:NJQ327762 NTL327761:NTM327762 ODH327761:ODI327762 OND327761:ONE327762 OWZ327761:OXA327762 PGV327761:PGW327762 PQR327761:PQS327762 QAN327761:QAO327762 QKJ327761:QKK327762 QUF327761:QUG327762 REB327761:REC327762 RNX327761:RNY327762 RXT327761:RXU327762 SHP327761:SHQ327762 SRL327761:SRM327762 TBH327761:TBI327762 TLD327761:TLE327762 TUZ327761:TVA327762 UEV327761:UEW327762 UOR327761:UOS327762 UYN327761:UYO327762 VIJ327761:VIK327762 VSF327761:VSG327762 WCB327761:WCC327762 WLX327761:WLY327762 WVT327761:WVU327762 L393297:M393298 JH393297:JI393298 TD393297:TE393298 ACZ393297:ADA393298 AMV393297:AMW393298 AWR393297:AWS393298 BGN393297:BGO393298 BQJ393297:BQK393298 CAF393297:CAG393298 CKB393297:CKC393298 CTX393297:CTY393298 DDT393297:DDU393298 DNP393297:DNQ393298 DXL393297:DXM393298 EHH393297:EHI393298 ERD393297:ERE393298 FAZ393297:FBA393298 FKV393297:FKW393298 FUR393297:FUS393298 GEN393297:GEO393298 GOJ393297:GOK393298 GYF393297:GYG393298 HIB393297:HIC393298 HRX393297:HRY393298 IBT393297:IBU393298 ILP393297:ILQ393298 IVL393297:IVM393298 JFH393297:JFI393298 JPD393297:JPE393298 JYZ393297:JZA393298 KIV393297:KIW393298 KSR393297:KSS393298 LCN393297:LCO393298 LMJ393297:LMK393298 LWF393297:LWG393298 MGB393297:MGC393298 MPX393297:MPY393298 MZT393297:MZU393298 NJP393297:NJQ393298 NTL393297:NTM393298 ODH393297:ODI393298 OND393297:ONE393298 OWZ393297:OXA393298 PGV393297:PGW393298 PQR393297:PQS393298 QAN393297:QAO393298 QKJ393297:QKK393298 QUF393297:QUG393298 REB393297:REC393298 RNX393297:RNY393298 RXT393297:RXU393298 SHP393297:SHQ393298 SRL393297:SRM393298 TBH393297:TBI393298 TLD393297:TLE393298 TUZ393297:TVA393298 UEV393297:UEW393298 UOR393297:UOS393298 UYN393297:UYO393298 VIJ393297:VIK393298 VSF393297:VSG393298 WCB393297:WCC393298 WLX393297:WLY393298 WVT393297:WVU393298 L458833:M458834 JH458833:JI458834 TD458833:TE458834 ACZ458833:ADA458834 AMV458833:AMW458834 AWR458833:AWS458834 BGN458833:BGO458834 BQJ458833:BQK458834 CAF458833:CAG458834 CKB458833:CKC458834 CTX458833:CTY458834 DDT458833:DDU458834 DNP458833:DNQ458834 DXL458833:DXM458834 EHH458833:EHI458834 ERD458833:ERE458834 FAZ458833:FBA458834 FKV458833:FKW458834 FUR458833:FUS458834 GEN458833:GEO458834 GOJ458833:GOK458834 GYF458833:GYG458834 HIB458833:HIC458834 HRX458833:HRY458834 IBT458833:IBU458834 ILP458833:ILQ458834 IVL458833:IVM458834 JFH458833:JFI458834 JPD458833:JPE458834 JYZ458833:JZA458834 KIV458833:KIW458834 KSR458833:KSS458834 LCN458833:LCO458834 LMJ458833:LMK458834 LWF458833:LWG458834 MGB458833:MGC458834 MPX458833:MPY458834 MZT458833:MZU458834 NJP458833:NJQ458834 NTL458833:NTM458834 ODH458833:ODI458834 OND458833:ONE458834 OWZ458833:OXA458834 PGV458833:PGW458834 PQR458833:PQS458834 QAN458833:QAO458834 QKJ458833:QKK458834 QUF458833:QUG458834 REB458833:REC458834 RNX458833:RNY458834 RXT458833:RXU458834 SHP458833:SHQ458834 SRL458833:SRM458834 TBH458833:TBI458834 TLD458833:TLE458834 TUZ458833:TVA458834 UEV458833:UEW458834 UOR458833:UOS458834 UYN458833:UYO458834 VIJ458833:VIK458834 VSF458833:VSG458834 WCB458833:WCC458834 WLX458833:WLY458834 WVT458833:WVU458834 L524369:M524370 JH524369:JI524370 TD524369:TE524370 ACZ524369:ADA524370 AMV524369:AMW524370 AWR524369:AWS524370 BGN524369:BGO524370 BQJ524369:BQK524370 CAF524369:CAG524370 CKB524369:CKC524370 CTX524369:CTY524370 DDT524369:DDU524370 DNP524369:DNQ524370 DXL524369:DXM524370 EHH524369:EHI524370 ERD524369:ERE524370 FAZ524369:FBA524370 FKV524369:FKW524370 FUR524369:FUS524370 GEN524369:GEO524370 GOJ524369:GOK524370 GYF524369:GYG524370 HIB524369:HIC524370 HRX524369:HRY524370 IBT524369:IBU524370 ILP524369:ILQ524370 IVL524369:IVM524370 JFH524369:JFI524370 JPD524369:JPE524370 JYZ524369:JZA524370 KIV524369:KIW524370 KSR524369:KSS524370 LCN524369:LCO524370 LMJ524369:LMK524370 LWF524369:LWG524370 MGB524369:MGC524370 MPX524369:MPY524370 MZT524369:MZU524370 NJP524369:NJQ524370 NTL524369:NTM524370 ODH524369:ODI524370 OND524369:ONE524370 OWZ524369:OXA524370 PGV524369:PGW524370 PQR524369:PQS524370 QAN524369:QAO524370 QKJ524369:QKK524370 QUF524369:QUG524370 REB524369:REC524370 RNX524369:RNY524370 RXT524369:RXU524370 SHP524369:SHQ524370 SRL524369:SRM524370 TBH524369:TBI524370 TLD524369:TLE524370 TUZ524369:TVA524370 UEV524369:UEW524370 UOR524369:UOS524370 UYN524369:UYO524370 VIJ524369:VIK524370 VSF524369:VSG524370 WCB524369:WCC524370 WLX524369:WLY524370 WVT524369:WVU524370 L589905:M589906 JH589905:JI589906 TD589905:TE589906 ACZ589905:ADA589906 AMV589905:AMW589906 AWR589905:AWS589906 BGN589905:BGO589906 BQJ589905:BQK589906 CAF589905:CAG589906 CKB589905:CKC589906 CTX589905:CTY589906 DDT589905:DDU589906 DNP589905:DNQ589906 DXL589905:DXM589906 EHH589905:EHI589906 ERD589905:ERE589906 FAZ589905:FBA589906 FKV589905:FKW589906 FUR589905:FUS589906 GEN589905:GEO589906 GOJ589905:GOK589906 GYF589905:GYG589906 HIB589905:HIC589906 HRX589905:HRY589906 IBT589905:IBU589906 ILP589905:ILQ589906 IVL589905:IVM589906 JFH589905:JFI589906 JPD589905:JPE589906 JYZ589905:JZA589906 KIV589905:KIW589906 KSR589905:KSS589906 LCN589905:LCO589906 LMJ589905:LMK589906 LWF589905:LWG589906 MGB589905:MGC589906 MPX589905:MPY589906 MZT589905:MZU589906 NJP589905:NJQ589906 NTL589905:NTM589906 ODH589905:ODI589906 OND589905:ONE589906 OWZ589905:OXA589906 PGV589905:PGW589906 PQR589905:PQS589906 QAN589905:QAO589906 QKJ589905:QKK589906 QUF589905:QUG589906 REB589905:REC589906 RNX589905:RNY589906 RXT589905:RXU589906 SHP589905:SHQ589906 SRL589905:SRM589906 TBH589905:TBI589906 TLD589905:TLE589906 TUZ589905:TVA589906 UEV589905:UEW589906 UOR589905:UOS589906 UYN589905:UYO589906 VIJ589905:VIK589906 VSF589905:VSG589906 WCB589905:WCC589906 WLX589905:WLY589906 WVT589905:WVU589906 L655441:M655442 JH655441:JI655442 TD655441:TE655442 ACZ655441:ADA655442 AMV655441:AMW655442 AWR655441:AWS655442 BGN655441:BGO655442 BQJ655441:BQK655442 CAF655441:CAG655442 CKB655441:CKC655442 CTX655441:CTY655442 DDT655441:DDU655442 DNP655441:DNQ655442 DXL655441:DXM655442 EHH655441:EHI655442 ERD655441:ERE655442 FAZ655441:FBA655442 FKV655441:FKW655442 FUR655441:FUS655442 GEN655441:GEO655442 GOJ655441:GOK655442 GYF655441:GYG655442 HIB655441:HIC655442 HRX655441:HRY655442 IBT655441:IBU655442 ILP655441:ILQ655442 IVL655441:IVM655442 JFH655441:JFI655442 JPD655441:JPE655442 JYZ655441:JZA655442 KIV655441:KIW655442 KSR655441:KSS655442 LCN655441:LCO655442 LMJ655441:LMK655442 LWF655441:LWG655442 MGB655441:MGC655442 MPX655441:MPY655442 MZT655441:MZU655442 NJP655441:NJQ655442 NTL655441:NTM655442 ODH655441:ODI655442 OND655441:ONE655442 OWZ655441:OXA655442 PGV655441:PGW655442 PQR655441:PQS655442 QAN655441:QAO655442 QKJ655441:QKK655442 QUF655441:QUG655442 REB655441:REC655442 RNX655441:RNY655442 RXT655441:RXU655442 SHP655441:SHQ655442 SRL655441:SRM655442 TBH655441:TBI655442 TLD655441:TLE655442 TUZ655441:TVA655442 UEV655441:UEW655442 UOR655441:UOS655442 UYN655441:UYO655442 VIJ655441:VIK655442 VSF655441:VSG655442 WCB655441:WCC655442 WLX655441:WLY655442 WVT655441:WVU655442 L720977:M720978 JH720977:JI720978 TD720977:TE720978 ACZ720977:ADA720978 AMV720977:AMW720978 AWR720977:AWS720978 BGN720977:BGO720978 BQJ720977:BQK720978 CAF720977:CAG720978 CKB720977:CKC720978 CTX720977:CTY720978 DDT720977:DDU720978 DNP720977:DNQ720978 DXL720977:DXM720978 EHH720977:EHI720978 ERD720977:ERE720978 FAZ720977:FBA720978 FKV720977:FKW720978 FUR720977:FUS720978 GEN720977:GEO720978 GOJ720977:GOK720978 GYF720977:GYG720978 HIB720977:HIC720978 HRX720977:HRY720978 IBT720977:IBU720978 ILP720977:ILQ720978 IVL720977:IVM720978 JFH720977:JFI720978 JPD720977:JPE720978 JYZ720977:JZA720978 KIV720977:KIW720978 KSR720977:KSS720978 LCN720977:LCO720978 LMJ720977:LMK720978 LWF720977:LWG720978 MGB720977:MGC720978 MPX720977:MPY720978 MZT720977:MZU720978 NJP720977:NJQ720978 NTL720977:NTM720978 ODH720977:ODI720978 OND720977:ONE720978 OWZ720977:OXA720978 PGV720977:PGW720978 PQR720977:PQS720978 QAN720977:QAO720978 QKJ720977:QKK720978 QUF720977:QUG720978 REB720977:REC720978 RNX720977:RNY720978 RXT720977:RXU720978 SHP720977:SHQ720978 SRL720977:SRM720978 TBH720977:TBI720978 TLD720977:TLE720978 TUZ720977:TVA720978 UEV720977:UEW720978 UOR720977:UOS720978 UYN720977:UYO720978 VIJ720977:VIK720978 VSF720977:VSG720978 WCB720977:WCC720978 WLX720977:WLY720978 WVT720977:WVU720978 L786513:M786514 JH786513:JI786514 TD786513:TE786514 ACZ786513:ADA786514 AMV786513:AMW786514 AWR786513:AWS786514 BGN786513:BGO786514 BQJ786513:BQK786514 CAF786513:CAG786514 CKB786513:CKC786514 CTX786513:CTY786514 DDT786513:DDU786514 DNP786513:DNQ786514 DXL786513:DXM786514 EHH786513:EHI786514 ERD786513:ERE786514 FAZ786513:FBA786514 FKV786513:FKW786514 FUR786513:FUS786514 GEN786513:GEO786514 GOJ786513:GOK786514 GYF786513:GYG786514 HIB786513:HIC786514 HRX786513:HRY786514 IBT786513:IBU786514 ILP786513:ILQ786514 IVL786513:IVM786514 JFH786513:JFI786514 JPD786513:JPE786514 JYZ786513:JZA786514 KIV786513:KIW786514 KSR786513:KSS786514 LCN786513:LCO786514 LMJ786513:LMK786514 LWF786513:LWG786514 MGB786513:MGC786514 MPX786513:MPY786514 MZT786513:MZU786514 NJP786513:NJQ786514 NTL786513:NTM786514 ODH786513:ODI786514 OND786513:ONE786514 OWZ786513:OXA786514 PGV786513:PGW786514 PQR786513:PQS786514 QAN786513:QAO786514 QKJ786513:QKK786514 QUF786513:QUG786514 REB786513:REC786514 RNX786513:RNY786514 RXT786513:RXU786514 SHP786513:SHQ786514 SRL786513:SRM786514 TBH786513:TBI786514 TLD786513:TLE786514 TUZ786513:TVA786514 UEV786513:UEW786514 UOR786513:UOS786514 UYN786513:UYO786514 VIJ786513:VIK786514 VSF786513:VSG786514 WCB786513:WCC786514 WLX786513:WLY786514 WVT786513:WVU786514 L852049:M852050 JH852049:JI852050 TD852049:TE852050 ACZ852049:ADA852050 AMV852049:AMW852050 AWR852049:AWS852050 BGN852049:BGO852050 BQJ852049:BQK852050 CAF852049:CAG852050 CKB852049:CKC852050 CTX852049:CTY852050 DDT852049:DDU852050 DNP852049:DNQ852050 DXL852049:DXM852050 EHH852049:EHI852050 ERD852049:ERE852050 FAZ852049:FBA852050 FKV852049:FKW852050 FUR852049:FUS852050 GEN852049:GEO852050 GOJ852049:GOK852050 GYF852049:GYG852050 HIB852049:HIC852050 HRX852049:HRY852050 IBT852049:IBU852050 ILP852049:ILQ852050 IVL852049:IVM852050 JFH852049:JFI852050 JPD852049:JPE852050 JYZ852049:JZA852050 KIV852049:KIW852050 KSR852049:KSS852050 LCN852049:LCO852050 LMJ852049:LMK852050 LWF852049:LWG852050 MGB852049:MGC852050 MPX852049:MPY852050 MZT852049:MZU852050 NJP852049:NJQ852050 NTL852049:NTM852050 ODH852049:ODI852050 OND852049:ONE852050 OWZ852049:OXA852050 PGV852049:PGW852050 PQR852049:PQS852050 QAN852049:QAO852050 QKJ852049:QKK852050 QUF852049:QUG852050 REB852049:REC852050 RNX852049:RNY852050 RXT852049:RXU852050 SHP852049:SHQ852050 SRL852049:SRM852050 TBH852049:TBI852050 TLD852049:TLE852050 TUZ852049:TVA852050 UEV852049:UEW852050 UOR852049:UOS852050 UYN852049:UYO852050 VIJ852049:VIK852050 VSF852049:VSG852050 WCB852049:WCC852050 WLX852049:WLY852050 WVT852049:WVU852050 L917585:M917586 JH917585:JI917586 TD917585:TE917586 ACZ917585:ADA917586 AMV917585:AMW917586 AWR917585:AWS917586 BGN917585:BGO917586 BQJ917585:BQK917586 CAF917585:CAG917586 CKB917585:CKC917586 CTX917585:CTY917586 DDT917585:DDU917586 DNP917585:DNQ917586 DXL917585:DXM917586 EHH917585:EHI917586 ERD917585:ERE917586 FAZ917585:FBA917586 FKV917585:FKW917586 FUR917585:FUS917586 GEN917585:GEO917586 GOJ917585:GOK917586 GYF917585:GYG917586 HIB917585:HIC917586 HRX917585:HRY917586 IBT917585:IBU917586 ILP917585:ILQ917586 IVL917585:IVM917586 JFH917585:JFI917586 JPD917585:JPE917586 JYZ917585:JZA917586 KIV917585:KIW917586 KSR917585:KSS917586 LCN917585:LCO917586 LMJ917585:LMK917586 LWF917585:LWG917586 MGB917585:MGC917586 MPX917585:MPY917586 MZT917585:MZU917586 NJP917585:NJQ917586 NTL917585:NTM917586 ODH917585:ODI917586 OND917585:ONE917586 OWZ917585:OXA917586 PGV917585:PGW917586 PQR917585:PQS917586 QAN917585:QAO917586 QKJ917585:QKK917586 QUF917585:QUG917586 REB917585:REC917586 RNX917585:RNY917586 RXT917585:RXU917586 SHP917585:SHQ917586 SRL917585:SRM917586 TBH917585:TBI917586 TLD917585:TLE917586 TUZ917585:TVA917586 UEV917585:UEW917586 UOR917585:UOS917586 UYN917585:UYO917586 VIJ917585:VIK917586 VSF917585:VSG917586 WCB917585:WCC917586 WLX917585:WLY917586 WVT917585:WVU917586 L983121:M983122 JH983121:JI983122 TD983121:TE983122 ACZ983121:ADA983122 AMV983121:AMW983122 AWR983121:AWS983122 BGN983121:BGO983122 BQJ983121:BQK983122 CAF983121:CAG983122 CKB983121:CKC983122 CTX983121:CTY983122 DDT983121:DDU983122 DNP983121:DNQ983122 DXL983121:DXM983122 EHH983121:EHI983122 ERD983121:ERE983122 FAZ983121:FBA983122 FKV983121:FKW983122 FUR983121:FUS983122 GEN983121:GEO983122 GOJ983121:GOK983122 GYF983121:GYG983122 HIB983121:HIC983122 HRX983121:HRY983122 IBT983121:IBU983122 ILP983121:ILQ983122 IVL983121:IVM983122 JFH983121:JFI983122 JPD983121:JPE983122 JYZ983121:JZA983122 KIV983121:KIW983122 KSR983121:KSS983122 LCN983121:LCO983122 LMJ983121:LMK983122 LWF983121:LWG983122 MGB983121:MGC983122 MPX983121:MPY983122 MZT983121:MZU983122 NJP983121:NJQ983122 NTL983121:NTM983122 ODH983121:ODI983122 OND983121:ONE983122 OWZ983121:OXA983122 PGV983121:PGW983122 PQR983121:PQS983122 QAN983121:QAO983122 QKJ983121:QKK983122 QUF983121:QUG983122 REB983121:REC983122 RNX983121:RNY983122 RXT983121:RXU983122 SHP983121:SHQ983122 SRL983121:SRM983122 TBH983121:TBI983122 TLD983121:TLE983122 TUZ983121:TVA983122 UEV983121:UEW983122 UOR983121:UOS983122 UYN983121:UYO983122 VIJ983121:VIK983122 VSF983121:VSG983122 WCB983121:WCC983122 WLX983121:WLY983122 WVT983121:WVU983122 L84:M92 JH84:JI92 TD84:TE92 ACZ84:ADA92 AMV84:AMW92 AWR84:AWS92 BGN84:BGO92 BQJ84:BQK92 CAF84:CAG92 CKB84:CKC92 CTX84:CTY92 DDT84:DDU92 DNP84:DNQ92 DXL84:DXM92 EHH84:EHI92 ERD84:ERE92 FAZ84:FBA92 FKV84:FKW92 FUR84:FUS92 GEN84:GEO92 GOJ84:GOK92 GYF84:GYG92 HIB84:HIC92 HRX84:HRY92 IBT84:IBU92 ILP84:ILQ92 IVL84:IVM92 JFH84:JFI92 JPD84:JPE92 JYZ84:JZA92 KIV84:KIW92 KSR84:KSS92 LCN84:LCO92 LMJ84:LMK92 LWF84:LWG92 MGB84:MGC92 MPX84:MPY92 MZT84:MZU92 NJP84:NJQ92 NTL84:NTM92 ODH84:ODI92 OND84:ONE92 OWZ84:OXA92 PGV84:PGW92 PQR84:PQS92 QAN84:QAO92 QKJ84:QKK92 QUF84:QUG92 REB84:REC92 RNX84:RNY92 RXT84:RXU92 SHP84:SHQ92 SRL84:SRM92 TBH84:TBI92 TLD84:TLE92 TUZ84:TVA92 UEV84:UEW92 UOR84:UOS92 UYN84:UYO92 VIJ84:VIK92 VSF84:VSG92 WCB84:WCC92 WLX84:WLY92 WVT84:WVU92 L65620:M65628 JH65620:JI65628 TD65620:TE65628 ACZ65620:ADA65628 AMV65620:AMW65628 AWR65620:AWS65628 BGN65620:BGO65628 BQJ65620:BQK65628 CAF65620:CAG65628 CKB65620:CKC65628 CTX65620:CTY65628 DDT65620:DDU65628 DNP65620:DNQ65628 DXL65620:DXM65628 EHH65620:EHI65628 ERD65620:ERE65628 FAZ65620:FBA65628 FKV65620:FKW65628 FUR65620:FUS65628 GEN65620:GEO65628 GOJ65620:GOK65628 GYF65620:GYG65628 HIB65620:HIC65628 HRX65620:HRY65628 IBT65620:IBU65628 ILP65620:ILQ65628 IVL65620:IVM65628 JFH65620:JFI65628 JPD65620:JPE65628 JYZ65620:JZA65628 KIV65620:KIW65628 KSR65620:KSS65628 LCN65620:LCO65628 LMJ65620:LMK65628 LWF65620:LWG65628 MGB65620:MGC65628 MPX65620:MPY65628 MZT65620:MZU65628 NJP65620:NJQ65628 NTL65620:NTM65628 ODH65620:ODI65628 OND65620:ONE65628 OWZ65620:OXA65628 PGV65620:PGW65628 PQR65620:PQS65628 QAN65620:QAO65628 QKJ65620:QKK65628 QUF65620:QUG65628 REB65620:REC65628 RNX65620:RNY65628 RXT65620:RXU65628 SHP65620:SHQ65628 SRL65620:SRM65628 TBH65620:TBI65628 TLD65620:TLE65628 TUZ65620:TVA65628 UEV65620:UEW65628 UOR65620:UOS65628 UYN65620:UYO65628 VIJ65620:VIK65628 VSF65620:VSG65628 WCB65620:WCC65628 WLX65620:WLY65628 WVT65620:WVU65628 L131156:M131164 JH131156:JI131164 TD131156:TE131164 ACZ131156:ADA131164 AMV131156:AMW131164 AWR131156:AWS131164 BGN131156:BGO131164 BQJ131156:BQK131164 CAF131156:CAG131164 CKB131156:CKC131164 CTX131156:CTY131164 DDT131156:DDU131164 DNP131156:DNQ131164 DXL131156:DXM131164 EHH131156:EHI131164 ERD131156:ERE131164 FAZ131156:FBA131164 FKV131156:FKW131164 FUR131156:FUS131164 GEN131156:GEO131164 GOJ131156:GOK131164 GYF131156:GYG131164 HIB131156:HIC131164 HRX131156:HRY131164 IBT131156:IBU131164 ILP131156:ILQ131164 IVL131156:IVM131164 JFH131156:JFI131164 JPD131156:JPE131164 JYZ131156:JZA131164 KIV131156:KIW131164 KSR131156:KSS131164 LCN131156:LCO131164 LMJ131156:LMK131164 LWF131156:LWG131164 MGB131156:MGC131164 MPX131156:MPY131164 MZT131156:MZU131164 NJP131156:NJQ131164 NTL131156:NTM131164 ODH131156:ODI131164 OND131156:ONE131164 OWZ131156:OXA131164 PGV131156:PGW131164 PQR131156:PQS131164 QAN131156:QAO131164 QKJ131156:QKK131164 QUF131156:QUG131164 REB131156:REC131164 RNX131156:RNY131164 RXT131156:RXU131164 SHP131156:SHQ131164 SRL131156:SRM131164 TBH131156:TBI131164 TLD131156:TLE131164 TUZ131156:TVA131164 UEV131156:UEW131164 UOR131156:UOS131164 UYN131156:UYO131164 VIJ131156:VIK131164 VSF131156:VSG131164 WCB131156:WCC131164 WLX131156:WLY131164 WVT131156:WVU131164 L196692:M196700 JH196692:JI196700 TD196692:TE196700 ACZ196692:ADA196700 AMV196692:AMW196700 AWR196692:AWS196700 BGN196692:BGO196700 BQJ196692:BQK196700 CAF196692:CAG196700 CKB196692:CKC196700 CTX196692:CTY196700 DDT196692:DDU196700 DNP196692:DNQ196700 DXL196692:DXM196700 EHH196692:EHI196700 ERD196692:ERE196700 FAZ196692:FBA196700 FKV196692:FKW196700 FUR196692:FUS196700 GEN196692:GEO196700 GOJ196692:GOK196700 GYF196692:GYG196700 HIB196692:HIC196700 HRX196692:HRY196700 IBT196692:IBU196700 ILP196692:ILQ196700 IVL196692:IVM196700 JFH196692:JFI196700 JPD196692:JPE196700 JYZ196692:JZA196700 KIV196692:KIW196700 KSR196692:KSS196700 LCN196692:LCO196700 LMJ196692:LMK196700 LWF196692:LWG196700 MGB196692:MGC196700 MPX196692:MPY196700 MZT196692:MZU196700 NJP196692:NJQ196700 NTL196692:NTM196700 ODH196692:ODI196700 OND196692:ONE196700 OWZ196692:OXA196700 PGV196692:PGW196700 PQR196692:PQS196700 QAN196692:QAO196700 QKJ196692:QKK196700 QUF196692:QUG196700 REB196692:REC196700 RNX196692:RNY196700 RXT196692:RXU196700 SHP196692:SHQ196700 SRL196692:SRM196700 TBH196692:TBI196700 TLD196692:TLE196700 TUZ196692:TVA196700 UEV196692:UEW196700 UOR196692:UOS196700 UYN196692:UYO196700 VIJ196692:VIK196700 VSF196692:VSG196700 WCB196692:WCC196700 WLX196692:WLY196700 WVT196692:WVU196700 L262228:M262236 JH262228:JI262236 TD262228:TE262236 ACZ262228:ADA262236 AMV262228:AMW262236 AWR262228:AWS262236 BGN262228:BGO262236 BQJ262228:BQK262236 CAF262228:CAG262236 CKB262228:CKC262236 CTX262228:CTY262236 DDT262228:DDU262236 DNP262228:DNQ262236 DXL262228:DXM262236 EHH262228:EHI262236 ERD262228:ERE262236 FAZ262228:FBA262236 FKV262228:FKW262236 FUR262228:FUS262236 GEN262228:GEO262236 GOJ262228:GOK262236 GYF262228:GYG262236 HIB262228:HIC262236 HRX262228:HRY262236 IBT262228:IBU262236 ILP262228:ILQ262236 IVL262228:IVM262236 JFH262228:JFI262236 JPD262228:JPE262236 JYZ262228:JZA262236 KIV262228:KIW262236 KSR262228:KSS262236 LCN262228:LCO262236 LMJ262228:LMK262236 LWF262228:LWG262236 MGB262228:MGC262236 MPX262228:MPY262236 MZT262228:MZU262236 NJP262228:NJQ262236 NTL262228:NTM262236 ODH262228:ODI262236 OND262228:ONE262236 OWZ262228:OXA262236 PGV262228:PGW262236 PQR262228:PQS262236 QAN262228:QAO262236 QKJ262228:QKK262236 QUF262228:QUG262236 REB262228:REC262236 RNX262228:RNY262236 RXT262228:RXU262236 SHP262228:SHQ262236 SRL262228:SRM262236 TBH262228:TBI262236 TLD262228:TLE262236 TUZ262228:TVA262236 UEV262228:UEW262236 UOR262228:UOS262236 UYN262228:UYO262236 VIJ262228:VIK262236 VSF262228:VSG262236 WCB262228:WCC262236 WLX262228:WLY262236 WVT262228:WVU262236 L327764:M327772 JH327764:JI327772 TD327764:TE327772 ACZ327764:ADA327772 AMV327764:AMW327772 AWR327764:AWS327772 BGN327764:BGO327772 BQJ327764:BQK327772 CAF327764:CAG327772 CKB327764:CKC327772 CTX327764:CTY327772 DDT327764:DDU327772 DNP327764:DNQ327772 DXL327764:DXM327772 EHH327764:EHI327772 ERD327764:ERE327772 FAZ327764:FBA327772 FKV327764:FKW327772 FUR327764:FUS327772 GEN327764:GEO327772 GOJ327764:GOK327772 GYF327764:GYG327772 HIB327764:HIC327772 HRX327764:HRY327772 IBT327764:IBU327772 ILP327764:ILQ327772 IVL327764:IVM327772 JFH327764:JFI327772 JPD327764:JPE327772 JYZ327764:JZA327772 KIV327764:KIW327772 KSR327764:KSS327772 LCN327764:LCO327772 LMJ327764:LMK327772 LWF327764:LWG327772 MGB327764:MGC327772 MPX327764:MPY327772 MZT327764:MZU327772 NJP327764:NJQ327772 NTL327764:NTM327772 ODH327764:ODI327772 OND327764:ONE327772 OWZ327764:OXA327772 PGV327764:PGW327772 PQR327764:PQS327772 QAN327764:QAO327772 QKJ327764:QKK327772 QUF327764:QUG327772 REB327764:REC327772 RNX327764:RNY327772 RXT327764:RXU327772 SHP327764:SHQ327772 SRL327764:SRM327772 TBH327764:TBI327772 TLD327764:TLE327772 TUZ327764:TVA327772 UEV327764:UEW327772 UOR327764:UOS327772 UYN327764:UYO327772 VIJ327764:VIK327772 VSF327764:VSG327772 WCB327764:WCC327772 WLX327764:WLY327772 WVT327764:WVU327772 L393300:M393308 JH393300:JI393308 TD393300:TE393308 ACZ393300:ADA393308 AMV393300:AMW393308 AWR393300:AWS393308 BGN393300:BGO393308 BQJ393300:BQK393308 CAF393300:CAG393308 CKB393300:CKC393308 CTX393300:CTY393308 DDT393300:DDU393308 DNP393300:DNQ393308 DXL393300:DXM393308 EHH393300:EHI393308 ERD393300:ERE393308 FAZ393300:FBA393308 FKV393300:FKW393308 FUR393300:FUS393308 GEN393300:GEO393308 GOJ393300:GOK393308 GYF393300:GYG393308 HIB393300:HIC393308 HRX393300:HRY393308 IBT393300:IBU393308 ILP393300:ILQ393308 IVL393300:IVM393308 JFH393300:JFI393308 JPD393300:JPE393308 JYZ393300:JZA393308 KIV393300:KIW393308 KSR393300:KSS393308 LCN393300:LCO393308 LMJ393300:LMK393308 LWF393300:LWG393308 MGB393300:MGC393308 MPX393300:MPY393308 MZT393300:MZU393308 NJP393300:NJQ393308 NTL393300:NTM393308 ODH393300:ODI393308 OND393300:ONE393308 OWZ393300:OXA393308 PGV393300:PGW393308 PQR393300:PQS393308 QAN393300:QAO393308 QKJ393300:QKK393308 QUF393300:QUG393308 REB393300:REC393308 RNX393300:RNY393308 RXT393300:RXU393308 SHP393300:SHQ393308 SRL393300:SRM393308 TBH393300:TBI393308 TLD393300:TLE393308 TUZ393300:TVA393308 UEV393300:UEW393308 UOR393300:UOS393308 UYN393300:UYO393308 VIJ393300:VIK393308 VSF393300:VSG393308 WCB393300:WCC393308 WLX393300:WLY393308 WVT393300:WVU393308 L458836:M458844 JH458836:JI458844 TD458836:TE458844 ACZ458836:ADA458844 AMV458836:AMW458844 AWR458836:AWS458844 BGN458836:BGO458844 BQJ458836:BQK458844 CAF458836:CAG458844 CKB458836:CKC458844 CTX458836:CTY458844 DDT458836:DDU458844 DNP458836:DNQ458844 DXL458836:DXM458844 EHH458836:EHI458844 ERD458836:ERE458844 FAZ458836:FBA458844 FKV458836:FKW458844 FUR458836:FUS458844 GEN458836:GEO458844 GOJ458836:GOK458844 GYF458836:GYG458844 HIB458836:HIC458844 HRX458836:HRY458844 IBT458836:IBU458844 ILP458836:ILQ458844 IVL458836:IVM458844 JFH458836:JFI458844 JPD458836:JPE458844 JYZ458836:JZA458844 KIV458836:KIW458844 KSR458836:KSS458844 LCN458836:LCO458844 LMJ458836:LMK458844 LWF458836:LWG458844 MGB458836:MGC458844 MPX458836:MPY458844 MZT458836:MZU458844 NJP458836:NJQ458844 NTL458836:NTM458844 ODH458836:ODI458844 OND458836:ONE458844 OWZ458836:OXA458844 PGV458836:PGW458844 PQR458836:PQS458844 QAN458836:QAO458844 QKJ458836:QKK458844 QUF458836:QUG458844 REB458836:REC458844 RNX458836:RNY458844 RXT458836:RXU458844 SHP458836:SHQ458844 SRL458836:SRM458844 TBH458836:TBI458844 TLD458836:TLE458844 TUZ458836:TVA458844 UEV458836:UEW458844 UOR458836:UOS458844 UYN458836:UYO458844 VIJ458836:VIK458844 VSF458836:VSG458844 WCB458836:WCC458844 WLX458836:WLY458844 WVT458836:WVU458844 L524372:M524380 JH524372:JI524380 TD524372:TE524380 ACZ524372:ADA524380 AMV524372:AMW524380 AWR524372:AWS524380 BGN524372:BGO524380 BQJ524372:BQK524380 CAF524372:CAG524380 CKB524372:CKC524380 CTX524372:CTY524380 DDT524372:DDU524380 DNP524372:DNQ524380 DXL524372:DXM524380 EHH524372:EHI524380 ERD524372:ERE524380 FAZ524372:FBA524380 FKV524372:FKW524380 FUR524372:FUS524380 GEN524372:GEO524380 GOJ524372:GOK524380 GYF524372:GYG524380 HIB524372:HIC524380 HRX524372:HRY524380 IBT524372:IBU524380 ILP524372:ILQ524380 IVL524372:IVM524380 JFH524372:JFI524380 JPD524372:JPE524380 JYZ524372:JZA524380 KIV524372:KIW524380 KSR524372:KSS524380 LCN524372:LCO524380 LMJ524372:LMK524380 LWF524372:LWG524380 MGB524372:MGC524380 MPX524372:MPY524380 MZT524372:MZU524380 NJP524372:NJQ524380 NTL524372:NTM524380 ODH524372:ODI524380 OND524372:ONE524380 OWZ524372:OXA524380 PGV524372:PGW524380 PQR524372:PQS524380 QAN524372:QAO524380 QKJ524372:QKK524380 QUF524372:QUG524380 REB524372:REC524380 RNX524372:RNY524380 RXT524372:RXU524380 SHP524372:SHQ524380 SRL524372:SRM524380 TBH524372:TBI524380 TLD524372:TLE524380 TUZ524372:TVA524380 UEV524372:UEW524380 UOR524372:UOS524380 UYN524372:UYO524380 VIJ524372:VIK524380 VSF524372:VSG524380 WCB524372:WCC524380 WLX524372:WLY524380 WVT524372:WVU524380 L589908:M589916 JH589908:JI589916 TD589908:TE589916 ACZ589908:ADA589916 AMV589908:AMW589916 AWR589908:AWS589916 BGN589908:BGO589916 BQJ589908:BQK589916 CAF589908:CAG589916 CKB589908:CKC589916 CTX589908:CTY589916 DDT589908:DDU589916 DNP589908:DNQ589916 DXL589908:DXM589916 EHH589908:EHI589916 ERD589908:ERE589916 FAZ589908:FBA589916 FKV589908:FKW589916 FUR589908:FUS589916 GEN589908:GEO589916 GOJ589908:GOK589916 GYF589908:GYG589916 HIB589908:HIC589916 HRX589908:HRY589916 IBT589908:IBU589916 ILP589908:ILQ589916 IVL589908:IVM589916 JFH589908:JFI589916 JPD589908:JPE589916 JYZ589908:JZA589916 KIV589908:KIW589916 KSR589908:KSS589916 LCN589908:LCO589916 LMJ589908:LMK589916 LWF589908:LWG589916 MGB589908:MGC589916 MPX589908:MPY589916 MZT589908:MZU589916 NJP589908:NJQ589916 NTL589908:NTM589916 ODH589908:ODI589916 OND589908:ONE589916 OWZ589908:OXA589916 PGV589908:PGW589916 PQR589908:PQS589916 QAN589908:QAO589916 QKJ589908:QKK589916 QUF589908:QUG589916 REB589908:REC589916 RNX589908:RNY589916 RXT589908:RXU589916 SHP589908:SHQ589916 SRL589908:SRM589916 TBH589908:TBI589916 TLD589908:TLE589916 TUZ589908:TVA589916 UEV589908:UEW589916 UOR589908:UOS589916 UYN589908:UYO589916 VIJ589908:VIK589916 VSF589908:VSG589916 WCB589908:WCC589916 WLX589908:WLY589916 WVT589908:WVU589916 L655444:M655452 JH655444:JI655452 TD655444:TE655452 ACZ655444:ADA655452 AMV655444:AMW655452 AWR655444:AWS655452 BGN655444:BGO655452 BQJ655444:BQK655452 CAF655444:CAG655452 CKB655444:CKC655452 CTX655444:CTY655452 DDT655444:DDU655452 DNP655444:DNQ655452 DXL655444:DXM655452 EHH655444:EHI655452 ERD655444:ERE655452 FAZ655444:FBA655452 FKV655444:FKW655452 FUR655444:FUS655452 GEN655444:GEO655452 GOJ655444:GOK655452 GYF655444:GYG655452 HIB655444:HIC655452 HRX655444:HRY655452 IBT655444:IBU655452 ILP655444:ILQ655452 IVL655444:IVM655452 JFH655444:JFI655452 JPD655444:JPE655452 JYZ655444:JZA655452 KIV655444:KIW655452 KSR655444:KSS655452 LCN655444:LCO655452 LMJ655444:LMK655452 LWF655444:LWG655452 MGB655444:MGC655452 MPX655444:MPY655452 MZT655444:MZU655452 NJP655444:NJQ655452 NTL655444:NTM655452 ODH655444:ODI655452 OND655444:ONE655452 OWZ655444:OXA655452 PGV655444:PGW655452 PQR655444:PQS655452 QAN655444:QAO655452 QKJ655444:QKK655452 QUF655444:QUG655452 REB655444:REC655452 RNX655444:RNY655452 RXT655444:RXU655452 SHP655444:SHQ655452 SRL655444:SRM655452 TBH655444:TBI655452 TLD655444:TLE655452 TUZ655444:TVA655452 UEV655444:UEW655452 UOR655444:UOS655452 UYN655444:UYO655452 VIJ655444:VIK655452 VSF655444:VSG655452 WCB655444:WCC655452 WLX655444:WLY655452 WVT655444:WVU655452 L720980:M720988 JH720980:JI720988 TD720980:TE720988 ACZ720980:ADA720988 AMV720980:AMW720988 AWR720980:AWS720988 BGN720980:BGO720988 BQJ720980:BQK720988 CAF720980:CAG720988 CKB720980:CKC720988 CTX720980:CTY720988 DDT720980:DDU720988 DNP720980:DNQ720988 DXL720980:DXM720988 EHH720980:EHI720988 ERD720980:ERE720988 FAZ720980:FBA720988 FKV720980:FKW720988 FUR720980:FUS720988 GEN720980:GEO720988 GOJ720980:GOK720988 GYF720980:GYG720988 HIB720980:HIC720988 HRX720980:HRY720988 IBT720980:IBU720988 ILP720980:ILQ720988 IVL720980:IVM720988 JFH720980:JFI720988 JPD720980:JPE720988 JYZ720980:JZA720988 KIV720980:KIW720988 KSR720980:KSS720988 LCN720980:LCO720988 LMJ720980:LMK720988 LWF720980:LWG720988 MGB720980:MGC720988 MPX720980:MPY720988 MZT720980:MZU720988 NJP720980:NJQ720988 NTL720980:NTM720988 ODH720980:ODI720988 OND720980:ONE720988 OWZ720980:OXA720988 PGV720980:PGW720988 PQR720980:PQS720988 QAN720980:QAO720988 QKJ720980:QKK720988 QUF720980:QUG720988 REB720980:REC720988 RNX720980:RNY720988 RXT720980:RXU720988 SHP720980:SHQ720988 SRL720980:SRM720988 TBH720980:TBI720988 TLD720980:TLE720988 TUZ720980:TVA720988 UEV720980:UEW720988 UOR720980:UOS720988 UYN720980:UYO720988 VIJ720980:VIK720988 VSF720980:VSG720988 WCB720980:WCC720988 WLX720980:WLY720988 WVT720980:WVU720988 L786516:M786524 JH786516:JI786524 TD786516:TE786524 ACZ786516:ADA786524 AMV786516:AMW786524 AWR786516:AWS786524 BGN786516:BGO786524 BQJ786516:BQK786524 CAF786516:CAG786524 CKB786516:CKC786524 CTX786516:CTY786524 DDT786516:DDU786524 DNP786516:DNQ786524 DXL786516:DXM786524 EHH786516:EHI786524 ERD786516:ERE786524 FAZ786516:FBA786524 FKV786516:FKW786524 FUR786516:FUS786524 GEN786516:GEO786524 GOJ786516:GOK786524 GYF786516:GYG786524 HIB786516:HIC786524 HRX786516:HRY786524 IBT786516:IBU786524 ILP786516:ILQ786524 IVL786516:IVM786524 JFH786516:JFI786524 JPD786516:JPE786524 JYZ786516:JZA786524 KIV786516:KIW786524 KSR786516:KSS786524 LCN786516:LCO786524 LMJ786516:LMK786524 LWF786516:LWG786524 MGB786516:MGC786524 MPX786516:MPY786524 MZT786516:MZU786524 NJP786516:NJQ786524 NTL786516:NTM786524 ODH786516:ODI786524 OND786516:ONE786524 OWZ786516:OXA786524 PGV786516:PGW786524 PQR786516:PQS786524 QAN786516:QAO786524 QKJ786516:QKK786524 QUF786516:QUG786524 REB786516:REC786524 RNX786516:RNY786524 RXT786516:RXU786524 SHP786516:SHQ786524 SRL786516:SRM786524 TBH786516:TBI786524 TLD786516:TLE786524 TUZ786516:TVA786524 UEV786516:UEW786524 UOR786516:UOS786524 UYN786516:UYO786524 VIJ786516:VIK786524 VSF786516:VSG786524 WCB786516:WCC786524 WLX786516:WLY786524 WVT786516:WVU786524 L852052:M852060 JH852052:JI852060 TD852052:TE852060 ACZ852052:ADA852060 AMV852052:AMW852060 AWR852052:AWS852060 BGN852052:BGO852060 BQJ852052:BQK852060 CAF852052:CAG852060 CKB852052:CKC852060 CTX852052:CTY852060 DDT852052:DDU852060 DNP852052:DNQ852060 DXL852052:DXM852060 EHH852052:EHI852060 ERD852052:ERE852060 FAZ852052:FBA852060 FKV852052:FKW852060 FUR852052:FUS852060 GEN852052:GEO852060 GOJ852052:GOK852060 GYF852052:GYG852060 HIB852052:HIC852060 HRX852052:HRY852060 IBT852052:IBU852060 ILP852052:ILQ852060 IVL852052:IVM852060 JFH852052:JFI852060 JPD852052:JPE852060 JYZ852052:JZA852060 KIV852052:KIW852060 KSR852052:KSS852060 LCN852052:LCO852060 LMJ852052:LMK852060 LWF852052:LWG852060 MGB852052:MGC852060 MPX852052:MPY852060 MZT852052:MZU852060 NJP852052:NJQ852060 NTL852052:NTM852060 ODH852052:ODI852060 OND852052:ONE852060 OWZ852052:OXA852060 PGV852052:PGW852060 PQR852052:PQS852060 QAN852052:QAO852060 QKJ852052:QKK852060 QUF852052:QUG852060 REB852052:REC852060 RNX852052:RNY852060 RXT852052:RXU852060 SHP852052:SHQ852060 SRL852052:SRM852060 TBH852052:TBI852060 TLD852052:TLE852060 TUZ852052:TVA852060 UEV852052:UEW852060 UOR852052:UOS852060 UYN852052:UYO852060 VIJ852052:VIK852060 VSF852052:VSG852060 WCB852052:WCC852060 WLX852052:WLY852060 WVT852052:WVU852060 L917588:M917596 JH917588:JI917596 TD917588:TE917596 ACZ917588:ADA917596 AMV917588:AMW917596 AWR917588:AWS917596 BGN917588:BGO917596 BQJ917588:BQK917596 CAF917588:CAG917596 CKB917588:CKC917596 CTX917588:CTY917596 DDT917588:DDU917596 DNP917588:DNQ917596 DXL917588:DXM917596 EHH917588:EHI917596 ERD917588:ERE917596 FAZ917588:FBA917596 FKV917588:FKW917596 FUR917588:FUS917596 GEN917588:GEO917596 GOJ917588:GOK917596 GYF917588:GYG917596 HIB917588:HIC917596 HRX917588:HRY917596 IBT917588:IBU917596 ILP917588:ILQ917596 IVL917588:IVM917596 JFH917588:JFI917596 JPD917588:JPE917596 JYZ917588:JZA917596 KIV917588:KIW917596 KSR917588:KSS917596 LCN917588:LCO917596 LMJ917588:LMK917596 LWF917588:LWG917596 MGB917588:MGC917596 MPX917588:MPY917596 MZT917588:MZU917596 NJP917588:NJQ917596 NTL917588:NTM917596 ODH917588:ODI917596 OND917588:ONE917596 OWZ917588:OXA917596 PGV917588:PGW917596 PQR917588:PQS917596 QAN917588:QAO917596 QKJ917588:QKK917596 QUF917588:QUG917596 REB917588:REC917596 RNX917588:RNY917596 RXT917588:RXU917596 SHP917588:SHQ917596 SRL917588:SRM917596 TBH917588:TBI917596 TLD917588:TLE917596 TUZ917588:TVA917596 UEV917588:UEW917596 UOR917588:UOS917596 UYN917588:UYO917596 VIJ917588:VIK917596 VSF917588:VSG917596 WCB917588:WCC917596 WLX917588:WLY917596 WVT917588:WVU917596 L983124:M983132 JH983124:JI983132 TD983124:TE983132 ACZ983124:ADA983132 AMV983124:AMW983132 AWR983124:AWS983132 BGN983124:BGO983132 BQJ983124:BQK983132 CAF983124:CAG983132 CKB983124:CKC983132 CTX983124:CTY983132 DDT983124:DDU983132 DNP983124:DNQ983132 DXL983124:DXM983132 EHH983124:EHI983132 ERD983124:ERE983132 FAZ983124:FBA983132 FKV983124:FKW983132 FUR983124:FUS983132 GEN983124:GEO983132 GOJ983124:GOK983132 GYF983124:GYG983132 HIB983124:HIC983132 HRX983124:HRY983132 IBT983124:IBU983132 ILP983124:ILQ983132 IVL983124:IVM983132 JFH983124:JFI983132 JPD983124:JPE983132 JYZ983124:JZA983132 KIV983124:KIW983132 KSR983124:KSS983132 LCN983124:LCO983132 LMJ983124:LMK983132 LWF983124:LWG983132 MGB983124:MGC983132 MPX983124:MPY983132 MZT983124:MZU983132 NJP983124:NJQ983132 NTL983124:NTM983132 ODH983124:ODI983132 OND983124:ONE983132 OWZ983124:OXA983132 PGV983124:PGW983132 PQR983124:PQS983132 QAN983124:QAO983132 QKJ983124:QKK983132 QUF983124:QUG983132 REB983124:REC983132 RNX983124:RNY983132 RXT983124:RXU983132 SHP983124:SHQ983132 SRL983124:SRM983132 TBH983124:TBI983132 TLD983124:TLE983132 TUZ983124:TVA983132 UEV983124:UEW983132 UOR983124:UOS983132 UYN983124:UYO983132 VIJ983124:VIK983132 VSF983124:VSG983132 WCB983124:WCC983132 WLX983124:WLY983132 WVT983124:WVU983132 M93:M95 JI93:JI95 TE93:TE95 ADA93:ADA95 AMW93:AMW95 AWS93:AWS95 BGO93:BGO95 BQK93:BQK95 CAG93:CAG95 CKC93:CKC95 CTY93:CTY95 DDU93:DDU95 DNQ93:DNQ95 DXM93:DXM95 EHI93:EHI95 ERE93:ERE95 FBA93:FBA95 FKW93:FKW95 FUS93:FUS95 GEO93:GEO95 GOK93:GOK95 GYG93:GYG95 HIC93:HIC95 HRY93:HRY95 IBU93:IBU95 ILQ93:ILQ95 IVM93:IVM95 JFI93:JFI95 JPE93:JPE95 JZA93:JZA95 KIW93:KIW95 KSS93:KSS95 LCO93:LCO95 LMK93:LMK95 LWG93:LWG95 MGC93:MGC95 MPY93:MPY95 MZU93:MZU95 NJQ93:NJQ95 NTM93:NTM95 ODI93:ODI95 ONE93:ONE95 OXA93:OXA95 PGW93:PGW95 PQS93:PQS95 QAO93:QAO95 QKK93:QKK95 QUG93:QUG95 REC93:REC95 RNY93:RNY95 RXU93:RXU95 SHQ93:SHQ95 SRM93:SRM95 TBI93:TBI95 TLE93:TLE95 TVA93:TVA95 UEW93:UEW95 UOS93:UOS95 UYO93:UYO95 VIK93:VIK95 VSG93:VSG95 WCC93:WCC95 WLY93:WLY95 WVU93:WVU95 M65629:M65631 JI65629:JI65631 TE65629:TE65631 ADA65629:ADA65631 AMW65629:AMW65631 AWS65629:AWS65631 BGO65629:BGO65631 BQK65629:BQK65631 CAG65629:CAG65631 CKC65629:CKC65631 CTY65629:CTY65631 DDU65629:DDU65631 DNQ65629:DNQ65631 DXM65629:DXM65631 EHI65629:EHI65631 ERE65629:ERE65631 FBA65629:FBA65631 FKW65629:FKW65631 FUS65629:FUS65631 GEO65629:GEO65631 GOK65629:GOK65631 GYG65629:GYG65631 HIC65629:HIC65631 HRY65629:HRY65631 IBU65629:IBU65631 ILQ65629:ILQ65631 IVM65629:IVM65631 JFI65629:JFI65631 JPE65629:JPE65631 JZA65629:JZA65631 KIW65629:KIW65631 KSS65629:KSS65631 LCO65629:LCO65631 LMK65629:LMK65631 LWG65629:LWG65631 MGC65629:MGC65631 MPY65629:MPY65631 MZU65629:MZU65631 NJQ65629:NJQ65631 NTM65629:NTM65631 ODI65629:ODI65631 ONE65629:ONE65631 OXA65629:OXA65631 PGW65629:PGW65631 PQS65629:PQS65631 QAO65629:QAO65631 QKK65629:QKK65631 QUG65629:QUG65631 REC65629:REC65631 RNY65629:RNY65631 RXU65629:RXU65631 SHQ65629:SHQ65631 SRM65629:SRM65631 TBI65629:TBI65631 TLE65629:TLE65631 TVA65629:TVA65631 UEW65629:UEW65631 UOS65629:UOS65631 UYO65629:UYO65631 VIK65629:VIK65631 VSG65629:VSG65631 WCC65629:WCC65631 WLY65629:WLY65631 WVU65629:WVU65631 M131165:M131167 JI131165:JI131167 TE131165:TE131167 ADA131165:ADA131167 AMW131165:AMW131167 AWS131165:AWS131167 BGO131165:BGO131167 BQK131165:BQK131167 CAG131165:CAG131167 CKC131165:CKC131167 CTY131165:CTY131167 DDU131165:DDU131167 DNQ131165:DNQ131167 DXM131165:DXM131167 EHI131165:EHI131167 ERE131165:ERE131167 FBA131165:FBA131167 FKW131165:FKW131167 FUS131165:FUS131167 GEO131165:GEO131167 GOK131165:GOK131167 GYG131165:GYG131167 HIC131165:HIC131167 HRY131165:HRY131167 IBU131165:IBU131167 ILQ131165:ILQ131167 IVM131165:IVM131167 JFI131165:JFI131167 JPE131165:JPE131167 JZA131165:JZA131167 KIW131165:KIW131167 KSS131165:KSS131167 LCO131165:LCO131167 LMK131165:LMK131167 LWG131165:LWG131167 MGC131165:MGC131167 MPY131165:MPY131167 MZU131165:MZU131167 NJQ131165:NJQ131167 NTM131165:NTM131167 ODI131165:ODI131167 ONE131165:ONE131167 OXA131165:OXA131167 PGW131165:PGW131167 PQS131165:PQS131167 QAO131165:QAO131167 QKK131165:QKK131167 QUG131165:QUG131167 REC131165:REC131167 RNY131165:RNY131167 RXU131165:RXU131167 SHQ131165:SHQ131167 SRM131165:SRM131167 TBI131165:TBI131167 TLE131165:TLE131167 TVA131165:TVA131167 UEW131165:UEW131167 UOS131165:UOS131167 UYO131165:UYO131167 VIK131165:VIK131167 VSG131165:VSG131167 WCC131165:WCC131167 WLY131165:WLY131167 WVU131165:WVU131167 M196701:M196703 JI196701:JI196703 TE196701:TE196703 ADA196701:ADA196703 AMW196701:AMW196703 AWS196701:AWS196703 BGO196701:BGO196703 BQK196701:BQK196703 CAG196701:CAG196703 CKC196701:CKC196703 CTY196701:CTY196703 DDU196701:DDU196703 DNQ196701:DNQ196703 DXM196701:DXM196703 EHI196701:EHI196703 ERE196701:ERE196703 FBA196701:FBA196703 FKW196701:FKW196703 FUS196701:FUS196703 GEO196701:GEO196703 GOK196701:GOK196703 GYG196701:GYG196703 HIC196701:HIC196703 HRY196701:HRY196703 IBU196701:IBU196703 ILQ196701:ILQ196703 IVM196701:IVM196703 JFI196701:JFI196703 JPE196701:JPE196703 JZA196701:JZA196703 KIW196701:KIW196703 KSS196701:KSS196703 LCO196701:LCO196703 LMK196701:LMK196703 LWG196701:LWG196703 MGC196701:MGC196703 MPY196701:MPY196703 MZU196701:MZU196703 NJQ196701:NJQ196703 NTM196701:NTM196703 ODI196701:ODI196703 ONE196701:ONE196703 OXA196701:OXA196703 PGW196701:PGW196703 PQS196701:PQS196703 QAO196701:QAO196703 QKK196701:QKK196703 QUG196701:QUG196703 REC196701:REC196703 RNY196701:RNY196703 RXU196701:RXU196703 SHQ196701:SHQ196703 SRM196701:SRM196703 TBI196701:TBI196703 TLE196701:TLE196703 TVA196701:TVA196703 UEW196701:UEW196703 UOS196701:UOS196703 UYO196701:UYO196703 VIK196701:VIK196703 VSG196701:VSG196703 WCC196701:WCC196703 WLY196701:WLY196703 WVU196701:WVU196703 M262237:M262239 JI262237:JI262239 TE262237:TE262239 ADA262237:ADA262239 AMW262237:AMW262239 AWS262237:AWS262239 BGO262237:BGO262239 BQK262237:BQK262239 CAG262237:CAG262239 CKC262237:CKC262239 CTY262237:CTY262239 DDU262237:DDU262239 DNQ262237:DNQ262239 DXM262237:DXM262239 EHI262237:EHI262239 ERE262237:ERE262239 FBA262237:FBA262239 FKW262237:FKW262239 FUS262237:FUS262239 GEO262237:GEO262239 GOK262237:GOK262239 GYG262237:GYG262239 HIC262237:HIC262239 HRY262237:HRY262239 IBU262237:IBU262239 ILQ262237:ILQ262239 IVM262237:IVM262239 JFI262237:JFI262239 JPE262237:JPE262239 JZA262237:JZA262239 KIW262237:KIW262239 KSS262237:KSS262239 LCO262237:LCO262239 LMK262237:LMK262239 LWG262237:LWG262239 MGC262237:MGC262239 MPY262237:MPY262239 MZU262237:MZU262239 NJQ262237:NJQ262239 NTM262237:NTM262239 ODI262237:ODI262239 ONE262237:ONE262239 OXA262237:OXA262239 PGW262237:PGW262239 PQS262237:PQS262239 QAO262237:QAO262239 QKK262237:QKK262239 QUG262237:QUG262239 REC262237:REC262239 RNY262237:RNY262239 RXU262237:RXU262239 SHQ262237:SHQ262239 SRM262237:SRM262239 TBI262237:TBI262239 TLE262237:TLE262239 TVA262237:TVA262239 UEW262237:UEW262239 UOS262237:UOS262239 UYO262237:UYO262239 VIK262237:VIK262239 VSG262237:VSG262239 WCC262237:WCC262239 WLY262237:WLY262239 WVU262237:WVU262239 M327773:M327775 JI327773:JI327775 TE327773:TE327775 ADA327773:ADA327775 AMW327773:AMW327775 AWS327773:AWS327775 BGO327773:BGO327775 BQK327773:BQK327775 CAG327773:CAG327775 CKC327773:CKC327775 CTY327773:CTY327775 DDU327773:DDU327775 DNQ327773:DNQ327775 DXM327773:DXM327775 EHI327773:EHI327775 ERE327773:ERE327775 FBA327773:FBA327775 FKW327773:FKW327775 FUS327773:FUS327775 GEO327773:GEO327775 GOK327773:GOK327775 GYG327773:GYG327775 HIC327773:HIC327775 HRY327773:HRY327775 IBU327773:IBU327775 ILQ327773:ILQ327775 IVM327773:IVM327775 JFI327773:JFI327775 JPE327773:JPE327775 JZA327773:JZA327775 KIW327773:KIW327775 KSS327773:KSS327775 LCO327773:LCO327775 LMK327773:LMK327775 LWG327773:LWG327775 MGC327773:MGC327775 MPY327773:MPY327775 MZU327773:MZU327775 NJQ327773:NJQ327775 NTM327773:NTM327775 ODI327773:ODI327775 ONE327773:ONE327775 OXA327773:OXA327775 PGW327773:PGW327775 PQS327773:PQS327775 QAO327773:QAO327775 QKK327773:QKK327775 QUG327773:QUG327775 REC327773:REC327775 RNY327773:RNY327775 RXU327773:RXU327775 SHQ327773:SHQ327775 SRM327773:SRM327775 TBI327773:TBI327775 TLE327773:TLE327775 TVA327773:TVA327775 UEW327773:UEW327775 UOS327773:UOS327775 UYO327773:UYO327775 VIK327773:VIK327775 VSG327773:VSG327775 WCC327773:WCC327775 WLY327773:WLY327775 WVU327773:WVU327775 M393309:M393311 JI393309:JI393311 TE393309:TE393311 ADA393309:ADA393311 AMW393309:AMW393311 AWS393309:AWS393311 BGO393309:BGO393311 BQK393309:BQK393311 CAG393309:CAG393311 CKC393309:CKC393311 CTY393309:CTY393311 DDU393309:DDU393311 DNQ393309:DNQ393311 DXM393309:DXM393311 EHI393309:EHI393311 ERE393309:ERE393311 FBA393309:FBA393311 FKW393309:FKW393311 FUS393309:FUS393311 GEO393309:GEO393311 GOK393309:GOK393311 GYG393309:GYG393311 HIC393309:HIC393311 HRY393309:HRY393311 IBU393309:IBU393311 ILQ393309:ILQ393311 IVM393309:IVM393311 JFI393309:JFI393311 JPE393309:JPE393311 JZA393309:JZA393311 KIW393309:KIW393311 KSS393309:KSS393311 LCO393309:LCO393311 LMK393309:LMK393311 LWG393309:LWG393311 MGC393309:MGC393311 MPY393309:MPY393311 MZU393309:MZU393311 NJQ393309:NJQ393311 NTM393309:NTM393311 ODI393309:ODI393311 ONE393309:ONE393311 OXA393309:OXA393311 PGW393309:PGW393311 PQS393309:PQS393311 QAO393309:QAO393311 QKK393309:QKK393311 QUG393309:QUG393311 REC393309:REC393311 RNY393309:RNY393311 RXU393309:RXU393311 SHQ393309:SHQ393311 SRM393309:SRM393311 TBI393309:TBI393311 TLE393309:TLE393311 TVA393309:TVA393311 UEW393309:UEW393311 UOS393309:UOS393311 UYO393309:UYO393311 VIK393309:VIK393311 VSG393309:VSG393311 WCC393309:WCC393311 WLY393309:WLY393311 WVU393309:WVU393311 M458845:M458847 JI458845:JI458847 TE458845:TE458847 ADA458845:ADA458847 AMW458845:AMW458847 AWS458845:AWS458847 BGO458845:BGO458847 BQK458845:BQK458847 CAG458845:CAG458847 CKC458845:CKC458847 CTY458845:CTY458847 DDU458845:DDU458847 DNQ458845:DNQ458847 DXM458845:DXM458847 EHI458845:EHI458847 ERE458845:ERE458847 FBA458845:FBA458847 FKW458845:FKW458847 FUS458845:FUS458847 GEO458845:GEO458847 GOK458845:GOK458847 GYG458845:GYG458847 HIC458845:HIC458847 HRY458845:HRY458847 IBU458845:IBU458847 ILQ458845:ILQ458847 IVM458845:IVM458847 JFI458845:JFI458847 JPE458845:JPE458847 JZA458845:JZA458847 KIW458845:KIW458847 KSS458845:KSS458847 LCO458845:LCO458847 LMK458845:LMK458847 LWG458845:LWG458847 MGC458845:MGC458847 MPY458845:MPY458847 MZU458845:MZU458847 NJQ458845:NJQ458847 NTM458845:NTM458847 ODI458845:ODI458847 ONE458845:ONE458847 OXA458845:OXA458847 PGW458845:PGW458847 PQS458845:PQS458847 QAO458845:QAO458847 QKK458845:QKK458847 QUG458845:QUG458847 REC458845:REC458847 RNY458845:RNY458847 RXU458845:RXU458847 SHQ458845:SHQ458847 SRM458845:SRM458847 TBI458845:TBI458847 TLE458845:TLE458847 TVA458845:TVA458847 UEW458845:UEW458847 UOS458845:UOS458847 UYO458845:UYO458847 VIK458845:VIK458847 VSG458845:VSG458847 WCC458845:WCC458847 WLY458845:WLY458847 WVU458845:WVU458847 M524381:M524383 JI524381:JI524383 TE524381:TE524383 ADA524381:ADA524383 AMW524381:AMW524383 AWS524381:AWS524383 BGO524381:BGO524383 BQK524381:BQK524383 CAG524381:CAG524383 CKC524381:CKC524383 CTY524381:CTY524383 DDU524381:DDU524383 DNQ524381:DNQ524383 DXM524381:DXM524383 EHI524381:EHI524383 ERE524381:ERE524383 FBA524381:FBA524383 FKW524381:FKW524383 FUS524381:FUS524383 GEO524381:GEO524383 GOK524381:GOK524383 GYG524381:GYG524383 HIC524381:HIC524383 HRY524381:HRY524383 IBU524381:IBU524383 ILQ524381:ILQ524383 IVM524381:IVM524383 JFI524381:JFI524383 JPE524381:JPE524383 JZA524381:JZA524383 KIW524381:KIW524383 KSS524381:KSS524383 LCO524381:LCO524383 LMK524381:LMK524383 LWG524381:LWG524383 MGC524381:MGC524383 MPY524381:MPY524383 MZU524381:MZU524383 NJQ524381:NJQ524383 NTM524381:NTM524383 ODI524381:ODI524383 ONE524381:ONE524383 OXA524381:OXA524383 PGW524381:PGW524383 PQS524381:PQS524383 QAO524381:QAO524383 QKK524381:QKK524383 QUG524381:QUG524383 REC524381:REC524383 RNY524381:RNY524383 RXU524381:RXU524383 SHQ524381:SHQ524383 SRM524381:SRM524383 TBI524381:TBI524383 TLE524381:TLE524383 TVA524381:TVA524383 UEW524381:UEW524383 UOS524381:UOS524383 UYO524381:UYO524383 VIK524381:VIK524383 VSG524381:VSG524383 WCC524381:WCC524383 WLY524381:WLY524383 WVU524381:WVU524383 M589917:M589919 JI589917:JI589919 TE589917:TE589919 ADA589917:ADA589919 AMW589917:AMW589919 AWS589917:AWS589919 BGO589917:BGO589919 BQK589917:BQK589919 CAG589917:CAG589919 CKC589917:CKC589919 CTY589917:CTY589919 DDU589917:DDU589919 DNQ589917:DNQ589919 DXM589917:DXM589919 EHI589917:EHI589919 ERE589917:ERE589919 FBA589917:FBA589919 FKW589917:FKW589919 FUS589917:FUS589919 GEO589917:GEO589919 GOK589917:GOK589919 GYG589917:GYG589919 HIC589917:HIC589919 HRY589917:HRY589919 IBU589917:IBU589919 ILQ589917:ILQ589919 IVM589917:IVM589919 JFI589917:JFI589919 JPE589917:JPE589919 JZA589917:JZA589919 KIW589917:KIW589919 KSS589917:KSS589919 LCO589917:LCO589919 LMK589917:LMK589919 LWG589917:LWG589919 MGC589917:MGC589919 MPY589917:MPY589919 MZU589917:MZU589919 NJQ589917:NJQ589919 NTM589917:NTM589919 ODI589917:ODI589919 ONE589917:ONE589919 OXA589917:OXA589919 PGW589917:PGW589919 PQS589917:PQS589919 QAO589917:QAO589919 QKK589917:QKK589919 QUG589917:QUG589919 REC589917:REC589919 RNY589917:RNY589919 RXU589917:RXU589919 SHQ589917:SHQ589919 SRM589917:SRM589919 TBI589917:TBI589919 TLE589917:TLE589919 TVA589917:TVA589919 UEW589917:UEW589919 UOS589917:UOS589919 UYO589917:UYO589919 VIK589917:VIK589919 VSG589917:VSG589919 WCC589917:WCC589919 WLY589917:WLY589919 WVU589917:WVU589919 M655453:M655455 JI655453:JI655455 TE655453:TE655455 ADA655453:ADA655455 AMW655453:AMW655455 AWS655453:AWS655455 BGO655453:BGO655455 BQK655453:BQK655455 CAG655453:CAG655455 CKC655453:CKC655455 CTY655453:CTY655455 DDU655453:DDU655455 DNQ655453:DNQ655455 DXM655453:DXM655455 EHI655453:EHI655455 ERE655453:ERE655455 FBA655453:FBA655455 FKW655453:FKW655455 FUS655453:FUS655455 GEO655453:GEO655455 GOK655453:GOK655455 GYG655453:GYG655455 HIC655453:HIC655455 HRY655453:HRY655455 IBU655453:IBU655455 ILQ655453:ILQ655455 IVM655453:IVM655455 JFI655453:JFI655455 JPE655453:JPE655455 JZA655453:JZA655455 KIW655453:KIW655455 KSS655453:KSS655455 LCO655453:LCO655455 LMK655453:LMK655455 LWG655453:LWG655455 MGC655453:MGC655455 MPY655453:MPY655455 MZU655453:MZU655455 NJQ655453:NJQ655455 NTM655453:NTM655455 ODI655453:ODI655455 ONE655453:ONE655455 OXA655453:OXA655455 PGW655453:PGW655455 PQS655453:PQS655455 QAO655453:QAO655455 QKK655453:QKK655455 QUG655453:QUG655455 REC655453:REC655455 RNY655453:RNY655455 RXU655453:RXU655455 SHQ655453:SHQ655455 SRM655453:SRM655455 TBI655453:TBI655455 TLE655453:TLE655455 TVA655453:TVA655455 UEW655453:UEW655455 UOS655453:UOS655455 UYO655453:UYO655455 VIK655453:VIK655455 VSG655453:VSG655455 WCC655453:WCC655455 WLY655453:WLY655455 WVU655453:WVU655455 M720989:M720991 JI720989:JI720991 TE720989:TE720991 ADA720989:ADA720991 AMW720989:AMW720991 AWS720989:AWS720991 BGO720989:BGO720991 BQK720989:BQK720991 CAG720989:CAG720991 CKC720989:CKC720991 CTY720989:CTY720991 DDU720989:DDU720991 DNQ720989:DNQ720991 DXM720989:DXM720991 EHI720989:EHI720991 ERE720989:ERE720991 FBA720989:FBA720991 FKW720989:FKW720991 FUS720989:FUS720991 GEO720989:GEO720991 GOK720989:GOK720991 GYG720989:GYG720991 HIC720989:HIC720991 HRY720989:HRY720991 IBU720989:IBU720991 ILQ720989:ILQ720991 IVM720989:IVM720991 JFI720989:JFI720991 JPE720989:JPE720991 JZA720989:JZA720991 KIW720989:KIW720991 KSS720989:KSS720991 LCO720989:LCO720991 LMK720989:LMK720991 LWG720989:LWG720991 MGC720989:MGC720991 MPY720989:MPY720991 MZU720989:MZU720991 NJQ720989:NJQ720991 NTM720989:NTM720991 ODI720989:ODI720991 ONE720989:ONE720991 OXA720989:OXA720991 PGW720989:PGW720991 PQS720989:PQS720991 QAO720989:QAO720991 QKK720989:QKK720991 QUG720989:QUG720991 REC720989:REC720991 RNY720989:RNY720991 RXU720989:RXU720991 SHQ720989:SHQ720991 SRM720989:SRM720991 TBI720989:TBI720991 TLE720989:TLE720991 TVA720989:TVA720991 UEW720989:UEW720991 UOS720989:UOS720991 UYO720989:UYO720991 VIK720989:VIK720991 VSG720989:VSG720991 WCC720989:WCC720991 WLY720989:WLY720991 WVU720989:WVU720991 M786525:M786527 JI786525:JI786527 TE786525:TE786527 ADA786525:ADA786527 AMW786525:AMW786527 AWS786525:AWS786527 BGO786525:BGO786527 BQK786525:BQK786527 CAG786525:CAG786527 CKC786525:CKC786527 CTY786525:CTY786527 DDU786525:DDU786527 DNQ786525:DNQ786527 DXM786525:DXM786527 EHI786525:EHI786527 ERE786525:ERE786527 FBA786525:FBA786527 FKW786525:FKW786527 FUS786525:FUS786527 GEO786525:GEO786527 GOK786525:GOK786527 GYG786525:GYG786527 HIC786525:HIC786527 HRY786525:HRY786527 IBU786525:IBU786527 ILQ786525:ILQ786527 IVM786525:IVM786527 JFI786525:JFI786527 JPE786525:JPE786527 JZA786525:JZA786527 KIW786525:KIW786527 KSS786525:KSS786527 LCO786525:LCO786527 LMK786525:LMK786527 LWG786525:LWG786527 MGC786525:MGC786527 MPY786525:MPY786527 MZU786525:MZU786527 NJQ786525:NJQ786527 NTM786525:NTM786527 ODI786525:ODI786527 ONE786525:ONE786527 OXA786525:OXA786527 PGW786525:PGW786527 PQS786525:PQS786527 QAO786525:QAO786527 QKK786525:QKK786527 QUG786525:QUG786527 REC786525:REC786527 RNY786525:RNY786527 RXU786525:RXU786527 SHQ786525:SHQ786527 SRM786525:SRM786527 TBI786525:TBI786527 TLE786525:TLE786527 TVA786525:TVA786527 UEW786525:UEW786527 UOS786525:UOS786527 UYO786525:UYO786527 VIK786525:VIK786527 VSG786525:VSG786527 WCC786525:WCC786527 WLY786525:WLY786527 WVU786525:WVU786527 M852061:M852063 JI852061:JI852063 TE852061:TE852063 ADA852061:ADA852063 AMW852061:AMW852063 AWS852061:AWS852063 BGO852061:BGO852063 BQK852061:BQK852063 CAG852061:CAG852063 CKC852061:CKC852063 CTY852061:CTY852063 DDU852061:DDU852063 DNQ852061:DNQ852063 DXM852061:DXM852063 EHI852061:EHI852063 ERE852061:ERE852063 FBA852061:FBA852063 FKW852061:FKW852063 FUS852061:FUS852063 GEO852061:GEO852063 GOK852061:GOK852063 GYG852061:GYG852063 HIC852061:HIC852063 HRY852061:HRY852063 IBU852061:IBU852063 ILQ852061:ILQ852063 IVM852061:IVM852063 JFI852061:JFI852063 JPE852061:JPE852063 JZA852061:JZA852063 KIW852061:KIW852063 KSS852061:KSS852063 LCO852061:LCO852063 LMK852061:LMK852063 LWG852061:LWG852063 MGC852061:MGC852063 MPY852061:MPY852063 MZU852061:MZU852063 NJQ852061:NJQ852063 NTM852061:NTM852063 ODI852061:ODI852063 ONE852061:ONE852063 OXA852061:OXA852063 PGW852061:PGW852063 PQS852061:PQS852063 QAO852061:QAO852063 QKK852061:QKK852063 QUG852061:QUG852063 REC852061:REC852063 RNY852061:RNY852063 RXU852061:RXU852063 SHQ852061:SHQ852063 SRM852061:SRM852063 TBI852061:TBI852063 TLE852061:TLE852063 TVA852061:TVA852063 UEW852061:UEW852063 UOS852061:UOS852063 UYO852061:UYO852063 VIK852061:VIK852063 VSG852061:VSG852063 WCC852061:WCC852063 WLY852061:WLY852063 WVU852061:WVU852063 M917597:M917599 JI917597:JI917599 TE917597:TE917599 ADA917597:ADA917599 AMW917597:AMW917599 AWS917597:AWS917599 BGO917597:BGO917599 BQK917597:BQK917599 CAG917597:CAG917599 CKC917597:CKC917599 CTY917597:CTY917599 DDU917597:DDU917599 DNQ917597:DNQ917599 DXM917597:DXM917599 EHI917597:EHI917599 ERE917597:ERE917599 FBA917597:FBA917599 FKW917597:FKW917599 FUS917597:FUS917599 GEO917597:GEO917599 GOK917597:GOK917599 GYG917597:GYG917599 HIC917597:HIC917599 HRY917597:HRY917599 IBU917597:IBU917599 ILQ917597:ILQ917599 IVM917597:IVM917599 JFI917597:JFI917599 JPE917597:JPE917599 JZA917597:JZA917599 KIW917597:KIW917599 KSS917597:KSS917599 LCO917597:LCO917599 LMK917597:LMK917599 LWG917597:LWG917599 MGC917597:MGC917599 MPY917597:MPY917599 MZU917597:MZU917599 NJQ917597:NJQ917599 NTM917597:NTM917599 ODI917597:ODI917599 ONE917597:ONE917599 OXA917597:OXA917599 PGW917597:PGW917599 PQS917597:PQS917599 QAO917597:QAO917599 QKK917597:QKK917599 QUG917597:QUG917599 REC917597:REC917599 RNY917597:RNY917599 RXU917597:RXU917599 SHQ917597:SHQ917599 SRM917597:SRM917599 TBI917597:TBI917599 TLE917597:TLE917599 TVA917597:TVA917599 UEW917597:UEW917599 UOS917597:UOS917599 UYO917597:UYO917599 VIK917597:VIK917599 VSG917597:VSG917599 WCC917597:WCC917599 WLY917597:WLY917599 WVU917597:WVU917599 M983133:M983135 JI983133:JI983135 TE983133:TE983135 ADA983133:ADA983135 AMW983133:AMW983135 AWS983133:AWS983135 BGO983133:BGO983135 BQK983133:BQK983135 CAG983133:CAG983135 CKC983133:CKC983135 CTY983133:CTY983135 DDU983133:DDU983135 DNQ983133:DNQ983135 DXM983133:DXM983135 EHI983133:EHI983135 ERE983133:ERE983135 FBA983133:FBA983135 FKW983133:FKW983135 FUS983133:FUS983135 GEO983133:GEO983135 GOK983133:GOK983135 GYG983133:GYG983135 HIC983133:HIC983135 HRY983133:HRY983135 IBU983133:IBU983135 ILQ983133:ILQ983135 IVM983133:IVM983135 JFI983133:JFI983135 JPE983133:JPE983135 JZA983133:JZA983135 KIW983133:KIW983135 KSS983133:KSS983135 LCO983133:LCO983135 LMK983133:LMK983135 LWG983133:LWG983135 MGC983133:MGC983135 MPY983133:MPY983135 MZU983133:MZU983135 NJQ983133:NJQ983135 NTM983133:NTM983135 ODI983133:ODI983135 ONE983133:ONE983135 OXA983133:OXA983135 PGW983133:PGW983135 PQS983133:PQS983135 QAO983133:QAO983135 QKK983133:QKK983135 QUG983133:QUG983135 REC983133:REC983135 RNY983133:RNY983135 RXU983133:RXU983135 SHQ983133:SHQ983135 SRM983133:SRM983135 TBI983133:TBI983135 TLE983133:TLE983135 TVA983133:TVA983135 UEW983133:UEW983135 UOS983133:UOS983135 UYO983133:UYO983135 VIK983133:VIK983135 VSG983133:VSG983135 WCC983133:WCC983135 WLY983133:WLY983135 WVU983133:WVU983135">
      <formula1>"Yes,No,NA"</formula1>
    </dataValidation>
    <dataValidation type="list" allowBlank="1" showInputMessage="1" showErrorMessage="1" sqref="WVT983134:WVT983135 JH94:JH95 TD94:TD95 ACZ94:ACZ95 AMV94:AMV95 AWR94:AWR95 BGN94:BGN95 BQJ94:BQJ95 CAF94:CAF95 CKB94:CKB95 CTX94:CTX95 DDT94:DDT95 DNP94:DNP95 DXL94:DXL95 EHH94:EHH95 ERD94:ERD95 FAZ94:FAZ95 FKV94:FKV95 FUR94:FUR95 GEN94:GEN95 GOJ94:GOJ95 GYF94:GYF95 HIB94:HIB95 HRX94:HRX95 IBT94:IBT95 ILP94:ILP95 IVL94:IVL95 JFH94:JFH95 JPD94:JPD95 JYZ94:JYZ95 KIV94:KIV95 KSR94:KSR95 LCN94:LCN95 LMJ94:LMJ95 LWF94:LWF95 MGB94:MGB95 MPX94:MPX95 MZT94:MZT95 NJP94:NJP95 NTL94:NTL95 ODH94:ODH95 OND94:OND95 OWZ94:OWZ95 PGV94:PGV95 PQR94:PQR95 QAN94:QAN95 QKJ94:QKJ95 QUF94:QUF95 REB94:REB95 RNX94:RNX95 RXT94:RXT95 SHP94:SHP95 SRL94:SRL95 TBH94:TBH95 TLD94:TLD95 TUZ94:TUZ95 UEV94:UEV95 UOR94:UOR95 UYN94:UYN95 VIJ94:VIJ95 VSF94:VSF95 WCB94:WCB95 WLX94:WLX95 WVT94:WVT95 L65630:L65631 JH65630:JH65631 TD65630:TD65631 ACZ65630:ACZ65631 AMV65630:AMV65631 AWR65630:AWR65631 BGN65630:BGN65631 BQJ65630:BQJ65631 CAF65630:CAF65631 CKB65630:CKB65631 CTX65630:CTX65631 DDT65630:DDT65631 DNP65630:DNP65631 DXL65630:DXL65631 EHH65630:EHH65631 ERD65630:ERD65631 FAZ65630:FAZ65631 FKV65630:FKV65631 FUR65630:FUR65631 GEN65630:GEN65631 GOJ65630:GOJ65631 GYF65630:GYF65631 HIB65630:HIB65631 HRX65630:HRX65631 IBT65630:IBT65631 ILP65630:ILP65631 IVL65630:IVL65631 JFH65630:JFH65631 JPD65630:JPD65631 JYZ65630:JYZ65631 KIV65630:KIV65631 KSR65630:KSR65631 LCN65630:LCN65631 LMJ65630:LMJ65631 LWF65630:LWF65631 MGB65630:MGB65631 MPX65630:MPX65631 MZT65630:MZT65631 NJP65630:NJP65631 NTL65630:NTL65631 ODH65630:ODH65631 OND65630:OND65631 OWZ65630:OWZ65631 PGV65630:PGV65631 PQR65630:PQR65631 QAN65630:QAN65631 QKJ65630:QKJ65631 QUF65630:QUF65631 REB65630:REB65631 RNX65630:RNX65631 RXT65630:RXT65631 SHP65630:SHP65631 SRL65630:SRL65631 TBH65630:TBH65631 TLD65630:TLD65631 TUZ65630:TUZ65631 UEV65630:UEV65631 UOR65630:UOR65631 UYN65630:UYN65631 VIJ65630:VIJ65631 VSF65630:VSF65631 WCB65630:WCB65631 WLX65630:WLX65631 WVT65630:WVT65631 L131166:L131167 JH131166:JH131167 TD131166:TD131167 ACZ131166:ACZ131167 AMV131166:AMV131167 AWR131166:AWR131167 BGN131166:BGN131167 BQJ131166:BQJ131167 CAF131166:CAF131167 CKB131166:CKB131167 CTX131166:CTX131167 DDT131166:DDT131167 DNP131166:DNP131167 DXL131166:DXL131167 EHH131166:EHH131167 ERD131166:ERD131167 FAZ131166:FAZ131167 FKV131166:FKV131167 FUR131166:FUR131167 GEN131166:GEN131167 GOJ131166:GOJ131167 GYF131166:GYF131167 HIB131166:HIB131167 HRX131166:HRX131167 IBT131166:IBT131167 ILP131166:ILP131167 IVL131166:IVL131167 JFH131166:JFH131167 JPD131166:JPD131167 JYZ131166:JYZ131167 KIV131166:KIV131167 KSR131166:KSR131167 LCN131166:LCN131167 LMJ131166:LMJ131167 LWF131166:LWF131167 MGB131166:MGB131167 MPX131166:MPX131167 MZT131166:MZT131167 NJP131166:NJP131167 NTL131166:NTL131167 ODH131166:ODH131167 OND131166:OND131167 OWZ131166:OWZ131167 PGV131166:PGV131167 PQR131166:PQR131167 QAN131166:QAN131167 QKJ131166:QKJ131167 QUF131166:QUF131167 REB131166:REB131167 RNX131166:RNX131167 RXT131166:RXT131167 SHP131166:SHP131167 SRL131166:SRL131167 TBH131166:TBH131167 TLD131166:TLD131167 TUZ131166:TUZ131167 UEV131166:UEV131167 UOR131166:UOR131167 UYN131166:UYN131167 VIJ131166:VIJ131167 VSF131166:VSF131167 WCB131166:WCB131167 WLX131166:WLX131167 WVT131166:WVT131167 L196702:L196703 JH196702:JH196703 TD196702:TD196703 ACZ196702:ACZ196703 AMV196702:AMV196703 AWR196702:AWR196703 BGN196702:BGN196703 BQJ196702:BQJ196703 CAF196702:CAF196703 CKB196702:CKB196703 CTX196702:CTX196703 DDT196702:DDT196703 DNP196702:DNP196703 DXL196702:DXL196703 EHH196702:EHH196703 ERD196702:ERD196703 FAZ196702:FAZ196703 FKV196702:FKV196703 FUR196702:FUR196703 GEN196702:GEN196703 GOJ196702:GOJ196703 GYF196702:GYF196703 HIB196702:HIB196703 HRX196702:HRX196703 IBT196702:IBT196703 ILP196702:ILP196703 IVL196702:IVL196703 JFH196702:JFH196703 JPD196702:JPD196703 JYZ196702:JYZ196703 KIV196702:KIV196703 KSR196702:KSR196703 LCN196702:LCN196703 LMJ196702:LMJ196703 LWF196702:LWF196703 MGB196702:MGB196703 MPX196702:MPX196703 MZT196702:MZT196703 NJP196702:NJP196703 NTL196702:NTL196703 ODH196702:ODH196703 OND196702:OND196703 OWZ196702:OWZ196703 PGV196702:PGV196703 PQR196702:PQR196703 QAN196702:QAN196703 QKJ196702:QKJ196703 QUF196702:QUF196703 REB196702:REB196703 RNX196702:RNX196703 RXT196702:RXT196703 SHP196702:SHP196703 SRL196702:SRL196703 TBH196702:TBH196703 TLD196702:TLD196703 TUZ196702:TUZ196703 UEV196702:UEV196703 UOR196702:UOR196703 UYN196702:UYN196703 VIJ196702:VIJ196703 VSF196702:VSF196703 WCB196702:WCB196703 WLX196702:WLX196703 WVT196702:WVT196703 L262238:L262239 JH262238:JH262239 TD262238:TD262239 ACZ262238:ACZ262239 AMV262238:AMV262239 AWR262238:AWR262239 BGN262238:BGN262239 BQJ262238:BQJ262239 CAF262238:CAF262239 CKB262238:CKB262239 CTX262238:CTX262239 DDT262238:DDT262239 DNP262238:DNP262239 DXL262238:DXL262239 EHH262238:EHH262239 ERD262238:ERD262239 FAZ262238:FAZ262239 FKV262238:FKV262239 FUR262238:FUR262239 GEN262238:GEN262239 GOJ262238:GOJ262239 GYF262238:GYF262239 HIB262238:HIB262239 HRX262238:HRX262239 IBT262238:IBT262239 ILP262238:ILP262239 IVL262238:IVL262239 JFH262238:JFH262239 JPD262238:JPD262239 JYZ262238:JYZ262239 KIV262238:KIV262239 KSR262238:KSR262239 LCN262238:LCN262239 LMJ262238:LMJ262239 LWF262238:LWF262239 MGB262238:MGB262239 MPX262238:MPX262239 MZT262238:MZT262239 NJP262238:NJP262239 NTL262238:NTL262239 ODH262238:ODH262239 OND262238:OND262239 OWZ262238:OWZ262239 PGV262238:PGV262239 PQR262238:PQR262239 QAN262238:QAN262239 QKJ262238:QKJ262239 QUF262238:QUF262239 REB262238:REB262239 RNX262238:RNX262239 RXT262238:RXT262239 SHP262238:SHP262239 SRL262238:SRL262239 TBH262238:TBH262239 TLD262238:TLD262239 TUZ262238:TUZ262239 UEV262238:UEV262239 UOR262238:UOR262239 UYN262238:UYN262239 VIJ262238:VIJ262239 VSF262238:VSF262239 WCB262238:WCB262239 WLX262238:WLX262239 WVT262238:WVT262239 L327774:L327775 JH327774:JH327775 TD327774:TD327775 ACZ327774:ACZ327775 AMV327774:AMV327775 AWR327774:AWR327775 BGN327774:BGN327775 BQJ327774:BQJ327775 CAF327774:CAF327775 CKB327774:CKB327775 CTX327774:CTX327775 DDT327774:DDT327775 DNP327774:DNP327775 DXL327774:DXL327775 EHH327774:EHH327775 ERD327774:ERD327775 FAZ327774:FAZ327775 FKV327774:FKV327775 FUR327774:FUR327775 GEN327774:GEN327775 GOJ327774:GOJ327775 GYF327774:GYF327775 HIB327774:HIB327775 HRX327774:HRX327775 IBT327774:IBT327775 ILP327774:ILP327775 IVL327774:IVL327775 JFH327774:JFH327775 JPD327774:JPD327775 JYZ327774:JYZ327775 KIV327774:KIV327775 KSR327774:KSR327775 LCN327774:LCN327775 LMJ327774:LMJ327775 LWF327774:LWF327775 MGB327774:MGB327775 MPX327774:MPX327775 MZT327774:MZT327775 NJP327774:NJP327775 NTL327774:NTL327775 ODH327774:ODH327775 OND327774:OND327775 OWZ327774:OWZ327775 PGV327774:PGV327775 PQR327774:PQR327775 QAN327774:QAN327775 QKJ327774:QKJ327775 QUF327774:QUF327775 REB327774:REB327775 RNX327774:RNX327775 RXT327774:RXT327775 SHP327774:SHP327775 SRL327774:SRL327775 TBH327774:TBH327775 TLD327774:TLD327775 TUZ327774:TUZ327775 UEV327774:UEV327775 UOR327774:UOR327775 UYN327774:UYN327775 VIJ327774:VIJ327775 VSF327774:VSF327775 WCB327774:WCB327775 WLX327774:WLX327775 WVT327774:WVT327775 L393310:L393311 JH393310:JH393311 TD393310:TD393311 ACZ393310:ACZ393311 AMV393310:AMV393311 AWR393310:AWR393311 BGN393310:BGN393311 BQJ393310:BQJ393311 CAF393310:CAF393311 CKB393310:CKB393311 CTX393310:CTX393311 DDT393310:DDT393311 DNP393310:DNP393311 DXL393310:DXL393311 EHH393310:EHH393311 ERD393310:ERD393311 FAZ393310:FAZ393311 FKV393310:FKV393311 FUR393310:FUR393311 GEN393310:GEN393311 GOJ393310:GOJ393311 GYF393310:GYF393311 HIB393310:HIB393311 HRX393310:HRX393311 IBT393310:IBT393311 ILP393310:ILP393311 IVL393310:IVL393311 JFH393310:JFH393311 JPD393310:JPD393311 JYZ393310:JYZ393311 KIV393310:KIV393311 KSR393310:KSR393311 LCN393310:LCN393311 LMJ393310:LMJ393311 LWF393310:LWF393311 MGB393310:MGB393311 MPX393310:MPX393311 MZT393310:MZT393311 NJP393310:NJP393311 NTL393310:NTL393311 ODH393310:ODH393311 OND393310:OND393311 OWZ393310:OWZ393311 PGV393310:PGV393311 PQR393310:PQR393311 QAN393310:QAN393311 QKJ393310:QKJ393311 QUF393310:QUF393311 REB393310:REB393311 RNX393310:RNX393311 RXT393310:RXT393311 SHP393310:SHP393311 SRL393310:SRL393311 TBH393310:TBH393311 TLD393310:TLD393311 TUZ393310:TUZ393311 UEV393310:UEV393311 UOR393310:UOR393311 UYN393310:UYN393311 VIJ393310:VIJ393311 VSF393310:VSF393311 WCB393310:WCB393311 WLX393310:WLX393311 WVT393310:WVT393311 L458846:L458847 JH458846:JH458847 TD458846:TD458847 ACZ458846:ACZ458847 AMV458846:AMV458847 AWR458846:AWR458847 BGN458846:BGN458847 BQJ458846:BQJ458847 CAF458846:CAF458847 CKB458846:CKB458847 CTX458846:CTX458847 DDT458846:DDT458847 DNP458846:DNP458847 DXL458846:DXL458847 EHH458846:EHH458847 ERD458846:ERD458847 FAZ458846:FAZ458847 FKV458846:FKV458847 FUR458846:FUR458847 GEN458846:GEN458847 GOJ458846:GOJ458847 GYF458846:GYF458847 HIB458846:HIB458847 HRX458846:HRX458847 IBT458846:IBT458847 ILP458846:ILP458847 IVL458846:IVL458847 JFH458846:JFH458847 JPD458846:JPD458847 JYZ458846:JYZ458847 KIV458846:KIV458847 KSR458846:KSR458847 LCN458846:LCN458847 LMJ458846:LMJ458847 LWF458846:LWF458847 MGB458846:MGB458847 MPX458846:MPX458847 MZT458846:MZT458847 NJP458846:NJP458847 NTL458846:NTL458847 ODH458846:ODH458847 OND458846:OND458847 OWZ458846:OWZ458847 PGV458846:PGV458847 PQR458846:PQR458847 QAN458846:QAN458847 QKJ458846:QKJ458847 QUF458846:QUF458847 REB458846:REB458847 RNX458846:RNX458847 RXT458846:RXT458847 SHP458846:SHP458847 SRL458846:SRL458847 TBH458846:TBH458847 TLD458846:TLD458847 TUZ458846:TUZ458847 UEV458846:UEV458847 UOR458846:UOR458847 UYN458846:UYN458847 VIJ458846:VIJ458847 VSF458846:VSF458847 WCB458846:WCB458847 WLX458846:WLX458847 WVT458846:WVT458847 L524382:L524383 JH524382:JH524383 TD524382:TD524383 ACZ524382:ACZ524383 AMV524382:AMV524383 AWR524382:AWR524383 BGN524382:BGN524383 BQJ524382:BQJ524383 CAF524382:CAF524383 CKB524382:CKB524383 CTX524382:CTX524383 DDT524382:DDT524383 DNP524382:DNP524383 DXL524382:DXL524383 EHH524382:EHH524383 ERD524382:ERD524383 FAZ524382:FAZ524383 FKV524382:FKV524383 FUR524382:FUR524383 GEN524382:GEN524383 GOJ524382:GOJ524383 GYF524382:GYF524383 HIB524382:HIB524383 HRX524382:HRX524383 IBT524382:IBT524383 ILP524382:ILP524383 IVL524382:IVL524383 JFH524382:JFH524383 JPD524382:JPD524383 JYZ524382:JYZ524383 KIV524382:KIV524383 KSR524382:KSR524383 LCN524382:LCN524383 LMJ524382:LMJ524383 LWF524382:LWF524383 MGB524382:MGB524383 MPX524382:MPX524383 MZT524382:MZT524383 NJP524382:NJP524383 NTL524382:NTL524383 ODH524382:ODH524383 OND524382:OND524383 OWZ524382:OWZ524383 PGV524382:PGV524383 PQR524382:PQR524383 QAN524382:QAN524383 QKJ524382:QKJ524383 QUF524382:QUF524383 REB524382:REB524383 RNX524382:RNX524383 RXT524382:RXT524383 SHP524382:SHP524383 SRL524382:SRL524383 TBH524382:TBH524383 TLD524382:TLD524383 TUZ524382:TUZ524383 UEV524382:UEV524383 UOR524382:UOR524383 UYN524382:UYN524383 VIJ524382:VIJ524383 VSF524382:VSF524383 WCB524382:WCB524383 WLX524382:WLX524383 WVT524382:WVT524383 L589918:L589919 JH589918:JH589919 TD589918:TD589919 ACZ589918:ACZ589919 AMV589918:AMV589919 AWR589918:AWR589919 BGN589918:BGN589919 BQJ589918:BQJ589919 CAF589918:CAF589919 CKB589918:CKB589919 CTX589918:CTX589919 DDT589918:DDT589919 DNP589918:DNP589919 DXL589918:DXL589919 EHH589918:EHH589919 ERD589918:ERD589919 FAZ589918:FAZ589919 FKV589918:FKV589919 FUR589918:FUR589919 GEN589918:GEN589919 GOJ589918:GOJ589919 GYF589918:GYF589919 HIB589918:HIB589919 HRX589918:HRX589919 IBT589918:IBT589919 ILP589918:ILP589919 IVL589918:IVL589919 JFH589918:JFH589919 JPD589918:JPD589919 JYZ589918:JYZ589919 KIV589918:KIV589919 KSR589918:KSR589919 LCN589918:LCN589919 LMJ589918:LMJ589919 LWF589918:LWF589919 MGB589918:MGB589919 MPX589918:MPX589919 MZT589918:MZT589919 NJP589918:NJP589919 NTL589918:NTL589919 ODH589918:ODH589919 OND589918:OND589919 OWZ589918:OWZ589919 PGV589918:PGV589919 PQR589918:PQR589919 QAN589918:QAN589919 QKJ589918:QKJ589919 QUF589918:QUF589919 REB589918:REB589919 RNX589918:RNX589919 RXT589918:RXT589919 SHP589918:SHP589919 SRL589918:SRL589919 TBH589918:TBH589919 TLD589918:TLD589919 TUZ589918:TUZ589919 UEV589918:UEV589919 UOR589918:UOR589919 UYN589918:UYN589919 VIJ589918:VIJ589919 VSF589918:VSF589919 WCB589918:WCB589919 WLX589918:WLX589919 WVT589918:WVT589919 L655454:L655455 JH655454:JH655455 TD655454:TD655455 ACZ655454:ACZ655455 AMV655454:AMV655455 AWR655454:AWR655455 BGN655454:BGN655455 BQJ655454:BQJ655455 CAF655454:CAF655455 CKB655454:CKB655455 CTX655454:CTX655455 DDT655454:DDT655455 DNP655454:DNP655455 DXL655454:DXL655455 EHH655454:EHH655455 ERD655454:ERD655455 FAZ655454:FAZ655455 FKV655454:FKV655455 FUR655454:FUR655455 GEN655454:GEN655455 GOJ655454:GOJ655455 GYF655454:GYF655455 HIB655454:HIB655455 HRX655454:HRX655455 IBT655454:IBT655455 ILP655454:ILP655455 IVL655454:IVL655455 JFH655454:JFH655455 JPD655454:JPD655455 JYZ655454:JYZ655455 KIV655454:KIV655455 KSR655454:KSR655455 LCN655454:LCN655455 LMJ655454:LMJ655455 LWF655454:LWF655455 MGB655454:MGB655455 MPX655454:MPX655455 MZT655454:MZT655455 NJP655454:NJP655455 NTL655454:NTL655455 ODH655454:ODH655455 OND655454:OND655455 OWZ655454:OWZ655455 PGV655454:PGV655455 PQR655454:PQR655455 QAN655454:QAN655455 QKJ655454:QKJ655455 QUF655454:QUF655455 REB655454:REB655455 RNX655454:RNX655455 RXT655454:RXT655455 SHP655454:SHP655455 SRL655454:SRL655455 TBH655454:TBH655455 TLD655454:TLD655455 TUZ655454:TUZ655455 UEV655454:UEV655455 UOR655454:UOR655455 UYN655454:UYN655455 VIJ655454:VIJ655455 VSF655454:VSF655455 WCB655454:WCB655455 WLX655454:WLX655455 WVT655454:WVT655455 L720990:L720991 JH720990:JH720991 TD720990:TD720991 ACZ720990:ACZ720991 AMV720990:AMV720991 AWR720990:AWR720991 BGN720990:BGN720991 BQJ720990:BQJ720991 CAF720990:CAF720991 CKB720990:CKB720991 CTX720990:CTX720991 DDT720990:DDT720991 DNP720990:DNP720991 DXL720990:DXL720991 EHH720990:EHH720991 ERD720990:ERD720991 FAZ720990:FAZ720991 FKV720990:FKV720991 FUR720990:FUR720991 GEN720990:GEN720991 GOJ720990:GOJ720991 GYF720990:GYF720991 HIB720990:HIB720991 HRX720990:HRX720991 IBT720990:IBT720991 ILP720990:ILP720991 IVL720990:IVL720991 JFH720990:JFH720991 JPD720990:JPD720991 JYZ720990:JYZ720991 KIV720990:KIV720991 KSR720990:KSR720991 LCN720990:LCN720991 LMJ720990:LMJ720991 LWF720990:LWF720991 MGB720990:MGB720991 MPX720990:MPX720991 MZT720990:MZT720991 NJP720990:NJP720991 NTL720990:NTL720991 ODH720990:ODH720991 OND720990:OND720991 OWZ720990:OWZ720991 PGV720990:PGV720991 PQR720990:PQR720991 QAN720990:QAN720991 QKJ720990:QKJ720991 QUF720990:QUF720991 REB720990:REB720991 RNX720990:RNX720991 RXT720990:RXT720991 SHP720990:SHP720991 SRL720990:SRL720991 TBH720990:TBH720991 TLD720990:TLD720991 TUZ720990:TUZ720991 UEV720990:UEV720991 UOR720990:UOR720991 UYN720990:UYN720991 VIJ720990:VIJ720991 VSF720990:VSF720991 WCB720990:WCB720991 WLX720990:WLX720991 WVT720990:WVT720991 L786526:L786527 JH786526:JH786527 TD786526:TD786527 ACZ786526:ACZ786527 AMV786526:AMV786527 AWR786526:AWR786527 BGN786526:BGN786527 BQJ786526:BQJ786527 CAF786526:CAF786527 CKB786526:CKB786527 CTX786526:CTX786527 DDT786526:DDT786527 DNP786526:DNP786527 DXL786526:DXL786527 EHH786526:EHH786527 ERD786526:ERD786527 FAZ786526:FAZ786527 FKV786526:FKV786527 FUR786526:FUR786527 GEN786526:GEN786527 GOJ786526:GOJ786527 GYF786526:GYF786527 HIB786526:HIB786527 HRX786526:HRX786527 IBT786526:IBT786527 ILP786526:ILP786527 IVL786526:IVL786527 JFH786526:JFH786527 JPD786526:JPD786527 JYZ786526:JYZ786527 KIV786526:KIV786527 KSR786526:KSR786527 LCN786526:LCN786527 LMJ786526:LMJ786527 LWF786526:LWF786527 MGB786526:MGB786527 MPX786526:MPX786527 MZT786526:MZT786527 NJP786526:NJP786527 NTL786526:NTL786527 ODH786526:ODH786527 OND786526:OND786527 OWZ786526:OWZ786527 PGV786526:PGV786527 PQR786526:PQR786527 QAN786526:QAN786527 QKJ786526:QKJ786527 QUF786526:QUF786527 REB786526:REB786527 RNX786526:RNX786527 RXT786526:RXT786527 SHP786526:SHP786527 SRL786526:SRL786527 TBH786526:TBH786527 TLD786526:TLD786527 TUZ786526:TUZ786527 UEV786526:UEV786527 UOR786526:UOR786527 UYN786526:UYN786527 VIJ786526:VIJ786527 VSF786526:VSF786527 WCB786526:WCB786527 WLX786526:WLX786527 WVT786526:WVT786527 L852062:L852063 JH852062:JH852063 TD852062:TD852063 ACZ852062:ACZ852063 AMV852062:AMV852063 AWR852062:AWR852063 BGN852062:BGN852063 BQJ852062:BQJ852063 CAF852062:CAF852063 CKB852062:CKB852063 CTX852062:CTX852063 DDT852062:DDT852063 DNP852062:DNP852063 DXL852062:DXL852063 EHH852062:EHH852063 ERD852062:ERD852063 FAZ852062:FAZ852063 FKV852062:FKV852063 FUR852062:FUR852063 GEN852062:GEN852063 GOJ852062:GOJ852063 GYF852062:GYF852063 HIB852062:HIB852063 HRX852062:HRX852063 IBT852062:IBT852063 ILP852062:ILP852063 IVL852062:IVL852063 JFH852062:JFH852063 JPD852062:JPD852063 JYZ852062:JYZ852063 KIV852062:KIV852063 KSR852062:KSR852063 LCN852062:LCN852063 LMJ852062:LMJ852063 LWF852062:LWF852063 MGB852062:MGB852063 MPX852062:MPX852063 MZT852062:MZT852063 NJP852062:NJP852063 NTL852062:NTL852063 ODH852062:ODH852063 OND852062:OND852063 OWZ852062:OWZ852063 PGV852062:PGV852063 PQR852062:PQR852063 QAN852062:QAN852063 QKJ852062:QKJ852063 QUF852062:QUF852063 REB852062:REB852063 RNX852062:RNX852063 RXT852062:RXT852063 SHP852062:SHP852063 SRL852062:SRL852063 TBH852062:TBH852063 TLD852062:TLD852063 TUZ852062:TUZ852063 UEV852062:UEV852063 UOR852062:UOR852063 UYN852062:UYN852063 VIJ852062:VIJ852063 VSF852062:VSF852063 WCB852062:WCB852063 WLX852062:WLX852063 WVT852062:WVT852063 L917598:L917599 JH917598:JH917599 TD917598:TD917599 ACZ917598:ACZ917599 AMV917598:AMV917599 AWR917598:AWR917599 BGN917598:BGN917599 BQJ917598:BQJ917599 CAF917598:CAF917599 CKB917598:CKB917599 CTX917598:CTX917599 DDT917598:DDT917599 DNP917598:DNP917599 DXL917598:DXL917599 EHH917598:EHH917599 ERD917598:ERD917599 FAZ917598:FAZ917599 FKV917598:FKV917599 FUR917598:FUR917599 GEN917598:GEN917599 GOJ917598:GOJ917599 GYF917598:GYF917599 HIB917598:HIB917599 HRX917598:HRX917599 IBT917598:IBT917599 ILP917598:ILP917599 IVL917598:IVL917599 JFH917598:JFH917599 JPD917598:JPD917599 JYZ917598:JYZ917599 KIV917598:KIV917599 KSR917598:KSR917599 LCN917598:LCN917599 LMJ917598:LMJ917599 LWF917598:LWF917599 MGB917598:MGB917599 MPX917598:MPX917599 MZT917598:MZT917599 NJP917598:NJP917599 NTL917598:NTL917599 ODH917598:ODH917599 OND917598:OND917599 OWZ917598:OWZ917599 PGV917598:PGV917599 PQR917598:PQR917599 QAN917598:QAN917599 QKJ917598:QKJ917599 QUF917598:QUF917599 REB917598:REB917599 RNX917598:RNX917599 RXT917598:RXT917599 SHP917598:SHP917599 SRL917598:SRL917599 TBH917598:TBH917599 TLD917598:TLD917599 TUZ917598:TUZ917599 UEV917598:UEV917599 UOR917598:UOR917599 UYN917598:UYN917599 VIJ917598:VIJ917599 VSF917598:VSF917599 WCB917598:WCB917599 WLX917598:WLX917599 WVT917598:WVT917599 L983134:L983135 JH983134:JH983135 TD983134:TD983135 ACZ983134:ACZ983135 AMV983134:AMV983135 AWR983134:AWR983135 BGN983134:BGN983135 BQJ983134:BQJ983135 CAF983134:CAF983135 CKB983134:CKB983135 CTX983134:CTX983135 DDT983134:DDT983135 DNP983134:DNP983135 DXL983134:DXL983135 EHH983134:EHH983135 ERD983134:ERD983135 FAZ983134:FAZ983135 FKV983134:FKV983135 FUR983134:FUR983135 GEN983134:GEN983135 GOJ983134:GOJ983135 GYF983134:GYF983135 HIB983134:HIB983135 HRX983134:HRX983135 IBT983134:IBT983135 ILP983134:ILP983135 IVL983134:IVL983135 JFH983134:JFH983135 JPD983134:JPD983135 JYZ983134:JYZ983135 KIV983134:KIV983135 KSR983134:KSR983135 LCN983134:LCN983135 LMJ983134:LMJ983135 LWF983134:LWF983135 MGB983134:MGB983135 MPX983134:MPX983135 MZT983134:MZT983135 NJP983134:NJP983135 NTL983134:NTL983135 ODH983134:ODH983135 OND983134:OND983135 OWZ983134:OWZ983135 PGV983134:PGV983135 PQR983134:PQR983135 QAN983134:QAN983135 QKJ983134:QKJ983135 QUF983134:QUF983135 REB983134:REB983135 RNX983134:RNX983135 RXT983134:RXT983135 SHP983134:SHP983135 SRL983134:SRL983135 TBH983134:TBH983135 TLD983134:TLD983135 TUZ983134:TUZ983135 UEV983134:UEV983135 UOR983134:UOR983135 UYN983134:UYN983135 VIJ983134:VIJ983135 VSF983134:VSF983135 WCB983134:WCB983135 WLX983134:WLX983135">
      <formula1>$U$99:$U$102</formula1>
    </dataValidation>
  </dataValidations>
  <hyperlinks>
    <hyperlink ref="A1" location="'Table Of Contents'!A1" display="TOC"/>
  </hyperlinks>
  <pageMargins left="0.25" right="0.25" top="0.75" bottom="0.75" header="0.3" footer="0.3"/>
  <pageSetup scale="47" orientation="portrait" r:id="rId1"/>
  <headerFooter alignWithMargins="0"/>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B113"/>
  <sheetViews>
    <sheetView showGridLines="0" tabSelected="1" zoomScaleNormal="100" workbookViewId="0">
      <selection activeCell="G1" sqref="G1"/>
    </sheetView>
  </sheetViews>
  <sheetFormatPr defaultRowHeight="15"/>
  <cols>
    <col min="1" max="1" width="3.42578125" customWidth="1"/>
    <col min="2" max="2" width="11.5703125" customWidth="1"/>
    <col min="3" max="3" width="34.42578125" customWidth="1"/>
    <col min="4" max="4" width="19.85546875" customWidth="1"/>
    <col min="5" max="5" width="21.5703125" customWidth="1"/>
    <col min="6" max="6" width="11.140625" customWidth="1"/>
    <col min="7" max="7" width="11.140625" style="45" customWidth="1"/>
    <col min="8" max="8" width="15.140625" customWidth="1"/>
    <col min="9" max="9" width="15.28515625" customWidth="1"/>
    <col min="10" max="10" width="21.42578125" bestFit="1" customWidth="1"/>
    <col min="11" max="11" width="9.140625" customWidth="1"/>
  </cols>
  <sheetData>
    <row r="1" spans="1:11" ht="15.75" customHeight="1" thickBot="1">
      <c r="K1" s="521">
        <f>VLOOKUP(D4,ClimateZoneLookup!A4:F65,6)</f>
        <v>4</v>
      </c>
    </row>
    <row r="2" spans="1:11" ht="36" customHeight="1" thickBot="1">
      <c r="A2" s="2202" t="str">
        <f>"Multifamily Performance Program - New Construction V5.01
Modified Prescriptive Path - Climate Zone "&amp;K1</f>
        <v>Multifamily Performance Program - New Construction V5.01
Modified Prescriptive Path - Climate Zone 4</v>
      </c>
      <c r="B2" s="2203"/>
      <c r="C2" s="2203"/>
      <c r="D2" s="2203"/>
      <c r="E2" s="2203"/>
      <c r="F2" s="2203"/>
      <c r="G2" s="2203"/>
      <c r="H2" s="2203"/>
      <c r="I2" s="2204"/>
      <c r="K2" s="6"/>
    </row>
    <row r="3" spans="1:11" s="45" customFormat="1" ht="19.5" customHeight="1" thickBot="1">
      <c r="A3" s="58"/>
      <c r="B3" s="59"/>
      <c r="C3" s="73" t="s">
        <v>409</v>
      </c>
      <c r="D3" s="2237"/>
      <c r="E3" s="2238"/>
      <c r="F3" s="74"/>
      <c r="G3" s="2233" t="s">
        <v>412</v>
      </c>
      <c r="H3" s="2234"/>
      <c r="I3" s="1287"/>
      <c r="K3" s="46"/>
    </row>
    <row r="4" spans="1:11" ht="19.5" customHeight="1" thickBot="1">
      <c r="A4" s="60"/>
      <c r="B4" s="61"/>
      <c r="C4" s="73" t="s">
        <v>410</v>
      </c>
      <c r="D4" s="1290" t="s">
        <v>131</v>
      </c>
      <c r="E4" s="896"/>
      <c r="F4" s="897"/>
      <c r="G4" s="2235" t="s">
        <v>2323</v>
      </c>
      <c r="H4" s="2236"/>
      <c r="I4" s="1288"/>
      <c r="K4" s="6"/>
    </row>
    <row r="5" spans="1:11" s="45" customFormat="1" ht="19.5" customHeight="1" thickBot="1">
      <c r="A5" s="60"/>
      <c r="B5" s="60"/>
      <c r="C5" s="73" t="s">
        <v>411</v>
      </c>
      <c r="D5" s="1291"/>
      <c r="E5" s="896"/>
      <c r="F5" s="897"/>
      <c r="G5" s="2235" t="s">
        <v>604</v>
      </c>
      <c r="H5" s="2236"/>
      <c r="I5" s="1288"/>
      <c r="K5" s="46"/>
    </row>
    <row r="6" spans="1:11" s="297" customFormat="1" ht="19.5" customHeight="1" thickBot="1">
      <c r="A6" s="60"/>
      <c r="B6" s="61"/>
      <c r="C6" s="73" t="s">
        <v>605</v>
      </c>
      <c r="D6" s="1291"/>
      <c r="E6" s="911"/>
      <c r="F6" s="897"/>
      <c r="G6" s="2117" t="s">
        <v>413</v>
      </c>
      <c r="H6" s="2118"/>
      <c r="I6" s="1289"/>
      <c r="K6" s="46"/>
    </row>
    <row r="7" spans="1:11" s="297" customFormat="1" ht="19.5" customHeight="1" thickBot="1">
      <c r="A7" s="60"/>
      <c r="B7" s="62"/>
      <c r="C7" s="912"/>
      <c r="D7" s="913"/>
      <c r="E7" s="898"/>
      <c r="F7" s="899"/>
      <c r="G7" s="2117" t="s">
        <v>606</v>
      </c>
      <c r="H7" s="2118"/>
      <c r="I7" s="1289"/>
      <c r="K7" s="46"/>
    </row>
    <row r="8" spans="1:11" ht="26.25" thickBot="1">
      <c r="A8" s="2205" t="s">
        <v>30</v>
      </c>
      <c r="B8" s="63" t="s">
        <v>265</v>
      </c>
      <c r="C8" s="66" t="s">
        <v>266</v>
      </c>
      <c r="D8" s="65" t="s">
        <v>38</v>
      </c>
      <c r="E8" s="64" t="s">
        <v>2319</v>
      </c>
      <c r="F8" s="53" t="s">
        <v>37</v>
      </c>
      <c r="G8" s="54" t="s">
        <v>407</v>
      </c>
      <c r="H8" s="54" t="s">
        <v>499</v>
      </c>
      <c r="I8" s="53" t="s">
        <v>225</v>
      </c>
      <c r="J8" s="914" t="str">
        <f>IF(I7="Yes","Existing Conditions","")</f>
        <v/>
      </c>
    </row>
    <row r="9" spans="1:11" ht="17.25" customHeight="1">
      <c r="A9" s="2206"/>
      <c r="B9" s="2208" t="s">
        <v>36</v>
      </c>
      <c r="C9" s="408" t="s">
        <v>16</v>
      </c>
      <c r="D9" s="446" t="str">
        <f>IF('Prescriptive Path'!$K$1=4,Proposed!C15,IF('Prescriptive Path'!$K$1=5,Proposed!J15,IF('Prescriptive Path'!$K$1=6,Proposed!O15)))</f>
        <v>R-25.0 ci</v>
      </c>
      <c r="E9" s="447" t="str">
        <f>IF('Prescriptive Path'!$K$1=4,Proposed!G15,IF('Prescriptive Path'!$K$1=5,Proposed!N15,IF('Prescriptive Path'!$K$1=6,Proposed!S15)))</f>
        <v>U-0.039</v>
      </c>
      <c r="F9" s="3"/>
      <c r="G9" s="3"/>
      <c r="H9" s="1286"/>
      <c r="I9" s="47" t="s">
        <v>223</v>
      </c>
      <c r="J9" s="1309" t="s">
        <v>2279</v>
      </c>
    </row>
    <row r="10" spans="1:11" ht="17.25" customHeight="1">
      <c r="A10" s="2206"/>
      <c r="B10" s="2209"/>
      <c r="C10" s="438" t="s">
        <v>66</v>
      </c>
      <c r="D10" s="446" t="str">
        <f>IF('Prescriptive Path'!$K$1=4,Proposed!C16,IF('Prescriptive Path'!$K$1=5,Proposed!J16,IF('Prescriptive Path'!$K$1=6,Proposed!O16)))</f>
        <v>R-19.0 + R-11 ls</v>
      </c>
      <c r="E10" s="447" t="str">
        <f>IF('Prescriptive Path'!$K$1=4,Proposed!G16,IF('Prescriptive Path'!$K$1=5,Proposed!N16,IF('Prescriptive Path'!$K$1=6,Proposed!S16)))</f>
        <v>U-0.035</v>
      </c>
      <c r="F10" s="3"/>
      <c r="G10" s="3"/>
      <c r="H10" s="1286"/>
      <c r="I10" s="7" t="s">
        <v>223</v>
      </c>
      <c r="J10" s="1309" t="s">
        <v>2279</v>
      </c>
    </row>
    <row r="11" spans="1:11" s="45" customFormat="1" ht="17.25" customHeight="1">
      <c r="A11" s="2206"/>
      <c r="B11" s="2209"/>
      <c r="C11" s="409" t="s">
        <v>68</v>
      </c>
      <c r="D11" s="446" t="str">
        <f>IF('Prescriptive Path'!$K$1=4,Proposed!C17,IF('Prescriptive Path'!$K$1=5,Proposed!J17,IF('Prescriptive Path'!$K$1=6,Proposed!O17)))</f>
        <v>R-49.0</v>
      </c>
      <c r="E11" s="447" t="str">
        <f>IF('Prescriptive Path'!$K$1=4,Proposed!G17,IF('Prescriptive Path'!$K$1=5,Proposed!N17,IF('Prescriptive Path'!$K$1=6,Proposed!S17)))</f>
        <v>U-0.021</v>
      </c>
      <c r="F11" s="3"/>
      <c r="G11" s="3"/>
      <c r="H11" s="1286"/>
      <c r="I11" s="7" t="s">
        <v>223</v>
      </c>
      <c r="J11" s="1309" t="s">
        <v>2279</v>
      </c>
    </row>
    <row r="12" spans="1:11" ht="17.25" customHeight="1">
      <c r="A12" s="2206"/>
      <c r="B12" s="2210" t="s">
        <v>81</v>
      </c>
      <c r="C12" s="438" t="s">
        <v>124</v>
      </c>
      <c r="D12" s="446" t="str">
        <f>IF('Prescriptive Path'!$K$1=4,Proposed!C18,IF('Prescriptive Path'!$K$1=5,Proposed!J18,IF('Prescriptive Path'!$K$1=6,Proposed!O18)))</f>
        <v>R-13.3 ci</v>
      </c>
      <c r="E12" s="447" t="str">
        <f>IF('Prescriptive Path'!$K$1=4,Proposed!G18,IF('Prescriptive Path'!$K$1=5,Proposed!N18,IF('Prescriptive Path'!$K$1=6,Proposed!S18)))</f>
        <v>U-0.08</v>
      </c>
      <c r="F12" s="3"/>
      <c r="G12" s="3"/>
      <c r="H12" s="1286"/>
      <c r="I12" s="7" t="s">
        <v>223</v>
      </c>
      <c r="J12" s="1309" t="s">
        <v>2279</v>
      </c>
    </row>
    <row r="13" spans="1:11" ht="17.25" customHeight="1">
      <c r="A13" s="2206"/>
      <c r="B13" s="2211"/>
      <c r="C13" s="409" t="s">
        <v>31</v>
      </c>
      <c r="D13" s="446" t="str">
        <f>IF('Prescriptive Path'!$K$1=4,Proposed!C19,IF('Prescriptive Path'!$K$1=5,Proposed!J19,IF('Prescriptive Path'!$K$1=6,Proposed!O19)))</f>
        <v>R-13.0 + R-13 ci</v>
      </c>
      <c r="E13" s="447" t="str">
        <f>IF('Prescriptive Path'!$K$1=4,Proposed!G19,IF('Prescriptive Path'!$K$1=5,Proposed!N19,IF('Prescriptive Path'!$K$1=6,Proposed!S19)))</f>
        <v>U-0.052</v>
      </c>
      <c r="F13" s="3"/>
      <c r="G13" s="3"/>
      <c r="H13" s="1286"/>
      <c r="I13" s="7" t="s">
        <v>223</v>
      </c>
      <c r="J13" s="1309" t="s">
        <v>2279</v>
      </c>
    </row>
    <row r="14" spans="1:11" s="45" customFormat="1" ht="17.25" customHeight="1">
      <c r="A14" s="2206"/>
      <c r="B14" s="2211"/>
      <c r="C14" s="409" t="s">
        <v>285</v>
      </c>
      <c r="D14" s="446" t="str">
        <f>IF('Prescriptive Path'!$K$1=4,Proposed!C20,IF('Prescriptive Path'!$K$1=5,Proposed!J20,IF('Prescriptive Path'!$K$1=6,Proposed!O20)))</f>
        <v>R-13.0 + R-10 ci</v>
      </c>
      <c r="E14" s="447" t="str">
        <f>IF('Prescriptive Path'!$K$1=4,Proposed!G20,IF('Prescriptive Path'!$K$1=5,Proposed!N20,IF('Prescriptive Path'!$K$1=6,Proposed!S20)))</f>
        <v>U-0.055</v>
      </c>
      <c r="F14" s="3"/>
      <c r="G14" s="3"/>
      <c r="H14" s="1286"/>
      <c r="I14" s="7" t="s">
        <v>223</v>
      </c>
      <c r="J14" s="1309" t="s">
        <v>2279</v>
      </c>
    </row>
    <row r="15" spans="1:11" ht="17.25" customHeight="1">
      <c r="A15" s="2206"/>
      <c r="B15" s="2211"/>
      <c r="C15" s="438" t="s">
        <v>310</v>
      </c>
      <c r="D15" s="446" t="str">
        <f>IF('Prescriptive Path'!$K$1=4,Proposed!C21,IF('Prescriptive Path'!$K$1=5,Proposed!J21,IF('Prescriptive Path'!$K$1=6,Proposed!O21)))</f>
        <v>R-13.0 + R-7.5 ci</v>
      </c>
      <c r="E15" s="447" t="str">
        <f>IF('Prescriptive Path'!$K$1=4,Proposed!G21,IF('Prescriptive Path'!$K$1=5,Proposed!N21,IF('Prescriptive Path'!$K$1=6,Proposed!S21)))</f>
        <v>U-0.051</v>
      </c>
      <c r="F15" s="3"/>
      <c r="G15" s="3"/>
      <c r="H15" s="1286"/>
      <c r="I15" s="7" t="s">
        <v>223</v>
      </c>
      <c r="J15" s="1309" t="s">
        <v>2279</v>
      </c>
    </row>
    <row r="16" spans="1:11" ht="19.5" customHeight="1">
      <c r="A16" s="2206"/>
      <c r="B16" s="2212" t="s">
        <v>82</v>
      </c>
      <c r="C16" s="409" t="s">
        <v>5</v>
      </c>
      <c r="D16" s="446" t="str">
        <f>IF('Prescriptive Path'!$K$1=4,Proposed!C22,IF('Prescriptive Path'!$K$1=5,Proposed!J22,IF('Prescriptive Path'!$K$1=6,Proposed!O22)))</f>
        <v>R-10 ci</v>
      </c>
      <c r="E16" s="447" t="str">
        <f>IF('Prescriptive Path'!$K$1=4,Proposed!G22,IF('Prescriptive Path'!$K$1=5,Proposed!N22,IF('Prescriptive Path'!$K$1=6,Proposed!S22)))</f>
        <v>C-0.092</v>
      </c>
      <c r="F16" s="3"/>
      <c r="G16" s="3"/>
      <c r="H16" s="1286"/>
      <c r="I16" s="7" t="s">
        <v>223</v>
      </c>
      <c r="J16" s="1309" t="s">
        <v>2318</v>
      </c>
      <c r="K16" t="str">
        <f>IF(AND(LEFT(J16,2)&lt;&gt;"C-",LEFT(J16,1)&lt;&gt;"&lt;"),"Please enter value fortmatted as C-#.### - e.g. C-0.092.","")</f>
        <v/>
      </c>
    </row>
    <row r="17" spans="1:11" s="45" customFormat="1" ht="19.5" customHeight="1">
      <c r="A17" s="2206"/>
      <c r="B17" s="2213"/>
      <c r="C17" s="409" t="s">
        <v>6</v>
      </c>
      <c r="D17" s="2214" t="s">
        <v>7</v>
      </c>
      <c r="E17" s="2128"/>
      <c r="F17" s="3"/>
      <c r="G17" s="3"/>
      <c r="H17" s="2134"/>
      <c r="I17" s="2135" t="s">
        <v>223</v>
      </c>
      <c r="J17" s="1223" t="str">
        <f>IF($I$7="Yes",".","")</f>
        <v/>
      </c>
    </row>
    <row r="18" spans="1:11" ht="17.25" customHeight="1">
      <c r="A18" s="2206"/>
      <c r="B18" s="2213" t="s">
        <v>83</v>
      </c>
      <c r="C18" s="409" t="s">
        <v>125</v>
      </c>
      <c r="D18" s="434" t="str">
        <f>IF('Prescriptive Path'!$K$1=4,Proposed!C24,IF('Prescriptive Path'!$K$1=5,Proposed!J24,IF('Prescriptive Path'!$K$1=6,Proposed!O24)))</f>
        <v>R-12.5 ci</v>
      </c>
      <c r="E18" s="27" t="str">
        <f>IF('Prescriptive Path'!$K$1=4,Proposed!G24,IF('Prescriptive Path'!$K$1=5,Proposed!N24,IF('Prescriptive Path'!$K$1=6,Proposed!S24)))</f>
        <v>U-0.064</v>
      </c>
      <c r="F18" s="3"/>
      <c r="G18" s="3"/>
      <c r="H18" s="1292"/>
      <c r="I18" s="7" t="s">
        <v>223</v>
      </c>
      <c r="J18" s="1309" t="s">
        <v>2320</v>
      </c>
      <c r="K18" s="297" t="str">
        <f>IF(J18="","",IF(AND(LEFT(J18,2)&lt;&gt;"U-",LEFT(J18,1)&lt;&gt;"&lt;"),"Please enter value fortmatted as U-#.### - e.g. U-0.092.",""))</f>
        <v/>
      </c>
    </row>
    <row r="19" spans="1:11" ht="17.25" customHeight="1">
      <c r="A19" s="2206"/>
      <c r="B19" s="2213"/>
      <c r="C19" s="409" t="s">
        <v>87</v>
      </c>
      <c r="D19" s="346" t="str">
        <f>IF('Prescriptive Path'!$K$1=4,Proposed!C25,IF('Prescriptive Path'!$K$1=5,Proposed!J25,IF('Prescriptive Path'!$K$1=6,Proposed!O25)))</f>
        <v>R-38.0</v>
      </c>
      <c r="E19" s="27" t="str">
        <f>IF('Prescriptive Path'!$K$1=4,Proposed!G25,IF('Prescriptive Path'!$K$1=5,Proposed!N25,IF('Prescriptive Path'!$K$1=6,Proposed!S25)))</f>
        <v>U-0.032</v>
      </c>
      <c r="F19" s="3"/>
      <c r="G19" s="3"/>
      <c r="H19" s="1292"/>
      <c r="I19" s="7" t="s">
        <v>223</v>
      </c>
      <c r="J19" s="1309" t="s">
        <v>2320</v>
      </c>
      <c r="K19" s="297" t="str">
        <f>IF(J19="","",IF(AND(LEFT(J19,2)&lt;&gt;"U-",LEFT(J19,1)&lt;&gt;"&lt;"),"Please enter value fortmatted as U-#.### - e.g. U-0.092.",""))</f>
        <v/>
      </c>
    </row>
    <row r="20" spans="1:11" ht="17.25" customHeight="1">
      <c r="A20" s="2206"/>
      <c r="B20" s="2213"/>
      <c r="C20" s="409" t="s">
        <v>98</v>
      </c>
      <c r="D20" s="346" t="str">
        <f>IF('Prescriptive Path'!$K$1=4,Proposed!C26,IF('Prescriptive Path'!$K$1=5,Proposed!J26,IF('Prescriptive Path'!$K$1=6,Proposed!O26)))</f>
        <v>R-30.0 + R-7.5 ci</v>
      </c>
      <c r="E20" s="27" t="str">
        <f>IF('Prescriptive Path'!$K$1=4,Proposed!G26,IF('Prescriptive Path'!$K$1=5,Proposed!N26,IF('Prescriptive Path'!$K$1=6,Proposed!S26)))</f>
        <v>U-0.026</v>
      </c>
      <c r="F20" s="3"/>
      <c r="G20" s="3"/>
      <c r="H20" s="1292"/>
      <c r="I20" s="7" t="s">
        <v>223</v>
      </c>
      <c r="J20" s="1309" t="s">
        <v>2320</v>
      </c>
      <c r="K20" s="297" t="str">
        <f>IF(J20="","",IF(AND(LEFT(J20,2)&lt;&gt;"U-",LEFT(J20,1)&lt;&gt;"&lt;"),"Please enter value fortmatted as U-#.### - e.g. U-0.092.",""))</f>
        <v/>
      </c>
    </row>
    <row r="21" spans="1:11" ht="17.25" customHeight="1">
      <c r="A21" s="2206"/>
      <c r="B21" s="2215" t="s">
        <v>84</v>
      </c>
      <c r="C21" s="438" t="s">
        <v>40</v>
      </c>
      <c r="D21" s="2217" t="str">
        <f>IF('Prescriptive Path'!$K$1=4,Proposed!C27,IF('Prescriptive Path'!$K$1=5,Proposed!J27,IF('Prescriptive Path'!$K$1=6,Proposed!O27)))</f>
        <v>R-15.0 for 24 in.</v>
      </c>
      <c r="E21" s="2218"/>
      <c r="F21" s="3"/>
      <c r="G21" s="3"/>
      <c r="H21" s="2229"/>
      <c r="I21" s="2230"/>
      <c r="J21" s="1224" t="str">
        <f>IF($I$7="Yes",".","")</f>
        <v/>
      </c>
    </row>
    <row r="22" spans="1:11" ht="17.25" customHeight="1">
      <c r="A22" s="2206"/>
      <c r="B22" s="2216"/>
      <c r="C22" s="438" t="s">
        <v>34</v>
      </c>
      <c r="D22" s="2219" t="str">
        <f>IF('Prescriptive Path'!$K$1=4,Proposed!C28,IF('Prescriptive Path'!$K$1=5,Proposed!J28,IF('Prescriptive Path'!$K$1=6,Proposed!O28)))</f>
        <v>R-10.0 for 24 in. + R-5 ci below</v>
      </c>
      <c r="E22" s="2220"/>
      <c r="F22" s="3"/>
      <c r="G22" s="3"/>
      <c r="H22" s="2231"/>
      <c r="I22" s="2232"/>
      <c r="J22" s="1224" t="str">
        <f>IF($I$7="Yes",".","")</f>
        <v/>
      </c>
    </row>
    <row r="23" spans="1:11" ht="25.5">
      <c r="A23" s="2206"/>
      <c r="B23" s="5" t="s">
        <v>13</v>
      </c>
      <c r="C23" s="409" t="s">
        <v>8</v>
      </c>
      <c r="D23" s="346" t="s">
        <v>331</v>
      </c>
      <c r="E23" s="27" t="str">
        <f>IF('Prescriptive Path'!$K$1=4,Proposed!G29,IF('Prescriptive Path'!$K$1=5,Proposed!N29,IF('Prescriptive Path'!$K$1=6,Proposed!S29)))</f>
        <v>U-0.6</v>
      </c>
      <c r="F23" s="3"/>
      <c r="G23" s="3"/>
      <c r="H23" s="1292"/>
      <c r="I23" s="7" t="s">
        <v>223</v>
      </c>
      <c r="J23" s="1310" t="s">
        <v>2320</v>
      </c>
      <c r="K23" s="297" t="str">
        <f>IF(J23="","",IF(AND(LEFT(J23,2)&lt;&gt;"U-",LEFT(J23,1)&lt;&gt;"&lt;"),"Please enter value fortmatted as U-#.### - e.g. U-0.092.",""))</f>
        <v/>
      </c>
    </row>
    <row r="24" spans="1:11">
      <c r="A24" s="2206"/>
      <c r="B24" s="2211" t="s">
        <v>54</v>
      </c>
      <c r="C24" s="409" t="s">
        <v>9</v>
      </c>
      <c r="D24" s="2222" t="s">
        <v>2268</v>
      </c>
      <c r="E24" s="2223"/>
      <c r="F24" s="3"/>
      <c r="G24" s="3"/>
      <c r="H24" s="2134"/>
      <c r="I24" s="2135"/>
      <c r="J24" s="915" t="str">
        <f>IF($I$7="Yes",".","")</f>
        <v/>
      </c>
    </row>
    <row r="25" spans="1:11">
      <c r="A25" s="2206"/>
      <c r="B25" s="2211"/>
      <c r="C25" s="439" t="s">
        <v>10</v>
      </c>
      <c r="D25" s="2224" t="s">
        <v>4</v>
      </c>
      <c r="E25" s="2225"/>
      <c r="F25" s="3"/>
      <c r="G25" s="3"/>
      <c r="H25" s="1293"/>
      <c r="I25" s="7" t="s">
        <v>223</v>
      </c>
      <c r="J25" s="1309" t="s">
        <v>2281</v>
      </c>
    </row>
    <row r="26" spans="1:11">
      <c r="A26" s="2206"/>
      <c r="B26" s="2211"/>
      <c r="C26" s="439"/>
      <c r="D26" s="2244" t="s">
        <v>128</v>
      </c>
      <c r="E26" s="2245"/>
      <c r="F26" s="3"/>
      <c r="G26" s="3"/>
      <c r="H26" s="2134"/>
      <c r="I26" s="2135"/>
      <c r="J26" s="915" t="str">
        <f>IF($I$7="Yes",".","")</f>
        <v/>
      </c>
    </row>
    <row r="27" spans="1:11">
      <c r="A27" s="2206"/>
      <c r="B27" s="2211"/>
      <c r="C27" s="439" t="s">
        <v>49</v>
      </c>
      <c r="D27" s="2127" t="str">
        <f>IF('Prescriptive Path'!$K$1=4,Proposed!G33,IF('Prescriptive Path'!$K$1=5,Proposed!N33,IF('Prescriptive Path'!$K$1=6,Proposed!S33)))</f>
        <v>U-0.40 / SHGC-0.40</v>
      </c>
      <c r="E27" s="2226"/>
      <c r="F27" s="3"/>
      <c r="G27" s="3"/>
      <c r="H27" s="1293"/>
      <c r="I27" s="7" t="s">
        <v>223</v>
      </c>
      <c r="J27" s="1309" t="s">
        <v>2281</v>
      </c>
    </row>
    <row r="28" spans="1:11">
      <c r="A28" s="2206"/>
      <c r="B28" s="2211"/>
      <c r="C28" s="439" t="s">
        <v>11</v>
      </c>
      <c r="D28" s="2227" t="str">
        <f>IF('Prescriptive Path'!$K$1=4,Proposed!G34,IF('Prescriptive Path'!$K$1=5,Proposed!N34,IF('Prescriptive Path'!$K$1=6,Proposed!S34)))</f>
        <v>U-0.75 / SHGC-0.40</v>
      </c>
      <c r="E28" s="2228"/>
      <c r="F28" s="3"/>
      <c r="G28" s="3"/>
      <c r="H28" s="2134"/>
      <c r="I28" s="2135" t="s">
        <v>223</v>
      </c>
      <c r="J28" s="915" t="str">
        <f>IF($I$7="Yes",".","")</f>
        <v/>
      </c>
    </row>
    <row r="29" spans="1:11" ht="15.75" thickBot="1">
      <c r="A29" s="2207"/>
      <c r="B29" s="2221"/>
      <c r="C29" s="440" t="s">
        <v>12</v>
      </c>
      <c r="D29" s="2227" t="str">
        <f>IF('Prescriptive Path'!$K$1=4,Proposed!G35,IF('Prescriptive Path'!$K$1=5,Proposed!N35,IF('Prescriptive Path'!$K$1=6,Proposed!S35)))</f>
        <v>U-0.45 / SHGC-0.40</v>
      </c>
      <c r="E29" s="2228"/>
      <c r="F29" s="3"/>
      <c r="G29" s="3"/>
      <c r="H29" s="1293"/>
      <c r="I29" s="7" t="s">
        <v>223</v>
      </c>
      <c r="J29" s="1309" t="s">
        <v>2281</v>
      </c>
    </row>
    <row r="30" spans="1:11" ht="26.25" thickBot="1">
      <c r="A30" s="1" t="s">
        <v>0</v>
      </c>
      <c r="B30" s="2" t="s">
        <v>14</v>
      </c>
      <c r="C30" s="52" t="s">
        <v>15</v>
      </c>
      <c r="D30" s="2242" t="s">
        <v>397</v>
      </c>
      <c r="E30" s="2243"/>
      <c r="F30" s="53" t="s">
        <v>37</v>
      </c>
      <c r="G30" s="54" t="s">
        <v>407</v>
      </c>
      <c r="H30" s="54" t="s">
        <v>499</v>
      </c>
      <c r="I30" s="53" t="s">
        <v>225</v>
      </c>
    </row>
    <row r="31" spans="1:11">
      <c r="A31" s="2246" t="s">
        <v>35</v>
      </c>
      <c r="B31" s="2239" t="s">
        <v>35</v>
      </c>
      <c r="C31" s="410" t="s">
        <v>424</v>
      </c>
      <c r="D31" s="2152" t="s">
        <v>4</v>
      </c>
      <c r="E31" s="2153"/>
      <c r="F31" s="2077" t="b">
        <v>0</v>
      </c>
      <c r="G31" s="215"/>
      <c r="H31" s="1294"/>
      <c r="I31" s="411" t="s">
        <v>227</v>
      </c>
      <c r="K31" s="46"/>
    </row>
    <row r="32" spans="1:11">
      <c r="A32" s="2247"/>
      <c r="B32" s="2240"/>
      <c r="C32" s="403" t="s">
        <v>506</v>
      </c>
      <c r="D32" s="2154" t="s">
        <v>4</v>
      </c>
      <c r="E32" s="2155"/>
      <c r="F32" s="2078" t="b">
        <v>0</v>
      </c>
      <c r="G32" s="151"/>
      <c r="H32" s="1295"/>
      <c r="I32" s="10" t="s">
        <v>227</v>
      </c>
      <c r="K32" s="46"/>
    </row>
    <row r="33" spans="1:11">
      <c r="A33" s="2247"/>
      <c r="B33" s="2240"/>
      <c r="C33" s="403" t="s">
        <v>406</v>
      </c>
      <c r="D33" s="2154" t="s">
        <v>4</v>
      </c>
      <c r="E33" s="2155"/>
      <c r="F33" s="2078" t="b">
        <v>0</v>
      </c>
      <c r="G33" s="151"/>
      <c r="H33" s="1295"/>
      <c r="I33" s="10" t="s">
        <v>227</v>
      </c>
      <c r="K33" s="69"/>
    </row>
    <row r="34" spans="1:11" ht="15.75" customHeight="1">
      <c r="A34" s="2247"/>
      <c r="B34" s="2240"/>
      <c r="C34" s="403" t="s">
        <v>432</v>
      </c>
      <c r="D34" s="2154" t="s">
        <v>4</v>
      </c>
      <c r="E34" s="2155"/>
      <c r="F34" s="2078" t="b">
        <v>0</v>
      </c>
      <c r="G34" s="151"/>
      <c r="H34" s="1295"/>
      <c r="I34" s="10" t="s">
        <v>227</v>
      </c>
      <c r="K34" s="69"/>
    </row>
    <row r="35" spans="1:11" ht="15.75" customHeight="1">
      <c r="A35" s="2247"/>
      <c r="B35" s="2240"/>
      <c r="C35" s="214" t="s">
        <v>233</v>
      </c>
      <c r="D35" s="2156" t="s">
        <v>4</v>
      </c>
      <c r="E35" s="2157"/>
      <c r="F35" s="2078" t="b">
        <v>0</v>
      </c>
      <c r="G35" s="151"/>
      <c r="H35" s="1296"/>
      <c r="I35" s="400" t="s">
        <v>227</v>
      </c>
      <c r="K35" s="69"/>
    </row>
    <row r="36" spans="1:11" s="45" customFormat="1" ht="15.75" customHeight="1">
      <c r="A36" s="2247"/>
      <c r="B36" s="2240"/>
      <c r="C36" s="17" t="s">
        <v>425</v>
      </c>
      <c r="D36" s="2214" t="s">
        <v>7</v>
      </c>
      <c r="E36" s="2128"/>
      <c r="F36" s="401"/>
      <c r="G36" s="402"/>
      <c r="H36" s="2249"/>
      <c r="I36" s="2250"/>
      <c r="K36" s="69"/>
    </row>
    <row r="37" spans="1:11" s="45" customFormat="1" ht="15.75" customHeight="1" thickBot="1">
      <c r="A37" s="2248"/>
      <c r="B37" s="2241"/>
      <c r="C37" s="443" t="s">
        <v>507</v>
      </c>
      <c r="D37" s="2132" t="s">
        <v>4</v>
      </c>
      <c r="E37" s="2133"/>
      <c r="F37" s="2079" t="b">
        <v>0</v>
      </c>
      <c r="G37" s="2079" t="b">
        <v>0</v>
      </c>
      <c r="H37" s="1297"/>
      <c r="I37" s="9" t="s">
        <v>227</v>
      </c>
      <c r="K37" s="69"/>
    </row>
    <row r="38" spans="1:11" ht="15" customHeight="1">
      <c r="A38" s="2255" t="s">
        <v>48</v>
      </c>
      <c r="B38" s="2266" t="s">
        <v>48</v>
      </c>
      <c r="C38" s="2158" t="s">
        <v>50</v>
      </c>
      <c r="D38" s="2269" t="s">
        <v>510</v>
      </c>
      <c r="E38" s="2270"/>
      <c r="F38" s="2083" t="b">
        <v>0</v>
      </c>
      <c r="G38" s="69"/>
      <c r="H38" s="1298"/>
      <c r="I38" s="267" t="s">
        <v>227</v>
      </c>
      <c r="K38" s="46"/>
    </row>
    <row r="39" spans="1:11" ht="15" customHeight="1">
      <c r="A39" s="2255"/>
      <c r="B39" s="2240"/>
      <c r="C39" s="2159"/>
      <c r="D39" s="2269"/>
      <c r="E39" s="2270"/>
      <c r="F39" s="2082"/>
      <c r="G39" s="69"/>
      <c r="H39" s="1292"/>
      <c r="I39" s="267" t="s">
        <v>414</v>
      </c>
      <c r="J39" s="45"/>
    </row>
    <row r="40" spans="1:11">
      <c r="A40" s="2255"/>
      <c r="B40" s="2240"/>
      <c r="C40" s="2159"/>
      <c r="D40" s="2271"/>
      <c r="E40" s="2272"/>
      <c r="F40" s="2080"/>
      <c r="G40" s="71"/>
      <c r="H40" s="1286"/>
      <c r="I40" s="15" t="s">
        <v>415</v>
      </c>
      <c r="J40" s="45"/>
    </row>
    <row r="41" spans="1:11">
      <c r="A41" s="2255"/>
      <c r="B41" s="2240"/>
      <c r="C41" s="2159"/>
      <c r="D41" s="2200" t="s">
        <v>337</v>
      </c>
      <c r="E41" s="2201"/>
      <c r="F41" s="2161" t="b">
        <v>0</v>
      </c>
      <c r="G41" s="2142"/>
      <c r="H41" s="1286"/>
      <c r="I41" s="15" t="s">
        <v>227</v>
      </c>
    </row>
    <row r="42" spans="1:11" ht="15" customHeight="1">
      <c r="A42" s="2255"/>
      <c r="B42" s="2240"/>
      <c r="C42" s="2159"/>
      <c r="D42" s="2269"/>
      <c r="E42" s="2270"/>
      <c r="F42" s="2177"/>
      <c r="G42" s="2176"/>
      <c r="H42" s="1295"/>
      <c r="I42" s="267" t="s">
        <v>414</v>
      </c>
    </row>
    <row r="43" spans="1:11">
      <c r="A43" s="2255"/>
      <c r="B43" s="2240"/>
      <c r="C43" s="2160"/>
      <c r="D43" s="2271"/>
      <c r="E43" s="2272"/>
      <c r="F43" s="2178"/>
      <c r="G43" s="2143"/>
      <c r="H43" s="1299"/>
      <c r="I43" s="56" t="s">
        <v>415</v>
      </c>
    </row>
    <row r="44" spans="1:11" ht="25.5">
      <c r="A44" s="2255"/>
      <c r="B44" s="2240"/>
      <c r="C44" s="57" t="s">
        <v>44</v>
      </c>
      <c r="D44" s="2131" t="s">
        <v>39</v>
      </c>
      <c r="E44" s="2124"/>
      <c r="F44" s="266"/>
      <c r="G44" s="266"/>
      <c r="H44" s="1295"/>
      <c r="I44" s="10" t="s">
        <v>226</v>
      </c>
    </row>
    <row r="45" spans="1:11" ht="20.25" customHeight="1">
      <c r="A45" s="2255"/>
      <c r="B45" s="2240"/>
      <c r="C45" s="2260" t="s">
        <v>43</v>
      </c>
      <c r="D45" s="2262" t="s">
        <v>2267</v>
      </c>
      <c r="E45" s="2263"/>
      <c r="F45" s="2161" t="b">
        <v>0</v>
      </c>
      <c r="G45" s="2163"/>
      <c r="H45" s="1295"/>
      <c r="I45" s="10" t="s">
        <v>436</v>
      </c>
      <c r="J45" s="303" t="b">
        <v>0</v>
      </c>
    </row>
    <row r="46" spans="1:11" s="45" customFormat="1" ht="19.5" customHeight="1" thickBot="1">
      <c r="A46" s="2256"/>
      <c r="B46" s="2241"/>
      <c r="C46" s="2261"/>
      <c r="D46" s="2264"/>
      <c r="E46" s="2265"/>
      <c r="F46" s="2162"/>
      <c r="G46" s="2164"/>
      <c r="H46" s="1297"/>
      <c r="I46" s="9" t="s">
        <v>437</v>
      </c>
    </row>
    <row r="47" spans="1:11" ht="19.5" customHeight="1">
      <c r="A47" s="2205" t="s">
        <v>56</v>
      </c>
      <c r="B47" s="2282" t="s">
        <v>57</v>
      </c>
      <c r="C47" s="2148" t="s">
        <v>58</v>
      </c>
      <c r="D47" s="2172" t="s">
        <v>86</v>
      </c>
      <c r="E47" s="2173"/>
      <c r="F47" s="2170"/>
      <c r="G47" s="2170"/>
      <c r="H47" s="1300"/>
      <c r="I47" s="411" t="s">
        <v>228</v>
      </c>
    </row>
    <row r="48" spans="1:11" s="297" customFormat="1" ht="19.5" customHeight="1" thickBot="1">
      <c r="A48" s="2207"/>
      <c r="B48" s="2283"/>
      <c r="C48" s="2149"/>
      <c r="D48" s="2174"/>
      <c r="E48" s="2175"/>
      <c r="F48" s="2171"/>
      <c r="G48" s="2171"/>
      <c r="H48" s="1301"/>
      <c r="I48" s="51" t="s">
        <v>560</v>
      </c>
    </row>
    <row r="49" spans="1:11" ht="25.5" customHeight="1">
      <c r="A49" s="2292" t="s">
        <v>45</v>
      </c>
      <c r="B49" s="2295" t="s">
        <v>88</v>
      </c>
      <c r="C49" s="445" t="s">
        <v>338</v>
      </c>
      <c r="D49" s="2257" t="s">
        <v>286</v>
      </c>
      <c r="E49" s="2258"/>
      <c r="F49" s="72"/>
      <c r="G49" s="72"/>
      <c r="H49" s="1302"/>
      <c r="I49" s="156" t="s">
        <v>252</v>
      </c>
    </row>
    <row r="50" spans="1:11" s="45" customFormat="1" ht="15" customHeight="1">
      <c r="A50" s="2293"/>
      <c r="B50" s="2295"/>
      <c r="C50" s="67" t="s">
        <v>359</v>
      </c>
      <c r="D50" s="2168" t="s">
        <v>286</v>
      </c>
      <c r="E50" s="2169"/>
      <c r="F50" s="70"/>
      <c r="G50" s="70"/>
      <c r="H50" s="1303"/>
      <c r="I50" s="47" t="s">
        <v>252</v>
      </c>
    </row>
    <row r="51" spans="1:11" s="45" customFormat="1" ht="25.5" customHeight="1">
      <c r="A51" s="2293"/>
      <c r="B51" s="2295"/>
      <c r="C51" s="68" t="s">
        <v>360</v>
      </c>
      <c r="D51" s="2198" t="s">
        <v>364</v>
      </c>
      <c r="E51" s="2199"/>
      <c r="F51" s="70"/>
      <c r="G51" s="70"/>
      <c r="H51" s="1286"/>
      <c r="I51" s="47" t="s">
        <v>252</v>
      </c>
    </row>
    <row r="52" spans="1:11" ht="25.5">
      <c r="A52" s="2293"/>
      <c r="B52" s="2295"/>
      <c r="C52" s="17" t="s">
        <v>361</v>
      </c>
      <c r="D52" s="2227" t="s">
        <v>339</v>
      </c>
      <c r="E52" s="2124"/>
      <c r="F52" s="70"/>
      <c r="G52" s="70"/>
      <c r="H52" s="1292"/>
      <c r="I52" s="7" t="s">
        <v>252</v>
      </c>
    </row>
    <row r="53" spans="1:11" s="45" customFormat="1" ht="25.5">
      <c r="A53" s="2293"/>
      <c r="B53" s="2295"/>
      <c r="C53" s="17" t="s">
        <v>362</v>
      </c>
      <c r="D53" s="2227" t="s">
        <v>339</v>
      </c>
      <c r="E53" s="2124"/>
      <c r="F53" s="70"/>
      <c r="G53" s="70"/>
      <c r="H53" s="1292"/>
      <c r="I53" s="47" t="s">
        <v>252</v>
      </c>
    </row>
    <row r="54" spans="1:11" ht="25.5">
      <c r="A54" s="2293"/>
      <c r="B54" s="2295"/>
      <c r="C54" s="17" t="s">
        <v>363</v>
      </c>
      <c r="D54" s="2227" t="s">
        <v>340</v>
      </c>
      <c r="E54" s="2124"/>
      <c r="F54" s="70"/>
      <c r="G54" s="70"/>
      <c r="H54" s="1292"/>
      <c r="I54" s="7" t="s">
        <v>252</v>
      </c>
    </row>
    <row r="55" spans="1:11">
      <c r="A55" s="2293"/>
      <c r="B55" s="2295"/>
      <c r="C55" s="17" t="s">
        <v>42</v>
      </c>
      <c r="D55" s="2125" t="s">
        <v>41</v>
      </c>
      <c r="E55" s="2126"/>
      <c r="F55" s="70"/>
      <c r="G55" s="70"/>
      <c r="H55" s="2134"/>
      <c r="I55" s="2135"/>
      <c r="J55" s="45"/>
      <c r="K55" s="45"/>
    </row>
    <row r="56" spans="1:11" ht="25.5" customHeight="1">
      <c r="A56" s="2293"/>
      <c r="B56" s="2295"/>
      <c r="C56" s="17" t="s">
        <v>341</v>
      </c>
      <c r="D56" s="2125" t="s">
        <v>286</v>
      </c>
      <c r="E56" s="2296"/>
      <c r="F56" s="70"/>
      <c r="G56" s="70"/>
      <c r="H56" s="1292"/>
      <c r="I56" s="10" t="s">
        <v>224</v>
      </c>
      <c r="J56" s="45"/>
      <c r="K56" s="45"/>
    </row>
    <row r="57" spans="1:11" ht="25.5" customHeight="1">
      <c r="A57" s="2293"/>
      <c r="B57" s="2295"/>
      <c r="C57" s="17" t="s">
        <v>342</v>
      </c>
      <c r="D57" s="2198" t="str">
        <f>IF('Prescriptive Path'!$K$1=4,Proposed!G46,IF('Prescriptive Path'!$K$1=5,Proposed!N46,IF('Prescriptive Path'!$K$1=6,Proposed!S46)))</f>
        <v>ENERGY STAR Qualified</v>
      </c>
      <c r="E57" s="2199"/>
      <c r="F57" s="70"/>
      <c r="G57" s="70"/>
      <c r="H57" s="1292"/>
      <c r="I57" s="10" t="s">
        <v>224</v>
      </c>
      <c r="J57" s="45"/>
      <c r="K57" s="45"/>
    </row>
    <row r="58" spans="1:11" ht="15" customHeight="1">
      <c r="A58" s="2293"/>
      <c r="B58" s="2295"/>
      <c r="C58" s="17" t="s">
        <v>343</v>
      </c>
      <c r="D58" s="2227" t="s">
        <v>344</v>
      </c>
      <c r="E58" s="2228"/>
      <c r="F58" s="70"/>
      <c r="G58" s="70"/>
      <c r="H58" s="1292"/>
      <c r="I58" s="10" t="s">
        <v>224</v>
      </c>
    </row>
    <row r="59" spans="1:11" ht="15" customHeight="1">
      <c r="A59" s="2293"/>
      <c r="B59" s="2295"/>
      <c r="C59" s="2312" t="s">
        <v>347</v>
      </c>
      <c r="D59" s="2279" t="s">
        <v>396</v>
      </c>
      <c r="E59" s="2280"/>
      <c r="F59" s="2142"/>
      <c r="G59" s="2142"/>
      <c r="H59" s="1292"/>
      <c r="I59" s="10" t="s">
        <v>2321</v>
      </c>
    </row>
    <row r="60" spans="1:11" s="297" customFormat="1" ht="25.5">
      <c r="A60" s="2293"/>
      <c r="B60" s="2295"/>
      <c r="C60" s="2313"/>
      <c r="D60" s="2281"/>
      <c r="E60" s="2199"/>
      <c r="F60" s="2143"/>
      <c r="G60" s="2143"/>
      <c r="H60" s="1292"/>
      <c r="I60" s="10" t="s">
        <v>2322</v>
      </c>
    </row>
    <row r="61" spans="1:11" s="45" customFormat="1">
      <c r="A61" s="2293"/>
      <c r="B61" s="2295"/>
      <c r="C61" s="2312" t="s">
        <v>348</v>
      </c>
      <c r="D61" s="2279" t="s">
        <v>395</v>
      </c>
      <c r="E61" s="2280"/>
      <c r="F61" s="2142"/>
      <c r="G61" s="2142"/>
      <c r="H61" s="1292"/>
      <c r="I61" s="10" t="s">
        <v>2321</v>
      </c>
    </row>
    <row r="62" spans="1:11" s="297" customFormat="1" ht="25.5">
      <c r="A62" s="2293"/>
      <c r="B62" s="2295"/>
      <c r="C62" s="2313"/>
      <c r="D62" s="2281"/>
      <c r="E62" s="2199"/>
      <c r="F62" s="2143"/>
      <c r="G62" s="2143"/>
      <c r="H62" s="1292"/>
      <c r="I62" s="10" t="s">
        <v>2322</v>
      </c>
    </row>
    <row r="63" spans="1:11" ht="19.5" customHeight="1">
      <c r="A63" s="2293"/>
      <c r="B63" s="2295"/>
      <c r="C63" s="17" t="s">
        <v>349</v>
      </c>
      <c r="D63" s="2125" t="str">
        <f>IF('Prescriptive Path'!$K$1=4,Proposed!G50,IF('Prescriptive Path'!$K$1=5,Proposed!N50,IF('Prescriptive Path'!$K$1=6,Proposed!S50)))</f>
        <v>ENERGY STAR Qualified; 8.5 HSPF</v>
      </c>
      <c r="E63" s="2259"/>
      <c r="F63" s="70"/>
      <c r="G63" s="70"/>
      <c r="H63" s="1292"/>
      <c r="I63" s="10" t="s">
        <v>252</v>
      </c>
    </row>
    <row r="64" spans="1:11" ht="25.5">
      <c r="A64" s="2293"/>
      <c r="B64" s="2295"/>
      <c r="C64" s="17" t="s">
        <v>365</v>
      </c>
      <c r="D64" s="2125" t="s">
        <v>351</v>
      </c>
      <c r="E64" s="2126"/>
      <c r="F64" s="70"/>
      <c r="G64" s="70"/>
      <c r="H64" s="1292"/>
      <c r="I64" s="10" t="s">
        <v>252</v>
      </c>
    </row>
    <row r="65" spans="1:9" s="45" customFormat="1" ht="25.5">
      <c r="A65" s="2293"/>
      <c r="B65" s="2295"/>
      <c r="C65" s="17" t="s">
        <v>366</v>
      </c>
      <c r="D65" s="2125" t="s">
        <v>351</v>
      </c>
      <c r="E65" s="2126"/>
      <c r="F65" s="70"/>
      <c r="G65" s="70"/>
      <c r="H65" s="1292"/>
      <c r="I65" s="10" t="s">
        <v>252</v>
      </c>
    </row>
    <row r="66" spans="1:9" ht="25.5" customHeight="1">
      <c r="A66" s="2293"/>
      <c r="B66" s="2295"/>
      <c r="C66" s="17" t="s">
        <v>350</v>
      </c>
      <c r="D66" s="2125" t="s">
        <v>352</v>
      </c>
      <c r="E66" s="2126"/>
      <c r="F66" s="70"/>
      <c r="G66" s="70"/>
      <c r="H66" s="1292"/>
      <c r="I66" s="10" t="s">
        <v>252</v>
      </c>
    </row>
    <row r="67" spans="1:9" ht="25.5" customHeight="1">
      <c r="A67" s="2293"/>
      <c r="B67" s="2295"/>
      <c r="C67" s="17" t="s">
        <v>353</v>
      </c>
      <c r="D67" s="2125" t="s">
        <v>354</v>
      </c>
      <c r="E67" s="2126"/>
      <c r="F67" s="70"/>
      <c r="G67" s="70"/>
      <c r="H67" s="1292"/>
      <c r="I67" s="10" t="s">
        <v>252</v>
      </c>
    </row>
    <row r="68" spans="1:9" ht="15" customHeight="1">
      <c r="A68" s="2293"/>
      <c r="B68" s="2295"/>
      <c r="C68" s="17" t="s">
        <v>355</v>
      </c>
      <c r="D68" s="2125" t="str">
        <f>IF('Prescriptive Path'!K1=4,Proposed!G55,IF('Prescriptive Path'!K1=5,Proposed!N55,IF('Prescriptive Path'!K1=6,Proposed!S55)))</f>
        <v>ENERGY STAR Qualified</v>
      </c>
      <c r="E68" s="2126"/>
      <c r="F68" s="70"/>
      <c r="G68" s="70"/>
      <c r="H68" s="1292"/>
      <c r="I68" s="10" t="s">
        <v>224</v>
      </c>
    </row>
    <row r="69" spans="1:9" ht="15" customHeight="1">
      <c r="A69" s="2293"/>
      <c r="B69" s="2295"/>
      <c r="C69" s="17" t="s">
        <v>356</v>
      </c>
      <c r="D69" s="2127" t="s">
        <v>2269</v>
      </c>
      <c r="E69" s="2128"/>
      <c r="F69" s="70"/>
      <c r="G69" s="70"/>
      <c r="H69" s="1292"/>
      <c r="I69" s="10" t="s">
        <v>224</v>
      </c>
    </row>
    <row r="70" spans="1:9">
      <c r="A70" s="2293"/>
      <c r="B70" s="2295"/>
      <c r="C70" s="441" t="s">
        <v>357</v>
      </c>
      <c r="D70" s="2251" t="s">
        <v>358</v>
      </c>
      <c r="E70" s="2252"/>
      <c r="F70" s="70"/>
      <c r="G70" s="70"/>
      <c r="H70" s="2150"/>
      <c r="I70" s="2121" t="s">
        <v>252</v>
      </c>
    </row>
    <row r="71" spans="1:9" s="45" customFormat="1">
      <c r="A71" s="2293"/>
      <c r="B71" s="2295"/>
      <c r="C71" s="442" t="s">
        <v>431</v>
      </c>
      <c r="D71" s="2267" t="s">
        <v>45</v>
      </c>
      <c r="E71" s="2268"/>
      <c r="F71" s="168"/>
      <c r="G71" s="155"/>
      <c r="H71" s="2151"/>
      <c r="I71" s="2122"/>
    </row>
    <row r="72" spans="1:9" ht="15" customHeight="1">
      <c r="A72" s="2293"/>
      <c r="B72" s="2295"/>
      <c r="C72" s="17" t="s">
        <v>2</v>
      </c>
      <c r="D72" s="2253" t="s">
        <v>367</v>
      </c>
      <c r="E72" s="2254"/>
      <c r="F72" s="70"/>
      <c r="G72" s="70"/>
      <c r="H72" s="1292"/>
      <c r="I72" s="10" t="s">
        <v>252</v>
      </c>
    </row>
    <row r="73" spans="1:9">
      <c r="A73" s="2293"/>
      <c r="B73" s="2295"/>
      <c r="C73" s="17" t="s">
        <v>3</v>
      </c>
      <c r="D73" s="2129" t="s">
        <v>367</v>
      </c>
      <c r="E73" s="2130"/>
      <c r="F73" s="70"/>
      <c r="G73" s="70"/>
      <c r="H73" s="1292"/>
      <c r="I73" s="10" t="s">
        <v>252</v>
      </c>
    </row>
    <row r="74" spans="1:9" ht="25.5">
      <c r="A74" s="2293"/>
      <c r="B74" s="2295"/>
      <c r="C74" s="17" t="s">
        <v>368</v>
      </c>
      <c r="D74" s="2129" t="s">
        <v>382</v>
      </c>
      <c r="E74" s="2130"/>
      <c r="F74" s="70"/>
      <c r="G74" s="70"/>
      <c r="H74" s="1292"/>
      <c r="I74" s="10" t="s">
        <v>252</v>
      </c>
    </row>
    <row r="75" spans="1:9" ht="25.5">
      <c r="A75" s="2293"/>
      <c r="B75" s="2295"/>
      <c r="C75" s="17" t="s">
        <v>369</v>
      </c>
      <c r="D75" s="2129" t="s">
        <v>383</v>
      </c>
      <c r="E75" s="2130"/>
      <c r="F75" s="70"/>
      <c r="G75" s="70"/>
      <c r="H75" s="1292"/>
      <c r="I75" s="10" t="s">
        <v>252</v>
      </c>
    </row>
    <row r="76" spans="1:9" ht="25.5">
      <c r="A76" s="2293"/>
      <c r="B76" s="2295"/>
      <c r="C76" s="17" t="s">
        <v>370</v>
      </c>
      <c r="D76" s="2129" t="s">
        <v>384</v>
      </c>
      <c r="E76" s="2130"/>
      <c r="F76" s="70"/>
      <c r="G76" s="70"/>
      <c r="H76" s="1292"/>
      <c r="I76" s="10" t="s">
        <v>252</v>
      </c>
    </row>
    <row r="77" spans="1:9" ht="25.5" customHeight="1">
      <c r="A77" s="2293"/>
      <c r="B77" s="2295"/>
      <c r="C77" s="17" t="s">
        <v>371</v>
      </c>
      <c r="D77" s="2129" t="s">
        <v>385</v>
      </c>
      <c r="E77" s="2130"/>
      <c r="F77" s="70"/>
      <c r="G77" s="70"/>
      <c r="H77" s="1292"/>
      <c r="I77" s="10" t="s">
        <v>252</v>
      </c>
    </row>
    <row r="78" spans="1:9" s="45" customFormat="1" ht="25.5" customHeight="1">
      <c r="A78" s="2293"/>
      <c r="B78" s="2295"/>
      <c r="C78" s="17" t="s">
        <v>393</v>
      </c>
      <c r="D78" s="2129" t="s">
        <v>386</v>
      </c>
      <c r="E78" s="2130"/>
      <c r="F78" s="70"/>
      <c r="G78" s="70"/>
      <c r="H78" s="1292"/>
      <c r="I78" s="10" t="s">
        <v>252</v>
      </c>
    </row>
    <row r="79" spans="1:9" ht="25.5">
      <c r="A79" s="2293"/>
      <c r="B79" s="2295"/>
      <c r="C79" s="17" t="s">
        <v>394</v>
      </c>
      <c r="D79" s="2129" t="s">
        <v>386</v>
      </c>
      <c r="E79" s="2130"/>
      <c r="F79" s="70"/>
      <c r="G79" s="70"/>
      <c r="H79" s="1292"/>
      <c r="I79" s="10" t="s">
        <v>252</v>
      </c>
    </row>
    <row r="80" spans="1:9" ht="25.5">
      <c r="A80" s="2293"/>
      <c r="B80" s="2295"/>
      <c r="C80" s="17" t="s">
        <v>372</v>
      </c>
      <c r="D80" s="2129" t="s">
        <v>387</v>
      </c>
      <c r="E80" s="2130"/>
      <c r="F80" s="70"/>
      <c r="G80" s="70"/>
      <c r="H80" s="1292"/>
      <c r="I80" s="10" t="s">
        <v>252</v>
      </c>
    </row>
    <row r="81" spans="1:10" ht="25.5" customHeight="1">
      <c r="A81" s="2293"/>
      <c r="B81" s="2295"/>
      <c r="C81" s="17" t="s">
        <v>373</v>
      </c>
      <c r="D81" s="2129" t="s">
        <v>388</v>
      </c>
      <c r="E81" s="2130"/>
      <c r="F81" s="70"/>
      <c r="G81" s="70"/>
      <c r="H81" s="1292"/>
      <c r="I81" s="10" t="s">
        <v>252</v>
      </c>
    </row>
    <row r="82" spans="1:10" ht="25.5">
      <c r="A82" s="2293"/>
      <c r="B82" s="2295"/>
      <c r="C82" s="17" t="s">
        <v>374</v>
      </c>
      <c r="D82" s="2129" t="s">
        <v>25</v>
      </c>
      <c r="E82" s="2130"/>
      <c r="F82" s="70"/>
      <c r="G82" s="70"/>
      <c r="H82" s="1292"/>
      <c r="I82" s="10" t="s">
        <v>252</v>
      </c>
    </row>
    <row r="83" spans="1:10" ht="25.5">
      <c r="A83" s="2293"/>
      <c r="B83" s="2295"/>
      <c r="C83" s="17" t="s">
        <v>375</v>
      </c>
      <c r="D83" s="2129" t="s">
        <v>28</v>
      </c>
      <c r="E83" s="2130"/>
      <c r="F83" s="70"/>
      <c r="G83" s="70"/>
      <c r="H83" s="1292"/>
      <c r="I83" s="10" t="s">
        <v>252</v>
      </c>
    </row>
    <row r="84" spans="1:10" ht="25.5">
      <c r="A84" s="2293"/>
      <c r="B84" s="2295"/>
      <c r="C84" s="17" t="s">
        <v>376</v>
      </c>
      <c r="D84" s="2129" t="s">
        <v>26</v>
      </c>
      <c r="E84" s="2130"/>
      <c r="F84" s="70"/>
      <c r="G84" s="70"/>
      <c r="H84" s="1292"/>
      <c r="I84" s="10" t="s">
        <v>252</v>
      </c>
    </row>
    <row r="85" spans="1:10" ht="25.5">
      <c r="A85" s="2293"/>
      <c r="B85" s="2295"/>
      <c r="C85" s="17" t="s">
        <v>377</v>
      </c>
      <c r="D85" s="2129" t="s">
        <v>27</v>
      </c>
      <c r="E85" s="2130"/>
      <c r="F85" s="70"/>
      <c r="G85" s="70"/>
      <c r="H85" s="1292"/>
      <c r="I85" s="10" t="s">
        <v>252</v>
      </c>
    </row>
    <row r="86" spans="1:10" s="45" customFormat="1" ht="25.5">
      <c r="A86" s="2293"/>
      <c r="B86" s="2295"/>
      <c r="C86" s="17" t="s">
        <v>378</v>
      </c>
      <c r="D86" s="2136" t="s">
        <v>389</v>
      </c>
      <c r="E86" s="2137"/>
      <c r="F86" s="70"/>
      <c r="G86" s="70"/>
      <c r="H86" s="1292"/>
      <c r="I86" s="10" t="s">
        <v>252</v>
      </c>
    </row>
    <row r="87" spans="1:10" s="45" customFormat="1" ht="25.5">
      <c r="A87" s="2293"/>
      <c r="B87" s="2295"/>
      <c r="C87" s="17" t="s">
        <v>379</v>
      </c>
      <c r="D87" s="2136" t="s">
        <v>390</v>
      </c>
      <c r="E87" s="2137"/>
      <c r="F87" s="70"/>
      <c r="G87" s="70"/>
      <c r="H87" s="1292"/>
      <c r="I87" s="10" t="s">
        <v>252</v>
      </c>
    </row>
    <row r="88" spans="1:10" s="45" customFormat="1" ht="25.5" customHeight="1">
      <c r="A88" s="2293"/>
      <c r="B88" s="2295"/>
      <c r="C88" s="17" t="s">
        <v>380</v>
      </c>
      <c r="D88" s="2136" t="s">
        <v>391</v>
      </c>
      <c r="E88" s="2137"/>
      <c r="F88" s="70"/>
      <c r="G88" s="70"/>
      <c r="H88" s="1292"/>
      <c r="I88" s="10" t="s">
        <v>252</v>
      </c>
    </row>
    <row r="89" spans="1:10" ht="25.5" customHeight="1" thickBot="1">
      <c r="A89" s="2293"/>
      <c r="B89" s="2295"/>
      <c r="C89" s="441" t="s">
        <v>381</v>
      </c>
      <c r="D89" s="2138" t="s">
        <v>392</v>
      </c>
      <c r="E89" s="2139"/>
      <c r="F89" s="70"/>
      <c r="G89" s="70"/>
      <c r="H89" s="1304"/>
      <c r="I89" s="816" t="s">
        <v>252</v>
      </c>
    </row>
    <row r="90" spans="1:10" ht="40.5" customHeight="1" thickBot="1">
      <c r="A90" s="2294"/>
      <c r="B90" s="831" t="s">
        <v>17</v>
      </c>
      <c r="C90" s="832" t="s">
        <v>52</v>
      </c>
      <c r="D90" s="2140" t="s">
        <v>511</v>
      </c>
      <c r="E90" s="2141"/>
      <c r="F90" s="830"/>
      <c r="G90" s="830"/>
      <c r="H90" s="2119"/>
      <c r="I90" s="2120"/>
    </row>
    <row r="91" spans="1:10" ht="82.5" customHeight="1">
      <c r="A91" s="2273" t="s">
        <v>1</v>
      </c>
      <c r="B91" s="2282" t="s">
        <v>47</v>
      </c>
      <c r="C91" s="444" t="s">
        <v>65</v>
      </c>
      <c r="D91" s="2298" t="s">
        <v>565</v>
      </c>
      <c r="E91" s="2299"/>
      <c r="F91" s="72"/>
      <c r="G91" s="72"/>
      <c r="H91" s="2184"/>
      <c r="I91" s="2185"/>
    </row>
    <row r="92" spans="1:10">
      <c r="A92" s="2274"/>
      <c r="B92" s="2295"/>
      <c r="C92" s="2165" t="s">
        <v>513</v>
      </c>
      <c r="D92" s="2123" t="s">
        <v>571</v>
      </c>
      <c r="E92" s="2124"/>
      <c r="F92" s="70"/>
      <c r="G92" s="70"/>
      <c r="H92" s="1293"/>
      <c r="I92" s="10" t="s">
        <v>223</v>
      </c>
    </row>
    <row r="93" spans="1:10">
      <c r="A93" s="2274"/>
      <c r="B93" s="2295"/>
      <c r="C93" s="2166"/>
      <c r="D93" s="2123" t="s">
        <v>572</v>
      </c>
      <c r="E93" s="2124"/>
      <c r="F93" s="70"/>
      <c r="G93" s="70"/>
      <c r="H93" s="1305"/>
      <c r="I93" s="10" t="s">
        <v>223</v>
      </c>
    </row>
    <row r="94" spans="1:10">
      <c r="A94" s="2274"/>
      <c r="B94" s="2295"/>
      <c r="C94" s="2167"/>
      <c r="D94" s="2123" t="s">
        <v>573</v>
      </c>
      <c r="E94" s="2124"/>
      <c r="F94" s="70"/>
      <c r="G94" s="70"/>
      <c r="H94" s="1306"/>
      <c r="I94" s="10" t="s">
        <v>223</v>
      </c>
    </row>
    <row r="95" spans="1:10" ht="63.75" customHeight="1">
      <c r="A95" s="2274"/>
      <c r="B95" s="2295"/>
      <c r="C95" s="17" t="s">
        <v>514</v>
      </c>
      <c r="D95" s="2123" t="s">
        <v>574</v>
      </c>
      <c r="E95" s="2124"/>
      <c r="F95" s="70"/>
      <c r="G95" s="70"/>
      <c r="H95" s="1304"/>
      <c r="I95" s="10" t="s">
        <v>251</v>
      </c>
    </row>
    <row r="96" spans="1:10" ht="78.75" customHeight="1">
      <c r="A96" s="2274"/>
      <c r="B96" s="2297"/>
      <c r="C96" s="17" t="s">
        <v>46</v>
      </c>
      <c r="D96" s="2181" t="s">
        <v>512</v>
      </c>
      <c r="E96" s="2182"/>
      <c r="F96" s="2081"/>
      <c r="G96" s="70"/>
      <c r="H96" s="1304"/>
      <c r="I96" s="10" t="s">
        <v>493</v>
      </c>
      <c r="J96" s="303" t="b">
        <v>1</v>
      </c>
    </row>
    <row r="97" spans="1:28" ht="22.5" customHeight="1">
      <c r="A97" s="2274"/>
      <c r="B97" s="2306" t="s">
        <v>61</v>
      </c>
      <c r="C97" s="2304" t="s">
        <v>63</v>
      </c>
      <c r="D97" s="2200" t="s">
        <v>478</v>
      </c>
      <c r="E97" s="2201"/>
      <c r="F97" s="2142"/>
      <c r="G97" s="2142"/>
      <c r="H97" s="1292"/>
      <c r="I97" s="10" t="s">
        <v>250</v>
      </c>
    </row>
    <row r="98" spans="1:28" s="45" customFormat="1" ht="54.75" customHeight="1">
      <c r="A98" s="2274"/>
      <c r="B98" s="2307"/>
      <c r="C98" s="2305"/>
      <c r="D98" s="2271"/>
      <c r="E98" s="2272"/>
      <c r="F98" s="2143"/>
      <c r="G98" s="2143"/>
      <c r="H98" s="1292"/>
      <c r="I98" s="10" t="s">
        <v>433</v>
      </c>
    </row>
    <row r="99" spans="1:28" ht="26.25" customHeight="1" thickBot="1">
      <c r="A99" s="2275"/>
      <c r="B99" s="814" t="s">
        <v>62</v>
      </c>
      <c r="C99" s="443" t="s">
        <v>64</v>
      </c>
      <c r="D99" s="2179" t="s">
        <v>566</v>
      </c>
      <c r="E99" s="2180"/>
      <c r="F99" s="815"/>
      <c r="G99" s="815"/>
      <c r="H99" s="2186"/>
      <c r="I99" s="2187"/>
      <c r="K99" s="16"/>
      <c r="L99" s="16"/>
      <c r="M99" s="16"/>
      <c r="N99" s="16"/>
      <c r="O99" s="16"/>
      <c r="P99" s="16"/>
      <c r="Q99" s="16"/>
      <c r="R99" s="16"/>
      <c r="S99" s="16"/>
      <c r="T99" s="16"/>
      <c r="U99" s="16"/>
      <c r="V99" s="16"/>
      <c r="W99" s="16"/>
      <c r="X99" s="16"/>
      <c r="Y99" s="16"/>
      <c r="Z99" s="16"/>
      <c r="AA99" s="16"/>
      <c r="AB99" s="16"/>
    </row>
    <row r="100" spans="1:28" s="45" customFormat="1" ht="46.5" customHeight="1">
      <c r="A100" s="2300" t="s">
        <v>51</v>
      </c>
      <c r="B100" s="2302" t="s">
        <v>51</v>
      </c>
      <c r="C100" s="2284" t="s">
        <v>481</v>
      </c>
      <c r="D100" s="2192" t="s">
        <v>482</v>
      </c>
      <c r="E100" s="2193"/>
      <c r="F100" s="2176"/>
      <c r="G100" s="2176"/>
      <c r="H100" s="1298"/>
      <c r="I100" s="829" t="s">
        <v>479</v>
      </c>
    </row>
    <row r="101" spans="1:28" s="45" customFormat="1" ht="41.25" customHeight="1" thickBot="1">
      <c r="A101" s="2301"/>
      <c r="B101" s="2303"/>
      <c r="C101" s="2285"/>
      <c r="D101" s="2194"/>
      <c r="E101" s="2195"/>
      <c r="F101" s="2171"/>
      <c r="G101" s="2171"/>
      <c r="H101" s="1307"/>
      <c r="I101" s="433" t="s">
        <v>480</v>
      </c>
    </row>
    <row r="102" spans="1:28" s="297" customFormat="1" ht="41.25" customHeight="1">
      <c r="A102" s="2311" t="s">
        <v>55</v>
      </c>
      <c r="B102" s="2308" t="s">
        <v>29</v>
      </c>
      <c r="C102" s="2286" t="s">
        <v>533</v>
      </c>
      <c r="D102" s="2288" t="s">
        <v>286</v>
      </c>
      <c r="E102" s="2289"/>
      <c r="F102" s="2144"/>
      <c r="G102" s="2146"/>
      <c r="H102" s="1300"/>
      <c r="I102" s="577" t="s">
        <v>228</v>
      </c>
    </row>
    <row r="103" spans="1:28" s="297" customFormat="1" ht="49.5" customHeight="1">
      <c r="A103" s="2311"/>
      <c r="B103" s="2309"/>
      <c r="C103" s="2287"/>
      <c r="D103" s="2290"/>
      <c r="E103" s="2291"/>
      <c r="F103" s="2145"/>
      <c r="G103" s="2147"/>
      <c r="H103" s="1292"/>
      <c r="I103" s="406" t="s">
        <v>535</v>
      </c>
    </row>
    <row r="104" spans="1:28" ht="25.5" customHeight="1">
      <c r="A104" s="2311"/>
      <c r="B104" s="2309"/>
      <c r="C104" s="427" t="s">
        <v>483</v>
      </c>
      <c r="D104" s="2276" t="s">
        <v>484</v>
      </c>
      <c r="E104" s="2277"/>
      <c r="F104" s="72"/>
      <c r="G104" s="72"/>
      <c r="H104" s="2196"/>
      <c r="I104" s="2197"/>
    </row>
    <row r="105" spans="1:28" ht="25.5">
      <c r="A105" s="2311"/>
      <c r="B105" s="2309"/>
      <c r="C105" s="428" t="s">
        <v>485</v>
      </c>
      <c r="D105" s="2278" t="s">
        <v>59</v>
      </c>
      <c r="E105" s="2126"/>
      <c r="F105" s="70"/>
      <c r="G105" s="70"/>
      <c r="H105" s="1286"/>
      <c r="I105" s="8" t="s">
        <v>504</v>
      </c>
    </row>
    <row r="106" spans="1:28" ht="38.25">
      <c r="A106" s="2311"/>
      <c r="B106" s="2309"/>
      <c r="C106" s="428" t="s">
        <v>486</v>
      </c>
      <c r="D106" s="2278" t="s">
        <v>60</v>
      </c>
      <c r="E106" s="2126"/>
      <c r="F106" s="70"/>
      <c r="G106" s="70"/>
      <c r="H106" s="1292"/>
      <c r="I106" s="8" t="s">
        <v>505</v>
      </c>
    </row>
    <row r="107" spans="1:28" s="297" customFormat="1">
      <c r="A107" s="2311"/>
      <c r="B107" s="2309"/>
      <c r="C107" s="428" t="s">
        <v>487</v>
      </c>
      <c r="D107" s="2131" t="s">
        <v>488</v>
      </c>
      <c r="E107" s="2124"/>
      <c r="F107" s="304"/>
      <c r="G107" s="304"/>
      <c r="H107" s="2190"/>
      <c r="I107" s="2191"/>
    </row>
    <row r="108" spans="1:28" s="297" customFormat="1" ht="26.25" customHeight="1">
      <c r="A108" s="2311"/>
      <c r="B108" s="2309"/>
      <c r="C108" s="901" t="s">
        <v>489</v>
      </c>
      <c r="D108" s="2200" t="s">
        <v>490</v>
      </c>
      <c r="E108" s="2201"/>
      <c r="F108" s="900"/>
      <c r="G108" s="900"/>
      <c r="H108" s="1292"/>
      <c r="I108" s="10" t="s">
        <v>228</v>
      </c>
    </row>
    <row r="109" spans="1:28" ht="25.5">
      <c r="A109" s="2311"/>
      <c r="B109" s="2309"/>
      <c r="C109" s="428" t="s">
        <v>85</v>
      </c>
      <c r="D109" s="2123" t="s">
        <v>2266</v>
      </c>
      <c r="E109" s="2124"/>
      <c r="F109" s="70"/>
      <c r="G109" s="70"/>
      <c r="H109" s="1286"/>
      <c r="I109" s="8" t="s">
        <v>249</v>
      </c>
    </row>
    <row r="110" spans="1:28" ht="38.25">
      <c r="A110" s="2311"/>
      <c r="B110" s="2309"/>
      <c r="C110" s="435" t="s">
        <v>517</v>
      </c>
      <c r="D110" s="429" t="s">
        <v>77</v>
      </c>
      <c r="E110" s="430" t="s">
        <v>75</v>
      </c>
      <c r="F110" s="70"/>
      <c r="G110" s="70"/>
      <c r="H110" s="2188"/>
      <c r="I110" s="2189"/>
    </row>
    <row r="111" spans="1:28" ht="39" thickBot="1">
      <c r="A111" s="2301"/>
      <c r="B111" s="2310"/>
      <c r="C111" s="436" t="s">
        <v>515</v>
      </c>
      <c r="D111" s="431" t="s">
        <v>76</v>
      </c>
      <c r="E111" s="432" t="s">
        <v>516</v>
      </c>
      <c r="F111" s="70"/>
      <c r="G111" s="70"/>
      <c r="H111" s="2186"/>
      <c r="I111" s="2187"/>
    </row>
    <row r="112" spans="1:28" ht="27.75" thickBot="1">
      <c r="A112" s="30" t="s">
        <v>408</v>
      </c>
      <c r="B112" s="31" t="s">
        <v>267</v>
      </c>
      <c r="C112" s="437" t="s">
        <v>268</v>
      </c>
      <c r="D112" s="2119"/>
      <c r="E112" s="2183"/>
      <c r="F112" s="2183"/>
      <c r="G112" s="2120"/>
      <c r="H112" s="1308"/>
      <c r="I112" s="32" t="s">
        <v>269</v>
      </c>
    </row>
    <row r="113" spans="1:8">
      <c r="A113" s="29" t="s">
        <v>2324</v>
      </c>
      <c r="B113" s="29"/>
      <c r="D113" s="29"/>
      <c r="E113" s="29"/>
      <c r="F113" s="29"/>
      <c r="G113" s="29"/>
      <c r="H113" s="29"/>
    </row>
  </sheetData>
  <sheetProtection sheet="1" objects="1" scenarios="1"/>
  <mergeCells count="148">
    <mergeCell ref="D106:E106"/>
    <mergeCell ref="D109:E109"/>
    <mergeCell ref="A49:A90"/>
    <mergeCell ref="B49:B89"/>
    <mergeCell ref="D51:E51"/>
    <mergeCell ref="D52:E52"/>
    <mergeCell ref="D54:E54"/>
    <mergeCell ref="D55:E55"/>
    <mergeCell ref="D56:E56"/>
    <mergeCell ref="B91:B96"/>
    <mergeCell ref="D91:E91"/>
    <mergeCell ref="A100:A101"/>
    <mergeCell ref="B100:B101"/>
    <mergeCell ref="D97:E98"/>
    <mergeCell ref="C97:C98"/>
    <mergeCell ref="B97:B98"/>
    <mergeCell ref="D64:E64"/>
    <mergeCell ref="D66:E66"/>
    <mergeCell ref="B102:B111"/>
    <mergeCell ref="A102:A111"/>
    <mergeCell ref="D95:E95"/>
    <mergeCell ref="C59:C60"/>
    <mergeCell ref="C61:C62"/>
    <mergeCell ref="D59:E60"/>
    <mergeCell ref="A91:A99"/>
    <mergeCell ref="A47:A48"/>
    <mergeCell ref="D104:E104"/>
    <mergeCell ref="D105:E105"/>
    <mergeCell ref="D61:E62"/>
    <mergeCell ref="B47:B48"/>
    <mergeCell ref="C100:C101"/>
    <mergeCell ref="C102:C103"/>
    <mergeCell ref="D102:E103"/>
    <mergeCell ref="B31:B37"/>
    <mergeCell ref="D30:E30"/>
    <mergeCell ref="D26:E26"/>
    <mergeCell ref="D29:E29"/>
    <mergeCell ref="A31:A37"/>
    <mergeCell ref="H36:I36"/>
    <mergeCell ref="D36:E36"/>
    <mergeCell ref="D74:E74"/>
    <mergeCell ref="D70:E70"/>
    <mergeCell ref="D72:E72"/>
    <mergeCell ref="A38:A46"/>
    <mergeCell ref="D73:E73"/>
    <mergeCell ref="D49:E49"/>
    <mergeCell ref="D63:E63"/>
    <mergeCell ref="D58:E58"/>
    <mergeCell ref="D53:E53"/>
    <mergeCell ref="C45:C46"/>
    <mergeCell ref="D45:E46"/>
    <mergeCell ref="B38:B46"/>
    <mergeCell ref="D71:E71"/>
    <mergeCell ref="D41:E43"/>
    <mergeCell ref="D38:E40"/>
    <mergeCell ref="F59:F60"/>
    <mergeCell ref="G59:G60"/>
    <mergeCell ref="A2:I2"/>
    <mergeCell ref="A8:A29"/>
    <mergeCell ref="B9:B11"/>
    <mergeCell ref="B12:B15"/>
    <mergeCell ref="B16:B17"/>
    <mergeCell ref="D17:E17"/>
    <mergeCell ref="B18:B20"/>
    <mergeCell ref="B21:B22"/>
    <mergeCell ref="D21:E21"/>
    <mergeCell ref="D22:E22"/>
    <mergeCell ref="B24:B29"/>
    <mergeCell ref="D24:E24"/>
    <mergeCell ref="D25:E25"/>
    <mergeCell ref="D27:E27"/>
    <mergeCell ref="D28:E28"/>
    <mergeCell ref="H21:I22"/>
    <mergeCell ref="H17:I17"/>
    <mergeCell ref="H24:I24"/>
    <mergeCell ref="H26:I26"/>
    <mergeCell ref="G3:H3"/>
    <mergeCell ref="G4:H4"/>
    <mergeCell ref="G6:H6"/>
    <mergeCell ref="D3:E3"/>
    <mergeCell ref="G5:H5"/>
    <mergeCell ref="D112:G112"/>
    <mergeCell ref="H91:I91"/>
    <mergeCell ref="H99:I99"/>
    <mergeCell ref="H110:I111"/>
    <mergeCell ref="H55:I55"/>
    <mergeCell ref="D77:E77"/>
    <mergeCell ref="D78:E78"/>
    <mergeCell ref="D107:E107"/>
    <mergeCell ref="D75:E75"/>
    <mergeCell ref="D76:E76"/>
    <mergeCell ref="G97:G98"/>
    <mergeCell ref="D65:E65"/>
    <mergeCell ref="D86:E86"/>
    <mergeCell ref="D93:E93"/>
    <mergeCell ref="H107:I107"/>
    <mergeCell ref="D100:E101"/>
    <mergeCell ref="F100:F101"/>
    <mergeCell ref="G100:G101"/>
    <mergeCell ref="H104:I104"/>
    <mergeCell ref="D57:E57"/>
    <mergeCell ref="F97:F98"/>
    <mergeCell ref="D108:E108"/>
    <mergeCell ref="D68:E68"/>
    <mergeCell ref="D94:E94"/>
    <mergeCell ref="F102:F103"/>
    <mergeCell ref="G102:G103"/>
    <mergeCell ref="C47:C48"/>
    <mergeCell ref="H70:H71"/>
    <mergeCell ref="D31:E31"/>
    <mergeCell ref="D32:E32"/>
    <mergeCell ref="D35:E35"/>
    <mergeCell ref="D34:E34"/>
    <mergeCell ref="D33:E33"/>
    <mergeCell ref="C38:C43"/>
    <mergeCell ref="F45:F46"/>
    <mergeCell ref="G45:G46"/>
    <mergeCell ref="C92:C94"/>
    <mergeCell ref="D50:E50"/>
    <mergeCell ref="G47:G48"/>
    <mergeCell ref="F47:F48"/>
    <mergeCell ref="D47:E48"/>
    <mergeCell ref="G41:G43"/>
    <mergeCell ref="F41:F43"/>
    <mergeCell ref="D99:E99"/>
    <mergeCell ref="D79:E79"/>
    <mergeCell ref="D96:E96"/>
    <mergeCell ref="D83:E83"/>
    <mergeCell ref="D84:E84"/>
    <mergeCell ref="G7:H7"/>
    <mergeCell ref="H90:I90"/>
    <mergeCell ref="I70:I71"/>
    <mergeCell ref="D92:E92"/>
    <mergeCell ref="D67:E67"/>
    <mergeCell ref="D69:E69"/>
    <mergeCell ref="D82:E82"/>
    <mergeCell ref="D44:E44"/>
    <mergeCell ref="D37:E37"/>
    <mergeCell ref="H28:I28"/>
    <mergeCell ref="D80:E80"/>
    <mergeCell ref="D87:E87"/>
    <mergeCell ref="D88:E88"/>
    <mergeCell ref="D89:E89"/>
    <mergeCell ref="D90:E90"/>
    <mergeCell ref="F61:F62"/>
    <mergeCell ref="G61:G62"/>
    <mergeCell ref="D85:E85"/>
    <mergeCell ref="D81:E81"/>
  </mergeCells>
  <conditionalFormatting sqref="J8">
    <cfRule type="cellIs" dxfId="33" priority="9" stopIfTrue="1" operator="notEqual">
      <formula>""</formula>
    </cfRule>
  </conditionalFormatting>
  <conditionalFormatting sqref="J17 J21:J22 J24 J26 J28">
    <cfRule type="notContainsBlanks" dxfId="32" priority="13" stopIfTrue="1">
      <formula>LEN(TRIM(J17))&gt;0</formula>
    </cfRule>
  </conditionalFormatting>
  <conditionalFormatting sqref="I7 J25 J9:J16 J29 J27 J18:J20">
    <cfRule type="expression" dxfId="31" priority="5" stopIfTrue="1">
      <formula>$I$7="Yes"</formula>
    </cfRule>
  </conditionalFormatting>
  <conditionalFormatting sqref="J23">
    <cfRule type="expression" dxfId="30" priority="1" stopIfTrue="1">
      <formula>$I$7="Yes"</formula>
    </cfRule>
  </conditionalFormatting>
  <dataValidations count="11">
    <dataValidation type="list" allowBlank="1" showInputMessage="1" showErrorMessage="1" sqref="I6:I7">
      <formula1>"Yes, No"</formula1>
    </dataValidation>
    <dataValidation type="list" allowBlank="1" showInputMessage="1" sqref="D4">
      <formula1>counties</formula1>
    </dataValidation>
    <dataValidation type="list" allowBlank="1" showInputMessage="1" showErrorMessage="1" sqref="D5">
      <formula1>Utilities</formula1>
    </dataValidation>
    <dataValidation type="list" allowBlank="1" showInputMessage="1" showErrorMessage="1" sqref="H36">
      <formula1>"Electric Dryer, Gas Dryer"</formula1>
    </dataValidation>
    <dataValidation type="list" allowBlank="1" showInputMessage="1" showErrorMessage="1" sqref="D71:E71">
      <formula1>"Cooling, Heating and Cooling"</formula1>
    </dataValidation>
    <dataValidation type="list" allowBlank="1" showInputMessage="1" showErrorMessage="1" sqref="H103">
      <formula1>FanType</formula1>
    </dataValidation>
    <dataValidation type="list" allowBlank="1" showInputMessage="1" showErrorMessage="1" sqref="D6:D7">
      <formula1>"Affordable,Market-Rate"</formula1>
    </dataValidation>
    <dataValidation type="list" allowBlank="1" showInputMessage="1" showErrorMessage="1" sqref="I3">
      <formula1>GasList</formula1>
    </dataValidation>
    <dataValidation type="list" allowBlank="1" showInputMessage="1" showErrorMessage="1" sqref="J9:J11">
      <formula1>RoofRValue</formula1>
    </dataValidation>
    <dataValidation type="list" allowBlank="1" showInputMessage="1" showErrorMessage="1" sqref="J12:J15">
      <formula1>WallRValue</formula1>
    </dataValidation>
    <dataValidation type="list" allowBlank="1" showInputMessage="1" showErrorMessage="1" sqref="J25 J27 J29">
      <formula1>WindowType</formula1>
    </dataValidation>
  </dataValidations>
  <pageMargins left="0.25" right="0.25" top="0.75" bottom="0.75" header="0.3" footer="0.3"/>
  <pageSetup orientation="portrait" horizontalDpi="200" verticalDpi="200" r:id="rId1"/>
  <ignoredErrors>
    <ignoredError sqref="J17 J24 J26 J2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82" r:id="rId4" name="Check Box 158">
              <controlPr defaultSize="0" autoFill="0" autoLine="0" autoPict="0">
                <anchor moveWithCells="1">
                  <from>
                    <xdr:col>5</xdr:col>
                    <xdr:colOff>257175</xdr:colOff>
                    <xdr:row>10</xdr:row>
                    <xdr:rowOff>0</xdr:rowOff>
                  </from>
                  <to>
                    <xdr:col>5</xdr:col>
                    <xdr:colOff>561975</xdr:colOff>
                    <xdr:row>11</xdr:row>
                    <xdr:rowOff>0</xdr:rowOff>
                  </to>
                </anchor>
              </controlPr>
            </control>
          </mc:Choice>
        </mc:AlternateContent>
        <mc:AlternateContent xmlns:mc="http://schemas.openxmlformats.org/markup-compatibility/2006">
          <mc:Choice Requires="x14">
            <control shapeId="1184" r:id="rId5" name="Check Box 160">
              <controlPr defaultSize="0" autoFill="0" autoLine="0" autoPict="0">
                <anchor moveWithCells="1">
                  <from>
                    <xdr:col>5</xdr:col>
                    <xdr:colOff>257175</xdr:colOff>
                    <xdr:row>11</xdr:row>
                    <xdr:rowOff>0</xdr:rowOff>
                  </from>
                  <to>
                    <xdr:col>5</xdr:col>
                    <xdr:colOff>561975</xdr:colOff>
                    <xdr:row>12</xdr:row>
                    <xdr:rowOff>0</xdr:rowOff>
                  </to>
                </anchor>
              </controlPr>
            </control>
          </mc:Choice>
        </mc:AlternateContent>
        <mc:AlternateContent xmlns:mc="http://schemas.openxmlformats.org/markup-compatibility/2006">
          <mc:Choice Requires="x14">
            <control shapeId="1186" r:id="rId6" name="Check Box 162">
              <controlPr defaultSize="0" autoFill="0" autoLine="0" autoPict="0">
                <anchor moveWithCells="1">
                  <from>
                    <xdr:col>5</xdr:col>
                    <xdr:colOff>257175</xdr:colOff>
                    <xdr:row>12</xdr:row>
                    <xdr:rowOff>0</xdr:rowOff>
                  </from>
                  <to>
                    <xdr:col>5</xdr:col>
                    <xdr:colOff>561975</xdr:colOff>
                    <xdr:row>13</xdr:row>
                    <xdr:rowOff>0</xdr:rowOff>
                  </to>
                </anchor>
              </controlPr>
            </control>
          </mc:Choice>
        </mc:AlternateContent>
        <mc:AlternateContent xmlns:mc="http://schemas.openxmlformats.org/markup-compatibility/2006">
          <mc:Choice Requires="x14">
            <control shapeId="1189" r:id="rId7" name="Check Box 165">
              <controlPr defaultSize="0" autoFill="0" autoLine="0" autoPict="0">
                <anchor moveWithCells="1">
                  <from>
                    <xdr:col>5</xdr:col>
                    <xdr:colOff>257175</xdr:colOff>
                    <xdr:row>13</xdr:row>
                    <xdr:rowOff>0</xdr:rowOff>
                  </from>
                  <to>
                    <xdr:col>5</xdr:col>
                    <xdr:colOff>561975</xdr:colOff>
                    <xdr:row>14</xdr:row>
                    <xdr:rowOff>0</xdr:rowOff>
                  </to>
                </anchor>
              </controlPr>
            </control>
          </mc:Choice>
        </mc:AlternateContent>
        <mc:AlternateContent xmlns:mc="http://schemas.openxmlformats.org/markup-compatibility/2006">
          <mc:Choice Requires="x14">
            <control shapeId="1192" r:id="rId8" name="Check Box 168">
              <controlPr defaultSize="0" autoFill="0" autoLine="0" autoPict="0">
                <anchor moveWithCells="1">
                  <from>
                    <xdr:col>5</xdr:col>
                    <xdr:colOff>257175</xdr:colOff>
                    <xdr:row>14</xdr:row>
                    <xdr:rowOff>0</xdr:rowOff>
                  </from>
                  <to>
                    <xdr:col>5</xdr:col>
                    <xdr:colOff>561975</xdr:colOff>
                    <xdr:row>15</xdr:row>
                    <xdr:rowOff>0</xdr:rowOff>
                  </to>
                </anchor>
              </controlPr>
            </control>
          </mc:Choice>
        </mc:AlternateContent>
        <mc:AlternateContent xmlns:mc="http://schemas.openxmlformats.org/markup-compatibility/2006">
          <mc:Choice Requires="x14">
            <control shapeId="1195" r:id="rId9" name="Check Box 171">
              <controlPr defaultSize="0" autoFill="0" autoLine="0" autoPict="0">
                <anchor moveWithCells="1">
                  <from>
                    <xdr:col>5</xdr:col>
                    <xdr:colOff>257175</xdr:colOff>
                    <xdr:row>15</xdr:row>
                    <xdr:rowOff>0</xdr:rowOff>
                  </from>
                  <to>
                    <xdr:col>5</xdr:col>
                    <xdr:colOff>561975</xdr:colOff>
                    <xdr:row>15</xdr:row>
                    <xdr:rowOff>219075</xdr:rowOff>
                  </to>
                </anchor>
              </controlPr>
            </control>
          </mc:Choice>
        </mc:AlternateContent>
        <mc:AlternateContent xmlns:mc="http://schemas.openxmlformats.org/markup-compatibility/2006">
          <mc:Choice Requires="x14">
            <control shapeId="1198" r:id="rId10" name="Check Box 174">
              <controlPr defaultSize="0" autoFill="0" autoLine="0" autoPict="0">
                <anchor moveWithCells="1">
                  <from>
                    <xdr:col>5</xdr:col>
                    <xdr:colOff>257175</xdr:colOff>
                    <xdr:row>16</xdr:row>
                    <xdr:rowOff>0</xdr:rowOff>
                  </from>
                  <to>
                    <xdr:col>5</xdr:col>
                    <xdr:colOff>561975</xdr:colOff>
                    <xdr:row>16</xdr:row>
                    <xdr:rowOff>219075</xdr:rowOff>
                  </to>
                </anchor>
              </controlPr>
            </control>
          </mc:Choice>
        </mc:AlternateContent>
        <mc:AlternateContent xmlns:mc="http://schemas.openxmlformats.org/markup-compatibility/2006">
          <mc:Choice Requires="x14">
            <control shapeId="1201" r:id="rId11" name="Check Box 177">
              <controlPr defaultSize="0" autoFill="0" autoLine="0" autoPict="0">
                <anchor moveWithCells="1">
                  <from>
                    <xdr:col>5</xdr:col>
                    <xdr:colOff>257175</xdr:colOff>
                    <xdr:row>17</xdr:row>
                    <xdr:rowOff>19050</xdr:rowOff>
                  </from>
                  <to>
                    <xdr:col>5</xdr:col>
                    <xdr:colOff>561975</xdr:colOff>
                    <xdr:row>18</xdr:row>
                    <xdr:rowOff>19050</xdr:rowOff>
                  </to>
                </anchor>
              </controlPr>
            </control>
          </mc:Choice>
        </mc:AlternateContent>
        <mc:AlternateContent xmlns:mc="http://schemas.openxmlformats.org/markup-compatibility/2006">
          <mc:Choice Requires="x14">
            <control shapeId="1204" r:id="rId12" name="Check Box 180">
              <controlPr defaultSize="0" autoFill="0" autoLine="0" autoPict="0">
                <anchor moveWithCells="1">
                  <from>
                    <xdr:col>5</xdr:col>
                    <xdr:colOff>257175</xdr:colOff>
                    <xdr:row>18</xdr:row>
                    <xdr:rowOff>0</xdr:rowOff>
                  </from>
                  <to>
                    <xdr:col>5</xdr:col>
                    <xdr:colOff>561975</xdr:colOff>
                    <xdr:row>19</xdr:row>
                    <xdr:rowOff>0</xdr:rowOff>
                  </to>
                </anchor>
              </controlPr>
            </control>
          </mc:Choice>
        </mc:AlternateContent>
        <mc:AlternateContent xmlns:mc="http://schemas.openxmlformats.org/markup-compatibility/2006">
          <mc:Choice Requires="x14">
            <control shapeId="1207" r:id="rId13" name="Check Box 183">
              <controlPr defaultSize="0" autoFill="0" autoLine="0" autoPict="0">
                <anchor moveWithCells="1">
                  <from>
                    <xdr:col>5</xdr:col>
                    <xdr:colOff>257175</xdr:colOff>
                    <xdr:row>19</xdr:row>
                    <xdr:rowOff>0</xdr:rowOff>
                  </from>
                  <to>
                    <xdr:col>5</xdr:col>
                    <xdr:colOff>561975</xdr:colOff>
                    <xdr:row>20</xdr:row>
                    <xdr:rowOff>0</xdr:rowOff>
                  </to>
                </anchor>
              </controlPr>
            </control>
          </mc:Choice>
        </mc:AlternateContent>
        <mc:AlternateContent xmlns:mc="http://schemas.openxmlformats.org/markup-compatibility/2006">
          <mc:Choice Requires="x14">
            <control shapeId="1210" r:id="rId14" name="Check Box 186">
              <controlPr defaultSize="0" autoFill="0" autoLine="0" autoPict="0">
                <anchor moveWithCells="1">
                  <from>
                    <xdr:col>5</xdr:col>
                    <xdr:colOff>257175</xdr:colOff>
                    <xdr:row>20</xdr:row>
                    <xdr:rowOff>209550</xdr:rowOff>
                  </from>
                  <to>
                    <xdr:col>5</xdr:col>
                    <xdr:colOff>561975</xdr:colOff>
                    <xdr:row>21</xdr:row>
                    <xdr:rowOff>209550</xdr:rowOff>
                  </to>
                </anchor>
              </controlPr>
            </control>
          </mc:Choice>
        </mc:AlternateContent>
        <mc:AlternateContent xmlns:mc="http://schemas.openxmlformats.org/markup-compatibility/2006">
          <mc:Choice Requires="x14">
            <control shapeId="1213" r:id="rId15" name="Check Box 189">
              <controlPr defaultSize="0" autoFill="0" autoLine="0" autoPict="0">
                <anchor moveWithCells="1">
                  <from>
                    <xdr:col>5</xdr:col>
                    <xdr:colOff>257175</xdr:colOff>
                    <xdr:row>20</xdr:row>
                    <xdr:rowOff>0</xdr:rowOff>
                  </from>
                  <to>
                    <xdr:col>5</xdr:col>
                    <xdr:colOff>561975</xdr:colOff>
                    <xdr:row>21</xdr:row>
                    <xdr:rowOff>0</xdr:rowOff>
                  </to>
                </anchor>
              </controlPr>
            </control>
          </mc:Choice>
        </mc:AlternateContent>
        <mc:AlternateContent xmlns:mc="http://schemas.openxmlformats.org/markup-compatibility/2006">
          <mc:Choice Requires="x14">
            <control shapeId="1216" r:id="rId16" name="Check Box 192">
              <controlPr defaultSize="0" autoFill="0" autoLine="0" autoPict="0">
                <anchor moveWithCells="1">
                  <from>
                    <xdr:col>5</xdr:col>
                    <xdr:colOff>257175</xdr:colOff>
                    <xdr:row>22</xdr:row>
                    <xdr:rowOff>47625</xdr:rowOff>
                  </from>
                  <to>
                    <xdr:col>5</xdr:col>
                    <xdr:colOff>561975</xdr:colOff>
                    <xdr:row>22</xdr:row>
                    <xdr:rowOff>266700</xdr:rowOff>
                  </to>
                </anchor>
              </controlPr>
            </control>
          </mc:Choice>
        </mc:AlternateContent>
        <mc:AlternateContent xmlns:mc="http://schemas.openxmlformats.org/markup-compatibility/2006">
          <mc:Choice Requires="x14">
            <control shapeId="1219" r:id="rId17" name="Check Box 195">
              <controlPr defaultSize="0" autoFill="0" autoLine="0" autoPict="0">
                <anchor moveWithCells="1">
                  <from>
                    <xdr:col>5</xdr:col>
                    <xdr:colOff>257175</xdr:colOff>
                    <xdr:row>23</xdr:row>
                    <xdr:rowOff>0</xdr:rowOff>
                  </from>
                  <to>
                    <xdr:col>5</xdr:col>
                    <xdr:colOff>561975</xdr:colOff>
                    <xdr:row>24</xdr:row>
                    <xdr:rowOff>28575</xdr:rowOff>
                  </to>
                </anchor>
              </controlPr>
            </control>
          </mc:Choice>
        </mc:AlternateContent>
        <mc:AlternateContent xmlns:mc="http://schemas.openxmlformats.org/markup-compatibility/2006">
          <mc:Choice Requires="x14">
            <control shapeId="1222" r:id="rId18" name="Check Box 198">
              <controlPr defaultSize="0" autoFill="0" autoLine="0" autoPict="0">
                <anchor moveWithCells="1">
                  <from>
                    <xdr:col>5</xdr:col>
                    <xdr:colOff>257175</xdr:colOff>
                    <xdr:row>24</xdr:row>
                    <xdr:rowOff>0</xdr:rowOff>
                  </from>
                  <to>
                    <xdr:col>5</xdr:col>
                    <xdr:colOff>561975</xdr:colOff>
                    <xdr:row>25</xdr:row>
                    <xdr:rowOff>28575</xdr:rowOff>
                  </to>
                </anchor>
              </controlPr>
            </control>
          </mc:Choice>
        </mc:AlternateContent>
        <mc:AlternateContent xmlns:mc="http://schemas.openxmlformats.org/markup-compatibility/2006">
          <mc:Choice Requires="x14">
            <control shapeId="1225" r:id="rId19" name="Check Box 201">
              <controlPr defaultSize="0" autoFill="0" autoLine="0" autoPict="0">
                <anchor moveWithCells="1">
                  <from>
                    <xdr:col>5</xdr:col>
                    <xdr:colOff>257175</xdr:colOff>
                    <xdr:row>25</xdr:row>
                    <xdr:rowOff>0</xdr:rowOff>
                  </from>
                  <to>
                    <xdr:col>5</xdr:col>
                    <xdr:colOff>561975</xdr:colOff>
                    <xdr:row>26</xdr:row>
                    <xdr:rowOff>28575</xdr:rowOff>
                  </to>
                </anchor>
              </controlPr>
            </control>
          </mc:Choice>
        </mc:AlternateContent>
        <mc:AlternateContent xmlns:mc="http://schemas.openxmlformats.org/markup-compatibility/2006">
          <mc:Choice Requires="x14">
            <control shapeId="1228" r:id="rId20" name="Check Box 204">
              <controlPr defaultSize="0" autoFill="0" autoLine="0" autoPict="0">
                <anchor moveWithCells="1">
                  <from>
                    <xdr:col>5</xdr:col>
                    <xdr:colOff>257175</xdr:colOff>
                    <xdr:row>26</xdr:row>
                    <xdr:rowOff>0</xdr:rowOff>
                  </from>
                  <to>
                    <xdr:col>5</xdr:col>
                    <xdr:colOff>561975</xdr:colOff>
                    <xdr:row>27</xdr:row>
                    <xdr:rowOff>28575</xdr:rowOff>
                  </to>
                </anchor>
              </controlPr>
            </control>
          </mc:Choice>
        </mc:AlternateContent>
        <mc:AlternateContent xmlns:mc="http://schemas.openxmlformats.org/markup-compatibility/2006">
          <mc:Choice Requires="x14">
            <control shapeId="1231" r:id="rId21" name="Check Box 207">
              <controlPr defaultSize="0" autoFill="0" autoLine="0" autoPict="0">
                <anchor moveWithCells="1">
                  <from>
                    <xdr:col>5</xdr:col>
                    <xdr:colOff>257175</xdr:colOff>
                    <xdr:row>27</xdr:row>
                    <xdr:rowOff>0</xdr:rowOff>
                  </from>
                  <to>
                    <xdr:col>5</xdr:col>
                    <xdr:colOff>561975</xdr:colOff>
                    <xdr:row>28</xdr:row>
                    <xdr:rowOff>28575</xdr:rowOff>
                  </to>
                </anchor>
              </controlPr>
            </control>
          </mc:Choice>
        </mc:AlternateContent>
        <mc:AlternateContent xmlns:mc="http://schemas.openxmlformats.org/markup-compatibility/2006">
          <mc:Choice Requires="x14">
            <control shapeId="1239" r:id="rId22" name="Check Box 215">
              <controlPr defaultSize="0" autoFill="0" autoLine="0" autoPict="0">
                <anchor moveWithCells="1">
                  <from>
                    <xdr:col>5</xdr:col>
                    <xdr:colOff>257175</xdr:colOff>
                    <xdr:row>28</xdr:row>
                    <xdr:rowOff>0</xdr:rowOff>
                  </from>
                  <to>
                    <xdr:col>5</xdr:col>
                    <xdr:colOff>561975</xdr:colOff>
                    <xdr:row>29</xdr:row>
                    <xdr:rowOff>19050</xdr:rowOff>
                  </to>
                </anchor>
              </controlPr>
            </control>
          </mc:Choice>
        </mc:AlternateContent>
        <mc:AlternateContent xmlns:mc="http://schemas.openxmlformats.org/markup-compatibility/2006">
          <mc:Choice Requires="x14">
            <control shapeId="1245" r:id="rId23" name="Check Box 221">
              <controlPr defaultSize="0" autoFill="0" autoLine="0" autoPict="0">
                <anchor moveWithCells="1">
                  <from>
                    <xdr:col>6</xdr:col>
                    <xdr:colOff>257175</xdr:colOff>
                    <xdr:row>8</xdr:row>
                    <xdr:rowOff>0</xdr:rowOff>
                  </from>
                  <to>
                    <xdr:col>6</xdr:col>
                    <xdr:colOff>561975</xdr:colOff>
                    <xdr:row>9</xdr:row>
                    <xdr:rowOff>0</xdr:rowOff>
                  </to>
                </anchor>
              </controlPr>
            </control>
          </mc:Choice>
        </mc:AlternateContent>
        <mc:AlternateContent xmlns:mc="http://schemas.openxmlformats.org/markup-compatibility/2006">
          <mc:Choice Requires="x14">
            <control shapeId="1251" r:id="rId24" name="Check Box 227">
              <controlPr defaultSize="0" autoFill="0" autoLine="0" autoPict="0">
                <anchor moveWithCells="1">
                  <from>
                    <xdr:col>6</xdr:col>
                    <xdr:colOff>257175</xdr:colOff>
                    <xdr:row>9</xdr:row>
                    <xdr:rowOff>0</xdr:rowOff>
                  </from>
                  <to>
                    <xdr:col>6</xdr:col>
                    <xdr:colOff>561975</xdr:colOff>
                    <xdr:row>10</xdr:row>
                    <xdr:rowOff>0</xdr:rowOff>
                  </to>
                </anchor>
              </controlPr>
            </control>
          </mc:Choice>
        </mc:AlternateContent>
        <mc:AlternateContent xmlns:mc="http://schemas.openxmlformats.org/markup-compatibility/2006">
          <mc:Choice Requires="x14">
            <control shapeId="1258" r:id="rId25" name="Check Box 234">
              <controlPr defaultSize="0" autoFill="0" autoLine="0" autoPict="0">
                <anchor moveWithCells="1">
                  <from>
                    <xdr:col>6</xdr:col>
                    <xdr:colOff>257175</xdr:colOff>
                    <xdr:row>10</xdr:row>
                    <xdr:rowOff>0</xdr:rowOff>
                  </from>
                  <to>
                    <xdr:col>6</xdr:col>
                    <xdr:colOff>561975</xdr:colOff>
                    <xdr:row>11</xdr:row>
                    <xdr:rowOff>0</xdr:rowOff>
                  </to>
                </anchor>
              </controlPr>
            </control>
          </mc:Choice>
        </mc:AlternateContent>
        <mc:AlternateContent xmlns:mc="http://schemas.openxmlformats.org/markup-compatibility/2006">
          <mc:Choice Requires="x14">
            <control shapeId="1264" r:id="rId26" name="Check Box 240">
              <controlPr defaultSize="0" autoFill="0" autoLine="0" autoPict="0">
                <anchor moveWithCells="1">
                  <from>
                    <xdr:col>6</xdr:col>
                    <xdr:colOff>257175</xdr:colOff>
                    <xdr:row>11</xdr:row>
                    <xdr:rowOff>0</xdr:rowOff>
                  </from>
                  <to>
                    <xdr:col>6</xdr:col>
                    <xdr:colOff>561975</xdr:colOff>
                    <xdr:row>12</xdr:row>
                    <xdr:rowOff>0</xdr:rowOff>
                  </to>
                </anchor>
              </controlPr>
            </control>
          </mc:Choice>
        </mc:AlternateContent>
        <mc:AlternateContent xmlns:mc="http://schemas.openxmlformats.org/markup-compatibility/2006">
          <mc:Choice Requires="x14">
            <control shapeId="1270" r:id="rId27" name="Check Box 246">
              <controlPr defaultSize="0" autoFill="0" autoLine="0" autoPict="0">
                <anchor moveWithCells="1">
                  <from>
                    <xdr:col>6</xdr:col>
                    <xdr:colOff>257175</xdr:colOff>
                    <xdr:row>12</xdr:row>
                    <xdr:rowOff>0</xdr:rowOff>
                  </from>
                  <to>
                    <xdr:col>6</xdr:col>
                    <xdr:colOff>561975</xdr:colOff>
                    <xdr:row>13</xdr:row>
                    <xdr:rowOff>0</xdr:rowOff>
                  </to>
                </anchor>
              </controlPr>
            </control>
          </mc:Choice>
        </mc:AlternateContent>
        <mc:AlternateContent xmlns:mc="http://schemas.openxmlformats.org/markup-compatibility/2006">
          <mc:Choice Requires="x14">
            <control shapeId="1276" r:id="rId28" name="Check Box 252">
              <controlPr defaultSize="0" autoFill="0" autoLine="0" autoPict="0">
                <anchor moveWithCells="1">
                  <from>
                    <xdr:col>6</xdr:col>
                    <xdr:colOff>257175</xdr:colOff>
                    <xdr:row>13</xdr:row>
                    <xdr:rowOff>0</xdr:rowOff>
                  </from>
                  <to>
                    <xdr:col>6</xdr:col>
                    <xdr:colOff>561975</xdr:colOff>
                    <xdr:row>14</xdr:row>
                    <xdr:rowOff>0</xdr:rowOff>
                  </to>
                </anchor>
              </controlPr>
            </control>
          </mc:Choice>
        </mc:AlternateContent>
        <mc:AlternateContent xmlns:mc="http://schemas.openxmlformats.org/markup-compatibility/2006">
          <mc:Choice Requires="x14">
            <control shapeId="1282" r:id="rId29" name="Check Box 258">
              <controlPr defaultSize="0" autoFill="0" autoLine="0" autoPict="0">
                <anchor moveWithCells="1">
                  <from>
                    <xdr:col>6</xdr:col>
                    <xdr:colOff>257175</xdr:colOff>
                    <xdr:row>14</xdr:row>
                    <xdr:rowOff>0</xdr:rowOff>
                  </from>
                  <to>
                    <xdr:col>6</xdr:col>
                    <xdr:colOff>561975</xdr:colOff>
                    <xdr:row>15</xdr:row>
                    <xdr:rowOff>0</xdr:rowOff>
                  </to>
                </anchor>
              </controlPr>
            </control>
          </mc:Choice>
        </mc:AlternateContent>
        <mc:AlternateContent xmlns:mc="http://schemas.openxmlformats.org/markup-compatibility/2006">
          <mc:Choice Requires="x14">
            <control shapeId="1288" r:id="rId30" name="Check Box 264">
              <controlPr defaultSize="0" autoFill="0" autoLine="0" autoPict="0">
                <anchor moveWithCells="1">
                  <from>
                    <xdr:col>6</xdr:col>
                    <xdr:colOff>257175</xdr:colOff>
                    <xdr:row>15</xdr:row>
                    <xdr:rowOff>0</xdr:rowOff>
                  </from>
                  <to>
                    <xdr:col>6</xdr:col>
                    <xdr:colOff>561975</xdr:colOff>
                    <xdr:row>15</xdr:row>
                    <xdr:rowOff>219075</xdr:rowOff>
                  </to>
                </anchor>
              </controlPr>
            </control>
          </mc:Choice>
        </mc:AlternateContent>
        <mc:AlternateContent xmlns:mc="http://schemas.openxmlformats.org/markup-compatibility/2006">
          <mc:Choice Requires="x14">
            <control shapeId="1294" r:id="rId31" name="Check Box 270">
              <controlPr defaultSize="0" autoFill="0" autoLine="0" autoPict="0">
                <anchor moveWithCells="1">
                  <from>
                    <xdr:col>6</xdr:col>
                    <xdr:colOff>257175</xdr:colOff>
                    <xdr:row>16</xdr:row>
                    <xdr:rowOff>0</xdr:rowOff>
                  </from>
                  <to>
                    <xdr:col>6</xdr:col>
                    <xdr:colOff>561975</xdr:colOff>
                    <xdr:row>16</xdr:row>
                    <xdr:rowOff>219075</xdr:rowOff>
                  </to>
                </anchor>
              </controlPr>
            </control>
          </mc:Choice>
        </mc:AlternateContent>
        <mc:AlternateContent xmlns:mc="http://schemas.openxmlformats.org/markup-compatibility/2006">
          <mc:Choice Requires="x14">
            <control shapeId="1300" r:id="rId32" name="Check Box 276">
              <controlPr defaultSize="0" autoFill="0" autoLine="0" autoPict="0">
                <anchor moveWithCells="1">
                  <from>
                    <xdr:col>6</xdr:col>
                    <xdr:colOff>257175</xdr:colOff>
                    <xdr:row>17</xdr:row>
                    <xdr:rowOff>19050</xdr:rowOff>
                  </from>
                  <to>
                    <xdr:col>6</xdr:col>
                    <xdr:colOff>561975</xdr:colOff>
                    <xdr:row>18</xdr:row>
                    <xdr:rowOff>19050</xdr:rowOff>
                  </to>
                </anchor>
              </controlPr>
            </control>
          </mc:Choice>
        </mc:AlternateContent>
        <mc:AlternateContent xmlns:mc="http://schemas.openxmlformats.org/markup-compatibility/2006">
          <mc:Choice Requires="x14">
            <control shapeId="1306" r:id="rId33" name="Check Box 282">
              <controlPr defaultSize="0" autoFill="0" autoLine="0" autoPict="0">
                <anchor moveWithCells="1">
                  <from>
                    <xdr:col>6</xdr:col>
                    <xdr:colOff>257175</xdr:colOff>
                    <xdr:row>18</xdr:row>
                    <xdr:rowOff>0</xdr:rowOff>
                  </from>
                  <to>
                    <xdr:col>6</xdr:col>
                    <xdr:colOff>561975</xdr:colOff>
                    <xdr:row>19</xdr:row>
                    <xdr:rowOff>0</xdr:rowOff>
                  </to>
                </anchor>
              </controlPr>
            </control>
          </mc:Choice>
        </mc:AlternateContent>
        <mc:AlternateContent xmlns:mc="http://schemas.openxmlformats.org/markup-compatibility/2006">
          <mc:Choice Requires="x14">
            <control shapeId="1312" r:id="rId34" name="Check Box 288">
              <controlPr defaultSize="0" autoFill="0" autoLine="0" autoPict="0">
                <anchor moveWithCells="1">
                  <from>
                    <xdr:col>6</xdr:col>
                    <xdr:colOff>257175</xdr:colOff>
                    <xdr:row>19</xdr:row>
                    <xdr:rowOff>0</xdr:rowOff>
                  </from>
                  <to>
                    <xdr:col>6</xdr:col>
                    <xdr:colOff>561975</xdr:colOff>
                    <xdr:row>20</xdr:row>
                    <xdr:rowOff>0</xdr:rowOff>
                  </to>
                </anchor>
              </controlPr>
            </control>
          </mc:Choice>
        </mc:AlternateContent>
        <mc:AlternateContent xmlns:mc="http://schemas.openxmlformats.org/markup-compatibility/2006">
          <mc:Choice Requires="x14">
            <control shapeId="1318" r:id="rId35" name="Check Box 294">
              <controlPr defaultSize="0" autoFill="0" autoLine="0" autoPict="0">
                <anchor moveWithCells="1">
                  <from>
                    <xdr:col>6</xdr:col>
                    <xdr:colOff>257175</xdr:colOff>
                    <xdr:row>20</xdr:row>
                    <xdr:rowOff>209550</xdr:rowOff>
                  </from>
                  <to>
                    <xdr:col>6</xdr:col>
                    <xdr:colOff>561975</xdr:colOff>
                    <xdr:row>21</xdr:row>
                    <xdr:rowOff>209550</xdr:rowOff>
                  </to>
                </anchor>
              </controlPr>
            </control>
          </mc:Choice>
        </mc:AlternateContent>
        <mc:AlternateContent xmlns:mc="http://schemas.openxmlformats.org/markup-compatibility/2006">
          <mc:Choice Requires="x14">
            <control shapeId="1324" r:id="rId36" name="Check Box 300">
              <controlPr defaultSize="0" autoFill="0" autoLine="0" autoPict="0">
                <anchor moveWithCells="1">
                  <from>
                    <xdr:col>6</xdr:col>
                    <xdr:colOff>257175</xdr:colOff>
                    <xdr:row>20</xdr:row>
                    <xdr:rowOff>0</xdr:rowOff>
                  </from>
                  <to>
                    <xdr:col>6</xdr:col>
                    <xdr:colOff>561975</xdr:colOff>
                    <xdr:row>21</xdr:row>
                    <xdr:rowOff>0</xdr:rowOff>
                  </to>
                </anchor>
              </controlPr>
            </control>
          </mc:Choice>
        </mc:AlternateContent>
        <mc:AlternateContent xmlns:mc="http://schemas.openxmlformats.org/markup-compatibility/2006">
          <mc:Choice Requires="x14">
            <control shapeId="1330" r:id="rId37" name="Check Box 306">
              <controlPr defaultSize="0" autoFill="0" autoLine="0" autoPict="0">
                <anchor moveWithCells="1">
                  <from>
                    <xdr:col>6</xdr:col>
                    <xdr:colOff>257175</xdr:colOff>
                    <xdr:row>22</xdr:row>
                    <xdr:rowOff>47625</xdr:rowOff>
                  </from>
                  <to>
                    <xdr:col>6</xdr:col>
                    <xdr:colOff>561975</xdr:colOff>
                    <xdr:row>22</xdr:row>
                    <xdr:rowOff>266700</xdr:rowOff>
                  </to>
                </anchor>
              </controlPr>
            </control>
          </mc:Choice>
        </mc:AlternateContent>
        <mc:AlternateContent xmlns:mc="http://schemas.openxmlformats.org/markup-compatibility/2006">
          <mc:Choice Requires="x14">
            <control shapeId="1336" r:id="rId38" name="Check Box 312">
              <controlPr defaultSize="0" autoFill="0" autoLine="0" autoPict="0">
                <anchor moveWithCells="1">
                  <from>
                    <xdr:col>6</xdr:col>
                    <xdr:colOff>257175</xdr:colOff>
                    <xdr:row>23</xdr:row>
                    <xdr:rowOff>0</xdr:rowOff>
                  </from>
                  <to>
                    <xdr:col>6</xdr:col>
                    <xdr:colOff>561975</xdr:colOff>
                    <xdr:row>24</xdr:row>
                    <xdr:rowOff>28575</xdr:rowOff>
                  </to>
                </anchor>
              </controlPr>
            </control>
          </mc:Choice>
        </mc:AlternateContent>
        <mc:AlternateContent xmlns:mc="http://schemas.openxmlformats.org/markup-compatibility/2006">
          <mc:Choice Requires="x14">
            <control shapeId="1342" r:id="rId39" name="Check Box 318">
              <controlPr defaultSize="0" autoFill="0" autoLine="0" autoPict="0">
                <anchor moveWithCells="1">
                  <from>
                    <xdr:col>6</xdr:col>
                    <xdr:colOff>257175</xdr:colOff>
                    <xdr:row>24</xdr:row>
                    <xdr:rowOff>0</xdr:rowOff>
                  </from>
                  <to>
                    <xdr:col>6</xdr:col>
                    <xdr:colOff>561975</xdr:colOff>
                    <xdr:row>25</xdr:row>
                    <xdr:rowOff>28575</xdr:rowOff>
                  </to>
                </anchor>
              </controlPr>
            </control>
          </mc:Choice>
        </mc:AlternateContent>
        <mc:AlternateContent xmlns:mc="http://schemas.openxmlformats.org/markup-compatibility/2006">
          <mc:Choice Requires="x14">
            <control shapeId="1348" r:id="rId40" name="Check Box 324">
              <controlPr defaultSize="0" autoFill="0" autoLine="0" autoPict="0">
                <anchor moveWithCells="1">
                  <from>
                    <xdr:col>6</xdr:col>
                    <xdr:colOff>257175</xdr:colOff>
                    <xdr:row>25</xdr:row>
                    <xdr:rowOff>0</xdr:rowOff>
                  </from>
                  <to>
                    <xdr:col>6</xdr:col>
                    <xdr:colOff>561975</xdr:colOff>
                    <xdr:row>26</xdr:row>
                    <xdr:rowOff>28575</xdr:rowOff>
                  </to>
                </anchor>
              </controlPr>
            </control>
          </mc:Choice>
        </mc:AlternateContent>
        <mc:AlternateContent xmlns:mc="http://schemas.openxmlformats.org/markup-compatibility/2006">
          <mc:Choice Requires="x14">
            <control shapeId="1354" r:id="rId41" name="Check Box 330">
              <controlPr defaultSize="0" autoFill="0" autoLine="0" autoPict="0">
                <anchor moveWithCells="1">
                  <from>
                    <xdr:col>6</xdr:col>
                    <xdr:colOff>257175</xdr:colOff>
                    <xdr:row>26</xdr:row>
                    <xdr:rowOff>0</xdr:rowOff>
                  </from>
                  <to>
                    <xdr:col>6</xdr:col>
                    <xdr:colOff>561975</xdr:colOff>
                    <xdr:row>27</xdr:row>
                    <xdr:rowOff>28575</xdr:rowOff>
                  </to>
                </anchor>
              </controlPr>
            </control>
          </mc:Choice>
        </mc:AlternateContent>
        <mc:AlternateContent xmlns:mc="http://schemas.openxmlformats.org/markup-compatibility/2006">
          <mc:Choice Requires="x14">
            <control shapeId="1360" r:id="rId42" name="Check Box 336">
              <controlPr defaultSize="0" autoFill="0" autoLine="0" autoPict="0">
                <anchor moveWithCells="1">
                  <from>
                    <xdr:col>6</xdr:col>
                    <xdr:colOff>257175</xdr:colOff>
                    <xdr:row>27</xdr:row>
                    <xdr:rowOff>0</xdr:rowOff>
                  </from>
                  <to>
                    <xdr:col>6</xdr:col>
                    <xdr:colOff>561975</xdr:colOff>
                    <xdr:row>28</xdr:row>
                    <xdr:rowOff>28575</xdr:rowOff>
                  </to>
                </anchor>
              </controlPr>
            </control>
          </mc:Choice>
        </mc:AlternateContent>
        <mc:AlternateContent xmlns:mc="http://schemas.openxmlformats.org/markup-compatibility/2006">
          <mc:Choice Requires="x14">
            <control shapeId="1372" r:id="rId43" name="Check Box 348">
              <controlPr defaultSize="0" autoFill="0" autoLine="0" autoPict="0">
                <anchor moveWithCells="1">
                  <from>
                    <xdr:col>6</xdr:col>
                    <xdr:colOff>257175</xdr:colOff>
                    <xdr:row>28</xdr:row>
                    <xdr:rowOff>0</xdr:rowOff>
                  </from>
                  <to>
                    <xdr:col>6</xdr:col>
                    <xdr:colOff>561975</xdr:colOff>
                    <xdr:row>29</xdr:row>
                    <xdr:rowOff>19050</xdr:rowOff>
                  </to>
                </anchor>
              </controlPr>
            </control>
          </mc:Choice>
        </mc:AlternateContent>
        <mc:AlternateContent xmlns:mc="http://schemas.openxmlformats.org/markup-compatibility/2006">
          <mc:Choice Requires="x14">
            <control shapeId="1378" r:id="rId44" name="Check Box 354">
              <controlPr defaultSize="0" autoFill="0" autoLine="0" autoPict="0">
                <anchor moveWithCells="1">
                  <from>
                    <xdr:col>5</xdr:col>
                    <xdr:colOff>257175</xdr:colOff>
                    <xdr:row>8</xdr:row>
                    <xdr:rowOff>0</xdr:rowOff>
                  </from>
                  <to>
                    <xdr:col>5</xdr:col>
                    <xdr:colOff>561975</xdr:colOff>
                    <xdr:row>9</xdr:row>
                    <xdr:rowOff>0</xdr:rowOff>
                  </to>
                </anchor>
              </controlPr>
            </control>
          </mc:Choice>
        </mc:AlternateContent>
        <mc:AlternateContent xmlns:mc="http://schemas.openxmlformats.org/markup-compatibility/2006">
          <mc:Choice Requires="x14">
            <control shapeId="1380" r:id="rId45" name="Check Box 356">
              <controlPr defaultSize="0" autoFill="0" autoLine="0" autoPict="0">
                <anchor moveWithCells="1">
                  <from>
                    <xdr:col>5</xdr:col>
                    <xdr:colOff>257175</xdr:colOff>
                    <xdr:row>9</xdr:row>
                    <xdr:rowOff>0</xdr:rowOff>
                  </from>
                  <to>
                    <xdr:col>5</xdr:col>
                    <xdr:colOff>561975</xdr:colOff>
                    <xdr:row>10</xdr:row>
                    <xdr:rowOff>0</xdr:rowOff>
                  </to>
                </anchor>
              </controlPr>
            </control>
          </mc:Choice>
        </mc:AlternateContent>
        <mc:AlternateContent xmlns:mc="http://schemas.openxmlformats.org/markup-compatibility/2006">
          <mc:Choice Requires="x14">
            <control shapeId="1385" r:id="rId46" name="Check Box 361">
              <controlPr defaultSize="0" autoFill="0" autoLine="0" autoPict="0">
                <anchor moveWithCells="1">
                  <from>
                    <xdr:col>5</xdr:col>
                    <xdr:colOff>257175</xdr:colOff>
                    <xdr:row>30</xdr:row>
                    <xdr:rowOff>0</xdr:rowOff>
                  </from>
                  <to>
                    <xdr:col>5</xdr:col>
                    <xdr:colOff>561975</xdr:colOff>
                    <xdr:row>31</xdr:row>
                    <xdr:rowOff>28575</xdr:rowOff>
                  </to>
                </anchor>
              </controlPr>
            </control>
          </mc:Choice>
        </mc:AlternateContent>
        <mc:AlternateContent xmlns:mc="http://schemas.openxmlformats.org/markup-compatibility/2006">
          <mc:Choice Requires="x14">
            <control shapeId="1390" r:id="rId47" name="Check Box 366">
              <controlPr defaultSize="0" autoFill="0" autoLine="0" autoPict="0">
                <anchor moveWithCells="1">
                  <from>
                    <xdr:col>5</xdr:col>
                    <xdr:colOff>257175</xdr:colOff>
                    <xdr:row>31</xdr:row>
                    <xdr:rowOff>0</xdr:rowOff>
                  </from>
                  <to>
                    <xdr:col>5</xdr:col>
                    <xdr:colOff>561975</xdr:colOff>
                    <xdr:row>32</xdr:row>
                    <xdr:rowOff>28575</xdr:rowOff>
                  </to>
                </anchor>
              </controlPr>
            </control>
          </mc:Choice>
        </mc:AlternateContent>
        <mc:AlternateContent xmlns:mc="http://schemas.openxmlformats.org/markup-compatibility/2006">
          <mc:Choice Requires="x14">
            <control shapeId="1393" r:id="rId48" name="Check Box 369">
              <controlPr defaultSize="0" autoFill="0" autoLine="0" autoPict="0">
                <anchor moveWithCells="1">
                  <from>
                    <xdr:col>5</xdr:col>
                    <xdr:colOff>257175</xdr:colOff>
                    <xdr:row>32</xdr:row>
                    <xdr:rowOff>0</xdr:rowOff>
                  </from>
                  <to>
                    <xdr:col>5</xdr:col>
                    <xdr:colOff>561975</xdr:colOff>
                    <xdr:row>33</xdr:row>
                    <xdr:rowOff>28575</xdr:rowOff>
                  </to>
                </anchor>
              </controlPr>
            </control>
          </mc:Choice>
        </mc:AlternateContent>
        <mc:AlternateContent xmlns:mc="http://schemas.openxmlformats.org/markup-compatibility/2006">
          <mc:Choice Requires="x14">
            <control shapeId="1396" r:id="rId49" name="Check Box 372">
              <controlPr defaultSize="0" autoFill="0" autoLine="0" autoPict="0">
                <anchor moveWithCells="1">
                  <from>
                    <xdr:col>5</xdr:col>
                    <xdr:colOff>257175</xdr:colOff>
                    <xdr:row>33</xdr:row>
                    <xdr:rowOff>0</xdr:rowOff>
                  </from>
                  <to>
                    <xdr:col>5</xdr:col>
                    <xdr:colOff>561975</xdr:colOff>
                    <xdr:row>34</xdr:row>
                    <xdr:rowOff>19050</xdr:rowOff>
                  </to>
                </anchor>
              </controlPr>
            </control>
          </mc:Choice>
        </mc:AlternateContent>
        <mc:AlternateContent xmlns:mc="http://schemas.openxmlformats.org/markup-compatibility/2006">
          <mc:Choice Requires="x14">
            <control shapeId="1399" r:id="rId50" name="Check Box 375">
              <controlPr defaultSize="0" autoFill="0" autoLine="0" autoPict="0">
                <anchor moveWithCells="1">
                  <from>
                    <xdr:col>5</xdr:col>
                    <xdr:colOff>257175</xdr:colOff>
                    <xdr:row>34</xdr:row>
                    <xdr:rowOff>0</xdr:rowOff>
                  </from>
                  <to>
                    <xdr:col>5</xdr:col>
                    <xdr:colOff>561975</xdr:colOff>
                    <xdr:row>35</xdr:row>
                    <xdr:rowOff>19050</xdr:rowOff>
                  </to>
                </anchor>
              </controlPr>
            </control>
          </mc:Choice>
        </mc:AlternateContent>
        <mc:AlternateContent xmlns:mc="http://schemas.openxmlformats.org/markup-compatibility/2006">
          <mc:Choice Requires="x14">
            <control shapeId="1402" r:id="rId51" name="Check Box 378">
              <controlPr defaultSize="0" autoFill="0" autoLine="0" autoPict="0">
                <anchor moveWithCells="1">
                  <from>
                    <xdr:col>6</xdr:col>
                    <xdr:colOff>257175</xdr:colOff>
                    <xdr:row>30</xdr:row>
                    <xdr:rowOff>0</xdr:rowOff>
                  </from>
                  <to>
                    <xdr:col>6</xdr:col>
                    <xdr:colOff>561975</xdr:colOff>
                    <xdr:row>31</xdr:row>
                    <xdr:rowOff>28575</xdr:rowOff>
                  </to>
                </anchor>
              </controlPr>
            </control>
          </mc:Choice>
        </mc:AlternateContent>
        <mc:AlternateContent xmlns:mc="http://schemas.openxmlformats.org/markup-compatibility/2006">
          <mc:Choice Requires="x14">
            <control shapeId="1405" r:id="rId52" name="Check Box 381">
              <controlPr defaultSize="0" autoFill="0" autoLine="0" autoPict="0">
                <anchor moveWithCells="1">
                  <from>
                    <xdr:col>6</xdr:col>
                    <xdr:colOff>257175</xdr:colOff>
                    <xdr:row>31</xdr:row>
                    <xdr:rowOff>0</xdr:rowOff>
                  </from>
                  <to>
                    <xdr:col>6</xdr:col>
                    <xdr:colOff>561975</xdr:colOff>
                    <xdr:row>32</xdr:row>
                    <xdr:rowOff>28575</xdr:rowOff>
                  </to>
                </anchor>
              </controlPr>
            </control>
          </mc:Choice>
        </mc:AlternateContent>
        <mc:AlternateContent xmlns:mc="http://schemas.openxmlformats.org/markup-compatibility/2006">
          <mc:Choice Requires="x14">
            <control shapeId="1408" r:id="rId53" name="Check Box 384">
              <controlPr defaultSize="0" autoFill="0" autoLine="0" autoPict="0">
                <anchor moveWithCells="1">
                  <from>
                    <xdr:col>6</xdr:col>
                    <xdr:colOff>257175</xdr:colOff>
                    <xdr:row>32</xdr:row>
                    <xdr:rowOff>0</xdr:rowOff>
                  </from>
                  <to>
                    <xdr:col>6</xdr:col>
                    <xdr:colOff>561975</xdr:colOff>
                    <xdr:row>33</xdr:row>
                    <xdr:rowOff>28575</xdr:rowOff>
                  </to>
                </anchor>
              </controlPr>
            </control>
          </mc:Choice>
        </mc:AlternateContent>
        <mc:AlternateContent xmlns:mc="http://schemas.openxmlformats.org/markup-compatibility/2006">
          <mc:Choice Requires="x14">
            <control shapeId="1411" r:id="rId54" name="Check Box 387">
              <controlPr defaultSize="0" autoFill="0" autoLine="0" autoPict="0">
                <anchor moveWithCells="1">
                  <from>
                    <xdr:col>6</xdr:col>
                    <xdr:colOff>257175</xdr:colOff>
                    <xdr:row>33</xdr:row>
                    <xdr:rowOff>0</xdr:rowOff>
                  </from>
                  <to>
                    <xdr:col>6</xdr:col>
                    <xdr:colOff>561975</xdr:colOff>
                    <xdr:row>34</xdr:row>
                    <xdr:rowOff>19050</xdr:rowOff>
                  </to>
                </anchor>
              </controlPr>
            </control>
          </mc:Choice>
        </mc:AlternateContent>
        <mc:AlternateContent xmlns:mc="http://schemas.openxmlformats.org/markup-compatibility/2006">
          <mc:Choice Requires="x14">
            <control shapeId="1414" r:id="rId55" name="Check Box 390">
              <controlPr defaultSize="0" autoFill="0" autoLine="0" autoPict="0">
                <anchor moveWithCells="1">
                  <from>
                    <xdr:col>6</xdr:col>
                    <xdr:colOff>257175</xdr:colOff>
                    <xdr:row>34</xdr:row>
                    <xdr:rowOff>0</xdr:rowOff>
                  </from>
                  <to>
                    <xdr:col>6</xdr:col>
                    <xdr:colOff>561975</xdr:colOff>
                    <xdr:row>35</xdr:row>
                    <xdr:rowOff>19050</xdr:rowOff>
                  </to>
                </anchor>
              </controlPr>
            </control>
          </mc:Choice>
        </mc:AlternateContent>
        <mc:AlternateContent xmlns:mc="http://schemas.openxmlformats.org/markup-compatibility/2006">
          <mc:Choice Requires="x14">
            <control shapeId="1420" r:id="rId56" name="Check Box 396">
              <controlPr defaultSize="0" autoFill="0" autoLine="0" autoPict="0">
                <anchor moveWithCells="1">
                  <from>
                    <xdr:col>6</xdr:col>
                    <xdr:colOff>257175</xdr:colOff>
                    <xdr:row>38</xdr:row>
                    <xdr:rowOff>0</xdr:rowOff>
                  </from>
                  <to>
                    <xdr:col>6</xdr:col>
                    <xdr:colOff>561975</xdr:colOff>
                    <xdr:row>39</xdr:row>
                    <xdr:rowOff>28575</xdr:rowOff>
                  </to>
                </anchor>
              </controlPr>
            </control>
          </mc:Choice>
        </mc:AlternateContent>
        <mc:AlternateContent xmlns:mc="http://schemas.openxmlformats.org/markup-compatibility/2006">
          <mc:Choice Requires="x14">
            <control shapeId="1426" r:id="rId57" name="Check Box 402">
              <controlPr defaultSize="0" autoFill="0" autoLine="0" autoPict="0">
                <anchor moveWithCells="1">
                  <from>
                    <xdr:col>5</xdr:col>
                    <xdr:colOff>257175</xdr:colOff>
                    <xdr:row>38</xdr:row>
                    <xdr:rowOff>0</xdr:rowOff>
                  </from>
                  <to>
                    <xdr:col>5</xdr:col>
                    <xdr:colOff>561975</xdr:colOff>
                    <xdr:row>39</xdr:row>
                    <xdr:rowOff>28575</xdr:rowOff>
                  </to>
                </anchor>
              </controlPr>
            </control>
          </mc:Choice>
        </mc:AlternateContent>
        <mc:AlternateContent xmlns:mc="http://schemas.openxmlformats.org/markup-compatibility/2006">
          <mc:Choice Requires="x14">
            <control shapeId="1432" r:id="rId58" name="Check Box 408">
              <controlPr defaultSize="0" autoFill="0" autoLine="0" autoPict="0">
                <anchor moveWithCells="1">
                  <from>
                    <xdr:col>6</xdr:col>
                    <xdr:colOff>257175</xdr:colOff>
                    <xdr:row>41</xdr:row>
                    <xdr:rowOff>0</xdr:rowOff>
                  </from>
                  <to>
                    <xdr:col>6</xdr:col>
                    <xdr:colOff>561975</xdr:colOff>
                    <xdr:row>42</xdr:row>
                    <xdr:rowOff>28575</xdr:rowOff>
                  </to>
                </anchor>
              </controlPr>
            </control>
          </mc:Choice>
        </mc:AlternateContent>
        <mc:AlternateContent xmlns:mc="http://schemas.openxmlformats.org/markup-compatibility/2006">
          <mc:Choice Requires="x14">
            <control shapeId="1439" r:id="rId59" name="Check Box 415">
              <controlPr defaultSize="0" autoFill="0" autoLine="0" autoPict="0">
                <anchor moveWithCells="1">
                  <from>
                    <xdr:col>5</xdr:col>
                    <xdr:colOff>257175</xdr:colOff>
                    <xdr:row>41</xdr:row>
                    <xdr:rowOff>0</xdr:rowOff>
                  </from>
                  <to>
                    <xdr:col>5</xdr:col>
                    <xdr:colOff>561975</xdr:colOff>
                    <xdr:row>42</xdr:row>
                    <xdr:rowOff>28575</xdr:rowOff>
                  </to>
                </anchor>
              </controlPr>
            </control>
          </mc:Choice>
        </mc:AlternateContent>
        <mc:AlternateContent xmlns:mc="http://schemas.openxmlformats.org/markup-compatibility/2006">
          <mc:Choice Requires="x14">
            <control shapeId="1454" r:id="rId60" name="Check Box 430">
              <controlPr defaultSize="0" autoFill="0" autoLine="0" autoPict="0">
                <anchor moveWithCells="1">
                  <from>
                    <xdr:col>5</xdr:col>
                    <xdr:colOff>257175</xdr:colOff>
                    <xdr:row>43</xdr:row>
                    <xdr:rowOff>47625</xdr:rowOff>
                  </from>
                  <to>
                    <xdr:col>5</xdr:col>
                    <xdr:colOff>561975</xdr:colOff>
                    <xdr:row>43</xdr:row>
                    <xdr:rowOff>266700</xdr:rowOff>
                  </to>
                </anchor>
              </controlPr>
            </control>
          </mc:Choice>
        </mc:AlternateContent>
        <mc:AlternateContent xmlns:mc="http://schemas.openxmlformats.org/markup-compatibility/2006">
          <mc:Choice Requires="x14">
            <control shapeId="1460" r:id="rId61" name="Check Box 436">
              <controlPr defaultSize="0" autoFill="0" autoLine="0" autoPict="0">
                <anchor moveWithCells="1">
                  <from>
                    <xdr:col>6</xdr:col>
                    <xdr:colOff>257175</xdr:colOff>
                    <xdr:row>43</xdr:row>
                    <xdr:rowOff>38100</xdr:rowOff>
                  </from>
                  <to>
                    <xdr:col>6</xdr:col>
                    <xdr:colOff>561975</xdr:colOff>
                    <xdr:row>43</xdr:row>
                    <xdr:rowOff>257175</xdr:rowOff>
                  </to>
                </anchor>
              </controlPr>
            </control>
          </mc:Choice>
        </mc:AlternateContent>
        <mc:AlternateContent xmlns:mc="http://schemas.openxmlformats.org/markup-compatibility/2006">
          <mc:Choice Requires="x14">
            <control shapeId="1466" r:id="rId62" name="Check Box 442">
              <controlPr defaultSize="0" autoFill="0" autoLine="0" autoPict="0">
                <anchor moveWithCells="1">
                  <from>
                    <xdr:col>5</xdr:col>
                    <xdr:colOff>257175</xdr:colOff>
                    <xdr:row>44</xdr:row>
                    <xdr:rowOff>142875</xdr:rowOff>
                  </from>
                  <to>
                    <xdr:col>5</xdr:col>
                    <xdr:colOff>561975</xdr:colOff>
                    <xdr:row>45</xdr:row>
                    <xdr:rowOff>104775</xdr:rowOff>
                  </to>
                </anchor>
              </controlPr>
            </control>
          </mc:Choice>
        </mc:AlternateContent>
        <mc:AlternateContent xmlns:mc="http://schemas.openxmlformats.org/markup-compatibility/2006">
          <mc:Choice Requires="x14">
            <control shapeId="1472" r:id="rId63" name="Check Box 448">
              <controlPr defaultSize="0" autoFill="0" autoLine="0" autoPict="0">
                <anchor moveWithCells="1">
                  <from>
                    <xdr:col>6</xdr:col>
                    <xdr:colOff>257175</xdr:colOff>
                    <xdr:row>44</xdr:row>
                    <xdr:rowOff>142875</xdr:rowOff>
                  </from>
                  <to>
                    <xdr:col>6</xdr:col>
                    <xdr:colOff>561975</xdr:colOff>
                    <xdr:row>45</xdr:row>
                    <xdr:rowOff>104775</xdr:rowOff>
                  </to>
                </anchor>
              </controlPr>
            </control>
          </mc:Choice>
        </mc:AlternateContent>
        <mc:AlternateContent xmlns:mc="http://schemas.openxmlformats.org/markup-compatibility/2006">
          <mc:Choice Requires="x14">
            <control shapeId="1475" r:id="rId64" name="Check Box 451">
              <controlPr defaultSize="0" autoFill="0" autoLine="0" autoPict="0">
                <anchor moveWithCells="1">
                  <from>
                    <xdr:col>5</xdr:col>
                    <xdr:colOff>257175</xdr:colOff>
                    <xdr:row>46</xdr:row>
                    <xdr:rowOff>123825</xdr:rowOff>
                  </from>
                  <to>
                    <xdr:col>5</xdr:col>
                    <xdr:colOff>561975</xdr:colOff>
                    <xdr:row>47</xdr:row>
                    <xdr:rowOff>95250</xdr:rowOff>
                  </to>
                </anchor>
              </controlPr>
            </control>
          </mc:Choice>
        </mc:AlternateContent>
        <mc:AlternateContent xmlns:mc="http://schemas.openxmlformats.org/markup-compatibility/2006">
          <mc:Choice Requires="x14">
            <control shapeId="1478" r:id="rId65" name="Check Box 454">
              <controlPr defaultSize="0" autoFill="0" autoLine="0" autoPict="0">
                <anchor moveWithCells="1">
                  <from>
                    <xdr:col>6</xdr:col>
                    <xdr:colOff>257175</xdr:colOff>
                    <xdr:row>46</xdr:row>
                    <xdr:rowOff>123825</xdr:rowOff>
                  </from>
                  <to>
                    <xdr:col>6</xdr:col>
                    <xdr:colOff>561975</xdr:colOff>
                    <xdr:row>47</xdr:row>
                    <xdr:rowOff>95250</xdr:rowOff>
                  </to>
                </anchor>
              </controlPr>
            </control>
          </mc:Choice>
        </mc:AlternateContent>
        <mc:AlternateContent xmlns:mc="http://schemas.openxmlformats.org/markup-compatibility/2006">
          <mc:Choice Requires="x14">
            <control shapeId="1481" r:id="rId66" name="Check Box 457">
              <controlPr defaultSize="0" autoFill="0" autoLine="0" autoPict="0">
                <anchor moveWithCells="1">
                  <from>
                    <xdr:col>5</xdr:col>
                    <xdr:colOff>257175</xdr:colOff>
                    <xdr:row>48</xdr:row>
                    <xdr:rowOff>38100</xdr:rowOff>
                  </from>
                  <to>
                    <xdr:col>5</xdr:col>
                    <xdr:colOff>561975</xdr:colOff>
                    <xdr:row>48</xdr:row>
                    <xdr:rowOff>257175</xdr:rowOff>
                  </to>
                </anchor>
              </controlPr>
            </control>
          </mc:Choice>
        </mc:AlternateContent>
        <mc:AlternateContent xmlns:mc="http://schemas.openxmlformats.org/markup-compatibility/2006">
          <mc:Choice Requires="x14">
            <control shapeId="1484" r:id="rId67" name="Check Box 460">
              <controlPr defaultSize="0" autoFill="0" autoLine="0" autoPict="0">
                <anchor moveWithCells="1">
                  <from>
                    <xdr:col>6</xdr:col>
                    <xdr:colOff>257175</xdr:colOff>
                    <xdr:row>48</xdr:row>
                    <xdr:rowOff>38100</xdr:rowOff>
                  </from>
                  <to>
                    <xdr:col>6</xdr:col>
                    <xdr:colOff>561975</xdr:colOff>
                    <xdr:row>48</xdr:row>
                    <xdr:rowOff>257175</xdr:rowOff>
                  </to>
                </anchor>
              </controlPr>
            </control>
          </mc:Choice>
        </mc:AlternateContent>
        <mc:AlternateContent xmlns:mc="http://schemas.openxmlformats.org/markup-compatibility/2006">
          <mc:Choice Requires="x14">
            <control shapeId="1487" r:id="rId68" name="Check Box 463">
              <controlPr defaultSize="0" autoFill="0" autoLine="0" autoPict="0">
                <anchor moveWithCells="1">
                  <from>
                    <xdr:col>5</xdr:col>
                    <xdr:colOff>257175</xdr:colOff>
                    <xdr:row>49</xdr:row>
                    <xdr:rowOff>0</xdr:rowOff>
                  </from>
                  <to>
                    <xdr:col>5</xdr:col>
                    <xdr:colOff>561975</xdr:colOff>
                    <xdr:row>50</xdr:row>
                    <xdr:rowOff>28575</xdr:rowOff>
                  </to>
                </anchor>
              </controlPr>
            </control>
          </mc:Choice>
        </mc:AlternateContent>
        <mc:AlternateContent xmlns:mc="http://schemas.openxmlformats.org/markup-compatibility/2006">
          <mc:Choice Requires="x14">
            <control shapeId="1490" r:id="rId69" name="Check Box 466">
              <controlPr defaultSize="0" autoFill="0" autoLine="0" autoPict="0">
                <anchor moveWithCells="1">
                  <from>
                    <xdr:col>6</xdr:col>
                    <xdr:colOff>257175</xdr:colOff>
                    <xdr:row>49</xdr:row>
                    <xdr:rowOff>0</xdr:rowOff>
                  </from>
                  <to>
                    <xdr:col>6</xdr:col>
                    <xdr:colOff>561975</xdr:colOff>
                    <xdr:row>50</xdr:row>
                    <xdr:rowOff>28575</xdr:rowOff>
                  </to>
                </anchor>
              </controlPr>
            </control>
          </mc:Choice>
        </mc:AlternateContent>
        <mc:AlternateContent xmlns:mc="http://schemas.openxmlformats.org/markup-compatibility/2006">
          <mc:Choice Requires="x14">
            <control shapeId="1493" r:id="rId70" name="Check Box 469">
              <controlPr defaultSize="0" autoFill="0" autoLine="0" autoPict="0">
                <anchor moveWithCells="1">
                  <from>
                    <xdr:col>5</xdr:col>
                    <xdr:colOff>257175</xdr:colOff>
                    <xdr:row>50</xdr:row>
                    <xdr:rowOff>0</xdr:rowOff>
                  </from>
                  <to>
                    <xdr:col>5</xdr:col>
                    <xdr:colOff>561975</xdr:colOff>
                    <xdr:row>50</xdr:row>
                    <xdr:rowOff>219075</xdr:rowOff>
                  </to>
                </anchor>
              </controlPr>
            </control>
          </mc:Choice>
        </mc:AlternateContent>
        <mc:AlternateContent xmlns:mc="http://schemas.openxmlformats.org/markup-compatibility/2006">
          <mc:Choice Requires="x14">
            <control shapeId="1496" r:id="rId71" name="Check Box 472">
              <controlPr defaultSize="0" autoFill="0" autoLine="0" autoPict="0">
                <anchor moveWithCells="1">
                  <from>
                    <xdr:col>6</xdr:col>
                    <xdr:colOff>257175</xdr:colOff>
                    <xdr:row>50</xdr:row>
                    <xdr:rowOff>0</xdr:rowOff>
                  </from>
                  <to>
                    <xdr:col>6</xdr:col>
                    <xdr:colOff>561975</xdr:colOff>
                    <xdr:row>50</xdr:row>
                    <xdr:rowOff>219075</xdr:rowOff>
                  </to>
                </anchor>
              </controlPr>
            </control>
          </mc:Choice>
        </mc:AlternateContent>
        <mc:AlternateContent xmlns:mc="http://schemas.openxmlformats.org/markup-compatibility/2006">
          <mc:Choice Requires="x14">
            <control shapeId="1499" r:id="rId72" name="Check Box 475">
              <controlPr defaultSize="0" autoFill="0" autoLine="0" autoPict="0">
                <anchor moveWithCells="1">
                  <from>
                    <xdr:col>5</xdr:col>
                    <xdr:colOff>257175</xdr:colOff>
                    <xdr:row>51</xdr:row>
                    <xdr:rowOff>0</xdr:rowOff>
                  </from>
                  <to>
                    <xdr:col>5</xdr:col>
                    <xdr:colOff>561975</xdr:colOff>
                    <xdr:row>51</xdr:row>
                    <xdr:rowOff>219075</xdr:rowOff>
                  </to>
                </anchor>
              </controlPr>
            </control>
          </mc:Choice>
        </mc:AlternateContent>
        <mc:AlternateContent xmlns:mc="http://schemas.openxmlformats.org/markup-compatibility/2006">
          <mc:Choice Requires="x14">
            <control shapeId="1502" r:id="rId73" name="Check Box 478">
              <controlPr defaultSize="0" autoFill="0" autoLine="0" autoPict="0">
                <anchor moveWithCells="1">
                  <from>
                    <xdr:col>6</xdr:col>
                    <xdr:colOff>257175</xdr:colOff>
                    <xdr:row>51</xdr:row>
                    <xdr:rowOff>0</xdr:rowOff>
                  </from>
                  <to>
                    <xdr:col>6</xdr:col>
                    <xdr:colOff>561975</xdr:colOff>
                    <xdr:row>51</xdr:row>
                    <xdr:rowOff>219075</xdr:rowOff>
                  </to>
                </anchor>
              </controlPr>
            </control>
          </mc:Choice>
        </mc:AlternateContent>
        <mc:AlternateContent xmlns:mc="http://schemas.openxmlformats.org/markup-compatibility/2006">
          <mc:Choice Requires="x14">
            <control shapeId="1505" r:id="rId74" name="Check Box 481">
              <controlPr defaultSize="0" autoFill="0" autoLine="0" autoPict="0">
                <anchor moveWithCells="1">
                  <from>
                    <xdr:col>5</xdr:col>
                    <xdr:colOff>257175</xdr:colOff>
                    <xdr:row>52</xdr:row>
                    <xdr:rowOff>0</xdr:rowOff>
                  </from>
                  <to>
                    <xdr:col>5</xdr:col>
                    <xdr:colOff>561975</xdr:colOff>
                    <xdr:row>52</xdr:row>
                    <xdr:rowOff>219075</xdr:rowOff>
                  </to>
                </anchor>
              </controlPr>
            </control>
          </mc:Choice>
        </mc:AlternateContent>
        <mc:AlternateContent xmlns:mc="http://schemas.openxmlformats.org/markup-compatibility/2006">
          <mc:Choice Requires="x14">
            <control shapeId="1508" r:id="rId75" name="Check Box 484">
              <controlPr defaultSize="0" autoFill="0" autoLine="0" autoPict="0">
                <anchor moveWithCells="1">
                  <from>
                    <xdr:col>6</xdr:col>
                    <xdr:colOff>257175</xdr:colOff>
                    <xdr:row>52</xdr:row>
                    <xdr:rowOff>0</xdr:rowOff>
                  </from>
                  <to>
                    <xdr:col>6</xdr:col>
                    <xdr:colOff>561975</xdr:colOff>
                    <xdr:row>52</xdr:row>
                    <xdr:rowOff>219075</xdr:rowOff>
                  </to>
                </anchor>
              </controlPr>
            </control>
          </mc:Choice>
        </mc:AlternateContent>
        <mc:AlternateContent xmlns:mc="http://schemas.openxmlformats.org/markup-compatibility/2006">
          <mc:Choice Requires="x14">
            <control shapeId="1511" r:id="rId76" name="Check Box 487">
              <controlPr defaultSize="0" autoFill="0" autoLine="0" autoPict="0">
                <anchor moveWithCells="1">
                  <from>
                    <xdr:col>5</xdr:col>
                    <xdr:colOff>257175</xdr:colOff>
                    <xdr:row>53</xdr:row>
                    <xdr:rowOff>0</xdr:rowOff>
                  </from>
                  <to>
                    <xdr:col>5</xdr:col>
                    <xdr:colOff>561975</xdr:colOff>
                    <xdr:row>53</xdr:row>
                    <xdr:rowOff>219075</xdr:rowOff>
                  </to>
                </anchor>
              </controlPr>
            </control>
          </mc:Choice>
        </mc:AlternateContent>
        <mc:AlternateContent xmlns:mc="http://schemas.openxmlformats.org/markup-compatibility/2006">
          <mc:Choice Requires="x14">
            <control shapeId="1514" r:id="rId77" name="Check Box 490">
              <controlPr defaultSize="0" autoFill="0" autoLine="0" autoPict="0">
                <anchor moveWithCells="1">
                  <from>
                    <xdr:col>6</xdr:col>
                    <xdr:colOff>257175</xdr:colOff>
                    <xdr:row>53</xdr:row>
                    <xdr:rowOff>0</xdr:rowOff>
                  </from>
                  <to>
                    <xdr:col>6</xdr:col>
                    <xdr:colOff>561975</xdr:colOff>
                    <xdr:row>53</xdr:row>
                    <xdr:rowOff>219075</xdr:rowOff>
                  </to>
                </anchor>
              </controlPr>
            </control>
          </mc:Choice>
        </mc:AlternateContent>
        <mc:AlternateContent xmlns:mc="http://schemas.openxmlformats.org/markup-compatibility/2006">
          <mc:Choice Requires="x14">
            <control shapeId="1517" r:id="rId78" name="Check Box 493">
              <controlPr defaultSize="0" autoFill="0" autoLine="0" autoPict="0">
                <anchor moveWithCells="1">
                  <from>
                    <xdr:col>5</xdr:col>
                    <xdr:colOff>257175</xdr:colOff>
                    <xdr:row>53</xdr:row>
                    <xdr:rowOff>304800</xdr:rowOff>
                  </from>
                  <to>
                    <xdr:col>5</xdr:col>
                    <xdr:colOff>561975</xdr:colOff>
                    <xdr:row>55</xdr:row>
                    <xdr:rowOff>9525</xdr:rowOff>
                  </to>
                </anchor>
              </controlPr>
            </control>
          </mc:Choice>
        </mc:AlternateContent>
        <mc:AlternateContent xmlns:mc="http://schemas.openxmlformats.org/markup-compatibility/2006">
          <mc:Choice Requires="x14">
            <control shapeId="1520" r:id="rId79" name="Check Box 496">
              <controlPr defaultSize="0" autoFill="0" autoLine="0" autoPict="0">
                <anchor moveWithCells="1">
                  <from>
                    <xdr:col>6</xdr:col>
                    <xdr:colOff>257175</xdr:colOff>
                    <xdr:row>53</xdr:row>
                    <xdr:rowOff>304800</xdr:rowOff>
                  </from>
                  <to>
                    <xdr:col>6</xdr:col>
                    <xdr:colOff>561975</xdr:colOff>
                    <xdr:row>55</xdr:row>
                    <xdr:rowOff>9525</xdr:rowOff>
                  </to>
                </anchor>
              </controlPr>
            </control>
          </mc:Choice>
        </mc:AlternateContent>
        <mc:AlternateContent xmlns:mc="http://schemas.openxmlformats.org/markup-compatibility/2006">
          <mc:Choice Requires="x14">
            <control shapeId="1523" r:id="rId80" name="Check Box 499">
              <controlPr defaultSize="0" autoFill="0" autoLine="0" autoPict="0">
                <anchor moveWithCells="1">
                  <from>
                    <xdr:col>5</xdr:col>
                    <xdr:colOff>257175</xdr:colOff>
                    <xdr:row>55</xdr:row>
                    <xdr:rowOff>57150</xdr:rowOff>
                  </from>
                  <to>
                    <xdr:col>5</xdr:col>
                    <xdr:colOff>561975</xdr:colOff>
                    <xdr:row>55</xdr:row>
                    <xdr:rowOff>276225</xdr:rowOff>
                  </to>
                </anchor>
              </controlPr>
            </control>
          </mc:Choice>
        </mc:AlternateContent>
        <mc:AlternateContent xmlns:mc="http://schemas.openxmlformats.org/markup-compatibility/2006">
          <mc:Choice Requires="x14">
            <control shapeId="1526" r:id="rId81" name="Check Box 502">
              <controlPr defaultSize="0" autoFill="0" autoLine="0" autoPict="0">
                <anchor moveWithCells="1">
                  <from>
                    <xdr:col>6</xdr:col>
                    <xdr:colOff>257175</xdr:colOff>
                    <xdr:row>55</xdr:row>
                    <xdr:rowOff>47625</xdr:rowOff>
                  </from>
                  <to>
                    <xdr:col>6</xdr:col>
                    <xdr:colOff>561975</xdr:colOff>
                    <xdr:row>55</xdr:row>
                    <xdr:rowOff>266700</xdr:rowOff>
                  </to>
                </anchor>
              </controlPr>
            </control>
          </mc:Choice>
        </mc:AlternateContent>
        <mc:AlternateContent xmlns:mc="http://schemas.openxmlformats.org/markup-compatibility/2006">
          <mc:Choice Requires="x14">
            <control shapeId="1529" r:id="rId82" name="Check Box 505">
              <controlPr defaultSize="0" autoFill="0" autoLine="0" autoPict="0">
                <anchor moveWithCells="1">
                  <from>
                    <xdr:col>5</xdr:col>
                    <xdr:colOff>266700</xdr:colOff>
                    <xdr:row>56</xdr:row>
                    <xdr:rowOff>38100</xdr:rowOff>
                  </from>
                  <to>
                    <xdr:col>5</xdr:col>
                    <xdr:colOff>571500</xdr:colOff>
                    <xdr:row>56</xdr:row>
                    <xdr:rowOff>257175</xdr:rowOff>
                  </to>
                </anchor>
              </controlPr>
            </control>
          </mc:Choice>
        </mc:AlternateContent>
        <mc:AlternateContent xmlns:mc="http://schemas.openxmlformats.org/markup-compatibility/2006">
          <mc:Choice Requires="x14">
            <control shapeId="1532" r:id="rId83" name="Check Box 508">
              <controlPr defaultSize="0" autoFill="0" autoLine="0" autoPict="0">
                <anchor moveWithCells="1">
                  <from>
                    <xdr:col>6</xdr:col>
                    <xdr:colOff>257175</xdr:colOff>
                    <xdr:row>56</xdr:row>
                    <xdr:rowOff>38100</xdr:rowOff>
                  </from>
                  <to>
                    <xdr:col>6</xdr:col>
                    <xdr:colOff>561975</xdr:colOff>
                    <xdr:row>56</xdr:row>
                    <xdr:rowOff>257175</xdr:rowOff>
                  </to>
                </anchor>
              </controlPr>
            </control>
          </mc:Choice>
        </mc:AlternateContent>
        <mc:AlternateContent xmlns:mc="http://schemas.openxmlformats.org/markup-compatibility/2006">
          <mc:Choice Requires="x14">
            <control shapeId="1535" r:id="rId84" name="Check Box 511">
              <controlPr defaultSize="0" autoFill="0" autoLine="0" autoPict="0">
                <anchor moveWithCells="1">
                  <from>
                    <xdr:col>5</xdr:col>
                    <xdr:colOff>257175</xdr:colOff>
                    <xdr:row>56</xdr:row>
                    <xdr:rowOff>314325</xdr:rowOff>
                  </from>
                  <to>
                    <xdr:col>5</xdr:col>
                    <xdr:colOff>561975</xdr:colOff>
                    <xdr:row>58</xdr:row>
                    <xdr:rowOff>19050</xdr:rowOff>
                  </to>
                </anchor>
              </controlPr>
            </control>
          </mc:Choice>
        </mc:AlternateContent>
        <mc:AlternateContent xmlns:mc="http://schemas.openxmlformats.org/markup-compatibility/2006">
          <mc:Choice Requires="x14">
            <control shapeId="1538" r:id="rId85" name="Check Box 514">
              <controlPr defaultSize="0" autoFill="0" autoLine="0" autoPict="0">
                <anchor moveWithCells="1">
                  <from>
                    <xdr:col>6</xdr:col>
                    <xdr:colOff>257175</xdr:colOff>
                    <xdr:row>56</xdr:row>
                    <xdr:rowOff>314325</xdr:rowOff>
                  </from>
                  <to>
                    <xdr:col>6</xdr:col>
                    <xdr:colOff>561975</xdr:colOff>
                    <xdr:row>58</xdr:row>
                    <xdr:rowOff>19050</xdr:rowOff>
                  </to>
                </anchor>
              </controlPr>
            </control>
          </mc:Choice>
        </mc:AlternateContent>
        <mc:AlternateContent xmlns:mc="http://schemas.openxmlformats.org/markup-compatibility/2006">
          <mc:Choice Requires="x14">
            <control shapeId="1541" r:id="rId86" name="Check Box 517">
              <controlPr defaultSize="0" autoFill="0" autoLine="0" autoPict="0">
                <anchor moveWithCells="1">
                  <from>
                    <xdr:col>5</xdr:col>
                    <xdr:colOff>257175</xdr:colOff>
                    <xdr:row>58</xdr:row>
                    <xdr:rowOff>104775</xdr:rowOff>
                  </from>
                  <to>
                    <xdr:col>5</xdr:col>
                    <xdr:colOff>561975</xdr:colOff>
                    <xdr:row>59</xdr:row>
                    <xdr:rowOff>133350</xdr:rowOff>
                  </to>
                </anchor>
              </controlPr>
            </control>
          </mc:Choice>
        </mc:AlternateContent>
        <mc:AlternateContent xmlns:mc="http://schemas.openxmlformats.org/markup-compatibility/2006">
          <mc:Choice Requires="x14">
            <control shapeId="1544" r:id="rId87" name="Check Box 520">
              <controlPr defaultSize="0" autoFill="0" autoLine="0" autoPict="0">
                <anchor moveWithCells="1">
                  <from>
                    <xdr:col>6</xdr:col>
                    <xdr:colOff>238125</xdr:colOff>
                    <xdr:row>58</xdr:row>
                    <xdr:rowOff>104775</xdr:rowOff>
                  </from>
                  <to>
                    <xdr:col>6</xdr:col>
                    <xdr:colOff>542925</xdr:colOff>
                    <xdr:row>59</xdr:row>
                    <xdr:rowOff>133350</xdr:rowOff>
                  </to>
                </anchor>
              </controlPr>
            </control>
          </mc:Choice>
        </mc:AlternateContent>
        <mc:AlternateContent xmlns:mc="http://schemas.openxmlformats.org/markup-compatibility/2006">
          <mc:Choice Requires="x14">
            <control shapeId="1547" r:id="rId88" name="Check Box 523">
              <controlPr defaultSize="0" autoFill="0" autoLine="0" autoPict="0">
                <anchor moveWithCells="1">
                  <from>
                    <xdr:col>5</xdr:col>
                    <xdr:colOff>247650</xdr:colOff>
                    <xdr:row>60</xdr:row>
                    <xdr:rowOff>133350</xdr:rowOff>
                  </from>
                  <to>
                    <xdr:col>5</xdr:col>
                    <xdr:colOff>552450</xdr:colOff>
                    <xdr:row>61</xdr:row>
                    <xdr:rowOff>161925</xdr:rowOff>
                  </to>
                </anchor>
              </controlPr>
            </control>
          </mc:Choice>
        </mc:AlternateContent>
        <mc:AlternateContent xmlns:mc="http://schemas.openxmlformats.org/markup-compatibility/2006">
          <mc:Choice Requires="x14">
            <control shapeId="1550" r:id="rId89" name="Check Box 526">
              <controlPr defaultSize="0" autoFill="0" autoLine="0" autoPict="0">
                <anchor moveWithCells="1">
                  <from>
                    <xdr:col>6</xdr:col>
                    <xdr:colOff>247650</xdr:colOff>
                    <xdr:row>60</xdr:row>
                    <xdr:rowOff>180975</xdr:rowOff>
                  </from>
                  <to>
                    <xdr:col>6</xdr:col>
                    <xdr:colOff>552450</xdr:colOff>
                    <xdr:row>61</xdr:row>
                    <xdr:rowOff>209550</xdr:rowOff>
                  </to>
                </anchor>
              </controlPr>
            </control>
          </mc:Choice>
        </mc:AlternateContent>
        <mc:AlternateContent xmlns:mc="http://schemas.openxmlformats.org/markup-compatibility/2006">
          <mc:Choice Requires="x14">
            <control shapeId="1553" r:id="rId90" name="Check Box 529">
              <controlPr defaultSize="0" autoFill="0" autoLine="0" autoPict="0">
                <anchor moveWithCells="1">
                  <from>
                    <xdr:col>5</xdr:col>
                    <xdr:colOff>257175</xdr:colOff>
                    <xdr:row>62</xdr:row>
                    <xdr:rowOff>0</xdr:rowOff>
                  </from>
                  <to>
                    <xdr:col>5</xdr:col>
                    <xdr:colOff>561975</xdr:colOff>
                    <xdr:row>62</xdr:row>
                    <xdr:rowOff>219075</xdr:rowOff>
                  </to>
                </anchor>
              </controlPr>
            </control>
          </mc:Choice>
        </mc:AlternateContent>
        <mc:AlternateContent xmlns:mc="http://schemas.openxmlformats.org/markup-compatibility/2006">
          <mc:Choice Requires="x14">
            <control shapeId="1556" r:id="rId91" name="Check Box 532">
              <controlPr defaultSize="0" autoFill="0" autoLine="0" autoPict="0">
                <anchor moveWithCells="1">
                  <from>
                    <xdr:col>6</xdr:col>
                    <xdr:colOff>257175</xdr:colOff>
                    <xdr:row>62</xdr:row>
                    <xdr:rowOff>0</xdr:rowOff>
                  </from>
                  <to>
                    <xdr:col>6</xdr:col>
                    <xdr:colOff>561975</xdr:colOff>
                    <xdr:row>62</xdr:row>
                    <xdr:rowOff>219075</xdr:rowOff>
                  </to>
                </anchor>
              </controlPr>
            </control>
          </mc:Choice>
        </mc:AlternateContent>
        <mc:AlternateContent xmlns:mc="http://schemas.openxmlformats.org/markup-compatibility/2006">
          <mc:Choice Requires="x14">
            <control shapeId="1559" r:id="rId92" name="Check Box 535">
              <controlPr defaultSize="0" autoFill="0" autoLine="0" autoPict="0">
                <anchor moveWithCells="1">
                  <from>
                    <xdr:col>5</xdr:col>
                    <xdr:colOff>257175</xdr:colOff>
                    <xdr:row>63</xdr:row>
                    <xdr:rowOff>57150</xdr:rowOff>
                  </from>
                  <to>
                    <xdr:col>5</xdr:col>
                    <xdr:colOff>561975</xdr:colOff>
                    <xdr:row>63</xdr:row>
                    <xdr:rowOff>276225</xdr:rowOff>
                  </to>
                </anchor>
              </controlPr>
            </control>
          </mc:Choice>
        </mc:AlternateContent>
        <mc:AlternateContent xmlns:mc="http://schemas.openxmlformats.org/markup-compatibility/2006">
          <mc:Choice Requires="x14">
            <control shapeId="1562" r:id="rId93" name="Check Box 538">
              <controlPr defaultSize="0" autoFill="0" autoLine="0" autoPict="0">
                <anchor moveWithCells="1">
                  <from>
                    <xdr:col>6</xdr:col>
                    <xdr:colOff>257175</xdr:colOff>
                    <xdr:row>63</xdr:row>
                    <xdr:rowOff>47625</xdr:rowOff>
                  </from>
                  <to>
                    <xdr:col>6</xdr:col>
                    <xdr:colOff>561975</xdr:colOff>
                    <xdr:row>63</xdr:row>
                    <xdr:rowOff>266700</xdr:rowOff>
                  </to>
                </anchor>
              </controlPr>
            </control>
          </mc:Choice>
        </mc:AlternateContent>
        <mc:AlternateContent xmlns:mc="http://schemas.openxmlformats.org/markup-compatibility/2006">
          <mc:Choice Requires="x14">
            <control shapeId="1565" r:id="rId94" name="Check Box 541">
              <controlPr defaultSize="0" autoFill="0" autoLine="0" autoPict="0">
                <anchor moveWithCells="1">
                  <from>
                    <xdr:col>5</xdr:col>
                    <xdr:colOff>266700</xdr:colOff>
                    <xdr:row>64</xdr:row>
                    <xdr:rowOff>38100</xdr:rowOff>
                  </from>
                  <to>
                    <xdr:col>5</xdr:col>
                    <xdr:colOff>571500</xdr:colOff>
                    <xdr:row>64</xdr:row>
                    <xdr:rowOff>257175</xdr:rowOff>
                  </to>
                </anchor>
              </controlPr>
            </control>
          </mc:Choice>
        </mc:AlternateContent>
        <mc:AlternateContent xmlns:mc="http://schemas.openxmlformats.org/markup-compatibility/2006">
          <mc:Choice Requires="x14">
            <control shapeId="1568" r:id="rId95" name="Check Box 544">
              <controlPr defaultSize="0" autoFill="0" autoLine="0" autoPict="0">
                <anchor moveWithCells="1">
                  <from>
                    <xdr:col>6</xdr:col>
                    <xdr:colOff>257175</xdr:colOff>
                    <xdr:row>64</xdr:row>
                    <xdr:rowOff>38100</xdr:rowOff>
                  </from>
                  <to>
                    <xdr:col>6</xdr:col>
                    <xdr:colOff>561975</xdr:colOff>
                    <xdr:row>64</xdr:row>
                    <xdr:rowOff>257175</xdr:rowOff>
                  </to>
                </anchor>
              </controlPr>
            </control>
          </mc:Choice>
        </mc:AlternateContent>
        <mc:AlternateContent xmlns:mc="http://schemas.openxmlformats.org/markup-compatibility/2006">
          <mc:Choice Requires="x14">
            <control shapeId="1571" r:id="rId96" name="Check Box 547">
              <controlPr defaultSize="0" autoFill="0" autoLine="0" autoPict="0">
                <anchor moveWithCells="1">
                  <from>
                    <xdr:col>5</xdr:col>
                    <xdr:colOff>257175</xdr:colOff>
                    <xdr:row>65</xdr:row>
                    <xdr:rowOff>38100</xdr:rowOff>
                  </from>
                  <to>
                    <xdr:col>5</xdr:col>
                    <xdr:colOff>561975</xdr:colOff>
                    <xdr:row>65</xdr:row>
                    <xdr:rowOff>257175</xdr:rowOff>
                  </to>
                </anchor>
              </controlPr>
            </control>
          </mc:Choice>
        </mc:AlternateContent>
        <mc:AlternateContent xmlns:mc="http://schemas.openxmlformats.org/markup-compatibility/2006">
          <mc:Choice Requires="x14">
            <control shapeId="1574" r:id="rId97" name="Check Box 550">
              <controlPr defaultSize="0" autoFill="0" autoLine="0" autoPict="0">
                <anchor moveWithCells="1">
                  <from>
                    <xdr:col>6</xdr:col>
                    <xdr:colOff>257175</xdr:colOff>
                    <xdr:row>65</xdr:row>
                    <xdr:rowOff>38100</xdr:rowOff>
                  </from>
                  <to>
                    <xdr:col>6</xdr:col>
                    <xdr:colOff>561975</xdr:colOff>
                    <xdr:row>65</xdr:row>
                    <xdr:rowOff>257175</xdr:rowOff>
                  </to>
                </anchor>
              </controlPr>
            </control>
          </mc:Choice>
        </mc:AlternateContent>
        <mc:AlternateContent xmlns:mc="http://schemas.openxmlformats.org/markup-compatibility/2006">
          <mc:Choice Requires="x14">
            <control shapeId="1577" r:id="rId98" name="Check Box 553">
              <controlPr defaultSize="0" autoFill="0" autoLine="0" autoPict="0">
                <anchor moveWithCells="1">
                  <from>
                    <xdr:col>5</xdr:col>
                    <xdr:colOff>257175</xdr:colOff>
                    <xdr:row>66</xdr:row>
                    <xdr:rowOff>19050</xdr:rowOff>
                  </from>
                  <to>
                    <xdr:col>5</xdr:col>
                    <xdr:colOff>561975</xdr:colOff>
                    <xdr:row>66</xdr:row>
                    <xdr:rowOff>238125</xdr:rowOff>
                  </to>
                </anchor>
              </controlPr>
            </control>
          </mc:Choice>
        </mc:AlternateContent>
        <mc:AlternateContent xmlns:mc="http://schemas.openxmlformats.org/markup-compatibility/2006">
          <mc:Choice Requires="x14">
            <control shapeId="1580" r:id="rId99" name="Check Box 556">
              <controlPr defaultSize="0" autoFill="0" autoLine="0" autoPict="0">
                <anchor moveWithCells="1">
                  <from>
                    <xdr:col>6</xdr:col>
                    <xdr:colOff>257175</xdr:colOff>
                    <xdr:row>66</xdr:row>
                    <xdr:rowOff>28575</xdr:rowOff>
                  </from>
                  <to>
                    <xdr:col>6</xdr:col>
                    <xdr:colOff>561975</xdr:colOff>
                    <xdr:row>66</xdr:row>
                    <xdr:rowOff>247650</xdr:rowOff>
                  </to>
                </anchor>
              </controlPr>
            </control>
          </mc:Choice>
        </mc:AlternateContent>
        <mc:AlternateContent xmlns:mc="http://schemas.openxmlformats.org/markup-compatibility/2006">
          <mc:Choice Requires="x14">
            <control shapeId="1583" r:id="rId100" name="Check Box 559">
              <controlPr defaultSize="0" autoFill="0" autoLine="0" autoPict="0">
                <anchor moveWithCells="1">
                  <from>
                    <xdr:col>5</xdr:col>
                    <xdr:colOff>257175</xdr:colOff>
                    <xdr:row>67</xdr:row>
                    <xdr:rowOff>0</xdr:rowOff>
                  </from>
                  <to>
                    <xdr:col>5</xdr:col>
                    <xdr:colOff>561975</xdr:colOff>
                    <xdr:row>68</xdr:row>
                    <xdr:rowOff>28575</xdr:rowOff>
                  </to>
                </anchor>
              </controlPr>
            </control>
          </mc:Choice>
        </mc:AlternateContent>
        <mc:AlternateContent xmlns:mc="http://schemas.openxmlformats.org/markup-compatibility/2006">
          <mc:Choice Requires="x14">
            <control shapeId="1586" r:id="rId101" name="Check Box 562">
              <controlPr defaultSize="0" autoFill="0" autoLine="0" autoPict="0">
                <anchor moveWithCells="1">
                  <from>
                    <xdr:col>6</xdr:col>
                    <xdr:colOff>257175</xdr:colOff>
                    <xdr:row>67</xdr:row>
                    <xdr:rowOff>0</xdr:rowOff>
                  </from>
                  <to>
                    <xdr:col>6</xdr:col>
                    <xdr:colOff>561975</xdr:colOff>
                    <xdr:row>68</xdr:row>
                    <xdr:rowOff>28575</xdr:rowOff>
                  </to>
                </anchor>
              </controlPr>
            </control>
          </mc:Choice>
        </mc:AlternateContent>
        <mc:AlternateContent xmlns:mc="http://schemas.openxmlformats.org/markup-compatibility/2006">
          <mc:Choice Requires="x14">
            <control shapeId="1589" r:id="rId102" name="Check Box 565">
              <controlPr defaultSize="0" autoFill="0" autoLine="0" autoPict="0">
                <anchor moveWithCells="1">
                  <from>
                    <xdr:col>5</xdr:col>
                    <xdr:colOff>257175</xdr:colOff>
                    <xdr:row>68</xdr:row>
                    <xdr:rowOff>0</xdr:rowOff>
                  </from>
                  <to>
                    <xdr:col>5</xdr:col>
                    <xdr:colOff>561975</xdr:colOff>
                    <xdr:row>69</xdr:row>
                    <xdr:rowOff>28575</xdr:rowOff>
                  </to>
                </anchor>
              </controlPr>
            </control>
          </mc:Choice>
        </mc:AlternateContent>
        <mc:AlternateContent xmlns:mc="http://schemas.openxmlformats.org/markup-compatibility/2006">
          <mc:Choice Requires="x14">
            <control shapeId="1592" r:id="rId103" name="Check Box 568">
              <controlPr defaultSize="0" autoFill="0" autoLine="0" autoPict="0">
                <anchor moveWithCells="1">
                  <from>
                    <xdr:col>6</xdr:col>
                    <xdr:colOff>257175</xdr:colOff>
                    <xdr:row>68</xdr:row>
                    <xdr:rowOff>0</xdr:rowOff>
                  </from>
                  <to>
                    <xdr:col>6</xdr:col>
                    <xdr:colOff>561975</xdr:colOff>
                    <xdr:row>69</xdr:row>
                    <xdr:rowOff>28575</xdr:rowOff>
                  </to>
                </anchor>
              </controlPr>
            </control>
          </mc:Choice>
        </mc:AlternateContent>
        <mc:AlternateContent xmlns:mc="http://schemas.openxmlformats.org/markup-compatibility/2006">
          <mc:Choice Requires="x14">
            <control shapeId="1595" r:id="rId104" name="Check Box 571">
              <controlPr defaultSize="0" autoFill="0" autoLine="0" autoPict="0">
                <anchor moveWithCells="1">
                  <from>
                    <xdr:col>5</xdr:col>
                    <xdr:colOff>257175</xdr:colOff>
                    <xdr:row>69</xdr:row>
                    <xdr:rowOff>66675</xdr:rowOff>
                  </from>
                  <to>
                    <xdr:col>5</xdr:col>
                    <xdr:colOff>561975</xdr:colOff>
                    <xdr:row>70</xdr:row>
                    <xdr:rowOff>95250</xdr:rowOff>
                  </to>
                </anchor>
              </controlPr>
            </control>
          </mc:Choice>
        </mc:AlternateContent>
        <mc:AlternateContent xmlns:mc="http://schemas.openxmlformats.org/markup-compatibility/2006">
          <mc:Choice Requires="x14">
            <control shapeId="1598" r:id="rId105" name="Check Box 574">
              <controlPr defaultSize="0" autoFill="0" autoLine="0" autoPict="0">
                <anchor moveWithCells="1">
                  <from>
                    <xdr:col>6</xdr:col>
                    <xdr:colOff>257175</xdr:colOff>
                    <xdr:row>69</xdr:row>
                    <xdr:rowOff>57150</xdr:rowOff>
                  </from>
                  <to>
                    <xdr:col>6</xdr:col>
                    <xdr:colOff>561975</xdr:colOff>
                    <xdr:row>70</xdr:row>
                    <xdr:rowOff>85725</xdr:rowOff>
                  </to>
                </anchor>
              </controlPr>
            </control>
          </mc:Choice>
        </mc:AlternateContent>
        <mc:AlternateContent xmlns:mc="http://schemas.openxmlformats.org/markup-compatibility/2006">
          <mc:Choice Requires="x14">
            <control shapeId="1601" r:id="rId106" name="Check Box 577">
              <controlPr defaultSize="0" autoFill="0" autoLine="0" autoPict="0">
                <anchor moveWithCells="1">
                  <from>
                    <xdr:col>5</xdr:col>
                    <xdr:colOff>257175</xdr:colOff>
                    <xdr:row>71</xdr:row>
                    <xdr:rowOff>0</xdr:rowOff>
                  </from>
                  <to>
                    <xdr:col>5</xdr:col>
                    <xdr:colOff>561975</xdr:colOff>
                    <xdr:row>72</xdr:row>
                    <xdr:rowOff>28575</xdr:rowOff>
                  </to>
                </anchor>
              </controlPr>
            </control>
          </mc:Choice>
        </mc:AlternateContent>
        <mc:AlternateContent xmlns:mc="http://schemas.openxmlformats.org/markup-compatibility/2006">
          <mc:Choice Requires="x14">
            <control shapeId="1604" r:id="rId107" name="Check Box 580">
              <controlPr defaultSize="0" autoFill="0" autoLine="0" autoPict="0">
                <anchor moveWithCells="1">
                  <from>
                    <xdr:col>6</xdr:col>
                    <xdr:colOff>257175</xdr:colOff>
                    <xdr:row>71</xdr:row>
                    <xdr:rowOff>0</xdr:rowOff>
                  </from>
                  <to>
                    <xdr:col>6</xdr:col>
                    <xdr:colOff>561975</xdr:colOff>
                    <xdr:row>72</xdr:row>
                    <xdr:rowOff>28575</xdr:rowOff>
                  </to>
                </anchor>
              </controlPr>
            </control>
          </mc:Choice>
        </mc:AlternateContent>
        <mc:AlternateContent xmlns:mc="http://schemas.openxmlformats.org/markup-compatibility/2006">
          <mc:Choice Requires="x14">
            <control shapeId="1613" r:id="rId108" name="Check Box 589">
              <controlPr defaultSize="0" autoFill="0" autoLine="0" autoPict="0">
                <anchor moveWithCells="1">
                  <from>
                    <xdr:col>5</xdr:col>
                    <xdr:colOff>257175</xdr:colOff>
                    <xdr:row>72</xdr:row>
                    <xdr:rowOff>0</xdr:rowOff>
                  </from>
                  <to>
                    <xdr:col>5</xdr:col>
                    <xdr:colOff>561975</xdr:colOff>
                    <xdr:row>73</xdr:row>
                    <xdr:rowOff>28575</xdr:rowOff>
                  </to>
                </anchor>
              </controlPr>
            </control>
          </mc:Choice>
        </mc:AlternateContent>
        <mc:AlternateContent xmlns:mc="http://schemas.openxmlformats.org/markup-compatibility/2006">
          <mc:Choice Requires="x14">
            <control shapeId="1616" r:id="rId109" name="Check Box 592">
              <controlPr defaultSize="0" autoFill="0" autoLine="0" autoPict="0">
                <anchor moveWithCells="1">
                  <from>
                    <xdr:col>6</xdr:col>
                    <xdr:colOff>257175</xdr:colOff>
                    <xdr:row>72</xdr:row>
                    <xdr:rowOff>0</xdr:rowOff>
                  </from>
                  <to>
                    <xdr:col>6</xdr:col>
                    <xdr:colOff>561975</xdr:colOff>
                    <xdr:row>73</xdr:row>
                    <xdr:rowOff>28575</xdr:rowOff>
                  </to>
                </anchor>
              </controlPr>
            </control>
          </mc:Choice>
        </mc:AlternateContent>
        <mc:AlternateContent xmlns:mc="http://schemas.openxmlformats.org/markup-compatibility/2006">
          <mc:Choice Requires="x14">
            <control shapeId="1625" r:id="rId110" name="Check Box 601">
              <controlPr defaultSize="0" autoFill="0" autoLine="0" autoPict="0">
                <anchor moveWithCells="1">
                  <from>
                    <xdr:col>5</xdr:col>
                    <xdr:colOff>257175</xdr:colOff>
                    <xdr:row>73</xdr:row>
                    <xdr:rowOff>0</xdr:rowOff>
                  </from>
                  <to>
                    <xdr:col>5</xdr:col>
                    <xdr:colOff>561975</xdr:colOff>
                    <xdr:row>73</xdr:row>
                    <xdr:rowOff>219075</xdr:rowOff>
                  </to>
                </anchor>
              </controlPr>
            </control>
          </mc:Choice>
        </mc:AlternateContent>
        <mc:AlternateContent xmlns:mc="http://schemas.openxmlformats.org/markup-compatibility/2006">
          <mc:Choice Requires="x14">
            <control shapeId="1628" r:id="rId111" name="Check Box 604">
              <controlPr defaultSize="0" autoFill="0" autoLine="0" autoPict="0">
                <anchor moveWithCells="1">
                  <from>
                    <xdr:col>6</xdr:col>
                    <xdr:colOff>257175</xdr:colOff>
                    <xdr:row>73</xdr:row>
                    <xdr:rowOff>0</xdr:rowOff>
                  </from>
                  <to>
                    <xdr:col>6</xdr:col>
                    <xdr:colOff>561975</xdr:colOff>
                    <xdr:row>73</xdr:row>
                    <xdr:rowOff>219075</xdr:rowOff>
                  </to>
                </anchor>
              </controlPr>
            </control>
          </mc:Choice>
        </mc:AlternateContent>
        <mc:AlternateContent xmlns:mc="http://schemas.openxmlformats.org/markup-compatibility/2006">
          <mc:Choice Requires="x14">
            <control shapeId="1643" r:id="rId112" name="Check Box 619">
              <controlPr defaultSize="0" autoFill="0" autoLine="0" autoPict="0">
                <anchor moveWithCells="1">
                  <from>
                    <xdr:col>5</xdr:col>
                    <xdr:colOff>257175</xdr:colOff>
                    <xdr:row>74</xdr:row>
                    <xdr:rowOff>0</xdr:rowOff>
                  </from>
                  <to>
                    <xdr:col>5</xdr:col>
                    <xdr:colOff>561975</xdr:colOff>
                    <xdr:row>74</xdr:row>
                    <xdr:rowOff>219075</xdr:rowOff>
                  </to>
                </anchor>
              </controlPr>
            </control>
          </mc:Choice>
        </mc:AlternateContent>
        <mc:AlternateContent xmlns:mc="http://schemas.openxmlformats.org/markup-compatibility/2006">
          <mc:Choice Requires="x14">
            <control shapeId="1646" r:id="rId113" name="Check Box 622">
              <controlPr defaultSize="0" autoFill="0" autoLine="0" autoPict="0">
                <anchor moveWithCells="1">
                  <from>
                    <xdr:col>6</xdr:col>
                    <xdr:colOff>257175</xdr:colOff>
                    <xdr:row>74</xdr:row>
                    <xdr:rowOff>0</xdr:rowOff>
                  </from>
                  <to>
                    <xdr:col>6</xdr:col>
                    <xdr:colOff>561975</xdr:colOff>
                    <xdr:row>74</xdr:row>
                    <xdr:rowOff>219075</xdr:rowOff>
                  </to>
                </anchor>
              </controlPr>
            </control>
          </mc:Choice>
        </mc:AlternateContent>
        <mc:AlternateContent xmlns:mc="http://schemas.openxmlformats.org/markup-compatibility/2006">
          <mc:Choice Requires="x14">
            <control shapeId="1661" r:id="rId114" name="Check Box 637">
              <controlPr defaultSize="0" autoFill="0" autoLine="0" autoPict="0">
                <anchor moveWithCells="1">
                  <from>
                    <xdr:col>5</xdr:col>
                    <xdr:colOff>257175</xdr:colOff>
                    <xdr:row>75</xdr:row>
                    <xdr:rowOff>0</xdr:rowOff>
                  </from>
                  <to>
                    <xdr:col>5</xdr:col>
                    <xdr:colOff>561975</xdr:colOff>
                    <xdr:row>75</xdr:row>
                    <xdr:rowOff>219075</xdr:rowOff>
                  </to>
                </anchor>
              </controlPr>
            </control>
          </mc:Choice>
        </mc:AlternateContent>
        <mc:AlternateContent xmlns:mc="http://schemas.openxmlformats.org/markup-compatibility/2006">
          <mc:Choice Requires="x14">
            <control shapeId="1664" r:id="rId115" name="Check Box 640">
              <controlPr defaultSize="0" autoFill="0" autoLine="0" autoPict="0">
                <anchor moveWithCells="1">
                  <from>
                    <xdr:col>6</xdr:col>
                    <xdr:colOff>257175</xdr:colOff>
                    <xdr:row>75</xdr:row>
                    <xdr:rowOff>0</xdr:rowOff>
                  </from>
                  <to>
                    <xdr:col>6</xdr:col>
                    <xdr:colOff>561975</xdr:colOff>
                    <xdr:row>75</xdr:row>
                    <xdr:rowOff>219075</xdr:rowOff>
                  </to>
                </anchor>
              </controlPr>
            </control>
          </mc:Choice>
        </mc:AlternateContent>
        <mc:AlternateContent xmlns:mc="http://schemas.openxmlformats.org/markup-compatibility/2006">
          <mc:Choice Requires="x14">
            <control shapeId="1679" r:id="rId116" name="Check Box 655">
              <controlPr defaultSize="0" autoFill="0" autoLine="0" autoPict="0">
                <anchor moveWithCells="1">
                  <from>
                    <xdr:col>5</xdr:col>
                    <xdr:colOff>257175</xdr:colOff>
                    <xdr:row>76</xdr:row>
                    <xdr:rowOff>0</xdr:rowOff>
                  </from>
                  <to>
                    <xdr:col>5</xdr:col>
                    <xdr:colOff>561975</xdr:colOff>
                    <xdr:row>76</xdr:row>
                    <xdr:rowOff>219075</xdr:rowOff>
                  </to>
                </anchor>
              </controlPr>
            </control>
          </mc:Choice>
        </mc:AlternateContent>
        <mc:AlternateContent xmlns:mc="http://schemas.openxmlformats.org/markup-compatibility/2006">
          <mc:Choice Requires="x14">
            <control shapeId="1682" r:id="rId117" name="Check Box 658">
              <controlPr defaultSize="0" autoFill="0" autoLine="0" autoPict="0">
                <anchor moveWithCells="1">
                  <from>
                    <xdr:col>6</xdr:col>
                    <xdr:colOff>257175</xdr:colOff>
                    <xdr:row>76</xdr:row>
                    <xdr:rowOff>0</xdr:rowOff>
                  </from>
                  <to>
                    <xdr:col>6</xdr:col>
                    <xdr:colOff>561975</xdr:colOff>
                    <xdr:row>76</xdr:row>
                    <xdr:rowOff>219075</xdr:rowOff>
                  </to>
                </anchor>
              </controlPr>
            </control>
          </mc:Choice>
        </mc:AlternateContent>
        <mc:AlternateContent xmlns:mc="http://schemas.openxmlformats.org/markup-compatibility/2006">
          <mc:Choice Requires="x14">
            <control shapeId="1697" r:id="rId118" name="Check Box 673">
              <controlPr defaultSize="0" autoFill="0" autoLine="0" autoPict="0">
                <anchor moveWithCells="1">
                  <from>
                    <xdr:col>5</xdr:col>
                    <xdr:colOff>257175</xdr:colOff>
                    <xdr:row>77</xdr:row>
                    <xdr:rowOff>0</xdr:rowOff>
                  </from>
                  <to>
                    <xdr:col>5</xdr:col>
                    <xdr:colOff>561975</xdr:colOff>
                    <xdr:row>77</xdr:row>
                    <xdr:rowOff>219075</xdr:rowOff>
                  </to>
                </anchor>
              </controlPr>
            </control>
          </mc:Choice>
        </mc:AlternateContent>
        <mc:AlternateContent xmlns:mc="http://schemas.openxmlformats.org/markup-compatibility/2006">
          <mc:Choice Requires="x14">
            <control shapeId="1700" r:id="rId119" name="Check Box 676">
              <controlPr defaultSize="0" autoFill="0" autoLine="0" autoPict="0">
                <anchor moveWithCells="1">
                  <from>
                    <xdr:col>6</xdr:col>
                    <xdr:colOff>257175</xdr:colOff>
                    <xdr:row>77</xdr:row>
                    <xdr:rowOff>0</xdr:rowOff>
                  </from>
                  <to>
                    <xdr:col>6</xdr:col>
                    <xdr:colOff>561975</xdr:colOff>
                    <xdr:row>77</xdr:row>
                    <xdr:rowOff>219075</xdr:rowOff>
                  </to>
                </anchor>
              </controlPr>
            </control>
          </mc:Choice>
        </mc:AlternateContent>
        <mc:AlternateContent xmlns:mc="http://schemas.openxmlformats.org/markup-compatibility/2006">
          <mc:Choice Requires="x14">
            <control shapeId="1715" r:id="rId120" name="Check Box 691">
              <controlPr defaultSize="0" autoFill="0" autoLine="0" autoPict="0">
                <anchor moveWithCells="1">
                  <from>
                    <xdr:col>5</xdr:col>
                    <xdr:colOff>257175</xdr:colOff>
                    <xdr:row>78</xdr:row>
                    <xdr:rowOff>0</xdr:rowOff>
                  </from>
                  <to>
                    <xdr:col>5</xdr:col>
                    <xdr:colOff>561975</xdr:colOff>
                    <xdr:row>78</xdr:row>
                    <xdr:rowOff>219075</xdr:rowOff>
                  </to>
                </anchor>
              </controlPr>
            </control>
          </mc:Choice>
        </mc:AlternateContent>
        <mc:AlternateContent xmlns:mc="http://schemas.openxmlformats.org/markup-compatibility/2006">
          <mc:Choice Requires="x14">
            <control shapeId="1718" r:id="rId121" name="Check Box 694">
              <controlPr defaultSize="0" autoFill="0" autoLine="0" autoPict="0">
                <anchor moveWithCells="1">
                  <from>
                    <xdr:col>6</xdr:col>
                    <xdr:colOff>257175</xdr:colOff>
                    <xdr:row>78</xdr:row>
                    <xdr:rowOff>0</xdr:rowOff>
                  </from>
                  <to>
                    <xdr:col>6</xdr:col>
                    <xdr:colOff>561975</xdr:colOff>
                    <xdr:row>78</xdr:row>
                    <xdr:rowOff>219075</xdr:rowOff>
                  </to>
                </anchor>
              </controlPr>
            </control>
          </mc:Choice>
        </mc:AlternateContent>
        <mc:AlternateContent xmlns:mc="http://schemas.openxmlformats.org/markup-compatibility/2006">
          <mc:Choice Requires="x14">
            <control shapeId="1733" r:id="rId122" name="Check Box 709">
              <controlPr defaultSize="0" autoFill="0" autoLine="0" autoPict="0">
                <anchor moveWithCells="1">
                  <from>
                    <xdr:col>5</xdr:col>
                    <xdr:colOff>257175</xdr:colOff>
                    <xdr:row>79</xdr:row>
                    <xdr:rowOff>0</xdr:rowOff>
                  </from>
                  <to>
                    <xdr:col>5</xdr:col>
                    <xdr:colOff>561975</xdr:colOff>
                    <xdr:row>79</xdr:row>
                    <xdr:rowOff>219075</xdr:rowOff>
                  </to>
                </anchor>
              </controlPr>
            </control>
          </mc:Choice>
        </mc:AlternateContent>
        <mc:AlternateContent xmlns:mc="http://schemas.openxmlformats.org/markup-compatibility/2006">
          <mc:Choice Requires="x14">
            <control shapeId="1736" r:id="rId123" name="Check Box 712">
              <controlPr defaultSize="0" autoFill="0" autoLine="0" autoPict="0">
                <anchor moveWithCells="1">
                  <from>
                    <xdr:col>6</xdr:col>
                    <xdr:colOff>257175</xdr:colOff>
                    <xdr:row>79</xdr:row>
                    <xdr:rowOff>0</xdr:rowOff>
                  </from>
                  <to>
                    <xdr:col>6</xdr:col>
                    <xdr:colOff>561975</xdr:colOff>
                    <xdr:row>79</xdr:row>
                    <xdr:rowOff>219075</xdr:rowOff>
                  </to>
                </anchor>
              </controlPr>
            </control>
          </mc:Choice>
        </mc:AlternateContent>
        <mc:AlternateContent xmlns:mc="http://schemas.openxmlformats.org/markup-compatibility/2006">
          <mc:Choice Requires="x14">
            <control shapeId="1751" r:id="rId124" name="Check Box 727">
              <controlPr defaultSize="0" autoFill="0" autoLine="0" autoPict="0">
                <anchor moveWithCells="1">
                  <from>
                    <xdr:col>5</xdr:col>
                    <xdr:colOff>257175</xdr:colOff>
                    <xdr:row>80</xdr:row>
                    <xdr:rowOff>0</xdr:rowOff>
                  </from>
                  <to>
                    <xdr:col>5</xdr:col>
                    <xdr:colOff>561975</xdr:colOff>
                    <xdr:row>80</xdr:row>
                    <xdr:rowOff>219075</xdr:rowOff>
                  </to>
                </anchor>
              </controlPr>
            </control>
          </mc:Choice>
        </mc:AlternateContent>
        <mc:AlternateContent xmlns:mc="http://schemas.openxmlformats.org/markup-compatibility/2006">
          <mc:Choice Requires="x14">
            <control shapeId="1754" r:id="rId125" name="Check Box 730">
              <controlPr defaultSize="0" autoFill="0" autoLine="0" autoPict="0">
                <anchor moveWithCells="1">
                  <from>
                    <xdr:col>6</xdr:col>
                    <xdr:colOff>257175</xdr:colOff>
                    <xdr:row>80</xdr:row>
                    <xdr:rowOff>0</xdr:rowOff>
                  </from>
                  <to>
                    <xdr:col>6</xdr:col>
                    <xdr:colOff>561975</xdr:colOff>
                    <xdr:row>80</xdr:row>
                    <xdr:rowOff>219075</xdr:rowOff>
                  </to>
                </anchor>
              </controlPr>
            </control>
          </mc:Choice>
        </mc:AlternateContent>
        <mc:AlternateContent xmlns:mc="http://schemas.openxmlformats.org/markup-compatibility/2006">
          <mc:Choice Requires="x14">
            <control shapeId="1769" r:id="rId126" name="Check Box 745">
              <controlPr defaultSize="0" autoFill="0" autoLine="0" autoPict="0">
                <anchor moveWithCells="1">
                  <from>
                    <xdr:col>5</xdr:col>
                    <xdr:colOff>257175</xdr:colOff>
                    <xdr:row>81</xdr:row>
                    <xdr:rowOff>0</xdr:rowOff>
                  </from>
                  <to>
                    <xdr:col>5</xdr:col>
                    <xdr:colOff>561975</xdr:colOff>
                    <xdr:row>82</xdr:row>
                    <xdr:rowOff>28575</xdr:rowOff>
                  </to>
                </anchor>
              </controlPr>
            </control>
          </mc:Choice>
        </mc:AlternateContent>
        <mc:AlternateContent xmlns:mc="http://schemas.openxmlformats.org/markup-compatibility/2006">
          <mc:Choice Requires="x14">
            <control shapeId="1772" r:id="rId127" name="Check Box 748">
              <controlPr defaultSize="0" autoFill="0" autoLine="0" autoPict="0">
                <anchor moveWithCells="1">
                  <from>
                    <xdr:col>6</xdr:col>
                    <xdr:colOff>257175</xdr:colOff>
                    <xdr:row>81</xdr:row>
                    <xdr:rowOff>0</xdr:rowOff>
                  </from>
                  <to>
                    <xdr:col>6</xdr:col>
                    <xdr:colOff>561975</xdr:colOff>
                    <xdr:row>82</xdr:row>
                    <xdr:rowOff>28575</xdr:rowOff>
                  </to>
                </anchor>
              </controlPr>
            </control>
          </mc:Choice>
        </mc:AlternateContent>
        <mc:AlternateContent xmlns:mc="http://schemas.openxmlformats.org/markup-compatibility/2006">
          <mc:Choice Requires="x14">
            <control shapeId="1787" r:id="rId128" name="Check Box 763">
              <controlPr defaultSize="0" autoFill="0" autoLine="0" autoPict="0">
                <anchor moveWithCells="1">
                  <from>
                    <xdr:col>5</xdr:col>
                    <xdr:colOff>257175</xdr:colOff>
                    <xdr:row>82</xdr:row>
                    <xdr:rowOff>0</xdr:rowOff>
                  </from>
                  <to>
                    <xdr:col>5</xdr:col>
                    <xdr:colOff>561975</xdr:colOff>
                    <xdr:row>82</xdr:row>
                    <xdr:rowOff>219075</xdr:rowOff>
                  </to>
                </anchor>
              </controlPr>
            </control>
          </mc:Choice>
        </mc:AlternateContent>
        <mc:AlternateContent xmlns:mc="http://schemas.openxmlformats.org/markup-compatibility/2006">
          <mc:Choice Requires="x14">
            <control shapeId="1790" r:id="rId129" name="Check Box 766">
              <controlPr defaultSize="0" autoFill="0" autoLine="0" autoPict="0">
                <anchor moveWithCells="1">
                  <from>
                    <xdr:col>6</xdr:col>
                    <xdr:colOff>257175</xdr:colOff>
                    <xdr:row>82</xdr:row>
                    <xdr:rowOff>0</xdr:rowOff>
                  </from>
                  <to>
                    <xdr:col>6</xdr:col>
                    <xdr:colOff>561975</xdr:colOff>
                    <xdr:row>82</xdr:row>
                    <xdr:rowOff>219075</xdr:rowOff>
                  </to>
                </anchor>
              </controlPr>
            </control>
          </mc:Choice>
        </mc:AlternateContent>
        <mc:AlternateContent xmlns:mc="http://schemas.openxmlformats.org/markup-compatibility/2006">
          <mc:Choice Requires="x14">
            <control shapeId="1805" r:id="rId130" name="Check Box 781">
              <controlPr defaultSize="0" autoFill="0" autoLine="0" autoPict="0">
                <anchor moveWithCells="1">
                  <from>
                    <xdr:col>5</xdr:col>
                    <xdr:colOff>257175</xdr:colOff>
                    <xdr:row>83</xdr:row>
                    <xdr:rowOff>0</xdr:rowOff>
                  </from>
                  <to>
                    <xdr:col>5</xdr:col>
                    <xdr:colOff>561975</xdr:colOff>
                    <xdr:row>83</xdr:row>
                    <xdr:rowOff>219075</xdr:rowOff>
                  </to>
                </anchor>
              </controlPr>
            </control>
          </mc:Choice>
        </mc:AlternateContent>
        <mc:AlternateContent xmlns:mc="http://schemas.openxmlformats.org/markup-compatibility/2006">
          <mc:Choice Requires="x14">
            <control shapeId="1808" r:id="rId131" name="Check Box 784">
              <controlPr defaultSize="0" autoFill="0" autoLine="0" autoPict="0">
                <anchor moveWithCells="1">
                  <from>
                    <xdr:col>6</xdr:col>
                    <xdr:colOff>257175</xdr:colOff>
                    <xdr:row>83</xdr:row>
                    <xdr:rowOff>0</xdr:rowOff>
                  </from>
                  <to>
                    <xdr:col>6</xdr:col>
                    <xdr:colOff>561975</xdr:colOff>
                    <xdr:row>83</xdr:row>
                    <xdr:rowOff>219075</xdr:rowOff>
                  </to>
                </anchor>
              </controlPr>
            </control>
          </mc:Choice>
        </mc:AlternateContent>
        <mc:AlternateContent xmlns:mc="http://schemas.openxmlformats.org/markup-compatibility/2006">
          <mc:Choice Requires="x14">
            <control shapeId="1823" r:id="rId132" name="Check Box 799">
              <controlPr defaultSize="0" autoFill="0" autoLine="0" autoPict="0">
                <anchor moveWithCells="1">
                  <from>
                    <xdr:col>5</xdr:col>
                    <xdr:colOff>257175</xdr:colOff>
                    <xdr:row>84</xdr:row>
                    <xdr:rowOff>0</xdr:rowOff>
                  </from>
                  <to>
                    <xdr:col>5</xdr:col>
                    <xdr:colOff>561975</xdr:colOff>
                    <xdr:row>84</xdr:row>
                    <xdr:rowOff>219075</xdr:rowOff>
                  </to>
                </anchor>
              </controlPr>
            </control>
          </mc:Choice>
        </mc:AlternateContent>
        <mc:AlternateContent xmlns:mc="http://schemas.openxmlformats.org/markup-compatibility/2006">
          <mc:Choice Requires="x14">
            <control shapeId="1826" r:id="rId133" name="Check Box 802">
              <controlPr defaultSize="0" autoFill="0" autoLine="0" autoPict="0">
                <anchor moveWithCells="1">
                  <from>
                    <xdr:col>6</xdr:col>
                    <xdr:colOff>257175</xdr:colOff>
                    <xdr:row>84</xdr:row>
                    <xdr:rowOff>0</xdr:rowOff>
                  </from>
                  <to>
                    <xdr:col>6</xdr:col>
                    <xdr:colOff>561975</xdr:colOff>
                    <xdr:row>84</xdr:row>
                    <xdr:rowOff>219075</xdr:rowOff>
                  </to>
                </anchor>
              </controlPr>
            </control>
          </mc:Choice>
        </mc:AlternateContent>
        <mc:AlternateContent xmlns:mc="http://schemas.openxmlformats.org/markup-compatibility/2006">
          <mc:Choice Requires="x14">
            <control shapeId="1841" r:id="rId134" name="Check Box 817">
              <controlPr defaultSize="0" autoFill="0" autoLine="0" autoPict="0">
                <anchor moveWithCells="1">
                  <from>
                    <xdr:col>5</xdr:col>
                    <xdr:colOff>257175</xdr:colOff>
                    <xdr:row>85</xdr:row>
                    <xdr:rowOff>0</xdr:rowOff>
                  </from>
                  <to>
                    <xdr:col>5</xdr:col>
                    <xdr:colOff>561975</xdr:colOff>
                    <xdr:row>85</xdr:row>
                    <xdr:rowOff>219075</xdr:rowOff>
                  </to>
                </anchor>
              </controlPr>
            </control>
          </mc:Choice>
        </mc:AlternateContent>
        <mc:AlternateContent xmlns:mc="http://schemas.openxmlformats.org/markup-compatibility/2006">
          <mc:Choice Requires="x14">
            <control shapeId="1844" r:id="rId135" name="Check Box 820">
              <controlPr defaultSize="0" autoFill="0" autoLine="0" autoPict="0">
                <anchor moveWithCells="1">
                  <from>
                    <xdr:col>6</xdr:col>
                    <xdr:colOff>257175</xdr:colOff>
                    <xdr:row>85</xdr:row>
                    <xdr:rowOff>0</xdr:rowOff>
                  </from>
                  <to>
                    <xdr:col>6</xdr:col>
                    <xdr:colOff>561975</xdr:colOff>
                    <xdr:row>85</xdr:row>
                    <xdr:rowOff>219075</xdr:rowOff>
                  </to>
                </anchor>
              </controlPr>
            </control>
          </mc:Choice>
        </mc:AlternateContent>
        <mc:AlternateContent xmlns:mc="http://schemas.openxmlformats.org/markup-compatibility/2006">
          <mc:Choice Requires="x14">
            <control shapeId="1859" r:id="rId136" name="Check Box 835">
              <controlPr defaultSize="0" autoFill="0" autoLine="0" autoPict="0">
                <anchor moveWithCells="1">
                  <from>
                    <xdr:col>5</xdr:col>
                    <xdr:colOff>257175</xdr:colOff>
                    <xdr:row>86</xdr:row>
                    <xdr:rowOff>0</xdr:rowOff>
                  </from>
                  <to>
                    <xdr:col>5</xdr:col>
                    <xdr:colOff>561975</xdr:colOff>
                    <xdr:row>86</xdr:row>
                    <xdr:rowOff>219075</xdr:rowOff>
                  </to>
                </anchor>
              </controlPr>
            </control>
          </mc:Choice>
        </mc:AlternateContent>
        <mc:AlternateContent xmlns:mc="http://schemas.openxmlformats.org/markup-compatibility/2006">
          <mc:Choice Requires="x14">
            <control shapeId="1862" r:id="rId137" name="Check Box 838">
              <controlPr defaultSize="0" autoFill="0" autoLine="0" autoPict="0">
                <anchor moveWithCells="1">
                  <from>
                    <xdr:col>6</xdr:col>
                    <xdr:colOff>257175</xdr:colOff>
                    <xdr:row>86</xdr:row>
                    <xdr:rowOff>0</xdr:rowOff>
                  </from>
                  <to>
                    <xdr:col>6</xdr:col>
                    <xdr:colOff>561975</xdr:colOff>
                    <xdr:row>86</xdr:row>
                    <xdr:rowOff>219075</xdr:rowOff>
                  </to>
                </anchor>
              </controlPr>
            </control>
          </mc:Choice>
        </mc:AlternateContent>
        <mc:AlternateContent xmlns:mc="http://schemas.openxmlformats.org/markup-compatibility/2006">
          <mc:Choice Requires="x14">
            <control shapeId="1877" r:id="rId138" name="Check Box 853">
              <controlPr defaultSize="0" autoFill="0" autoLine="0" autoPict="0">
                <anchor moveWithCells="1">
                  <from>
                    <xdr:col>5</xdr:col>
                    <xdr:colOff>257175</xdr:colOff>
                    <xdr:row>87</xdr:row>
                    <xdr:rowOff>0</xdr:rowOff>
                  </from>
                  <to>
                    <xdr:col>5</xdr:col>
                    <xdr:colOff>561975</xdr:colOff>
                    <xdr:row>87</xdr:row>
                    <xdr:rowOff>219075</xdr:rowOff>
                  </to>
                </anchor>
              </controlPr>
            </control>
          </mc:Choice>
        </mc:AlternateContent>
        <mc:AlternateContent xmlns:mc="http://schemas.openxmlformats.org/markup-compatibility/2006">
          <mc:Choice Requires="x14">
            <control shapeId="1880" r:id="rId139" name="Check Box 856">
              <controlPr defaultSize="0" autoFill="0" autoLine="0" autoPict="0">
                <anchor moveWithCells="1">
                  <from>
                    <xdr:col>6</xdr:col>
                    <xdr:colOff>257175</xdr:colOff>
                    <xdr:row>87</xdr:row>
                    <xdr:rowOff>0</xdr:rowOff>
                  </from>
                  <to>
                    <xdr:col>6</xdr:col>
                    <xdr:colOff>561975</xdr:colOff>
                    <xdr:row>87</xdr:row>
                    <xdr:rowOff>219075</xdr:rowOff>
                  </to>
                </anchor>
              </controlPr>
            </control>
          </mc:Choice>
        </mc:AlternateContent>
        <mc:AlternateContent xmlns:mc="http://schemas.openxmlformats.org/markup-compatibility/2006">
          <mc:Choice Requires="x14">
            <control shapeId="1895" r:id="rId140" name="Check Box 871">
              <controlPr defaultSize="0" autoFill="0" autoLine="0" autoPict="0">
                <anchor moveWithCells="1">
                  <from>
                    <xdr:col>5</xdr:col>
                    <xdr:colOff>257175</xdr:colOff>
                    <xdr:row>88</xdr:row>
                    <xdr:rowOff>0</xdr:rowOff>
                  </from>
                  <to>
                    <xdr:col>5</xdr:col>
                    <xdr:colOff>561975</xdr:colOff>
                    <xdr:row>88</xdr:row>
                    <xdr:rowOff>219075</xdr:rowOff>
                  </to>
                </anchor>
              </controlPr>
            </control>
          </mc:Choice>
        </mc:AlternateContent>
        <mc:AlternateContent xmlns:mc="http://schemas.openxmlformats.org/markup-compatibility/2006">
          <mc:Choice Requires="x14">
            <control shapeId="1898" r:id="rId141" name="Check Box 874">
              <controlPr defaultSize="0" autoFill="0" autoLine="0" autoPict="0">
                <anchor moveWithCells="1">
                  <from>
                    <xdr:col>6</xdr:col>
                    <xdr:colOff>257175</xdr:colOff>
                    <xdr:row>88</xdr:row>
                    <xdr:rowOff>0</xdr:rowOff>
                  </from>
                  <to>
                    <xdr:col>6</xdr:col>
                    <xdr:colOff>561975</xdr:colOff>
                    <xdr:row>88</xdr:row>
                    <xdr:rowOff>219075</xdr:rowOff>
                  </to>
                </anchor>
              </controlPr>
            </control>
          </mc:Choice>
        </mc:AlternateContent>
        <mc:AlternateContent xmlns:mc="http://schemas.openxmlformats.org/markup-compatibility/2006">
          <mc:Choice Requires="x14">
            <control shapeId="1913" r:id="rId142" name="Check Box 889">
              <controlPr defaultSize="0" autoFill="0" autoLine="0" autoPict="0">
                <anchor moveWithCells="1">
                  <from>
                    <xdr:col>5</xdr:col>
                    <xdr:colOff>257175</xdr:colOff>
                    <xdr:row>89</xdr:row>
                    <xdr:rowOff>114300</xdr:rowOff>
                  </from>
                  <to>
                    <xdr:col>5</xdr:col>
                    <xdr:colOff>561975</xdr:colOff>
                    <xdr:row>89</xdr:row>
                    <xdr:rowOff>333375</xdr:rowOff>
                  </to>
                </anchor>
              </controlPr>
            </control>
          </mc:Choice>
        </mc:AlternateContent>
        <mc:AlternateContent xmlns:mc="http://schemas.openxmlformats.org/markup-compatibility/2006">
          <mc:Choice Requires="x14">
            <control shapeId="1916" r:id="rId143" name="Check Box 892">
              <controlPr defaultSize="0" autoFill="0" autoLine="0" autoPict="0">
                <anchor moveWithCells="1">
                  <from>
                    <xdr:col>6</xdr:col>
                    <xdr:colOff>257175</xdr:colOff>
                    <xdr:row>89</xdr:row>
                    <xdr:rowOff>104775</xdr:rowOff>
                  </from>
                  <to>
                    <xdr:col>6</xdr:col>
                    <xdr:colOff>561975</xdr:colOff>
                    <xdr:row>89</xdr:row>
                    <xdr:rowOff>323850</xdr:rowOff>
                  </to>
                </anchor>
              </controlPr>
            </control>
          </mc:Choice>
        </mc:AlternateContent>
        <mc:AlternateContent xmlns:mc="http://schemas.openxmlformats.org/markup-compatibility/2006">
          <mc:Choice Requires="x14">
            <control shapeId="1931" r:id="rId144" name="Check Box 907">
              <controlPr defaultSize="0" autoFill="0" autoLine="0" autoPict="0">
                <anchor moveWithCells="1">
                  <from>
                    <xdr:col>5</xdr:col>
                    <xdr:colOff>257175</xdr:colOff>
                    <xdr:row>90</xdr:row>
                    <xdr:rowOff>361950</xdr:rowOff>
                  </from>
                  <to>
                    <xdr:col>5</xdr:col>
                    <xdr:colOff>561975</xdr:colOff>
                    <xdr:row>90</xdr:row>
                    <xdr:rowOff>581025</xdr:rowOff>
                  </to>
                </anchor>
              </controlPr>
            </control>
          </mc:Choice>
        </mc:AlternateContent>
        <mc:AlternateContent xmlns:mc="http://schemas.openxmlformats.org/markup-compatibility/2006">
          <mc:Choice Requires="x14">
            <control shapeId="1934" r:id="rId145" name="Check Box 910">
              <controlPr defaultSize="0" autoFill="0" autoLine="0" autoPict="0">
                <anchor moveWithCells="1">
                  <from>
                    <xdr:col>6</xdr:col>
                    <xdr:colOff>257175</xdr:colOff>
                    <xdr:row>90</xdr:row>
                    <xdr:rowOff>352425</xdr:rowOff>
                  </from>
                  <to>
                    <xdr:col>6</xdr:col>
                    <xdr:colOff>561975</xdr:colOff>
                    <xdr:row>90</xdr:row>
                    <xdr:rowOff>571500</xdr:rowOff>
                  </to>
                </anchor>
              </controlPr>
            </control>
          </mc:Choice>
        </mc:AlternateContent>
        <mc:AlternateContent xmlns:mc="http://schemas.openxmlformats.org/markup-compatibility/2006">
          <mc:Choice Requires="x14">
            <control shapeId="1949" r:id="rId146" name="Check Box 925">
              <controlPr defaultSize="0" autoFill="0" autoLine="0" autoPict="0">
                <anchor moveWithCells="1">
                  <from>
                    <xdr:col>5</xdr:col>
                    <xdr:colOff>257175</xdr:colOff>
                    <xdr:row>91</xdr:row>
                    <xdr:rowOff>0</xdr:rowOff>
                  </from>
                  <to>
                    <xdr:col>5</xdr:col>
                    <xdr:colOff>561975</xdr:colOff>
                    <xdr:row>92</xdr:row>
                    <xdr:rowOff>28575</xdr:rowOff>
                  </to>
                </anchor>
              </controlPr>
            </control>
          </mc:Choice>
        </mc:AlternateContent>
        <mc:AlternateContent xmlns:mc="http://schemas.openxmlformats.org/markup-compatibility/2006">
          <mc:Choice Requires="x14">
            <control shapeId="1952" r:id="rId147" name="Check Box 928">
              <controlPr defaultSize="0" autoFill="0" autoLine="0" autoPict="0">
                <anchor moveWithCells="1">
                  <from>
                    <xdr:col>6</xdr:col>
                    <xdr:colOff>257175</xdr:colOff>
                    <xdr:row>91</xdr:row>
                    <xdr:rowOff>0</xdr:rowOff>
                  </from>
                  <to>
                    <xdr:col>6</xdr:col>
                    <xdr:colOff>561975</xdr:colOff>
                    <xdr:row>92</xdr:row>
                    <xdr:rowOff>28575</xdr:rowOff>
                  </to>
                </anchor>
              </controlPr>
            </control>
          </mc:Choice>
        </mc:AlternateContent>
        <mc:AlternateContent xmlns:mc="http://schemas.openxmlformats.org/markup-compatibility/2006">
          <mc:Choice Requires="x14">
            <control shapeId="1967" r:id="rId148" name="Check Box 943">
              <controlPr defaultSize="0" autoFill="0" autoLine="0" autoPict="0">
                <anchor moveWithCells="1">
                  <from>
                    <xdr:col>5</xdr:col>
                    <xdr:colOff>257175</xdr:colOff>
                    <xdr:row>92</xdr:row>
                    <xdr:rowOff>0</xdr:rowOff>
                  </from>
                  <to>
                    <xdr:col>5</xdr:col>
                    <xdr:colOff>561975</xdr:colOff>
                    <xdr:row>93</xdr:row>
                    <xdr:rowOff>28575</xdr:rowOff>
                  </to>
                </anchor>
              </controlPr>
            </control>
          </mc:Choice>
        </mc:AlternateContent>
        <mc:AlternateContent xmlns:mc="http://schemas.openxmlformats.org/markup-compatibility/2006">
          <mc:Choice Requires="x14">
            <control shapeId="1970" r:id="rId149" name="Check Box 946">
              <controlPr defaultSize="0" autoFill="0" autoLine="0" autoPict="0">
                <anchor moveWithCells="1">
                  <from>
                    <xdr:col>6</xdr:col>
                    <xdr:colOff>257175</xdr:colOff>
                    <xdr:row>92</xdr:row>
                    <xdr:rowOff>0</xdr:rowOff>
                  </from>
                  <to>
                    <xdr:col>6</xdr:col>
                    <xdr:colOff>561975</xdr:colOff>
                    <xdr:row>93</xdr:row>
                    <xdr:rowOff>28575</xdr:rowOff>
                  </to>
                </anchor>
              </controlPr>
            </control>
          </mc:Choice>
        </mc:AlternateContent>
        <mc:AlternateContent xmlns:mc="http://schemas.openxmlformats.org/markup-compatibility/2006">
          <mc:Choice Requires="x14">
            <control shapeId="1985" r:id="rId150" name="Check Box 961">
              <controlPr defaultSize="0" autoFill="0" autoLine="0" autoPict="0">
                <anchor moveWithCells="1">
                  <from>
                    <xdr:col>5</xdr:col>
                    <xdr:colOff>257175</xdr:colOff>
                    <xdr:row>93</xdr:row>
                    <xdr:rowOff>0</xdr:rowOff>
                  </from>
                  <to>
                    <xdr:col>5</xdr:col>
                    <xdr:colOff>561975</xdr:colOff>
                    <xdr:row>94</xdr:row>
                    <xdr:rowOff>28575</xdr:rowOff>
                  </to>
                </anchor>
              </controlPr>
            </control>
          </mc:Choice>
        </mc:AlternateContent>
        <mc:AlternateContent xmlns:mc="http://schemas.openxmlformats.org/markup-compatibility/2006">
          <mc:Choice Requires="x14">
            <control shapeId="1988" r:id="rId151" name="Check Box 964">
              <controlPr defaultSize="0" autoFill="0" autoLine="0" autoPict="0">
                <anchor moveWithCells="1">
                  <from>
                    <xdr:col>6</xdr:col>
                    <xdr:colOff>257175</xdr:colOff>
                    <xdr:row>93</xdr:row>
                    <xdr:rowOff>0</xdr:rowOff>
                  </from>
                  <to>
                    <xdr:col>6</xdr:col>
                    <xdr:colOff>561975</xdr:colOff>
                    <xdr:row>94</xdr:row>
                    <xdr:rowOff>28575</xdr:rowOff>
                  </to>
                </anchor>
              </controlPr>
            </control>
          </mc:Choice>
        </mc:AlternateContent>
        <mc:AlternateContent xmlns:mc="http://schemas.openxmlformats.org/markup-compatibility/2006">
          <mc:Choice Requires="x14">
            <control shapeId="2003" r:id="rId152" name="Check Box 979">
              <controlPr defaultSize="0" autoFill="0" autoLine="0" autoPict="0">
                <anchor moveWithCells="1">
                  <from>
                    <xdr:col>5</xdr:col>
                    <xdr:colOff>257175</xdr:colOff>
                    <xdr:row>94</xdr:row>
                    <xdr:rowOff>257175</xdr:rowOff>
                  </from>
                  <to>
                    <xdr:col>5</xdr:col>
                    <xdr:colOff>561975</xdr:colOff>
                    <xdr:row>94</xdr:row>
                    <xdr:rowOff>476250</xdr:rowOff>
                  </to>
                </anchor>
              </controlPr>
            </control>
          </mc:Choice>
        </mc:AlternateContent>
        <mc:AlternateContent xmlns:mc="http://schemas.openxmlformats.org/markup-compatibility/2006">
          <mc:Choice Requires="x14">
            <control shapeId="2006" r:id="rId153" name="Check Box 982">
              <controlPr defaultSize="0" autoFill="0" autoLine="0" autoPict="0">
                <anchor moveWithCells="1">
                  <from>
                    <xdr:col>6</xdr:col>
                    <xdr:colOff>257175</xdr:colOff>
                    <xdr:row>94</xdr:row>
                    <xdr:rowOff>257175</xdr:rowOff>
                  </from>
                  <to>
                    <xdr:col>6</xdr:col>
                    <xdr:colOff>561975</xdr:colOff>
                    <xdr:row>94</xdr:row>
                    <xdr:rowOff>476250</xdr:rowOff>
                  </to>
                </anchor>
              </controlPr>
            </control>
          </mc:Choice>
        </mc:AlternateContent>
        <mc:AlternateContent xmlns:mc="http://schemas.openxmlformats.org/markup-compatibility/2006">
          <mc:Choice Requires="x14">
            <control shapeId="2024" r:id="rId154" name="Check Box 1000">
              <controlPr defaultSize="0" autoFill="0" autoLine="0" autoPict="0">
                <anchor moveWithCells="1">
                  <from>
                    <xdr:col>6</xdr:col>
                    <xdr:colOff>257175</xdr:colOff>
                    <xdr:row>95</xdr:row>
                    <xdr:rowOff>342900</xdr:rowOff>
                  </from>
                  <to>
                    <xdr:col>6</xdr:col>
                    <xdr:colOff>561975</xdr:colOff>
                    <xdr:row>95</xdr:row>
                    <xdr:rowOff>561975</xdr:rowOff>
                  </to>
                </anchor>
              </controlPr>
            </control>
          </mc:Choice>
        </mc:AlternateContent>
        <mc:AlternateContent xmlns:mc="http://schemas.openxmlformats.org/markup-compatibility/2006">
          <mc:Choice Requires="x14">
            <control shapeId="2039" r:id="rId155" name="Check Box 1015">
              <controlPr defaultSize="0" autoFill="0" autoLine="0" autoPict="0">
                <anchor moveWithCells="1">
                  <from>
                    <xdr:col>5</xdr:col>
                    <xdr:colOff>247650</xdr:colOff>
                    <xdr:row>97</xdr:row>
                    <xdr:rowOff>85725</xdr:rowOff>
                  </from>
                  <to>
                    <xdr:col>5</xdr:col>
                    <xdr:colOff>552450</xdr:colOff>
                    <xdr:row>97</xdr:row>
                    <xdr:rowOff>304800</xdr:rowOff>
                  </to>
                </anchor>
              </controlPr>
            </control>
          </mc:Choice>
        </mc:AlternateContent>
        <mc:AlternateContent xmlns:mc="http://schemas.openxmlformats.org/markup-compatibility/2006">
          <mc:Choice Requires="x14">
            <control shapeId="2042" r:id="rId156" name="Check Box 1018">
              <controlPr defaultSize="0" autoFill="0" autoLine="0" autoPict="0">
                <anchor moveWithCells="1">
                  <from>
                    <xdr:col>6</xdr:col>
                    <xdr:colOff>257175</xdr:colOff>
                    <xdr:row>97</xdr:row>
                    <xdr:rowOff>95250</xdr:rowOff>
                  </from>
                  <to>
                    <xdr:col>6</xdr:col>
                    <xdr:colOff>561975</xdr:colOff>
                    <xdr:row>97</xdr:row>
                    <xdr:rowOff>314325</xdr:rowOff>
                  </to>
                </anchor>
              </controlPr>
            </control>
          </mc:Choice>
        </mc:AlternateContent>
        <mc:AlternateContent xmlns:mc="http://schemas.openxmlformats.org/markup-compatibility/2006">
          <mc:Choice Requires="x14">
            <control shapeId="2057" r:id="rId157" name="Check Box 1033">
              <controlPr defaultSize="0" autoFill="0" autoLine="0" autoPict="0">
                <anchor moveWithCells="1">
                  <from>
                    <xdr:col>5</xdr:col>
                    <xdr:colOff>257175</xdr:colOff>
                    <xdr:row>98</xdr:row>
                    <xdr:rowOff>38100</xdr:rowOff>
                  </from>
                  <to>
                    <xdr:col>5</xdr:col>
                    <xdr:colOff>561975</xdr:colOff>
                    <xdr:row>98</xdr:row>
                    <xdr:rowOff>257175</xdr:rowOff>
                  </to>
                </anchor>
              </controlPr>
            </control>
          </mc:Choice>
        </mc:AlternateContent>
        <mc:AlternateContent xmlns:mc="http://schemas.openxmlformats.org/markup-compatibility/2006">
          <mc:Choice Requires="x14">
            <control shapeId="2060" r:id="rId158" name="Check Box 1036">
              <controlPr defaultSize="0" autoFill="0" autoLine="0" autoPict="0">
                <anchor moveWithCells="1">
                  <from>
                    <xdr:col>6</xdr:col>
                    <xdr:colOff>257175</xdr:colOff>
                    <xdr:row>98</xdr:row>
                    <xdr:rowOff>38100</xdr:rowOff>
                  </from>
                  <to>
                    <xdr:col>6</xdr:col>
                    <xdr:colOff>561975</xdr:colOff>
                    <xdr:row>98</xdr:row>
                    <xdr:rowOff>257175</xdr:rowOff>
                  </to>
                </anchor>
              </controlPr>
            </control>
          </mc:Choice>
        </mc:AlternateContent>
        <mc:AlternateContent xmlns:mc="http://schemas.openxmlformats.org/markup-compatibility/2006">
          <mc:Choice Requires="x14">
            <control shapeId="2111" r:id="rId159" name="Check Box 1087">
              <controlPr defaultSize="0" autoFill="0" autoLine="0" autoPict="0">
                <anchor moveWithCells="1">
                  <from>
                    <xdr:col>5</xdr:col>
                    <xdr:colOff>257175</xdr:colOff>
                    <xdr:row>99</xdr:row>
                    <xdr:rowOff>314325</xdr:rowOff>
                  </from>
                  <to>
                    <xdr:col>5</xdr:col>
                    <xdr:colOff>561975</xdr:colOff>
                    <xdr:row>100</xdr:row>
                    <xdr:rowOff>209550</xdr:rowOff>
                  </to>
                </anchor>
              </controlPr>
            </control>
          </mc:Choice>
        </mc:AlternateContent>
        <mc:AlternateContent xmlns:mc="http://schemas.openxmlformats.org/markup-compatibility/2006">
          <mc:Choice Requires="x14">
            <control shapeId="2114" r:id="rId160" name="Check Box 1090">
              <controlPr defaultSize="0" autoFill="0" autoLine="0" autoPict="0">
                <anchor moveWithCells="1">
                  <from>
                    <xdr:col>6</xdr:col>
                    <xdr:colOff>257175</xdr:colOff>
                    <xdr:row>99</xdr:row>
                    <xdr:rowOff>304800</xdr:rowOff>
                  </from>
                  <to>
                    <xdr:col>6</xdr:col>
                    <xdr:colOff>561975</xdr:colOff>
                    <xdr:row>100</xdr:row>
                    <xdr:rowOff>200025</xdr:rowOff>
                  </to>
                </anchor>
              </controlPr>
            </control>
          </mc:Choice>
        </mc:AlternateContent>
        <mc:AlternateContent xmlns:mc="http://schemas.openxmlformats.org/markup-compatibility/2006">
          <mc:Choice Requires="x14">
            <control shapeId="2147" r:id="rId161" name="Check Box 1123">
              <controlPr defaultSize="0" autoFill="0" autoLine="0" autoPict="0">
                <anchor moveWithCells="1">
                  <from>
                    <xdr:col>5</xdr:col>
                    <xdr:colOff>257175</xdr:colOff>
                    <xdr:row>102</xdr:row>
                    <xdr:rowOff>600075</xdr:rowOff>
                  </from>
                  <to>
                    <xdr:col>5</xdr:col>
                    <xdr:colOff>561975</xdr:colOff>
                    <xdr:row>104</xdr:row>
                    <xdr:rowOff>0</xdr:rowOff>
                  </to>
                </anchor>
              </controlPr>
            </control>
          </mc:Choice>
        </mc:AlternateContent>
        <mc:AlternateContent xmlns:mc="http://schemas.openxmlformats.org/markup-compatibility/2006">
          <mc:Choice Requires="x14">
            <control shapeId="2150" r:id="rId162" name="Check Box 1126">
              <controlPr defaultSize="0" autoFill="0" autoLine="0" autoPict="0">
                <anchor moveWithCells="1">
                  <from>
                    <xdr:col>6</xdr:col>
                    <xdr:colOff>257175</xdr:colOff>
                    <xdr:row>102</xdr:row>
                    <xdr:rowOff>609600</xdr:rowOff>
                  </from>
                  <to>
                    <xdr:col>6</xdr:col>
                    <xdr:colOff>561975</xdr:colOff>
                    <xdr:row>104</xdr:row>
                    <xdr:rowOff>9525</xdr:rowOff>
                  </to>
                </anchor>
              </controlPr>
            </control>
          </mc:Choice>
        </mc:AlternateContent>
        <mc:AlternateContent xmlns:mc="http://schemas.openxmlformats.org/markup-compatibility/2006">
          <mc:Choice Requires="x14">
            <control shapeId="2165" r:id="rId163" name="Check Box 1141">
              <controlPr defaultSize="0" autoFill="0" autoLine="0" autoPict="0">
                <anchor moveWithCells="1">
                  <from>
                    <xdr:col>5</xdr:col>
                    <xdr:colOff>257175</xdr:colOff>
                    <xdr:row>104</xdr:row>
                    <xdr:rowOff>0</xdr:rowOff>
                  </from>
                  <to>
                    <xdr:col>5</xdr:col>
                    <xdr:colOff>561975</xdr:colOff>
                    <xdr:row>104</xdr:row>
                    <xdr:rowOff>219075</xdr:rowOff>
                  </to>
                </anchor>
              </controlPr>
            </control>
          </mc:Choice>
        </mc:AlternateContent>
        <mc:AlternateContent xmlns:mc="http://schemas.openxmlformats.org/markup-compatibility/2006">
          <mc:Choice Requires="x14">
            <control shapeId="2168" r:id="rId164" name="Check Box 1144">
              <controlPr defaultSize="0" autoFill="0" autoLine="0" autoPict="0">
                <anchor moveWithCells="1">
                  <from>
                    <xdr:col>6</xdr:col>
                    <xdr:colOff>257175</xdr:colOff>
                    <xdr:row>104</xdr:row>
                    <xdr:rowOff>0</xdr:rowOff>
                  </from>
                  <to>
                    <xdr:col>6</xdr:col>
                    <xdr:colOff>561975</xdr:colOff>
                    <xdr:row>104</xdr:row>
                    <xdr:rowOff>219075</xdr:rowOff>
                  </to>
                </anchor>
              </controlPr>
            </control>
          </mc:Choice>
        </mc:AlternateContent>
        <mc:AlternateContent xmlns:mc="http://schemas.openxmlformats.org/markup-compatibility/2006">
          <mc:Choice Requires="x14">
            <control shapeId="2183" r:id="rId165" name="Check Box 1159">
              <controlPr defaultSize="0" autoFill="0" autoLine="0" autoPict="0">
                <anchor moveWithCells="1">
                  <from>
                    <xdr:col>5</xdr:col>
                    <xdr:colOff>257175</xdr:colOff>
                    <xdr:row>105</xdr:row>
                    <xdr:rowOff>114300</xdr:rowOff>
                  </from>
                  <to>
                    <xdr:col>5</xdr:col>
                    <xdr:colOff>561975</xdr:colOff>
                    <xdr:row>105</xdr:row>
                    <xdr:rowOff>333375</xdr:rowOff>
                  </to>
                </anchor>
              </controlPr>
            </control>
          </mc:Choice>
        </mc:AlternateContent>
        <mc:AlternateContent xmlns:mc="http://schemas.openxmlformats.org/markup-compatibility/2006">
          <mc:Choice Requires="x14">
            <control shapeId="2186" r:id="rId166" name="Check Box 1162">
              <controlPr defaultSize="0" autoFill="0" autoLine="0" autoPict="0">
                <anchor moveWithCells="1">
                  <from>
                    <xdr:col>6</xdr:col>
                    <xdr:colOff>257175</xdr:colOff>
                    <xdr:row>105</xdr:row>
                    <xdr:rowOff>114300</xdr:rowOff>
                  </from>
                  <to>
                    <xdr:col>6</xdr:col>
                    <xdr:colOff>561975</xdr:colOff>
                    <xdr:row>105</xdr:row>
                    <xdr:rowOff>333375</xdr:rowOff>
                  </to>
                </anchor>
              </controlPr>
            </control>
          </mc:Choice>
        </mc:AlternateContent>
        <mc:AlternateContent xmlns:mc="http://schemas.openxmlformats.org/markup-compatibility/2006">
          <mc:Choice Requires="x14">
            <control shapeId="2201" r:id="rId167" name="Check Box 1177">
              <controlPr defaultSize="0" autoFill="0" autoLine="0" autoPict="0">
                <anchor moveWithCells="1">
                  <from>
                    <xdr:col>5</xdr:col>
                    <xdr:colOff>257175</xdr:colOff>
                    <xdr:row>108</xdr:row>
                    <xdr:rowOff>0</xdr:rowOff>
                  </from>
                  <to>
                    <xdr:col>5</xdr:col>
                    <xdr:colOff>561975</xdr:colOff>
                    <xdr:row>109</xdr:row>
                    <xdr:rowOff>0</xdr:rowOff>
                  </to>
                </anchor>
              </controlPr>
            </control>
          </mc:Choice>
        </mc:AlternateContent>
        <mc:AlternateContent xmlns:mc="http://schemas.openxmlformats.org/markup-compatibility/2006">
          <mc:Choice Requires="x14">
            <control shapeId="2204" r:id="rId168" name="Check Box 1180">
              <controlPr defaultSize="0" autoFill="0" autoLine="0" autoPict="0">
                <anchor moveWithCells="1">
                  <from>
                    <xdr:col>6</xdr:col>
                    <xdr:colOff>257175</xdr:colOff>
                    <xdr:row>108</xdr:row>
                    <xdr:rowOff>0</xdr:rowOff>
                  </from>
                  <to>
                    <xdr:col>6</xdr:col>
                    <xdr:colOff>561975</xdr:colOff>
                    <xdr:row>109</xdr:row>
                    <xdr:rowOff>0</xdr:rowOff>
                  </to>
                </anchor>
              </controlPr>
            </control>
          </mc:Choice>
        </mc:AlternateContent>
        <mc:AlternateContent xmlns:mc="http://schemas.openxmlformats.org/markup-compatibility/2006">
          <mc:Choice Requires="x14">
            <control shapeId="2219" r:id="rId169" name="Check Box 1195">
              <controlPr defaultSize="0" autoFill="0" autoLine="0" autoPict="0">
                <anchor moveWithCells="1">
                  <from>
                    <xdr:col>5</xdr:col>
                    <xdr:colOff>257175</xdr:colOff>
                    <xdr:row>109</xdr:row>
                    <xdr:rowOff>114300</xdr:rowOff>
                  </from>
                  <to>
                    <xdr:col>5</xdr:col>
                    <xdr:colOff>561975</xdr:colOff>
                    <xdr:row>109</xdr:row>
                    <xdr:rowOff>333375</xdr:rowOff>
                  </to>
                </anchor>
              </controlPr>
            </control>
          </mc:Choice>
        </mc:AlternateContent>
        <mc:AlternateContent xmlns:mc="http://schemas.openxmlformats.org/markup-compatibility/2006">
          <mc:Choice Requires="x14">
            <control shapeId="2222" r:id="rId170" name="Check Box 1198">
              <controlPr defaultSize="0" autoFill="0" autoLine="0" autoPict="0">
                <anchor moveWithCells="1">
                  <from>
                    <xdr:col>6</xdr:col>
                    <xdr:colOff>257175</xdr:colOff>
                    <xdr:row>109</xdr:row>
                    <xdr:rowOff>114300</xdr:rowOff>
                  </from>
                  <to>
                    <xdr:col>6</xdr:col>
                    <xdr:colOff>561975</xdr:colOff>
                    <xdr:row>109</xdr:row>
                    <xdr:rowOff>333375</xdr:rowOff>
                  </to>
                </anchor>
              </controlPr>
            </control>
          </mc:Choice>
        </mc:AlternateContent>
        <mc:AlternateContent xmlns:mc="http://schemas.openxmlformats.org/markup-compatibility/2006">
          <mc:Choice Requires="x14">
            <control shapeId="2237" r:id="rId171" name="Check Box 1213">
              <controlPr defaultSize="0" autoFill="0" autoLine="0" autoPict="0">
                <anchor moveWithCells="1">
                  <from>
                    <xdr:col>5</xdr:col>
                    <xdr:colOff>257175</xdr:colOff>
                    <xdr:row>110</xdr:row>
                    <xdr:rowOff>114300</xdr:rowOff>
                  </from>
                  <to>
                    <xdr:col>5</xdr:col>
                    <xdr:colOff>561975</xdr:colOff>
                    <xdr:row>110</xdr:row>
                    <xdr:rowOff>333375</xdr:rowOff>
                  </to>
                </anchor>
              </controlPr>
            </control>
          </mc:Choice>
        </mc:AlternateContent>
        <mc:AlternateContent xmlns:mc="http://schemas.openxmlformats.org/markup-compatibility/2006">
          <mc:Choice Requires="x14">
            <control shapeId="2240" r:id="rId172" name="Check Box 1216">
              <controlPr defaultSize="0" autoFill="0" autoLine="0" autoPict="0">
                <anchor moveWithCells="1">
                  <from>
                    <xdr:col>6</xdr:col>
                    <xdr:colOff>257175</xdr:colOff>
                    <xdr:row>110</xdr:row>
                    <xdr:rowOff>123825</xdr:rowOff>
                  </from>
                  <to>
                    <xdr:col>6</xdr:col>
                    <xdr:colOff>561975</xdr:colOff>
                    <xdr:row>110</xdr:row>
                    <xdr:rowOff>342900</xdr:rowOff>
                  </to>
                </anchor>
              </controlPr>
            </control>
          </mc:Choice>
        </mc:AlternateContent>
        <mc:AlternateContent xmlns:mc="http://schemas.openxmlformats.org/markup-compatibility/2006">
          <mc:Choice Requires="x14">
            <control shapeId="2265" r:id="rId173" name="Check Box 1241">
              <controlPr defaultSize="0" autoFill="0" autoLine="0" autoPict="0">
                <anchor moveWithCells="1">
                  <from>
                    <xdr:col>5</xdr:col>
                    <xdr:colOff>257175</xdr:colOff>
                    <xdr:row>105</xdr:row>
                    <xdr:rowOff>466725</xdr:rowOff>
                  </from>
                  <to>
                    <xdr:col>5</xdr:col>
                    <xdr:colOff>561975</xdr:colOff>
                    <xdr:row>107</xdr:row>
                    <xdr:rowOff>9525</xdr:rowOff>
                  </to>
                </anchor>
              </controlPr>
            </control>
          </mc:Choice>
        </mc:AlternateContent>
        <mc:AlternateContent xmlns:mc="http://schemas.openxmlformats.org/markup-compatibility/2006">
          <mc:Choice Requires="x14">
            <control shapeId="2266" r:id="rId174" name="Check Box 1242">
              <controlPr defaultSize="0" autoFill="0" autoLine="0" autoPict="0">
                <anchor moveWithCells="1">
                  <from>
                    <xdr:col>6</xdr:col>
                    <xdr:colOff>257175</xdr:colOff>
                    <xdr:row>105</xdr:row>
                    <xdr:rowOff>466725</xdr:rowOff>
                  </from>
                  <to>
                    <xdr:col>6</xdr:col>
                    <xdr:colOff>561975</xdr:colOff>
                    <xdr:row>107</xdr:row>
                    <xdr:rowOff>9525</xdr:rowOff>
                  </to>
                </anchor>
              </controlPr>
            </control>
          </mc:Choice>
        </mc:AlternateContent>
        <mc:AlternateContent xmlns:mc="http://schemas.openxmlformats.org/markup-compatibility/2006">
          <mc:Choice Requires="x14">
            <control shapeId="2267" r:id="rId175" name="Check Box 1243">
              <controlPr defaultSize="0" autoFill="0" autoLine="0" autoPict="0">
                <anchor moveWithCells="1">
                  <from>
                    <xdr:col>5</xdr:col>
                    <xdr:colOff>257175</xdr:colOff>
                    <xdr:row>107</xdr:row>
                    <xdr:rowOff>57150</xdr:rowOff>
                  </from>
                  <to>
                    <xdr:col>5</xdr:col>
                    <xdr:colOff>561975</xdr:colOff>
                    <xdr:row>107</xdr:row>
                    <xdr:rowOff>276225</xdr:rowOff>
                  </to>
                </anchor>
              </controlPr>
            </control>
          </mc:Choice>
        </mc:AlternateContent>
        <mc:AlternateContent xmlns:mc="http://schemas.openxmlformats.org/markup-compatibility/2006">
          <mc:Choice Requires="x14">
            <control shapeId="2268" r:id="rId176" name="Check Box 1244">
              <controlPr defaultSize="0" autoFill="0" autoLine="0" autoPict="0">
                <anchor moveWithCells="1">
                  <from>
                    <xdr:col>6</xdr:col>
                    <xdr:colOff>257175</xdr:colOff>
                    <xdr:row>107</xdr:row>
                    <xdr:rowOff>66675</xdr:rowOff>
                  </from>
                  <to>
                    <xdr:col>6</xdr:col>
                    <xdr:colOff>561975</xdr:colOff>
                    <xdr:row>107</xdr:row>
                    <xdr:rowOff>285750</xdr:rowOff>
                  </to>
                </anchor>
              </controlPr>
            </control>
          </mc:Choice>
        </mc:AlternateContent>
        <mc:AlternateContent xmlns:mc="http://schemas.openxmlformats.org/markup-compatibility/2006">
          <mc:Choice Requires="x14">
            <control shapeId="2271" r:id="rId177" name="Check Box 1247">
              <controlPr defaultSize="0" autoFill="0" autoLine="0" autoPict="0">
                <anchor moveWithCells="1">
                  <from>
                    <xdr:col>5</xdr:col>
                    <xdr:colOff>257175</xdr:colOff>
                    <xdr:row>35</xdr:row>
                    <xdr:rowOff>180975</xdr:rowOff>
                  </from>
                  <to>
                    <xdr:col>5</xdr:col>
                    <xdr:colOff>561975</xdr:colOff>
                    <xdr:row>37</xdr:row>
                    <xdr:rowOff>0</xdr:rowOff>
                  </to>
                </anchor>
              </controlPr>
            </control>
          </mc:Choice>
        </mc:AlternateContent>
        <mc:AlternateContent xmlns:mc="http://schemas.openxmlformats.org/markup-compatibility/2006">
          <mc:Choice Requires="x14">
            <control shapeId="2273" r:id="rId178" name="Check Box 1249">
              <controlPr defaultSize="0" autoFill="0" autoLine="0" autoPict="0">
                <anchor moveWithCells="1">
                  <from>
                    <xdr:col>6</xdr:col>
                    <xdr:colOff>257175</xdr:colOff>
                    <xdr:row>35</xdr:row>
                    <xdr:rowOff>180975</xdr:rowOff>
                  </from>
                  <to>
                    <xdr:col>6</xdr:col>
                    <xdr:colOff>561975</xdr:colOff>
                    <xdr:row>37</xdr:row>
                    <xdr:rowOff>0</xdr:rowOff>
                  </to>
                </anchor>
              </controlPr>
            </control>
          </mc:Choice>
        </mc:AlternateContent>
        <mc:AlternateContent xmlns:mc="http://schemas.openxmlformats.org/markup-compatibility/2006">
          <mc:Choice Requires="x14">
            <control shapeId="2275" r:id="rId179" name="Check Box 1251">
              <controlPr defaultSize="0" autoFill="0" autoLine="0" autoPict="0">
                <anchor moveWithCells="1">
                  <from>
                    <xdr:col>5</xdr:col>
                    <xdr:colOff>219075</xdr:colOff>
                    <xdr:row>101</xdr:row>
                    <xdr:rowOff>371475</xdr:rowOff>
                  </from>
                  <to>
                    <xdr:col>5</xdr:col>
                    <xdr:colOff>523875</xdr:colOff>
                    <xdr:row>102</xdr:row>
                    <xdr:rowOff>200025</xdr:rowOff>
                  </to>
                </anchor>
              </controlPr>
            </control>
          </mc:Choice>
        </mc:AlternateContent>
        <mc:AlternateContent xmlns:mc="http://schemas.openxmlformats.org/markup-compatibility/2006">
          <mc:Choice Requires="x14">
            <control shapeId="2276" r:id="rId180" name="Check Box 1252">
              <controlPr defaultSize="0" autoFill="0" autoLine="0" autoPict="0">
                <anchor moveWithCells="1">
                  <from>
                    <xdr:col>6</xdr:col>
                    <xdr:colOff>247650</xdr:colOff>
                    <xdr:row>101</xdr:row>
                    <xdr:rowOff>361950</xdr:rowOff>
                  </from>
                  <to>
                    <xdr:col>6</xdr:col>
                    <xdr:colOff>552450</xdr:colOff>
                    <xdr:row>102</xdr:row>
                    <xdr:rowOff>190500</xdr:rowOff>
                  </to>
                </anchor>
              </controlPr>
            </control>
          </mc:Choice>
        </mc:AlternateContent>
        <mc:AlternateContent xmlns:mc="http://schemas.openxmlformats.org/markup-compatibility/2006">
          <mc:Choice Requires="x14">
            <control shapeId="2287" r:id="rId181" name="Check Box 1263">
              <controlPr defaultSize="0" autoFill="0" autoLine="0" autoPict="0">
                <anchor moveWithCells="1">
                  <from>
                    <xdr:col>5</xdr:col>
                    <xdr:colOff>257175</xdr:colOff>
                    <xdr:row>95</xdr:row>
                    <xdr:rowOff>342900</xdr:rowOff>
                  </from>
                  <to>
                    <xdr:col>5</xdr:col>
                    <xdr:colOff>561975</xdr:colOff>
                    <xdr:row>95</xdr:row>
                    <xdr:rowOff>561975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66FF33"/>
  </sheetPr>
  <dimension ref="A1:BQ177"/>
  <sheetViews>
    <sheetView showGridLines="0" view="pageBreakPreview" zoomScaleNormal="75" zoomScaleSheetLayoutView="100" workbookViewId="0">
      <selection activeCell="B1" sqref="B1"/>
    </sheetView>
  </sheetViews>
  <sheetFormatPr defaultRowHeight="12.75"/>
  <cols>
    <col min="1" max="1" width="9.28515625" style="953" customWidth="1"/>
    <col min="2" max="2" width="20" style="953" customWidth="1"/>
    <col min="3" max="3" width="20.42578125" style="953" customWidth="1"/>
    <col min="4" max="4" width="20.28515625" style="953" customWidth="1"/>
    <col min="5" max="5" width="12.42578125" style="953" customWidth="1"/>
    <col min="6" max="6" width="11.42578125" style="953" customWidth="1"/>
    <col min="7" max="7" width="10.140625" style="953" customWidth="1"/>
    <col min="8" max="8" width="12.42578125" style="953" customWidth="1"/>
    <col min="9" max="9" width="14" style="953" customWidth="1"/>
    <col min="10" max="10" width="14.5703125" style="953" customWidth="1"/>
    <col min="11" max="11" width="5.7109375" style="953" customWidth="1"/>
    <col min="12" max="12" width="7" style="953" customWidth="1"/>
    <col min="13" max="13" width="33" style="953" customWidth="1"/>
    <col min="14" max="16" width="9.140625" style="953"/>
    <col min="17" max="17" width="9.140625" style="953" hidden="1" customWidth="1"/>
    <col min="18" max="256" width="9.140625" style="953"/>
    <col min="257" max="257" width="9.28515625" style="953" customWidth="1"/>
    <col min="258" max="258" width="20" style="953" customWidth="1"/>
    <col min="259" max="259" width="20.42578125" style="953" customWidth="1"/>
    <col min="260" max="260" width="20.28515625" style="953" customWidth="1"/>
    <col min="261" max="261" width="12.42578125" style="953" customWidth="1"/>
    <col min="262" max="262" width="11.42578125" style="953" customWidth="1"/>
    <col min="263" max="263" width="10.140625" style="953" customWidth="1"/>
    <col min="264" max="264" width="12.42578125" style="953" customWidth="1"/>
    <col min="265" max="265" width="14" style="953" customWidth="1"/>
    <col min="266" max="266" width="14.5703125" style="953" customWidth="1"/>
    <col min="267" max="267" width="5.7109375" style="953" customWidth="1"/>
    <col min="268" max="268" width="7" style="953" customWidth="1"/>
    <col min="269" max="269" width="33" style="953" customWidth="1"/>
    <col min="270" max="272" width="9.140625" style="953"/>
    <col min="273" max="273" width="0" style="953" hidden="1" customWidth="1"/>
    <col min="274" max="512" width="9.140625" style="953"/>
    <col min="513" max="513" width="9.28515625" style="953" customWidth="1"/>
    <col min="514" max="514" width="20" style="953" customWidth="1"/>
    <col min="515" max="515" width="20.42578125" style="953" customWidth="1"/>
    <col min="516" max="516" width="20.28515625" style="953" customWidth="1"/>
    <col min="517" max="517" width="12.42578125" style="953" customWidth="1"/>
    <col min="518" max="518" width="11.42578125" style="953" customWidth="1"/>
    <col min="519" max="519" width="10.140625" style="953" customWidth="1"/>
    <col min="520" max="520" width="12.42578125" style="953" customWidth="1"/>
    <col min="521" max="521" width="14" style="953" customWidth="1"/>
    <col min="522" max="522" width="14.5703125" style="953" customWidth="1"/>
    <col min="523" max="523" width="5.7109375" style="953" customWidth="1"/>
    <col min="524" max="524" width="7" style="953" customWidth="1"/>
    <col min="525" max="525" width="33" style="953" customWidth="1"/>
    <col min="526" max="528" width="9.140625" style="953"/>
    <col min="529" max="529" width="0" style="953" hidden="1" customWidth="1"/>
    <col min="530" max="768" width="9.140625" style="953"/>
    <col min="769" max="769" width="9.28515625" style="953" customWidth="1"/>
    <col min="770" max="770" width="20" style="953" customWidth="1"/>
    <col min="771" max="771" width="20.42578125" style="953" customWidth="1"/>
    <col min="772" max="772" width="20.28515625" style="953" customWidth="1"/>
    <col min="773" max="773" width="12.42578125" style="953" customWidth="1"/>
    <col min="774" max="774" width="11.42578125" style="953" customWidth="1"/>
    <col min="775" max="775" width="10.140625" style="953" customWidth="1"/>
    <col min="776" max="776" width="12.42578125" style="953" customWidth="1"/>
    <col min="777" max="777" width="14" style="953" customWidth="1"/>
    <col min="778" max="778" width="14.5703125" style="953" customWidth="1"/>
    <col min="779" max="779" width="5.7109375" style="953" customWidth="1"/>
    <col min="780" max="780" width="7" style="953" customWidth="1"/>
    <col min="781" max="781" width="33" style="953" customWidth="1"/>
    <col min="782" max="784" width="9.140625" style="953"/>
    <col min="785" max="785" width="0" style="953" hidden="1" customWidth="1"/>
    <col min="786" max="1024" width="9.140625" style="953"/>
    <col min="1025" max="1025" width="9.28515625" style="953" customWidth="1"/>
    <col min="1026" max="1026" width="20" style="953" customWidth="1"/>
    <col min="1027" max="1027" width="20.42578125" style="953" customWidth="1"/>
    <col min="1028" max="1028" width="20.28515625" style="953" customWidth="1"/>
    <col min="1029" max="1029" width="12.42578125" style="953" customWidth="1"/>
    <col min="1030" max="1030" width="11.42578125" style="953" customWidth="1"/>
    <col min="1031" max="1031" width="10.140625" style="953" customWidth="1"/>
    <col min="1032" max="1032" width="12.42578125" style="953" customWidth="1"/>
    <col min="1033" max="1033" width="14" style="953" customWidth="1"/>
    <col min="1034" max="1034" width="14.5703125" style="953" customWidth="1"/>
    <col min="1035" max="1035" width="5.7109375" style="953" customWidth="1"/>
    <col min="1036" max="1036" width="7" style="953" customWidth="1"/>
    <col min="1037" max="1037" width="33" style="953" customWidth="1"/>
    <col min="1038" max="1040" width="9.140625" style="953"/>
    <col min="1041" max="1041" width="0" style="953" hidden="1" customWidth="1"/>
    <col min="1042" max="1280" width="9.140625" style="953"/>
    <col min="1281" max="1281" width="9.28515625" style="953" customWidth="1"/>
    <col min="1282" max="1282" width="20" style="953" customWidth="1"/>
    <col min="1283" max="1283" width="20.42578125" style="953" customWidth="1"/>
    <col min="1284" max="1284" width="20.28515625" style="953" customWidth="1"/>
    <col min="1285" max="1285" width="12.42578125" style="953" customWidth="1"/>
    <col min="1286" max="1286" width="11.42578125" style="953" customWidth="1"/>
    <col min="1287" max="1287" width="10.140625" style="953" customWidth="1"/>
    <col min="1288" max="1288" width="12.42578125" style="953" customWidth="1"/>
    <col min="1289" max="1289" width="14" style="953" customWidth="1"/>
    <col min="1290" max="1290" width="14.5703125" style="953" customWidth="1"/>
    <col min="1291" max="1291" width="5.7109375" style="953" customWidth="1"/>
    <col min="1292" max="1292" width="7" style="953" customWidth="1"/>
    <col min="1293" max="1293" width="33" style="953" customWidth="1"/>
    <col min="1294" max="1296" width="9.140625" style="953"/>
    <col min="1297" max="1297" width="0" style="953" hidden="1" customWidth="1"/>
    <col min="1298" max="1536" width="9.140625" style="953"/>
    <col min="1537" max="1537" width="9.28515625" style="953" customWidth="1"/>
    <col min="1538" max="1538" width="20" style="953" customWidth="1"/>
    <col min="1539" max="1539" width="20.42578125" style="953" customWidth="1"/>
    <col min="1540" max="1540" width="20.28515625" style="953" customWidth="1"/>
    <col min="1541" max="1541" width="12.42578125" style="953" customWidth="1"/>
    <col min="1542" max="1542" width="11.42578125" style="953" customWidth="1"/>
    <col min="1543" max="1543" width="10.140625" style="953" customWidth="1"/>
    <col min="1544" max="1544" width="12.42578125" style="953" customWidth="1"/>
    <col min="1545" max="1545" width="14" style="953" customWidth="1"/>
    <col min="1546" max="1546" width="14.5703125" style="953" customWidth="1"/>
    <col min="1547" max="1547" width="5.7109375" style="953" customWidth="1"/>
    <col min="1548" max="1548" width="7" style="953" customWidth="1"/>
    <col min="1549" max="1549" width="33" style="953" customWidth="1"/>
    <col min="1550" max="1552" width="9.140625" style="953"/>
    <col min="1553" max="1553" width="0" style="953" hidden="1" customWidth="1"/>
    <col min="1554" max="1792" width="9.140625" style="953"/>
    <col min="1793" max="1793" width="9.28515625" style="953" customWidth="1"/>
    <col min="1794" max="1794" width="20" style="953" customWidth="1"/>
    <col min="1795" max="1795" width="20.42578125" style="953" customWidth="1"/>
    <col min="1796" max="1796" width="20.28515625" style="953" customWidth="1"/>
    <col min="1797" max="1797" width="12.42578125" style="953" customWidth="1"/>
    <col min="1798" max="1798" width="11.42578125" style="953" customWidth="1"/>
    <col min="1799" max="1799" width="10.140625" style="953" customWidth="1"/>
    <col min="1800" max="1800" width="12.42578125" style="953" customWidth="1"/>
    <col min="1801" max="1801" width="14" style="953" customWidth="1"/>
    <col min="1802" max="1802" width="14.5703125" style="953" customWidth="1"/>
    <col min="1803" max="1803" width="5.7109375" style="953" customWidth="1"/>
    <col min="1804" max="1804" width="7" style="953" customWidth="1"/>
    <col min="1805" max="1805" width="33" style="953" customWidth="1"/>
    <col min="1806" max="1808" width="9.140625" style="953"/>
    <col min="1809" max="1809" width="0" style="953" hidden="1" customWidth="1"/>
    <col min="1810" max="2048" width="9.140625" style="953"/>
    <col min="2049" max="2049" width="9.28515625" style="953" customWidth="1"/>
    <col min="2050" max="2050" width="20" style="953" customWidth="1"/>
    <col min="2051" max="2051" width="20.42578125" style="953" customWidth="1"/>
    <col min="2052" max="2052" width="20.28515625" style="953" customWidth="1"/>
    <col min="2053" max="2053" width="12.42578125" style="953" customWidth="1"/>
    <col min="2054" max="2054" width="11.42578125" style="953" customWidth="1"/>
    <col min="2055" max="2055" width="10.140625" style="953" customWidth="1"/>
    <col min="2056" max="2056" width="12.42578125" style="953" customWidth="1"/>
    <col min="2057" max="2057" width="14" style="953" customWidth="1"/>
    <col min="2058" max="2058" width="14.5703125" style="953" customWidth="1"/>
    <col min="2059" max="2059" width="5.7109375" style="953" customWidth="1"/>
    <col min="2060" max="2060" width="7" style="953" customWidth="1"/>
    <col min="2061" max="2061" width="33" style="953" customWidth="1"/>
    <col min="2062" max="2064" width="9.140625" style="953"/>
    <col min="2065" max="2065" width="0" style="953" hidden="1" customWidth="1"/>
    <col min="2066" max="2304" width="9.140625" style="953"/>
    <col min="2305" max="2305" width="9.28515625" style="953" customWidth="1"/>
    <col min="2306" max="2306" width="20" style="953" customWidth="1"/>
    <col min="2307" max="2307" width="20.42578125" style="953" customWidth="1"/>
    <col min="2308" max="2308" width="20.28515625" style="953" customWidth="1"/>
    <col min="2309" max="2309" width="12.42578125" style="953" customWidth="1"/>
    <col min="2310" max="2310" width="11.42578125" style="953" customWidth="1"/>
    <col min="2311" max="2311" width="10.140625" style="953" customWidth="1"/>
    <col min="2312" max="2312" width="12.42578125" style="953" customWidth="1"/>
    <col min="2313" max="2313" width="14" style="953" customWidth="1"/>
    <col min="2314" max="2314" width="14.5703125" style="953" customWidth="1"/>
    <col min="2315" max="2315" width="5.7109375" style="953" customWidth="1"/>
    <col min="2316" max="2316" width="7" style="953" customWidth="1"/>
    <col min="2317" max="2317" width="33" style="953" customWidth="1"/>
    <col min="2318" max="2320" width="9.140625" style="953"/>
    <col min="2321" max="2321" width="0" style="953" hidden="1" customWidth="1"/>
    <col min="2322" max="2560" width="9.140625" style="953"/>
    <col min="2561" max="2561" width="9.28515625" style="953" customWidth="1"/>
    <col min="2562" max="2562" width="20" style="953" customWidth="1"/>
    <col min="2563" max="2563" width="20.42578125" style="953" customWidth="1"/>
    <col min="2564" max="2564" width="20.28515625" style="953" customWidth="1"/>
    <col min="2565" max="2565" width="12.42578125" style="953" customWidth="1"/>
    <col min="2566" max="2566" width="11.42578125" style="953" customWidth="1"/>
    <col min="2567" max="2567" width="10.140625" style="953" customWidth="1"/>
    <col min="2568" max="2568" width="12.42578125" style="953" customWidth="1"/>
    <col min="2569" max="2569" width="14" style="953" customWidth="1"/>
    <col min="2570" max="2570" width="14.5703125" style="953" customWidth="1"/>
    <col min="2571" max="2571" width="5.7109375" style="953" customWidth="1"/>
    <col min="2572" max="2572" width="7" style="953" customWidth="1"/>
    <col min="2573" max="2573" width="33" style="953" customWidth="1"/>
    <col min="2574" max="2576" width="9.140625" style="953"/>
    <col min="2577" max="2577" width="0" style="953" hidden="1" customWidth="1"/>
    <col min="2578" max="2816" width="9.140625" style="953"/>
    <col min="2817" max="2817" width="9.28515625" style="953" customWidth="1"/>
    <col min="2818" max="2818" width="20" style="953" customWidth="1"/>
    <col min="2819" max="2819" width="20.42578125" style="953" customWidth="1"/>
    <col min="2820" max="2820" width="20.28515625" style="953" customWidth="1"/>
    <col min="2821" max="2821" width="12.42578125" style="953" customWidth="1"/>
    <col min="2822" max="2822" width="11.42578125" style="953" customWidth="1"/>
    <col min="2823" max="2823" width="10.140625" style="953" customWidth="1"/>
    <col min="2824" max="2824" width="12.42578125" style="953" customWidth="1"/>
    <col min="2825" max="2825" width="14" style="953" customWidth="1"/>
    <col min="2826" max="2826" width="14.5703125" style="953" customWidth="1"/>
    <col min="2827" max="2827" width="5.7109375" style="953" customWidth="1"/>
    <col min="2828" max="2828" width="7" style="953" customWidth="1"/>
    <col min="2829" max="2829" width="33" style="953" customWidth="1"/>
    <col min="2830" max="2832" width="9.140625" style="953"/>
    <col min="2833" max="2833" width="0" style="953" hidden="1" customWidth="1"/>
    <col min="2834" max="3072" width="9.140625" style="953"/>
    <col min="3073" max="3073" width="9.28515625" style="953" customWidth="1"/>
    <col min="3074" max="3074" width="20" style="953" customWidth="1"/>
    <col min="3075" max="3075" width="20.42578125" style="953" customWidth="1"/>
    <col min="3076" max="3076" width="20.28515625" style="953" customWidth="1"/>
    <col min="3077" max="3077" width="12.42578125" style="953" customWidth="1"/>
    <col min="3078" max="3078" width="11.42578125" style="953" customWidth="1"/>
    <col min="3079" max="3079" width="10.140625" style="953" customWidth="1"/>
    <col min="3080" max="3080" width="12.42578125" style="953" customWidth="1"/>
    <col min="3081" max="3081" width="14" style="953" customWidth="1"/>
    <col min="3082" max="3082" width="14.5703125" style="953" customWidth="1"/>
    <col min="3083" max="3083" width="5.7109375" style="953" customWidth="1"/>
    <col min="3084" max="3084" width="7" style="953" customWidth="1"/>
    <col min="3085" max="3085" width="33" style="953" customWidth="1"/>
    <col min="3086" max="3088" width="9.140625" style="953"/>
    <col min="3089" max="3089" width="0" style="953" hidden="1" customWidth="1"/>
    <col min="3090" max="3328" width="9.140625" style="953"/>
    <col min="3329" max="3329" width="9.28515625" style="953" customWidth="1"/>
    <col min="3330" max="3330" width="20" style="953" customWidth="1"/>
    <col min="3331" max="3331" width="20.42578125" style="953" customWidth="1"/>
    <col min="3332" max="3332" width="20.28515625" style="953" customWidth="1"/>
    <col min="3333" max="3333" width="12.42578125" style="953" customWidth="1"/>
    <col min="3334" max="3334" width="11.42578125" style="953" customWidth="1"/>
    <col min="3335" max="3335" width="10.140625" style="953" customWidth="1"/>
    <col min="3336" max="3336" width="12.42578125" style="953" customWidth="1"/>
    <col min="3337" max="3337" width="14" style="953" customWidth="1"/>
    <col min="3338" max="3338" width="14.5703125" style="953" customWidth="1"/>
    <col min="3339" max="3339" width="5.7109375" style="953" customWidth="1"/>
    <col min="3340" max="3340" width="7" style="953" customWidth="1"/>
    <col min="3341" max="3341" width="33" style="953" customWidth="1"/>
    <col min="3342" max="3344" width="9.140625" style="953"/>
    <col min="3345" max="3345" width="0" style="953" hidden="1" customWidth="1"/>
    <col min="3346" max="3584" width="9.140625" style="953"/>
    <col min="3585" max="3585" width="9.28515625" style="953" customWidth="1"/>
    <col min="3586" max="3586" width="20" style="953" customWidth="1"/>
    <col min="3587" max="3587" width="20.42578125" style="953" customWidth="1"/>
    <col min="3588" max="3588" width="20.28515625" style="953" customWidth="1"/>
    <col min="3589" max="3589" width="12.42578125" style="953" customWidth="1"/>
    <col min="3590" max="3590" width="11.42578125" style="953" customWidth="1"/>
    <col min="3591" max="3591" width="10.140625" style="953" customWidth="1"/>
    <col min="3592" max="3592" width="12.42578125" style="953" customWidth="1"/>
    <col min="3593" max="3593" width="14" style="953" customWidth="1"/>
    <col min="3594" max="3594" width="14.5703125" style="953" customWidth="1"/>
    <col min="3595" max="3595" width="5.7109375" style="953" customWidth="1"/>
    <col min="3596" max="3596" width="7" style="953" customWidth="1"/>
    <col min="3597" max="3597" width="33" style="953" customWidth="1"/>
    <col min="3598" max="3600" width="9.140625" style="953"/>
    <col min="3601" max="3601" width="0" style="953" hidden="1" customWidth="1"/>
    <col min="3602" max="3840" width="9.140625" style="953"/>
    <col min="3841" max="3841" width="9.28515625" style="953" customWidth="1"/>
    <col min="3842" max="3842" width="20" style="953" customWidth="1"/>
    <col min="3843" max="3843" width="20.42578125" style="953" customWidth="1"/>
    <col min="3844" max="3844" width="20.28515625" style="953" customWidth="1"/>
    <col min="3845" max="3845" width="12.42578125" style="953" customWidth="1"/>
    <col min="3846" max="3846" width="11.42578125" style="953" customWidth="1"/>
    <col min="3847" max="3847" width="10.140625" style="953" customWidth="1"/>
    <col min="3848" max="3848" width="12.42578125" style="953" customWidth="1"/>
    <col min="3849" max="3849" width="14" style="953" customWidth="1"/>
    <col min="3850" max="3850" width="14.5703125" style="953" customWidth="1"/>
    <col min="3851" max="3851" width="5.7109375" style="953" customWidth="1"/>
    <col min="3852" max="3852" width="7" style="953" customWidth="1"/>
    <col min="3853" max="3853" width="33" style="953" customWidth="1"/>
    <col min="3854" max="3856" width="9.140625" style="953"/>
    <col min="3857" max="3857" width="0" style="953" hidden="1" customWidth="1"/>
    <col min="3858" max="4096" width="9.140625" style="953"/>
    <col min="4097" max="4097" width="9.28515625" style="953" customWidth="1"/>
    <col min="4098" max="4098" width="20" style="953" customWidth="1"/>
    <col min="4099" max="4099" width="20.42578125" style="953" customWidth="1"/>
    <col min="4100" max="4100" width="20.28515625" style="953" customWidth="1"/>
    <col min="4101" max="4101" width="12.42578125" style="953" customWidth="1"/>
    <col min="4102" max="4102" width="11.42578125" style="953" customWidth="1"/>
    <col min="4103" max="4103" width="10.140625" style="953" customWidth="1"/>
    <col min="4104" max="4104" width="12.42578125" style="953" customWidth="1"/>
    <col min="4105" max="4105" width="14" style="953" customWidth="1"/>
    <col min="4106" max="4106" width="14.5703125" style="953" customWidth="1"/>
    <col min="4107" max="4107" width="5.7109375" style="953" customWidth="1"/>
    <col min="4108" max="4108" width="7" style="953" customWidth="1"/>
    <col min="4109" max="4109" width="33" style="953" customWidth="1"/>
    <col min="4110" max="4112" width="9.140625" style="953"/>
    <col min="4113" max="4113" width="0" style="953" hidden="1" customWidth="1"/>
    <col min="4114" max="4352" width="9.140625" style="953"/>
    <col min="4353" max="4353" width="9.28515625" style="953" customWidth="1"/>
    <col min="4354" max="4354" width="20" style="953" customWidth="1"/>
    <col min="4355" max="4355" width="20.42578125" style="953" customWidth="1"/>
    <col min="4356" max="4356" width="20.28515625" style="953" customWidth="1"/>
    <col min="4357" max="4357" width="12.42578125" style="953" customWidth="1"/>
    <col min="4358" max="4358" width="11.42578125" style="953" customWidth="1"/>
    <col min="4359" max="4359" width="10.140625" style="953" customWidth="1"/>
    <col min="4360" max="4360" width="12.42578125" style="953" customWidth="1"/>
    <col min="4361" max="4361" width="14" style="953" customWidth="1"/>
    <col min="4362" max="4362" width="14.5703125" style="953" customWidth="1"/>
    <col min="4363" max="4363" width="5.7109375" style="953" customWidth="1"/>
    <col min="4364" max="4364" width="7" style="953" customWidth="1"/>
    <col min="4365" max="4365" width="33" style="953" customWidth="1"/>
    <col min="4366" max="4368" width="9.140625" style="953"/>
    <col min="4369" max="4369" width="0" style="953" hidden="1" customWidth="1"/>
    <col min="4370" max="4608" width="9.140625" style="953"/>
    <col min="4609" max="4609" width="9.28515625" style="953" customWidth="1"/>
    <col min="4610" max="4610" width="20" style="953" customWidth="1"/>
    <col min="4611" max="4611" width="20.42578125" style="953" customWidth="1"/>
    <col min="4612" max="4612" width="20.28515625" style="953" customWidth="1"/>
    <col min="4613" max="4613" width="12.42578125" style="953" customWidth="1"/>
    <col min="4614" max="4614" width="11.42578125" style="953" customWidth="1"/>
    <col min="4615" max="4615" width="10.140625" style="953" customWidth="1"/>
    <col min="4616" max="4616" width="12.42578125" style="953" customWidth="1"/>
    <col min="4617" max="4617" width="14" style="953" customWidth="1"/>
    <col min="4618" max="4618" width="14.5703125" style="953" customWidth="1"/>
    <col min="4619" max="4619" width="5.7109375" style="953" customWidth="1"/>
    <col min="4620" max="4620" width="7" style="953" customWidth="1"/>
    <col min="4621" max="4621" width="33" style="953" customWidth="1"/>
    <col min="4622" max="4624" width="9.140625" style="953"/>
    <col min="4625" max="4625" width="0" style="953" hidden="1" customWidth="1"/>
    <col min="4626" max="4864" width="9.140625" style="953"/>
    <col min="4865" max="4865" width="9.28515625" style="953" customWidth="1"/>
    <col min="4866" max="4866" width="20" style="953" customWidth="1"/>
    <col min="4867" max="4867" width="20.42578125" style="953" customWidth="1"/>
    <col min="4868" max="4868" width="20.28515625" style="953" customWidth="1"/>
    <col min="4869" max="4869" width="12.42578125" style="953" customWidth="1"/>
    <col min="4870" max="4870" width="11.42578125" style="953" customWidth="1"/>
    <col min="4871" max="4871" width="10.140625" style="953" customWidth="1"/>
    <col min="4872" max="4872" width="12.42578125" style="953" customWidth="1"/>
    <col min="4873" max="4873" width="14" style="953" customWidth="1"/>
    <col min="4874" max="4874" width="14.5703125" style="953" customWidth="1"/>
    <col min="4875" max="4875" width="5.7109375" style="953" customWidth="1"/>
    <col min="4876" max="4876" width="7" style="953" customWidth="1"/>
    <col min="4877" max="4877" width="33" style="953" customWidth="1"/>
    <col min="4878" max="4880" width="9.140625" style="953"/>
    <col min="4881" max="4881" width="0" style="953" hidden="1" customWidth="1"/>
    <col min="4882" max="5120" width="9.140625" style="953"/>
    <col min="5121" max="5121" width="9.28515625" style="953" customWidth="1"/>
    <col min="5122" max="5122" width="20" style="953" customWidth="1"/>
    <col min="5123" max="5123" width="20.42578125" style="953" customWidth="1"/>
    <col min="5124" max="5124" width="20.28515625" style="953" customWidth="1"/>
    <col min="5125" max="5125" width="12.42578125" style="953" customWidth="1"/>
    <col min="5126" max="5126" width="11.42578125" style="953" customWidth="1"/>
    <col min="5127" max="5127" width="10.140625" style="953" customWidth="1"/>
    <col min="5128" max="5128" width="12.42578125" style="953" customWidth="1"/>
    <col min="5129" max="5129" width="14" style="953" customWidth="1"/>
    <col min="5130" max="5130" width="14.5703125" style="953" customWidth="1"/>
    <col min="5131" max="5131" width="5.7109375" style="953" customWidth="1"/>
    <col min="5132" max="5132" width="7" style="953" customWidth="1"/>
    <col min="5133" max="5133" width="33" style="953" customWidth="1"/>
    <col min="5134" max="5136" width="9.140625" style="953"/>
    <col min="5137" max="5137" width="0" style="953" hidden="1" customWidth="1"/>
    <col min="5138" max="5376" width="9.140625" style="953"/>
    <col min="5377" max="5377" width="9.28515625" style="953" customWidth="1"/>
    <col min="5378" max="5378" width="20" style="953" customWidth="1"/>
    <col min="5379" max="5379" width="20.42578125" style="953" customWidth="1"/>
    <col min="5380" max="5380" width="20.28515625" style="953" customWidth="1"/>
    <col min="5381" max="5381" width="12.42578125" style="953" customWidth="1"/>
    <col min="5382" max="5382" width="11.42578125" style="953" customWidth="1"/>
    <col min="5383" max="5383" width="10.140625" style="953" customWidth="1"/>
    <col min="5384" max="5384" width="12.42578125" style="953" customWidth="1"/>
    <col min="5385" max="5385" width="14" style="953" customWidth="1"/>
    <col min="5386" max="5386" width="14.5703125" style="953" customWidth="1"/>
    <col min="5387" max="5387" width="5.7109375" style="953" customWidth="1"/>
    <col min="5388" max="5388" width="7" style="953" customWidth="1"/>
    <col min="5389" max="5389" width="33" style="953" customWidth="1"/>
    <col min="5390" max="5392" width="9.140625" style="953"/>
    <col min="5393" max="5393" width="0" style="953" hidden="1" customWidth="1"/>
    <col min="5394" max="5632" width="9.140625" style="953"/>
    <col min="5633" max="5633" width="9.28515625" style="953" customWidth="1"/>
    <col min="5634" max="5634" width="20" style="953" customWidth="1"/>
    <col min="5635" max="5635" width="20.42578125" style="953" customWidth="1"/>
    <col min="5636" max="5636" width="20.28515625" style="953" customWidth="1"/>
    <col min="5637" max="5637" width="12.42578125" style="953" customWidth="1"/>
    <col min="5638" max="5638" width="11.42578125" style="953" customWidth="1"/>
    <col min="5639" max="5639" width="10.140625" style="953" customWidth="1"/>
    <col min="5640" max="5640" width="12.42578125" style="953" customWidth="1"/>
    <col min="5641" max="5641" width="14" style="953" customWidth="1"/>
    <col min="5642" max="5642" width="14.5703125" style="953" customWidth="1"/>
    <col min="5643" max="5643" width="5.7109375" style="953" customWidth="1"/>
    <col min="5644" max="5644" width="7" style="953" customWidth="1"/>
    <col min="5645" max="5645" width="33" style="953" customWidth="1"/>
    <col min="5646" max="5648" width="9.140625" style="953"/>
    <col min="5649" max="5649" width="0" style="953" hidden="1" customWidth="1"/>
    <col min="5650" max="5888" width="9.140625" style="953"/>
    <col min="5889" max="5889" width="9.28515625" style="953" customWidth="1"/>
    <col min="5890" max="5890" width="20" style="953" customWidth="1"/>
    <col min="5891" max="5891" width="20.42578125" style="953" customWidth="1"/>
    <col min="5892" max="5892" width="20.28515625" style="953" customWidth="1"/>
    <col min="5893" max="5893" width="12.42578125" style="953" customWidth="1"/>
    <col min="5894" max="5894" width="11.42578125" style="953" customWidth="1"/>
    <col min="5895" max="5895" width="10.140625" style="953" customWidth="1"/>
    <col min="5896" max="5896" width="12.42578125" style="953" customWidth="1"/>
    <col min="5897" max="5897" width="14" style="953" customWidth="1"/>
    <col min="5898" max="5898" width="14.5703125" style="953" customWidth="1"/>
    <col min="5899" max="5899" width="5.7109375" style="953" customWidth="1"/>
    <col min="5900" max="5900" width="7" style="953" customWidth="1"/>
    <col min="5901" max="5901" width="33" style="953" customWidth="1"/>
    <col min="5902" max="5904" width="9.140625" style="953"/>
    <col min="5905" max="5905" width="0" style="953" hidden="1" customWidth="1"/>
    <col min="5906" max="6144" width="9.140625" style="953"/>
    <col min="6145" max="6145" width="9.28515625" style="953" customWidth="1"/>
    <col min="6146" max="6146" width="20" style="953" customWidth="1"/>
    <col min="6147" max="6147" width="20.42578125" style="953" customWidth="1"/>
    <col min="6148" max="6148" width="20.28515625" style="953" customWidth="1"/>
    <col min="6149" max="6149" width="12.42578125" style="953" customWidth="1"/>
    <col min="6150" max="6150" width="11.42578125" style="953" customWidth="1"/>
    <col min="6151" max="6151" width="10.140625" style="953" customWidth="1"/>
    <col min="6152" max="6152" width="12.42578125" style="953" customWidth="1"/>
    <col min="6153" max="6153" width="14" style="953" customWidth="1"/>
    <col min="6154" max="6154" width="14.5703125" style="953" customWidth="1"/>
    <col min="6155" max="6155" width="5.7109375" style="953" customWidth="1"/>
    <col min="6156" max="6156" width="7" style="953" customWidth="1"/>
    <col min="6157" max="6157" width="33" style="953" customWidth="1"/>
    <col min="6158" max="6160" width="9.140625" style="953"/>
    <col min="6161" max="6161" width="0" style="953" hidden="1" customWidth="1"/>
    <col min="6162" max="6400" width="9.140625" style="953"/>
    <col min="6401" max="6401" width="9.28515625" style="953" customWidth="1"/>
    <col min="6402" max="6402" width="20" style="953" customWidth="1"/>
    <col min="6403" max="6403" width="20.42578125" style="953" customWidth="1"/>
    <col min="6404" max="6404" width="20.28515625" style="953" customWidth="1"/>
    <col min="6405" max="6405" width="12.42578125" style="953" customWidth="1"/>
    <col min="6406" max="6406" width="11.42578125" style="953" customWidth="1"/>
    <col min="6407" max="6407" width="10.140625" style="953" customWidth="1"/>
    <col min="6408" max="6408" width="12.42578125" style="953" customWidth="1"/>
    <col min="6409" max="6409" width="14" style="953" customWidth="1"/>
    <col min="6410" max="6410" width="14.5703125" style="953" customWidth="1"/>
    <col min="6411" max="6411" width="5.7109375" style="953" customWidth="1"/>
    <col min="6412" max="6412" width="7" style="953" customWidth="1"/>
    <col min="6413" max="6413" width="33" style="953" customWidth="1"/>
    <col min="6414" max="6416" width="9.140625" style="953"/>
    <col min="6417" max="6417" width="0" style="953" hidden="1" customWidth="1"/>
    <col min="6418" max="6656" width="9.140625" style="953"/>
    <col min="6657" max="6657" width="9.28515625" style="953" customWidth="1"/>
    <col min="6658" max="6658" width="20" style="953" customWidth="1"/>
    <col min="6659" max="6659" width="20.42578125" style="953" customWidth="1"/>
    <col min="6660" max="6660" width="20.28515625" style="953" customWidth="1"/>
    <col min="6661" max="6661" width="12.42578125" style="953" customWidth="1"/>
    <col min="6662" max="6662" width="11.42578125" style="953" customWidth="1"/>
    <col min="6663" max="6663" width="10.140625" style="953" customWidth="1"/>
    <col min="6664" max="6664" width="12.42578125" style="953" customWidth="1"/>
    <col min="6665" max="6665" width="14" style="953" customWidth="1"/>
    <col min="6666" max="6666" width="14.5703125" style="953" customWidth="1"/>
    <col min="6667" max="6667" width="5.7109375" style="953" customWidth="1"/>
    <col min="6668" max="6668" width="7" style="953" customWidth="1"/>
    <col min="6669" max="6669" width="33" style="953" customWidth="1"/>
    <col min="6670" max="6672" width="9.140625" style="953"/>
    <col min="6673" max="6673" width="0" style="953" hidden="1" customWidth="1"/>
    <col min="6674" max="6912" width="9.140625" style="953"/>
    <col min="6913" max="6913" width="9.28515625" style="953" customWidth="1"/>
    <col min="6914" max="6914" width="20" style="953" customWidth="1"/>
    <col min="6915" max="6915" width="20.42578125" style="953" customWidth="1"/>
    <col min="6916" max="6916" width="20.28515625" style="953" customWidth="1"/>
    <col min="6917" max="6917" width="12.42578125" style="953" customWidth="1"/>
    <col min="6918" max="6918" width="11.42578125" style="953" customWidth="1"/>
    <col min="6919" max="6919" width="10.140625" style="953" customWidth="1"/>
    <col min="6920" max="6920" width="12.42578125" style="953" customWidth="1"/>
    <col min="6921" max="6921" width="14" style="953" customWidth="1"/>
    <col min="6922" max="6922" width="14.5703125" style="953" customWidth="1"/>
    <col min="6923" max="6923" width="5.7109375" style="953" customWidth="1"/>
    <col min="6924" max="6924" width="7" style="953" customWidth="1"/>
    <col min="6925" max="6925" width="33" style="953" customWidth="1"/>
    <col min="6926" max="6928" width="9.140625" style="953"/>
    <col min="6929" max="6929" width="0" style="953" hidden="1" customWidth="1"/>
    <col min="6930" max="7168" width="9.140625" style="953"/>
    <col min="7169" max="7169" width="9.28515625" style="953" customWidth="1"/>
    <col min="7170" max="7170" width="20" style="953" customWidth="1"/>
    <col min="7171" max="7171" width="20.42578125" style="953" customWidth="1"/>
    <col min="7172" max="7172" width="20.28515625" style="953" customWidth="1"/>
    <col min="7173" max="7173" width="12.42578125" style="953" customWidth="1"/>
    <col min="7174" max="7174" width="11.42578125" style="953" customWidth="1"/>
    <col min="7175" max="7175" width="10.140625" style="953" customWidth="1"/>
    <col min="7176" max="7176" width="12.42578125" style="953" customWidth="1"/>
    <col min="7177" max="7177" width="14" style="953" customWidth="1"/>
    <col min="7178" max="7178" width="14.5703125" style="953" customWidth="1"/>
    <col min="7179" max="7179" width="5.7109375" style="953" customWidth="1"/>
    <col min="7180" max="7180" width="7" style="953" customWidth="1"/>
    <col min="7181" max="7181" width="33" style="953" customWidth="1"/>
    <col min="7182" max="7184" width="9.140625" style="953"/>
    <col min="7185" max="7185" width="0" style="953" hidden="1" customWidth="1"/>
    <col min="7186" max="7424" width="9.140625" style="953"/>
    <col min="7425" max="7425" width="9.28515625" style="953" customWidth="1"/>
    <col min="7426" max="7426" width="20" style="953" customWidth="1"/>
    <col min="7427" max="7427" width="20.42578125" style="953" customWidth="1"/>
    <col min="7428" max="7428" width="20.28515625" style="953" customWidth="1"/>
    <col min="7429" max="7429" width="12.42578125" style="953" customWidth="1"/>
    <col min="7430" max="7430" width="11.42578125" style="953" customWidth="1"/>
    <col min="7431" max="7431" width="10.140625" style="953" customWidth="1"/>
    <col min="7432" max="7432" width="12.42578125" style="953" customWidth="1"/>
    <col min="7433" max="7433" width="14" style="953" customWidth="1"/>
    <col min="7434" max="7434" width="14.5703125" style="953" customWidth="1"/>
    <col min="7435" max="7435" width="5.7109375" style="953" customWidth="1"/>
    <col min="7436" max="7436" width="7" style="953" customWidth="1"/>
    <col min="7437" max="7437" width="33" style="953" customWidth="1"/>
    <col min="7438" max="7440" width="9.140625" style="953"/>
    <col min="7441" max="7441" width="0" style="953" hidden="1" customWidth="1"/>
    <col min="7442" max="7680" width="9.140625" style="953"/>
    <col min="7681" max="7681" width="9.28515625" style="953" customWidth="1"/>
    <col min="7682" max="7682" width="20" style="953" customWidth="1"/>
    <col min="7683" max="7683" width="20.42578125" style="953" customWidth="1"/>
    <col min="7684" max="7684" width="20.28515625" style="953" customWidth="1"/>
    <col min="7685" max="7685" width="12.42578125" style="953" customWidth="1"/>
    <col min="7686" max="7686" width="11.42578125" style="953" customWidth="1"/>
    <col min="7687" max="7687" width="10.140625" style="953" customWidth="1"/>
    <col min="7688" max="7688" width="12.42578125" style="953" customWidth="1"/>
    <col min="7689" max="7689" width="14" style="953" customWidth="1"/>
    <col min="7690" max="7690" width="14.5703125" style="953" customWidth="1"/>
    <col min="7691" max="7691" width="5.7109375" style="953" customWidth="1"/>
    <col min="7692" max="7692" width="7" style="953" customWidth="1"/>
    <col min="7693" max="7693" width="33" style="953" customWidth="1"/>
    <col min="7694" max="7696" width="9.140625" style="953"/>
    <col min="7697" max="7697" width="0" style="953" hidden="1" customWidth="1"/>
    <col min="7698" max="7936" width="9.140625" style="953"/>
    <col min="7937" max="7937" width="9.28515625" style="953" customWidth="1"/>
    <col min="7938" max="7938" width="20" style="953" customWidth="1"/>
    <col min="7939" max="7939" width="20.42578125" style="953" customWidth="1"/>
    <col min="7940" max="7940" width="20.28515625" style="953" customWidth="1"/>
    <col min="7941" max="7941" width="12.42578125" style="953" customWidth="1"/>
    <col min="7942" max="7942" width="11.42578125" style="953" customWidth="1"/>
    <col min="7943" max="7943" width="10.140625" style="953" customWidth="1"/>
    <col min="7944" max="7944" width="12.42578125" style="953" customWidth="1"/>
    <col min="7945" max="7945" width="14" style="953" customWidth="1"/>
    <col min="7946" max="7946" width="14.5703125" style="953" customWidth="1"/>
    <col min="7947" max="7947" width="5.7109375" style="953" customWidth="1"/>
    <col min="7948" max="7948" width="7" style="953" customWidth="1"/>
    <col min="7949" max="7949" width="33" style="953" customWidth="1"/>
    <col min="7950" max="7952" width="9.140625" style="953"/>
    <col min="7953" max="7953" width="0" style="953" hidden="1" customWidth="1"/>
    <col min="7954" max="8192" width="9.140625" style="953"/>
    <col min="8193" max="8193" width="9.28515625" style="953" customWidth="1"/>
    <col min="8194" max="8194" width="20" style="953" customWidth="1"/>
    <col min="8195" max="8195" width="20.42578125" style="953" customWidth="1"/>
    <col min="8196" max="8196" width="20.28515625" style="953" customWidth="1"/>
    <col min="8197" max="8197" width="12.42578125" style="953" customWidth="1"/>
    <col min="8198" max="8198" width="11.42578125" style="953" customWidth="1"/>
    <col min="8199" max="8199" width="10.140625" style="953" customWidth="1"/>
    <col min="8200" max="8200" width="12.42578125" style="953" customWidth="1"/>
    <col min="8201" max="8201" width="14" style="953" customWidth="1"/>
    <col min="8202" max="8202" width="14.5703125" style="953" customWidth="1"/>
    <col min="8203" max="8203" width="5.7109375" style="953" customWidth="1"/>
    <col min="8204" max="8204" width="7" style="953" customWidth="1"/>
    <col min="8205" max="8205" width="33" style="953" customWidth="1"/>
    <col min="8206" max="8208" width="9.140625" style="953"/>
    <col min="8209" max="8209" width="0" style="953" hidden="1" customWidth="1"/>
    <col min="8210" max="8448" width="9.140625" style="953"/>
    <col min="8449" max="8449" width="9.28515625" style="953" customWidth="1"/>
    <col min="8450" max="8450" width="20" style="953" customWidth="1"/>
    <col min="8451" max="8451" width="20.42578125" style="953" customWidth="1"/>
    <col min="8452" max="8452" width="20.28515625" style="953" customWidth="1"/>
    <col min="8453" max="8453" width="12.42578125" style="953" customWidth="1"/>
    <col min="8454" max="8454" width="11.42578125" style="953" customWidth="1"/>
    <col min="8455" max="8455" width="10.140625" style="953" customWidth="1"/>
    <col min="8456" max="8456" width="12.42578125" style="953" customWidth="1"/>
    <col min="8457" max="8457" width="14" style="953" customWidth="1"/>
    <col min="8458" max="8458" width="14.5703125" style="953" customWidth="1"/>
    <col min="8459" max="8459" width="5.7109375" style="953" customWidth="1"/>
    <col min="8460" max="8460" width="7" style="953" customWidth="1"/>
    <col min="8461" max="8461" width="33" style="953" customWidth="1"/>
    <col min="8462" max="8464" width="9.140625" style="953"/>
    <col min="8465" max="8465" width="0" style="953" hidden="1" customWidth="1"/>
    <col min="8466" max="8704" width="9.140625" style="953"/>
    <col min="8705" max="8705" width="9.28515625" style="953" customWidth="1"/>
    <col min="8706" max="8706" width="20" style="953" customWidth="1"/>
    <col min="8707" max="8707" width="20.42578125" style="953" customWidth="1"/>
    <col min="8708" max="8708" width="20.28515625" style="953" customWidth="1"/>
    <col min="8709" max="8709" width="12.42578125" style="953" customWidth="1"/>
    <col min="8710" max="8710" width="11.42578125" style="953" customWidth="1"/>
    <col min="8711" max="8711" width="10.140625" style="953" customWidth="1"/>
    <col min="8712" max="8712" width="12.42578125" style="953" customWidth="1"/>
    <col min="8713" max="8713" width="14" style="953" customWidth="1"/>
    <col min="8714" max="8714" width="14.5703125" style="953" customWidth="1"/>
    <col min="8715" max="8715" width="5.7109375" style="953" customWidth="1"/>
    <col min="8716" max="8716" width="7" style="953" customWidth="1"/>
    <col min="8717" max="8717" width="33" style="953" customWidth="1"/>
    <col min="8718" max="8720" width="9.140625" style="953"/>
    <col min="8721" max="8721" width="0" style="953" hidden="1" customWidth="1"/>
    <col min="8722" max="8960" width="9.140625" style="953"/>
    <col min="8961" max="8961" width="9.28515625" style="953" customWidth="1"/>
    <col min="8962" max="8962" width="20" style="953" customWidth="1"/>
    <col min="8963" max="8963" width="20.42578125" style="953" customWidth="1"/>
    <col min="8964" max="8964" width="20.28515625" style="953" customWidth="1"/>
    <col min="8965" max="8965" width="12.42578125" style="953" customWidth="1"/>
    <col min="8966" max="8966" width="11.42578125" style="953" customWidth="1"/>
    <col min="8967" max="8967" width="10.140625" style="953" customWidth="1"/>
    <col min="8968" max="8968" width="12.42578125" style="953" customWidth="1"/>
    <col min="8969" max="8969" width="14" style="953" customWidth="1"/>
    <col min="8970" max="8970" width="14.5703125" style="953" customWidth="1"/>
    <col min="8971" max="8971" width="5.7109375" style="953" customWidth="1"/>
    <col min="8972" max="8972" width="7" style="953" customWidth="1"/>
    <col min="8973" max="8973" width="33" style="953" customWidth="1"/>
    <col min="8974" max="8976" width="9.140625" style="953"/>
    <col min="8977" max="8977" width="0" style="953" hidden="1" customWidth="1"/>
    <col min="8978" max="9216" width="9.140625" style="953"/>
    <col min="9217" max="9217" width="9.28515625" style="953" customWidth="1"/>
    <col min="9218" max="9218" width="20" style="953" customWidth="1"/>
    <col min="9219" max="9219" width="20.42578125" style="953" customWidth="1"/>
    <col min="9220" max="9220" width="20.28515625" style="953" customWidth="1"/>
    <col min="9221" max="9221" width="12.42578125" style="953" customWidth="1"/>
    <col min="9222" max="9222" width="11.42578125" style="953" customWidth="1"/>
    <col min="9223" max="9223" width="10.140625" style="953" customWidth="1"/>
    <col min="9224" max="9224" width="12.42578125" style="953" customWidth="1"/>
    <col min="9225" max="9225" width="14" style="953" customWidth="1"/>
    <col min="9226" max="9226" width="14.5703125" style="953" customWidth="1"/>
    <col min="9227" max="9227" width="5.7109375" style="953" customWidth="1"/>
    <col min="9228" max="9228" width="7" style="953" customWidth="1"/>
    <col min="9229" max="9229" width="33" style="953" customWidth="1"/>
    <col min="9230" max="9232" width="9.140625" style="953"/>
    <col min="9233" max="9233" width="0" style="953" hidden="1" customWidth="1"/>
    <col min="9234" max="9472" width="9.140625" style="953"/>
    <col min="9473" max="9473" width="9.28515625" style="953" customWidth="1"/>
    <col min="9474" max="9474" width="20" style="953" customWidth="1"/>
    <col min="9475" max="9475" width="20.42578125" style="953" customWidth="1"/>
    <col min="9476" max="9476" width="20.28515625" style="953" customWidth="1"/>
    <col min="9477" max="9477" width="12.42578125" style="953" customWidth="1"/>
    <col min="9478" max="9478" width="11.42578125" style="953" customWidth="1"/>
    <col min="9479" max="9479" width="10.140625" style="953" customWidth="1"/>
    <col min="9480" max="9480" width="12.42578125" style="953" customWidth="1"/>
    <col min="9481" max="9481" width="14" style="953" customWidth="1"/>
    <col min="9482" max="9482" width="14.5703125" style="953" customWidth="1"/>
    <col min="9483" max="9483" width="5.7109375" style="953" customWidth="1"/>
    <col min="9484" max="9484" width="7" style="953" customWidth="1"/>
    <col min="9485" max="9485" width="33" style="953" customWidth="1"/>
    <col min="9486" max="9488" width="9.140625" style="953"/>
    <col min="9489" max="9489" width="0" style="953" hidden="1" customWidth="1"/>
    <col min="9490" max="9728" width="9.140625" style="953"/>
    <col min="9729" max="9729" width="9.28515625" style="953" customWidth="1"/>
    <col min="9730" max="9730" width="20" style="953" customWidth="1"/>
    <col min="9731" max="9731" width="20.42578125" style="953" customWidth="1"/>
    <col min="9732" max="9732" width="20.28515625" style="953" customWidth="1"/>
    <col min="9733" max="9733" width="12.42578125" style="953" customWidth="1"/>
    <col min="9734" max="9734" width="11.42578125" style="953" customWidth="1"/>
    <col min="9735" max="9735" width="10.140625" style="953" customWidth="1"/>
    <col min="9736" max="9736" width="12.42578125" style="953" customWidth="1"/>
    <col min="9737" max="9737" width="14" style="953" customWidth="1"/>
    <col min="9738" max="9738" width="14.5703125" style="953" customWidth="1"/>
    <col min="9739" max="9739" width="5.7109375" style="953" customWidth="1"/>
    <col min="9740" max="9740" width="7" style="953" customWidth="1"/>
    <col min="9741" max="9741" width="33" style="953" customWidth="1"/>
    <col min="9742" max="9744" width="9.140625" style="953"/>
    <col min="9745" max="9745" width="0" style="953" hidden="1" customWidth="1"/>
    <col min="9746" max="9984" width="9.140625" style="953"/>
    <col min="9985" max="9985" width="9.28515625" style="953" customWidth="1"/>
    <col min="9986" max="9986" width="20" style="953" customWidth="1"/>
    <col min="9987" max="9987" width="20.42578125" style="953" customWidth="1"/>
    <col min="9988" max="9988" width="20.28515625" style="953" customWidth="1"/>
    <col min="9989" max="9989" width="12.42578125" style="953" customWidth="1"/>
    <col min="9990" max="9990" width="11.42578125" style="953" customWidth="1"/>
    <col min="9991" max="9991" width="10.140625" style="953" customWidth="1"/>
    <col min="9992" max="9992" width="12.42578125" style="953" customWidth="1"/>
    <col min="9993" max="9993" width="14" style="953" customWidth="1"/>
    <col min="9994" max="9994" width="14.5703125" style="953" customWidth="1"/>
    <col min="9995" max="9995" width="5.7109375" style="953" customWidth="1"/>
    <col min="9996" max="9996" width="7" style="953" customWidth="1"/>
    <col min="9997" max="9997" width="33" style="953" customWidth="1"/>
    <col min="9998" max="10000" width="9.140625" style="953"/>
    <col min="10001" max="10001" width="0" style="953" hidden="1" customWidth="1"/>
    <col min="10002" max="10240" width="9.140625" style="953"/>
    <col min="10241" max="10241" width="9.28515625" style="953" customWidth="1"/>
    <col min="10242" max="10242" width="20" style="953" customWidth="1"/>
    <col min="10243" max="10243" width="20.42578125" style="953" customWidth="1"/>
    <col min="10244" max="10244" width="20.28515625" style="953" customWidth="1"/>
    <col min="10245" max="10245" width="12.42578125" style="953" customWidth="1"/>
    <col min="10246" max="10246" width="11.42578125" style="953" customWidth="1"/>
    <col min="10247" max="10247" width="10.140625" style="953" customWidth="1"/>
    <col min="10248" max="10248" width="12.42578125" style="953" customWidth="1"/>
    <col min="10249" max="10249" width="14" style="953" customWidth="1"/>
    <col min="10250" max="10250" width="14.5703125" style="953" customWidth="1"/>
    <col min="10251" max="10251" width="5.7109375" style="953" customWidth="1"/>
    <col min="10252" max="10252" width="7" style="953" customWidth="1"/>
    <col min="10253" max="10253" width="33" style="953" customWidth="1"/>
    <col min="10254" max="10256" width="9.140625" style="953"/>
    <col min="10257" max="10257" width="0" style="953" hidden="1" customWidth="1"/>
    <col min="10258" max="10496" width="9.140625" style="953"/>
    <col min="10497" max="10497" width="9.28515625" style="953" customWidth="1"/>
    <col min="10498" max="10498" width="20" style="953" customWidth="1"/>
    <col min="10499" max="10499" width="20.42578125" style="953" customWidth="1"/>
    <col min="10500" max="10500" width="20.28515625" style="953" customWidth="1"/>
    <col min="10501" max="10501" width="12.42578125" style="953" customWidth="1"/>
    <col min="10502" max="10502" width="11.42578125" style="953" customWidth="1"/>
    <col min="10503" max="10503" width="10.140625" style="953" customWidth="1"/>
    <col min="10504" max="10504" width="12.42578125" style="953" customWidth="1"/>
    <col min="10505" max="10505" width="14" style="953" customWidth="1"/>
    <col min="10506" max="10506" width="14.5703125" style="953" customWidth="1"/>
    <col min="10507" max="10507" width="5.7109375" style="953" customWidth="1"/>
    <col min="10508" max="10508" width="7" style="953" customWidth="1"/>
    <col min="10509" max="10509" width="33" style="953" customWidth="1"/>
    <col min="10510" max="10512" width="9.140625" style="953"/>
    <col min="10513" max="10513" width="0" style="953" hidden="1" customWidth="1"/>
    <col min="10514" max="10752" width="9.140625" style="953"/>
    <col min="10753" max="10753" width="9.28515625" style="953" customWidth="1"/>
    <col min="10754" max="10754" width="20" style="953" customWidth="1"/>
    <col min="10755" max="10755" width="20.42578125" style="953" customWidth="1"/>
    <col min="10756" max="10756" width="20.28515625" style="953" customWidth="1"/>
    <col min="10757" max="10757" width="12.42578125" style="953" customWidth="1"/>
    <col min="10758" max="10758" width="11.42578125" style="953" customWidth="1"/>
    <col min="10759" max="10759" width="10.140625" style="953" customWidth="1"/>
    <col min="10760" max="10760" width="12.42578125" style="953" customWidth="1"/>
    <col min="10761" max="10761" width="14" style="953" customWidth="1"/>
    <col min="10762" max="10762" width="14.5703125" style="953" customWidth="1"/>
    <col min="10763" max="10763" width="5.7109375" style="953" customWidth="1"/>
    <col min="10764" max="10764" width="7" style="953" customWidth="1"/>
    <col min="10765" max="10765" width="33" style="953" customWidth="1"/>
    <col min="10766" max="10768" width="9.140625" style="953"/>
    <col min="10769" max="10769" width="0" style="953" hidden="1" customWidth="1"/>
    <col min="10770" max="11008" width="9.140625" style="953"/>
    <col min="11009" max="11009" width="9.28515625" style="953" customWidth="1"/>
    <col min="11010" max="11010" width="20" style="953" customWidth="1"/>
    <col min="11011" max="11011" width="20.42578125" style="953" customWidth="1"/>
    <col min="11012" max="11012" width="20.28515625" style="953" customWidth="1"/>
    <col min="11013" max="11013" width="12.42578125" style="953" customWidth="1"/>
    <col min="11014" max="11014" width="11.42578125" style="953" customWidth="1"/>
    <col min="11015" max="11015" width="10.140625" style="953" customWidth="1"/>
    <col min="11016" max="11016" width="12.42578125" style="953" customWidth="1"/>
    <col min="11017" max="11017" width="14" style="953" customWidth="1"/>
    <col min="11018" max="11018" width="14.5703125" style="953" customWidth="1"/>
    <col min="11019" max="11019" width="5.7109375" style="953" customWidth="1"/>
    <col min="11020" max="11020" width="7" style="953" customWidth="1"/>
    <col min="11021" max="11021" width="33" style="953" customWidth="1"/>
    <col min="11022" max="11024" width="9.140625" style="953"/>
    <col min="11025" max="11025" width="0" style="953" hidden="1" customWidth="1"/>
    <col min="11026" max="11264" width="9.140625" style="953"/>
    <col min="11265" max="11265" width="9.28515625" style="953" customWidth="1"/>
    <col min="11266" max="11266" width="20" style="953" customWidth="1"/>
    <col min="11267" max="11267" width="20.42578125" style="953" customWidth="1"/>
    <col min="11268" max="11268" width="20.28515625" style="953" customWidth="1"/>
    <col min="11269" max="11269" width="12.42578125" style="953" customWidth="1"/>
    <col min="11270" max="11270" width="11.42578125" style="953" customWidth="1"/>
    <col min="11271" max="11271" width="10.140625" style="953" customWidth="1"/>
    <col min="11272" max="11272" width="12.42578125" style="953" customWidth="1"/>
    <col min="11273" max="11273" width="14" style="953" customWidth="1"/>
    <col min="11274" max="11274" width="14.5703125" style="953" customWidth="1"/>
    <col min="11275" max="11275" width="5.7109375" style="953" customWidth="1"/>
    <col min="11276" max="11276" width="7" style="953" customWidth="1"/>
    <col min="11277" max="11277" width="33" style="953" customWidth="1"/>
    <col min="11278" max="11280" width="9.140625" style="953"/>
    <col min="11281" max="11281" width="0" style="953" hidden="1" customWidth="1"/>
    <col min="11282" max="11520" width="9.140625" style="953"/>
    <col min="11521" max="11521" width="9.28515625" style="953" customWidth="1"/>
    <col min="11522" max="11522" width="20" style="953" customWidth="1"/>
    <col min="11523" max="11523" width="20.42578125" style="953" customWidth="1"/>
    <col min="11524" max="11524" width="20.28515625" style="953" customWidth="1"/>
    <col min="11525" max="11525" width="12.42578125" style="953" customWidth="1"/>
    <col min="11526" max="11526" width="11.42578125" style="953" customWidth="1"/>
    <col min="11527" max="11527" width="10.140625" style="953" customWidth="1"/>
    <col min="11528" max="11528" width="12.42578125" style="953" customWidth="1"/>
    <col min="11529" max="11529" width="14" style="953" customWidth="1"/>
    <col min="11530" max="11530" width="14.5703125" style="953" customWidth="1"/>
    <col min="11531" max="11531" width="5.7109375" style="953" customWidth="1"/>
    <col min="11532" max="11532" width="7" style="953" customWidth="1"/>
    <col min="11533" max="11533" width="33" style="953" customWidth="1"/>
    <col min="11534" max="11536" width="9.140625" style="953"/>
    <col min="11537" max="11537" width="0" style="953" hidden="1" customWidth="1"/>
    <col min="11538" max="11776" width="9.140625" style="953"/>
    <col min="11777" max="11777" width="9.28515625" style="953" customWidth="1"/>
    <col min="11778" max="11778" width="20" style="953" customWidth="1"/>
    <col min="11779" max="11779" width="20.42578125" style="953" customWidth="1"/>
    <col min="11780" max="11780" width="20.28515625" style="953" customWidth="1"/>
    <col min="11781" max="11781" width="12.42578125" style="953" customWidth="1"/>
    <col min="11782" max="11782" width="11.42578125" style="953" customWidth="1"/>
    <col min="11783" max="11783" width="10.140625" style="953" customWidth="1"/>
    <col min="11784" max="11784" width="12.42578125" style="953" customWidth="1"/>
    <col min="11785" max="11785" width="14" style="953" customWidth="1"/>
    <col min="11786" max="11786" width="14.5703125" style="953" customWidth="1"/>
    <col min="11787" max="11787" width="5.7109375" style="953" customWidth="1"/>
    <col min="11788" max="11788" width="7" style="953" customWidth="1"/>
    <col min="11789" max="11789" width="33" style="953" customWidth="1"/>
    <col min="11790" max="11792" width="9.140625" style="953"/>
    <col min="11793" max="11793" width="0" style="953" hidden="1" customWidth="1"/>
    <col min="11794" max="12032" width="9.140625" style="953"/>
    <col min="12033" max="12033" width="9.28515625" style="953" customWidth="1"/>
    <col min="12034" max="12034" width="20" style="953" customWidth="1"/>
    <col min="12035" max="12035" width="20.42578125" style="953" customWidth="1"/>
    <col min="12036" max="12036" width="20.28515625" style="953" customWidth="1"/>
    <col min="12037" max="12037" width="12.42578125" style="953" customWidth="1"/>
    <col min="12038" max="12038" width="11.42578125" style="953" customWidth="1"/>
    <col min="12039" max="12039" width="10.140625" style="953" customWidth="1"/>
    <col min="12040" max="12040" width="12.42578125" style="953" customWidth="1"/>
    <col min="12041" max="12041" width="14" style="953" customWidth="1"/>
    <col min="12042" max="12042" width="14.5703125" style="953" customWidth="1"/>
    <col min="12043" max="12043" width="5.7109375" style="953" customWidth="1"/>
    <col min="12044" max="12044" width="7" style="953" customWidth="1"/>
    <col min="12045" max="12045" width="33" style="953" customWidth="1"/>
    <col min="12046" max="12048" width="9.140625" style="953"/>
    <col min="12049" max="12049" width="0" style="953" hidden="1" customWidth="1"/>
    <col min="12050" max="12288" width="9.140625" style="953"/>
    <col min="12289" max="12289" width="9.28515625" style="953" customWidth="1"/>
    <col min="12290" max="12290" width="20" style="953" customWidth="1"/>
    <col min="12291" max="12291" width="20.42578125" style="953" customWidth="1"/>
    <col min="12292" max="12292" width="20.28515625" style="953" customWidth="1"/>
    <col min="12293" max="12293" width="12.42578125" style="953" customWidth="1"/>
    <col min="12294" max="12294" width="11.42578125" style="953" customWidth="1"/>
    <col min="12295" max="12295" width="10.140625" style="953" customWidth="1"/>
    <col min="12296" max="12296" width="12.42578125" style="953" customWidth="1"/>
    <col min="12297" max="12297" width="14" style="953" customWidth="1"/>
    <col min="12298" max="12298" width="14.5703125" style="953" customWidth="1"/>
    <col min="12299" max="12299" width="5.7109375" style="953" customWidth="1"/>
    <col min="12300" max="12300" width="7" style="953" customWidth="1"/>
    <col min="12301" max="12301" width="33" style="953" customWidth="1"/>
    <col min="12302" max="12304" width="9.140625" style="953"/>
    <col min="12305" max="12305" width="0" style="953" hidden="1" customWidth="1"/>
    <col min="12306" max="12544" width="9.140625" style="953"/>
    <col min="12545" max="12545" width="9.28515625" style="953" customWidth="1"/>
    <col min="12546" max="12546" width="20" style="953" customWidth="1"/>
    <col min="12547" max="12547" width="20.42578125" style="953" customWidth="1"/>
    <col min="12548" max="12548" width="20.28515625" style="953" customWidth="1"/>
    <col min="12549" max="12549" width="12.42578125" style="953" customWidth="1"/>
    <col min="12550" max="12550" width="11.42578125" style="953" customWidth="1"/>
    <col min="12551" max="12551" width="10.140625" style="953" customWidth="1"/>
    <col min="12552" max="12552" width="12.42578125" style="953" customWidth="1"/>
    <col min="12553" max="12553" width="14" style="953" customWidth="1"/>
    <col min="12554" max="12554" width="14.5703125" style="953" customWidth="1"/>
    <col min="12555" max="12555" width="5.7109375" style="953" customWidth="1"/>
    <col min="12556" max="12556" width="7" style="953" customWidth="1"/>
    <col min="12557" max="12557" width="33" style="953" customWidth="1"/>
    <col min="12558" max="12560" width="9.140625" style="953"/>
    <col min="12561" max="12561" width="0" style="953" hidden="1" customWidth="1"/>
    <col min="12562" max="12800" width="9.140625" style="953"/>
    <col min="12801" max="12801" width="9.28515625" style="953" customWidth="1"/>
    <col min="12802" max="12802" width="20" style="953" customWidth="1"/>
    <col min="12803" max="12803" width="20.42578125" style="953" customWidth="1"/>
    <col min="12804" max="12804" width="20.28515625" style="953" customWidth="1"/>
    <col min="12805" max="12805" width="12.42578125" style="953" customWidth="1"/>
    <col min="12806" max="12806" width="11.42578125" style="953" customWidth="1"/>
    <col min="12807" max="12807" width="10.140625" style="953" customWidth="1"/>
    <col min="12808" max="12808" width="12.42578125" style="953" customWidth="1"/>
    <col min="12809" max="12809" width="14" style="953" customWidth="1"/>
    <col min="12810" max="12810" width="14.5703125" style="953" customWidth="1"/>
    <col min="12811" max="12811" width="5.7109375" style="953" customWidth="1"/>
    <col min="12812" max="12812" width="7" style="953" customWidth="1"/>
    <col min="12813" max="12813" width="33" style="953" customWidth="1"/>
    <col min="12814" max="12816" width="9.140625" style="953"/>
    <col min="12817" max="12817" width="0" style="953" hidden="1" customWidth="1"/>
    <col min="12818" max="13056" width="9.140625" style="953"/>
    <col min="13057" max="13057" width="9.28515625" style="953" customWidth="1"/>
    <col min="13058" max="13058" width="20" style="953" customWidth="1"/>
    <col min="13059" max="13059" width="20.42578125" style="953" customWidth="1"/>
    <col min="13060" max="13060" width="20.28515625" style="953" customWidth="1"/>
    <col min="13061" max="13061" width="12.42578125" style="953" customWidth="1"/>
    <col min="13062" max="13062" width="11.42578125" style="953" customWidth="1"/>
    <col min="13063" max="13063" width="10.140625" style="953" customWidth="1"/>
    <col min="13064" max="13064" width="12.42578125" style="953" customWidth="1"/>
    <col min="13065" max="13065" width="14" style="953" customWidth="1"/>
    <col min="13066" max="13066" width="14.5703125" style="953" customWidth="1"/>
    <col min="13067" max="13067" width="5.7109375" style="953" customWidth="1"/>
    <col min="13068" max="13068" width="7" style="953" customWidth="1"/>
    <col min="13069" max="13069" width="33" style="953" customWidth="1"/>
    <col min="13070" max="13072" width="9.140625" style="953"/>
    <col min="13073" max="13073" width="0" style="953" hidden="1" customWidth="1"/>
    <col min="13074" max="13312" width="9.140625" style="953"/>
    <col min="13313" max="13313" width="9.28515625" style="953" customWidth="1"/>
    <col min="13314" max="13314" width="20" style="953" customWidth="1"/>
    <col min="13315" max="13315" width="20.42578125" style="953" customWidth="1"/>
    <col min="13316" max="13316" width="20.28515625" style="953" customWidth="1"/>
    <col min="13317" max="13317" width="12.42578125" style="953" customWidth="1"/>
    <col min="13318" max="13318" width="11.42578125" style="953" customWidth="1"/>
    <col min="13319" max="13319" width="10.140625" style="953" customWidth="1"/>
    <col min="13320" max="13320" width="12.42578125" style="953" customWidth="1"/>
    <col min="13321" max="13321" width="14" style="953" customWidth="1"/>
    <col min="13322" max="13322" width="14.5703125" style="953" customWidth="1"/>
    <col min="13323" max="13323" width="5.7109375" style="953" customWidth="1"/>
    <col min="13324" max="13324" width="7" style="953" customWidth="1"/>
    <col min="13325" max="13325" width="33" style="953" customWidth="1"/>
    <col min="13326" max="13328" width="9.140625" style="953"/>
    <col min="13329" max="13329" width="0" style="953" hidden="1" customWidth="1"/>
    <col min="13330" max="13568" width="9.140625" style="953"/>
    <col min="13569" max="13569" width="9.28515625" style="953" customWidth="1"/>
    <col min="13570" max="13570" width="20" style="953" customWidth="1"/>
    <col min="13571" max="13571" width="20.42578125" style="953" customWidth="1"/>
    <col min="13572" max="13572" width="20.28515625" style="953" customWidth="1"/>
    <col min="13573" max="13573" width="12.42578125" style="953" customWidth="1"/>
    <col min="13574" max="13574" width="11.42578125" style="953" customWidth="1"/>
    <col min="13575" max="13575" width="10.140625" style="953" customWidth="1"/>
    <col min="13576" max="13576" width="12.42578125" style="953" customWidth="1"/>
    <col min="13577" max="13577" width="14" style="953" customWidth="1"/>
    <col min="13578" max="13578" width="14.5703125" style="953" customWidth="1"/>
    <col min="13579" max="13579" width="5.7109375" style="953" customWidth="1"/>
    <col min="13580" max="13580" width="7" style="953" customWidth="1"/>
    <col min="13581" max="13581" width="33" style="953" customWidth="1"/>
    <col min="13582" max="13584" width="9.140625" style="953"/>
    <col min="13585" max="13585" width="0" style="953" hidden="1" customWidth="1"/>
    <col min="13586" max="13824" width="9.140625" style="953"/>
    <col min="13825" max="13825" width="9.28515625" style="953" customWidth="1"/>
    <col min="13826" max="13826" width="20" style="953" customWidth="1"/>
    <col min="13827" max="13827" width="20.42578125" style="953" customWidth="1"/>
    <col min="13828" max="13828" width="20.28515625" style="953" customWidth="1"/>
    <col min="13829" max="13829" width="12.42578125" style="953" customWidth="1"/>
    <col min="13830" max="13830" width="11.42578125" style="953" customWidth="1"/>
    <col min="13831" max="13831" width="10.140625" style="953" customWidth="1"/>
    <col min="13832" max="13832" width="12.42578125" style="953" customWidth="1"/>
    <col min="13833" max="13833" width="14" style="953" customWidth="1"/>
    <col min="13834" max="13834" width="14.5703125" style="953" customWidth="1"/>
    <col min="13835" max="13835" width="5.7109375" style="953" customWidth="1"/>
    <col min="13836" max="13836" width="7" style="953" customWidth="1"/>
    <col min="13837" max="13837" width="33" style="953" customWidth="1"/>
    <col min="13838" max="13840" width="9.140625" style="953"/>
    <col min="13841" max="13841" width="0" style="953" hidden="1" customWidth="1"/>
    <col min="13842" max="14080" width="9.140625" style="953"/>
    <col min="14081" max="14081" width="9.28515625" style="953" customWidth="1"/>
    <col min="14082" max="14082" width="20" style="953" customWidth="1"/>
    <col min="14083" max="14083" width="20.42578125" style="953" customWidth="1"/>
    <col min="14084" max="14084" width="20.28515625" style="953" customWidth="1"/>
    <col min="14085" max="14085" width="12.42578125" style="953" customWidth="1"/>
    <col min="14086" max="14086" width="11.42578125" style="953" customWidth="1"/>
    <col min="14087" max="14087" width="10.140625" style="953" customWidth="1"/>
    <col min="14088" max="14088" width="12.42578125" style="953" customWidth="1"/>
    <col min="14089" max="14089" width="14" style="953" customWidth="1"/>
    <col min="14090" max="14090" width="14.5703125" style="953" customWidth="1"/>
    <col min="14091" max="14091" width="5.7109375" style="953" customWidth="1"/>
    <col min="14092" max="14092" width="7" style="953" customWidth="1"/>
    <col min="14093" max="14093" width="33" style="953" customWidth="1"/>
    <col min="14094" max="14096" width="9.140625" style="953"/>
    <col min="14097" max="14097" width="0" style="953" hidden="1" customWidth="1"/>
    <col min="14098" max="14336" width="9.140625" style="953"/>
    <col min="14337" max="14337" width="9.28515625" style="953" customWidth="1"/>
    <col min="14338" max="14338" width="20" style="953" customWidth="1"/>
    <col min="14339" max="14339" width="20.42578125" style="953" customWidth="1"/>
    <col min="14340" max="14340" width="20.28515625" style="953" customWidth="1"/>
    <col min="14341" max="14341" width="12.42578125" style="953" customWidth="1"/>
    <col min="14342" max="14342" width="11.42578125" style="953" customWidth="1"/>
    <col min="14343" max="14343" width="10.140625" style="953" customWidth="1"/>
    <col min="14344" max="14344" width="12.42578125" style="953" customWidth="1"/>
    <col min="14345" max="14345" width="14" style="953" customWidth="1"/>
    <col min="14346" max="14346" width="14.5703125" style="953" customWidth="1"/>
    <col min="14347" max="14347" width="5.7109375" style="953" customWidth="1"/>
    <col min="14348" max="14348" width="7" style="953" customWidth="1"/>
    <col min="14349" max="14349" width="33" style="953" customWidth="1"/>
    <col min="14350" max="14352" width="9.140625" style="953"/>
    <col min="14353" max="14353" width="0" style="953" hidden="1" customWidth="1"/>
    <col min="14354" max="14592" width="9.140625" style="953"/>
    <col min="14593" max="14593" width="9.28515625" style="953" customWidth="1"/>
    <col min="14594" max="14594" width="20" style="953" customWidth="1"/>
    <col min="14595" max="14595" width="20.42578125" style="953" customWidth="1"/>
    <col min="14596" max="14596" width="20.28515625" style="953" customWidth="1"/>
    <col min="14597" max="14597" width="12.42578125" style="953" customWidth="1"/>
    <col min="14598" max="14598" width="11.42578125" style="953" customWidth="1"/>
    <col min="14599" max="14599" width="10.140625" style="953" customWidth="1"/>
    <col min="14600" max="14600" width="12.42578125" style="953" customWidth="1"/>
    <col min="14601" max="14601" width="14" style="953" customWidth="1"/>
    <col min="14602" max="14602" width="14.5703125" style="953" customWidth="1"/>
    <col min="14603" max="14603" width="5.7109375" style="953" customWidth="1"/>
    <col min="14604" max="14604" width="7" style="953" customWidth="1"/>
    <col min="14605" max="14605" width="33" style="953" customWidth="1"/>
    <col min="14606" max="14608" width="9.140625" style="953"/>
    <col min="14609" max="14609" width="0" style="953" hidden="1" customWidth="1"/>
    <col min="14610" max="14848" width="9.140625" style="953"/>
    <col min="14849" max="14849" width="9.28515625" style="953" customWidth="1"/>
    <col min="14850" max="14850" width="20" style="953" customWidth="1"/>
    <col min="14851" max="14851" width="20.42578125" style="953" customWidth="1"/>
    <col min="14852" max="14852" width="20.28515625" style="953" customWidth="1"/>
    <col min="14853" max="14853" width="12.42578125" style="953" customWidth="1"/>
    <col min="14854" max="14854" width="11.42578125" style="953" customWidth="1"/>
    <col min="14855" max="14855" width="10.140625" style="953" customWidth="1"/>
    <col min="14856" max="14856" width="12.42578125" style="953" customWidth="1"/>
    <col min="14857" max="14857" width="14" style="953" customWidth="1"/>
    <col min="14858" max="14858" width="14.5703125" style="953" customWidth="1"/>
    <col min="14859" max="14859" width="5.7109375" style="953" customWidth="1"/>
    <col min="14860" max="14860" width="7" style="953" customWidth="1"/>
    <col min="14861" max="14861" width="33" style="953" customWidth="1"/>
    <col min="14862" max="14864" width="9.140625" style="953"/>
    <col min="14865" max="14865" width="0" style="953" hidden="1" customWidth="1"/>
    <col min="14866" max="15104" width="9.140625" style="953"/>
    <col min="15105" max="15105" width="9.28515625" style="953" customWidth="1"/>
    <col min="15106" max="15106" width="20" style="953" customWidth="1"/>
    <col min="15107" max="15107" width="20.42578125" style="953" customWidth="1"/>
    <col min="15108" max="15108" width="20.28515625" style="953" customWidth="1"/>
    <col min="15109" max="15109" width="12.42578125" style="953" customWidth="1"/>
    <col min="15110" max="15110" width="11.42578125" style="953" customWidth="1"/>
    <col min="15111" max="15111" width="10.140625" style="953" customWidth="1"/>
    <col min="15112" max="15112" width="12.42578125" style="953" customWidth="1"/>
    <col min="15113" max="15113" width="14" style="953" customWidth="1"/>
    <col min="15114" max="15114" width="14.5703125" style="953" customWidth="1"/>
    <col min="15115" max="15115" width="5.7109375" style="953" customWidth="1"/>
    <col min="15116" max="15116" width="7" style="953" customWidth="1"/>
    <col min="15117" max="15117" width="33" style="953" customWidth="1"/>
    <col min="15118" max="15120" width="9.140625" style="953"/>
    <col min="15121" max="15121" width="0" style="953" hidden="1" customWidth="1"/>
    <col min="15122" max="15360" width="9.140625" style="953"/>
    <col min="15361" max="15361" width="9.28515625" style="953" customWidth="1"/>
    <col min="15362" max="15362" width="20" style="953" customWidth="1"/>
    <col min="15363" max="15363" width="20.42578125" style="953" customWidth="1"/>
    <col min="15364" max="15364" width="20.28515625" style="953" customWidth="1"/>
    <col min="15365" max="15365" width="12.42578125" style="953" customWidth="1"/>
    <col min="15366" max="15366" width="11.42578125" style="953" customWidth="1"/>
    <col min="15367" max="15367" width="10.140625" style="953" customWidth="1"/>
    <col min="15368" max="15368" width="12.42578125" style="953" customWidth="1"/>
    <col min="15369" max="15369" width="14" style="953" customWidth="1"/>
    <col min="15370" max="15370" width="14.5703125" style="953" customWidth="1"/>
    <col min="15371" max="15371" width="5.7109375" style="953" customWidth="1"/>
    <col min="15372" max="15372" width="7" style="953" customWidth="1"/>
    <col min="15373" max="15373" width="33" style="953" customWidth="1"/>
    <col min="15374" max="15376" width="9.140625" style="953"/>
    <col min="15377" max="15377" width="0" style="953" hidden="1" customWidth="1"/>
    <col min="15378" max="15616" width="9.140625" style="953"/>
    <col min="15617" max="15617" width="9.28515625" style="953" customWidth="1"/>
    <col min="15618" max="15618" width="20" style="953" customWidth="1"/>
    <col min="15619" max="15619" width="20.42578125" style="953" customWidth="1"/>
    <col min="15620" max="15620" width="20.28515625" style="953" customWidth="1"/>
    <col min="15621" max="15621" width="12.42578125" style="953" customWidth="1"/>
    <col min="15622" max="15622" width="11.42578125" style="953" customWidth="1"/>
    <col min="15623" max="15623" width="10.140625" style="953" customWidth="1"/>
    <col min="15624" max="15624" width="12.42578125" style="953" customWidth="1"/>
    <col min="15625" max="15625" width="14" style="953" customWidth="1"/>
    <col min="15626" max="15626" width="14.5703125" style="953" customWidth="1"/>
    <col min="15627" max="15627" width="5.7109375" style="953" customWidth="1"/>
    <col min="15628" max="15628" width="7" style="953" customWidth="1"/>
    <col min="15629" max="15629" width="33" style="953" customWidth="1"/>
    <col min="15630" max="15632" width="9.140625" style="953"/>
    <col min="15633" max="15633" width="0" style="953" hidden="1" customWidth="1"/>
    <col min="15634" max="15872" width="9.140625" style="953"/>
    <col min="15873" max="15873" width="9.28515625" style="953" customWidth="1"/>
    <col min="15874" max="15874" width="20" style="953" customWidth="1"/>
    <col min="15875" max="15875" width="20.42578125" style="953" customWidth="1"/>
    <col min="15876" max="15876" width="20.28515625" style="953" customWidth="1"/>
    <col min="15877" max="15877" width="12.42578125" style="953" customWidth="1"/>
    <col min="15878" max="15878" width="11.42578125" style="953" customWidth="1"/>
    <col min="15879" max="15879" width="10.140625" style="953" customWidth="1"/>
    <col min="15880" max="15880" width="12.42578125" style="953" customWidth="1"/>
    <col min="15881" max="15881" width="14" style="953" customWidth="1"/>
    <col min="15882" max="15882" width="14.5703125" style="953" customWidth="1"/>
    <col min="15883" max="15883" width="5.7109375" style="953" customWidth="1"/>
    <col min="15884" max="15884" width="7" style="953" customWidth="1"/>
    <col min="15885" max="15885" width="33" style="953" customWidth="1"/>
    <col min="15886" max="15888" width="9.140625" style="953"/>
    <col min="15889" max="15889" width="0" style="953" hidden="1" customWidth="1"/>
    <col min="15890" max="16128" width="9.140625" style="953"/>
    <col min="16129" max="16129" width="9.28515625" style="953" customWidth="1"/>
    <col min="16130" max="16130" width="20" style="953" customWidth="1"/>
    <col min="16131" max="16131" width="20.42578125" style="953" customWidth="1"/>
    <col min="16132" max="16132" width="20.28515625" style="953" customWidth="1"/>
    <col min="16133" max="16133" width="12.42578125" style="953" customWidth="1"/>
    <col min="16134" max="16134" width="11.42578125" style="953" customWidth="1"/>
    <col min="16135" max="16135" width="10.140625" style="953" customWidth="1"/>
    <col min="16136" max="16136" width="12.42578125" style="953" customWidth="1"/>
    <col min="16137" max="16137" width="14" style="953" customWidth="1"/>
    <col min="16138" max="16138" width="14.5703125" style="953" customWidth="1"/>
    <col min="16139" max="16139" width="5.7109375" style="953" customWidth="1"/>
    <col min="16140" max="16140" width="7" style="953" customWidth="1"/>
    <col min="16141" max="16141" width="33" style="953" customWidth="1"/>
    <col min="16142" max="16144" width="9.140625" style="953"/>
    <col min="16145" max="16145" width="0" style="953" hidden="1" customWidth="1"/>
    <col min="16146" max="16384" width="9.140625" style="953"/>
  </cols>
  <sheetData>
    <row r="1" spans="1:69" ht="26.25" customHeight="1">
      <c r="A1" s="1437" t="s">
        <v>1597</v>
      </c>
      <c r="B1" s="1438" t="s">
        <v>1598</v>
      </c>
      <c r="C1" s="1439"/>
      <c r="D1" s="1439"/>
      <c r="E1" s="1439"/>
      <c r="F1" s="1441"/>
      <c r="G1" s="1439"/>
      <c r="H1" s="1439"/>
      <c r="I1" s="1439"/>
      <c r="J1" s="1439"/>
    </row>
    <row r="2" spans="1:69" ht="26.25" customHeight="1">
      <c r="B2" s="1438" t="s">
        <v>1599</v>
      </c>
      <c r="C2" s="1439"/>
      <c r="D2" s="1439"/>
      <c r="E2" s="1439"/>
      <c r="F2" s="1441"/>
      <c r="G2" s="1439"/>
      <c r="H2" s="1439"/>
      <c r="I2" s="1439"/>
      <c r="J2" s="1439"/>
    </row>
    <row r="3" spans="1:69" ht="26.25" customHeight="1">
      <c r="B3" s="1440" t="s">
        <v>409</v>
      </c>
      <c r="C3" s="1440">
        <f>'Project Info'!$C$3</f>
        <v>0</v>
      </c>
      <c r="D3" s="1440"/>
      <c r="E3" s="1439"/>
      <c r="F3" s="1441"/>
      <c r="G3" s="1439"/>
      <c r="H3" s="1439"/>
      <c r="I3" s="1439"/>
      <c r="J3" s="1439"/>
    </row>
    <row r="4" spans="1:69" ht="26.25" customHeight="1">
      <c r="A4" s="1469"/>
      <c r="B4" s="1439"/>
      <c r="C4" s="1440"/>
      <c r="D4" s="1440"/>
      <c r="E4" s="1439"/>
      <c r="F4" s="1613"/>
      <c r="G4" s="1439"/>
      <c r="H4" s="1439"/>
      <c r="I4" s="1439"/>
      <c r="J4" s="1449"/>
      <c r="K4" s="1449"/>
      <c r="L4" s="1439"/>
    </row>
    <row r="5" spans="1:69" s="1476" customFormat="1" ht="15.75">
      <c r="A5" s="1442"/>
      <c r="B5" s="1471" t="s">
        <v>1995</v>
      </c>
      <c r="C5" s="1472"/>
      <c r="D5" s="1473"/>
      <c r="E5" s="1472"/>
      <c r="F5" s="1472"/>
      <c r="G5" s="1472"/>
      <c r="H5" s="1472"/>
      <c r="I5" s="1472"/>
      <c r="J5" s="2626" t="s">
        <v>1601</v>
      </c>
      <c r="K5" s="2627"/>
      <c r="L5" s="2626" t="s">
        <v>1602</v>
      </c>
      <c r="M5" s="2627"/>
      <c r="N5" s="1475"/>
      <c r="O5" s="1475"/>
      <c r="P5" s="1475"/>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c r="BO5" s="1475"/>
      <c r="BP5" s="1475"/>
      <c r="BQ5" s="1475"/>
    </row>
    <row r="6" spans="1:69">
      <c r="B6" s="2629"/>
      <c r="C6" s="2630"/>
      <c r="D6" s="2631"/>
      <c r="E6" s="2631"/>
      <c r="F6" s="1449"/>
      <c r="G6" s="1449"/>
      <c r="H6" s="1449"/>
      <c r="I6" s="1581"/>
      <c r="J6" s="2696" t="s">
        <v>1603</v>
      </c>
      <c r="K6" s="2637"/>
      <c r="L6" s="2762"/>
      <c r="M6" s="2625"/>
    </row>
    <row r="7" spans="1:69">
      <c r="B7" s="2629" t="s">
        <v>1604</v>
      </c>
      <c r="C7" s="2630"/>
      <c r="D7" s="2631"/>
      <c r="E7" s="2631"/>
      <c r="F7" s="1449"/>
      <c r="G7" s="1449"/>
      <c r="H7" s="1449"/>
      <c r="I7" s="1581"/>
      <c r="J7" s="2636"/>
      <c r="K7" s="2637"/>
      <c r="L7" s="2625"/>
      <c r="M7" s="2625"/>
    </row>
    <row r="8" spans="1:69" ht="27" customHeight="1">
      <c r="A8" s="1457"/>
      <c r="B8" s="2585" t="s">
        <v>1996</v>
      </c>
      <c r="C8" s="2585"/>
      <c r="D8" s="2585"/>
      <c r="E8" s="2585"/>
      <c r="F8" s="2585"/>
      <c r="G8" s="2585"/>
      <c r="H8" s="2585"/>
      <c r="I8" s="2585"/>
      <c r="J8" s="2624"/>
      <c r="K8" s="2624"/>
      <c r="L8" s="2625"/>
      <c r="M8" s="2625"/>
    </row>
    <row r="9" spans="1:69" ht="25.5" customHeight="1">
      <c r="A9" s="1457"/>
      <c r="B9" s="2585" t="s">
        <v>1997</v>
      </c>
      <c r="C9" s="2585"/>
      <c r="D9" s="2585"/>
      <c r="E9" s="2585"/>
      <c r="F9" s="2585"/>
      <c r="G9" s="2585"/>
      <c r="H9" s="2585"/>
      <c r="I9" s="2585"/>
      <c r="J9" s="2623"/>
      <c r="K9" s="2623"/>
      <c r="L9" s="2605"/>
      <c r="M9" s="2605"/>
    </row>
    <row r="10" spans="1:69" ht="12.75" customHeight="1">
      <c r="A10" s="1457"/>
      <c r="B10" s="2585" t="s">
        <v>1998</v>
      </c>
      <c r="C10" s="2585"/>
      <c r="D10" s="2585"/>
      <c r="E10" s="2585"/>
      <c r="F10" s="2585"/>
      <c r="G10" s="2585"/>
      <c r="H10" s="2585"/>
      <c r="I10" s="2585"/>
      <c r="J10" s="2605"/>
      <c r="K10" s="2605"/>
      <c r="L10" s="2605"/>
      <c r="M10" s="2605"/>
      <c r="N10" s="1457"/>
    </row>
    <row r="11" spans="1:69" ht="16.5" customHeight="1">
      <c r="A11" s="1457"/>
      <c r="B11" s="2585" t="s">
        <v>1999</v>
      </c>
      <c r="C11" s="2585"/>
      <c r="D11" s="2585"/>
      <c r="E11" s="2585"/>
      <c r="F11" s="2585"/>
      <c r="G11" s="2585"/>
      <c r="H11" s="2585"/>
      <c r="I11" s="2585"/>
      <c r="J11" s="2605"/>
      <c r="K11" s="2605"/>
      <c r="L11" s="2605"/>
      <c r="M11" s="2605"/>
      <c r="N11" s="1457"/>
    </row>
    <row r="12" spans="1:69" ht="12.75" customHeight="1">
      <c r="A12" s="1457"/>
      <c r="B12" s="2620"/>
      <c r="C12" s="2621"/>
      <c r="D12" s="2622"/>
      <c r="E12" s="2622"/>
      <c r="F12" s="1449"/>
      <c r="G12" s="1449"/>
      <c r="H12" s="1449"/>
      <c r="I12" s="1581"/>
      <c r="J12" s="2605"/>
      <c r="K12" s="2605"/>
      <c r="L12" s="2605"/>
      <c r="M12" s="2605"/>
      <c r="N12" s="1457"/>
    </row>
    <row r="13" spans="1:69">
      <c r="A13" s="1457"/>
      <c r="B13" s="1451" t="s">
        <v>1607</v>
      </c>
      <c r="C13" s="1449"/>
      <c r="D13" s="1449"/>
      <c r="E13" s="1449"/>
      <c r="F13" s="1449"/>
      <c r="G13" s="1449"/>
      <c r="H13" s="1449"/>
      <c r="I13" s="1581"/>
      <c r="J13" s="1449"/>
      <c r="K13" s="1449"/>
      <c r="L13" s="1449"/>
      <c r="M13" s="1457"/>
    </row>
    <row r="14" spans="1:69">
      <c r="A14" s="1457"/>
      <c r="B14" s="1449" t="s">
        <v>2000</v>
      </c>
      <c r="C14" s="1449"/>
      <c r="D14" s="1449"/>
      <c r="E14" s="1449"/>
      <c r="F14" s="1449"/>
      <c r="G14" s="1449"/>
      <c r="H14" s="1449"/>
      <c r="I14" s="1449"/>
      <c r="J14" s="1449"/>
      <c r="K14" s="1449"/>
      <c r="L14" s="1449"/>
      <c r="M14" s="1457"/>
    </row>
    <row r="15" spans="1:69">
      <c r="A15" s="1457"/>
      <c r="B15" s="1455" t="s">
        <v>2001</v>
      </c>
      <c r="C15" s="1449"/>
      <c r="D15" s="1449"/>
      <c r="E15" s="1449"/>
      <c r="F15" s="1449"/>
      <c r="G15" s="1449"/>
      <c r="H15" s="1449"/>
      <c r="I15" s="1449"/>
      <c r="J15" s="1449"/>
      <c r="K15" s="1449"/>
      <c r="L15" s="1449"/>
      <c r="M15" s="1457"/>
    </row>
    <row r="16" spans="1:69">
      <c r="A16" s="1457"/>
      <c r="B16" s="1455" t="s">
        <v>2002</v>
      </c>
      <c r="C16" s="1449"/>
      <c r="D16" s="1449"/>
      <c r="E16" s="1449"/>
      <c r="F16" s="1449"/>
      <c r="G16" s="1449"/>
      <c r="H16" s="1449"/>
      <c r="I16" s="1449"/>
      <c r="J16" s="1449"/>
      <c r="K16" s="1449"/>
      <c r="L16" s="1449"/>
      <c r="M16" s="1457"/>
    </row>
    <row r="17" spans="1:16">
      <c r="A17" s="1457"/>
      <c r="B17" s="1449"/>
      <c r="C17" s="1449"/>
      <c r="D17" s="1449"/>
      <c r="E17" s="1449"/>
      <c r="F17" s="1449"/>
      <c r="G17" s="1449"/>
      <c r="H17" s="1449"/>
      <c r="I17" s="1449"/>
      <c r="J17" s="1449"/>
      <c r="K17" s="1449"/>
      <c r="L17" s="1449"/>
      <c r="M17" s="1457"/>
    </row>
    <row r="18" spans="1:16">
      <c r="A18" s="1457"/>
      <c r="B18" s="1454" t="s">
        <v>1611</v>
      </c>
      <c r="C18" s="1455"/>
      <c r="D18" s="1455"/>
      <c r="E18" s="1455"/>
      <c r="F18" s="1455"/>
      <c r="G18" s="1455"/>
      <c r="H18" s="1455"/>
      <c r="I18" s="1455"/>
      <c r="J18" s="1449"/>
      <c r="K18" s="1449"/>
      <c r="L18" s="1449"/>
      <c r="M18" s="1457"/>
    </row>
    <row r="19" spans="1:16">
      <c r="A19" s="1457"/>
      <c r="B19" s="1455" t="s">
        <v>2003</v>
      </c>
      <c r="C19" s="1455"/>
      <c r="D19" s="1455"/>
      <c r="E19" s="1455"/>
      <c r="F19" s="1455"/>
      <c r="G19" s="1455"/>
      <c r="H19" s="1455"/>
      <c r="I19" s="1455"/>
      <c r="J19" s="1449"/>
      <c r="K19" s="1449"/>
      <c r="L19" s="1449"/>
      <c r="M19" s="1457"/>
    </row>
    <row r="20" spans="1:16">
      <c r="A20" s="1457"/>
      <c r="B20" s="1455" t="s">
        <v>2004</v>
      </c>
      <c r="C20" s="1455"/>
      <c r="D20" s="1455"/>
      <c r="E20" s="1455"/>
      <c r="F20" s="1455"/>
      <c r="G20" s="1455"/>
      <c r="H20" s="1455"/>
      <c r="I20" s="1455"/>
      <c r="J20" s="1455"/>
      <c r="K20" s="1449"/>
      <c r="L20" s="1449"/>
      <c r="M20" s="1449"/>
      <c r="N20" s="1449"/>
      <c r="O20" s="1449"/>
      <c r="P20" s="1457"/>
    </row>
    <row r="21" spans="1:16" ht="35.25" customHeight="1">
      <c r="A21" s="1457"/>
      <c r="B21" s="2609" t="s">
        <v>2005</v>
      </c>
      <c r="C21" s="2609"/>
      <c r="D21" s="2609"/>
      <c r="E21" s="2609"/>
      <c r="F21" s="2609"/>
      <c r="G21" s="2609"/>
      <c r="H21" s="2609"/>
      <c r="I21" s="2609"/>
      <c r="J21" s="2609"/>
      <c r="K21" s="2609"/>
      <c r="L21" s="1449"/>
      <c r="M21" s="1449"/>
      <c r="N21" s="1449"/>
      <c r="O21" s="1449"/>
      <c r="P21" s="1457"/>
    </row>
    <row r="22" spans="1:16" s="1466" customFormat="1" ht="77.25" customHeight="1">
      <c r="A22" s="1462"/>
      <c r="B22" s="1590" t="s">
        <v>1617</v>
      </c>
      <c r="C22" s="1487"/>
      <c r="D22" s="1459"/>
      <c r="E22" s="1459"/>
      <c r="F22" s="1459"/>
      <c r="G22" s="1459"/>
      <c r="H22" s="2572" t="s">
        <v>1626</v>
      </c>
      <c r="I22" s="2688"/>
      <c r="J22" s="1459" t="s">
        <v>1627</v>
      </c>
      <c r="K22" s="1465" t="s">
        <v>1628</v>
      </c>
    </row>
    <row r="23" spans="1:16" ht="97.5" customHeight="1">
      <c r="A23" s="1466"/>
      <c r="B23" s="2588" t="s">
        <v>2006</v>
      </c>
      <c r="C23" s="2589"/>
      <c r="D23" s="2589"/>
      <c r="E23" s="2589"/>
      <c r="F23" s="2589"/>
      <c r="G23" s="2647"/>
      <c r="H23" s="2590"/>
      <c r="I23" s="2578"/>
      <c r="J23" s="1263"/>
      <c r="K23" s="1284"/>
    </row>
    <row r="24" spans="1:16" ht="51" customHeight="1">
      <c r="A24" s="1457"/>
      <c r="B24" s="2584" t="s">
        <v>2007</v>
      </c>
      <c r="C24" s="2584"/>
      <c r="D24" s="2584"/>
      <c r="E24" s="2584"/>
      <c r="F24" s="2584"/>
      <c r="G24" s="2584"/>
      <c r="H24" s="2584"/>
      <c r="I24" s="2584"/>
      <c r="J24" s="2584"/>
      <c r="K24" s="1449"/>
      <c r="L24" s="1449"/>
      <c r="M24" s="1457"/>
    </row>
    <row r="25" spans="1:16" ht="76.5" customHeight="1">
      <c r="B25" s="1477" t="s">
        <v>1651</v>
      </c>
      <c r="C25" s="1477" t="s">
        <v>1652</v>
      </c>
      <c r="D25" s="1477" t="s">
        <v>1624</v>
      </c>
      <c r="E25" s="1477" t="s">
        <v>1623</v>
      </c>
      <c r="F25" s="1478" t="s">
        <v>1621</v>
      </c>
      <c r="G25" s="1478" t="s">
        <v>1622</v>
      </c>
      <c r="H25" s="1477" t="s">
        <v>1656</v>
      </c>
      <c r="I25" s="1479" t="s">
        <v>2008</v>
      </c>
      <c r="J25" s="1459" t="s">
        <v>1627</v>
      </c>
      <c r="K25" s="1465" t="s">
        <v>1628</v>
      </c>
      <c r="L25" s="1465" t="s">
        <v>1629</v>
      </c>
      <c r="M25" s="1488" t="s">
        <v>1914</v>
      </c>
      <c r="N25" s="1480"/>
    </row>
    <row r="26" spans="1:16">
      <c r="B26" s="1113"/>
      <c r="C26" s="1113"/>
      <c r="D26" s="1114"/>
      <c r="E26" s="1114"/>
      <c r="F26" s="1114"/>
      <c r="G26" s="1113"/>
      <c r="H26" s="1114"/>
      <c r="I26" s="1114"/>
      <c r="J26" s="1114"/>
      <c r="K26" s="1117"/>
      <c r="L26" s="1123"/>
      <c r="M26" s="1255"/>
    </row>
    <row r="27" spans="1:16">
      <c r="B27" s="1114"/>
      <c r="C27" s="1113"/>
      <c r="D27" s="1114"/>
      <c r="E27" s="1114"/>
      <c r="F27" s="1114"/>
      <c r="G27" s="1113"/>
      <c r="H27" s="1114"/>
      <c r="I27" s="1114"/>
      <c r="J27" s="1114"/>
      <c r="K27" s="1117"/>
      <c r="L27" s="1123"/>
      <c r="M27" s="1255"/>
    </row>
    <row r="28" spans="1:16">
      <c r="B28" s="1114"/>
      <c r="C28" s="1113"/>
      <c r="D28" s="1114"/>
      <c r="E28" s="1114"/>
      <c r="F28" s="1114"/>
      <c r="G28" s="1113"/>
      <c r="H28" s="1114"/>
      <c r="I28" s="1114"/>
      <c r="J28" s="1114"/>
      <c r="K28" s="1117"/>
      <c r="L28" s="1123"/>
      <c r="M28" s="1255"/>
    </row>
    <row r="29" spans="1:16">
      <c r="B29" s="1114"/>
      <c r="C29" s="1113"/>
      <c r="D29" s="1114"/>
      <c r="E29" s="1114"/>
      <c r="F29" s="1114"/>
      <c r="G29" s="1113"/>
      <c r="H29" s="1114"/>
      <c r="I29" s="1114"/>
      <c r="J29" s="1114"/>
      <c r="K29" s="1117"/>
      <c r="L29" s="1123"/>
      <c r="M29" s="1255"/>
    </row>
    <row r="30" spans="1:16">
      <c r="B30" s="1114"/>
      <c r="C30" s="1113"/>
      <c r="D30" s="1114"/>
      <c r="E30" s="1114"/>
      <c r="F30" s="1114"/>
      <c r="G30" s="1113"/>
      <c r="H30" s="1114"/>
      <c r="I30" s="1114"/>
      <c r="J30" s="1114"/>
      <c r="K30" s="1117"/>
      <c r="L30" s="1123"/>
      <c r="M30" s="1255"/>
    </row>
    <row r="31" spans="1:16">
      <c r="A31" s="1457"/>
      <c r="B31" s="1449"/>
      <c r="C31" s="1449"/>
      <c r="D31" s="1449"/>
      <c r="E31" s="1449"/>
      <c r="F31" s="1449"/>
      <c r="G31" s="1449"/>
      <c r="H31" s="1449"/>
      <c r="I31" s="1449"/>
      <c r="J31" s="1449"/>
      <c r="K31" s="1449"/>
      <c r="L31" s="1449"/>
      <c r="M31" s="1457"/>
    </row>
    <row r="32" spans="1:16">
      <c r="B32" s="1481"/>
      <c r="C32" s="1482"/>
      <c r="D32" s="1482"/>
      <c r="E32" s="1482"/>
      <c r="F32" s="1483"/>
      <c r="G32" s="1439"/>
      <c r="H32" s="1484"/>
      <c r="I32" s="1484"/>
      <c r="J32" s="1485"/>
      <c r="K32" s="1485"/>
      <c r="L32" s="1486"/>
    </row>
    <row r="33" spans="1:17" s="1466" customFormat="1" ht="84.75" customHeight="1">
      <c r="A33" s="1462"/>
      <c r="B33" s="1459" t="s">
        <v>1633</v>
      </c>
      <c r="C33" s="1487"/>
      <c r="D33" s="1459" t="s">
        <v>1619</v>
      </c>
      <c r="E33" s="1459"/>
      <c r="F33" s="2639" t="s">
        <v>1620</v>
      </c>
      <c r="G33" s="2639"/>
      <c r="H33" s="2572" t="s">
        <v>1626</v>
      </c>
      <c r="I33" s="2688"/>
      <c r="J33" s="1459" t="s">
        <v>1627</v>
      </c>
      <c r="K33" s="1465" t="s">
        <v>1628</v>
      </c>
      <c r="L33" s="1465" t="s">
        <v>1629</v>
      </c>
      <c r="M33" s="1488" t="s">
        <v>1914</v>
      </c>
    </row>
    <row r="34" spans="1:17" ht="133.5" customHeight="1">
      <c r="A34" s="1632"/>
      <c r="B34" s="2588" t="s">
        <v>2009</v>
      </c>
      <c r="C34" s="2598"/>
      <c r="D34" s="2595" t="str">
        <f>IF('Project Info'!C4='Project Info'!P32,'Mod Prescriptive Path Checklist'!C113,IF('Project Info'!C4='Project Info'!P33,#REF!,"&lt;Select compliance path on the 'Project Info' tab&gt;"))</f>
        <v>All three-phase pump motors 1 horse-power or larger shall meet or exceed efficiency standards for NEMA Premium™ motors, where available.</v>
      </c>
      <c r="E34" s="2596"/>
      <c r="F34" s="2613">
        <f>ERMs!C49</f>
        <v>0</v>
      </c>
      <c r="G34" s="2738"/>
      <c r="H34" s="2590"/>
      <c r="I34" s="2578"/>
      <c r="J34" s="1263"/>
      <c r="K34" s="1284"/>
      <c r="L34" s="1270"/>
      <c r="M34" s="1270"/>
    </row>
    <row r="35" spans="1:17" ht="198" customHeight="1">
      <c r="A35" s="1632"/>
      <c r="B35" s="2588" t="s">
        <v>2010</v>
      </c>
      <c r="C35" s="2598"/>
      <c r="D35" s="2595" t="str">
        <f>IF('Project Info'!C4='Project Info'!P32,'Mod Prescriptive Path Checklist'!C114,IF('Project Info'!C4='Project Info'!P33,#REF!,"&lt;Select compliance path on the 'Project Info' tab&gt;"))</f>
        <v xml:space="preserve">All three-phase pump motors 1 horse-power or larger shall meet or exceed efficiency standards for NEMA Premium™ motors, where available.
Motors 5 horse-power or larger for circulating pumps serving hydronic cooling systems must be specified with variable frequency drives.
Cooling tower fan motors must be equipped with VFD controlled by a temperature sensor on the condenser water supply pipe.
</v>
      </c>
      <c r="E35" s="2596"/>
      <c r="F35" s="2613">
        <f>ERMs!C50</f>
        <v>0</v>
      </c>
      <c r="G35" s="2738"/>
      <c r="H35" s="2590"/>
      <c r="I35" s="2578"/>
      <c r="J35" s="1263"/>
      <c r="K35" s="1284"/>
      <c r="L35" s="1270"/>
      <c r="M35" s="1270"/>
    </row>
    <row r="36" spans="1:17" ht="66.75" customHeight="1">
      <c r="A36" s="1632"/>
      <c r="B36" s="2588" t="s">
        <v>2011</v>
      </c>
      <c r="C36" s="2598"/>
      <c r="D36" s="2595" t="str">
        <f>IF('Project Info'!C4='Project Info'!P32,'Mod Prescriptive Path Checklist'!C115,IF('Project Info'!C4='Project Info'!P33,#REF!,"&lt;Select compliance path on the 'Project Info' tab&gt;"))</f>
        <v>All three-phase pump motors 1 horse-power or larger shall meet or exceed efficiency standards for NEMA Premium™ motors, where available.</v>
      </c>
      <c r="E36" s="2596"/>
      <c r="F36" s="2613">
        <f>ERMs!C51</f>
        <v>0</v>
      </c>
      <c r="G36" s="2738"/>
      <c r="H36" s="2590"/>
      <c r="I36" s="2578"/>
      <c r="J36" s="1263"/>
      <c r="K36" s="1284"/>
      <c r="L36" s="1270"/>
      <c r="M36" s="1270"/>
    </row>
    <row r="37" spans="1:17" ht="33" customHeight="1">
      <c r="B37" s="2591" t="s">
        <v>2012</v>
      </c>
      <c r="C37" s="2591"/>
      <c r="D37" s="2591"/>
      <c r="E37" s="2591"/>
      <c r="F37" s="2591"/>
      <c r="G37" s="2591"/>
      <c r="H37" s="2592"/>
      <c r="I37" s="2592"/>
      <c r="J37" s="2592"/>
      <c r="K37" s="2593"/>
      <c r="L37" s="1270"/>
      <c r="M37" s="1270"/>
    </row>
    <row r="38" spans="1:17" ht="40.5" customHeight="1">
      <c r="B38" s="2591" t="s">
        <v>2013</v>
      </c>
      <c r="C38" s="2591"/>
      <c r="D38" s="2591"/>
      <c r="E38" s="2591"/>
      <c r="F38" s="2591"/>
      <c r="G38" s="2591"/>
      <c r="H38" s="2591"/>
      <c r="I38" s="2591"/>
      <c r="J38" s="2591"/>
      <c r="K38" s="2594"/>
      <c r="L38" s="1270"/>
      <c r="M38" s="1270"/>
    </row>
    <row r="39" spans="1:17" ht="55.5" customHeight="1">
      <c r="B39" s="2586" t="s">
        <v>1635</v>
      </c>
      <c r="C39" s="2586"/>
      <c r="D39" s="2586"/>
      <c r="E39" s="2586"/>
      <c r="F39" s="2586"/>
      <c r="G39" s="2586"/>
      <c r="H39" s="2586"/>
      <c r="I39" s="2586"/>
      <c r="J39" s="2586"/>
      <c r="K39" s="2575"/>
      <c r="L39" s="1270"/>
      <c r="M39" s="1270"/>
    </row>
    <row r="40" spans="1:17" ht="30.75" customHeight="1">
      <c r="B40" s="2761" t="s">
        <v>2014</v>
      </c>
      <c r="C40" s="2761"/>
      <c r="D40" s="2761"/>
      <c r="E40" s="2761"/>
      <c r="F40" s="2761"/>
      <c r="G40" s="2761"/>
      <c r="H40" s="2761"/>
      <c r="I40" s="2761"/>
      <c r="J40" s="2761"/>
      <c r="K40" s="2761"/>
      <c r="L40" s="2761"/>
      <c r="M40" s="2761"/>
    </row>
    <row r="44" spans="1:17">
      <c r="Q44" s="1321" t="s">
        <v>403</v>
      </c>
    </row>
    <row r="45" spans="1:17">
      <c r="Q45" s="1321" t="s">
        <v>405</v>
      </c>
    </row>
    <row r="46" spans="1:17">
      <c r="Q46" s="1321" t="s">
        <v>404</v>
      </c>
    </row>
    <row r="177" spans="2:2" ht="18">
      <c r="B177" s="1323"/>
    </row>
  </sheetData>
  <sheetProtection sheet="1" objects="1" scenarios="1" formatCells="0" formatColumns="0" formatRows="0" insertColumns="0" insertRows="0"/>
  <mergeCells count="46">
    <mergeCell ref="B7:E7"/>
    <mergeCell ref="J7:K7"/>
    <mergeCell ref="L7:M7"/>
    <mergeCell ref="J5:K5"/>
    <mergeCell ref="L5:M5"/>
    <mergeCell ref="B6:E6"/>
    <mergeCell ref="J6:K6"/>
    <mergeCell ref="L6:M6"/>
    <mergeCell ref="B8:I8"/>
    <mergeCell ref="J8:K8"/>
    <mergeCell ref="L8:M8"/>
    <mergeCell ref="B9:I9"/>
    <mergeCell ref="J9:K9"/>
    <mergeCell ref="L9:M9"/>
    <mergeCell ref="B23:G23"/>
    <mergeCell ref="H23:I23"/>
    <mergeCell ref="B10:I10"/>
    <mergeCell ref="J10:K10"/>
    <mergeCell ref="L10:M10"/>
    <mergeCell ref="B11:I11"/>
    <mergeCell ref="J11:K11"/>
    <mergeCell ref="L11:M11"/>
    <mergeCell ref="B12:E12"/>
    <mergeCell ref="J12:K12"/>
    <mergeCell ref="L12:M12"/>
    <mergeCell ref="B21:K21"/>
    <mergeCell ref="H22:I22"/>
    <mergeCell ref="B24:J24"/>
    <mergeCell ref="F33:G33"/>
    <mergeCell ref="H33:I33"/>
    <mergeCell ref="B34:C34"/>
    <mergeCell ref="D34:E34"/>
    <mergeCell ref="F34:G34"/>
    <mergeCell ref="H34:I34"/>
    <mergeCell ref="B37:K37"/>
    <mergeCell ref="B38:K38"/>
    <mergeCell ref="B39:K39"/>
    <mergeCell ref="B40:M40"/>
    <mergeCell ref="B35:C35"/>
    <mergeCell ref="D35:E35"/>
    <mergeCell ref="F35:G35"/>
    <mergeCell ref="H35:I35"/>
    <mergeCell ref="B36:C36"/>
    <mergeCell ref="D36:E36"/>
    <mergeCell ref="F36:G36"/>
    <mergeCell ref="H36:I36"/>
  </mergeCells>
  <dataValidations count="1">
    <dataValidation type="list" allowBlank="1" showInputMessage="1" showErrorMessage="1" sqref="L34:L39 JH34:JH39 TD34:TD39 ACZ34:ACZ39 AMV34:AMV39 AWR34:AWR39 BGN34:BGN39 BQJ34:BQJ39 CAF34:CAF39 CKB34:CKB39 CTX34:CTX39 DDT34:DDT39 DNP34:DNP39 DXL34:DXL39 EHH34:EHH39 ERD34:ERD39 FAZ34:FAZ39 FKV34:FKV39 FUR34:FUR39 GEN34:GEN39 GOJ34:GOJ39 GYF34:GYF39 HIB34:HIB39 HRX34:HRX39 IBT34:IBT39 ILP34:ILP39 IVL34:IVL39 JFH34:JFH39 JPD34:JPD39 JYZ34:JYZ39 KIV34:KIV39 KSR34:KSR39 LCN34:LCN39 LMJ34:LMJ39 LWF34:LWF39 MGB34:MGB39 MPX34:MPX39 MZT34:MZT39 NJP34:NJP39 NTL34:NTL39 ODH34:ODH39 OND34:OND39 OWZ34:OWZ39 PGV34:PGV39 PQR34:PQR39 QAN34:QAN39 QKJ34:QKJ39 QUF34:QUF39 REB34:REB39 RNX34:RNX39 RXT34:RXT39 SHP34:SHP39 SRL34:SRL39 TBH34:TBH39 TLD34:TLD39 TUZ34:TUZ39 UEV34:UEV39 UOR34:UOR39 UYN34:UYN39 VIJ34:VIJ39 VSF34:VSF39 WCB34:WCB39 WLX34:WLX39 WVT34:WVT39 L65570:L65575 JH65570:JH65575 TD65570:TD65575 ACZ65570:ACZ65575 AMV65570:AMV65575 AWR65570:AWR65575 BGN65570:BGN65575 BQJ65570:BQJ65575 CAF65570:CAF65575 CKB65570:CKB65575 CTX65570:CTX65575 DDT65570:DDT65575 DNP65570:DNP65575 DXL65570:DXL65575 EHH65570:EHH65575 ERD65570:ERD65575 FAZ65570:FAZ65575 FKV65570:FKV65575 FUR65570:FUR65575 GEN65570:GEN65575 GOJ65570:GOJ65575 GYF65570:GYF65575 HIB65570:HIB65575 HRX65570:HRX65575 IBT65570:IBT65575 ILP65570:ILP65575 IVL65570:IVL65575 JFH65570:JFH65575 JPD65570:JPD65575 JYZ65570:JYZ65575 KIV65570:KIV65575 KSR65570:KSR65575 LCN65570:LCN65575 LMJ65570:LMJ65575 LWF65570:LWF65575 MGB65570:MGB65575 MPX65570:MPX65575 MZT65570:MZT65575 NJP65570:NJP65575 NTL65570:NTL65575 ODH65570:ODH65575 OND65570:OND65575 OWZ65570:OWZ65575 PGV65570:PGV65575 PQR65570:PQR65575 QAN65570:QAN65575 QKJ65570:QKJ65575 QUF65570:QUF65575 REB65570:REB65575 RNX65570:RNX65575 RXT65570:RXT65575 SHP65570:SHP65575 SRL65570:SRL65575 TBH65570:TBH65575 TLD65570:TLD65575 TUZ65570:TUZ65575 UEV65570:UEV65575 UOR65570:UOR65575 UYN65570:UYN65575 VIJ65570:VIJ65575 VSF65570:VSF65575 WCB65570:WCB65575 WLX65570:WLX65575 WVT65570:WVT65575 L131106:L131111 JH131106:JH131111 TD131106:TD131111 ACZ131106:ACZ131111 AMV131106:AMV131111 AWR131106:AWR131111 BGN131106:BGN131111 BQJ131106:BQJ131111 CAF131106:CAF131111 CKB131106:CKB131111 CTX131106:CTX131111 DDT131106:DDT131111 DNP131106:DNP131111 DXL131106:DXL131111 EHH131106:EHH131111 ERD131106:ERD131111 FAZ131106:FAZ131111 FKV131106:FKV131111 FUR131106:FUR131111 GEN131106:GEN131111 GOJ131106:GOJ131111 GYF131106:GYF131111 HIB131106:HIB131111 HRX131106:HRX131111 IBT131106:IBT131111 ILP131106:ILP131111 IVL131106:IVL131111 JFH131106:JFH131111 JPD131106:JPD131111 JYZ131106:JYZ131111 KIV131106:KIV131111 KSR131106:KSR131111 LCN131106:LCN131111 LMJ131106:LMJ131111 LWF131106:LWF131111 MGB131106:MGB131111 MPX131106:MPX131111 MZT131106:MZT131111 NJP131106:NJP131111 NTL131106:NTL131111 ODH131106:ODH131111 OND131106:OND131111 OWZ131106:OWZ131111 PGV131106:PGV131111 PQR131106:PQR131111 QAN131106:QAN131111 QKJ131106:QKJ131111 QUF131106:QUF131111 REB131106:REB131111 RNX131106:RNX131111 RXT131106:RXT131111 SHP131106:SHP131111 SRL131106:SRL131111 TBH131106:TBH131111 TLD131106:TLD131111 TUZ131106:TUZ131111 UEV131106:UEV131111 UOR131106:UOR131111 UYN131106:UYN131111 VIJ131106:VIJ131111 VSF131106:VSF131111 WCB131106:WCB131111 WLX131106:WLX131111 WVT131106:WVT131111 L196642:L196647 JH196642:JH196647 TD196642:TD196647 ACZ196642:ACZ196647 AMV196642:AMV196647 AWR196642:AWR196647 BGN196642:BGN196647 BQJ196642:BQJ196647 CAF196642:CAF196647 CKB196642:CKB196647 CTX196642:CTX196647 DDT196642:DDT196647 DNP196642:DNP196647 DXL196642:DXL196647 EHH196642:EHH196647 ERD196642:ERD196647 FAZ196642:FAZ196647 FKV196642:FKV196647 FUR196642:FUR196647 GEN196642:GEN196647 GOJ196642:GOJ196647 GYF196642:GYF196647 HIB196642:HIB196647 HRX196642:HRX196647 IBT196642:IBT196647 ILP196642:ILP196647 IVL196642:IVL196647 JFH196642:JFH196647 JPD196642:JPD196647 JYZ196642:JYZ196647 KIV196642:KIV196647 KSR196642:KSR196647 LCN196642:LCN196647 LMJ196642:LMJ196647 LWF196642:LWF196647 MGB196642:MGB196647 MPX196642:MPX196647 MZT196642:MZT196647 NJP196642:NJP196647 NTL196642:NTL196647 ODH196642:ODH196647 OND196642:OND196647 OWZ196642:OWZ196647 PGV196642:PGV196647 PQR196642:PQR196647 QAN196642:QAN196647 QKJ196642:QKJ196647 QUF196642:QUF196647 REB196642:REB196647 RNX196642:RNX196647 RXT196642:RXT196647 SHP196642:SHP196647 SRL196642:SRL196647 TBH196642:TBH196647 TLD196642:TLD196647 TUZ196642:TUZ196647 UEV196642:UEV196647 UOR196642:UOR196647 UYN196642:UYN196647 VIJ196642:VIJ196647 VSF196642:VSF196647 WCB196642:WCB196647 WLX196642:WLX196647 WVT196642:WVT196647 L262178:L262183 JH262178:JH262183 TD262178:TD262183 ACZ262178:ACZ262183 AMV262178:AMV262183 AWR262178:AWR262183 BGN262178:BGN262183 BQJ262178:BQJ262183 CAF262178:CAF262183 CKB262178:CKB262183 CTX262178:CTX262183 DDT262178:DDT262183 DNP262178:DNP262183 DXL262178:DXL262183 EHH262178:EHH262183 ERD262178:ERD262183 FAZ262178:FAZ262183 FKV262178:FKV262183 FUR262178:FUR262183 GEN262178:GEN262183 GOJ262178:GOJ262183 GYF262178:GYF262183 HIB262178:HIB262183 HRX262178:HRX262183 IBT262178:IBT262183 ILP262178:ILP262183 IVL262178:IVL262183 JFH262178:JFH262183 JPD262178:JPD262183 JYZ262178:JYZ262183 KIV262178:KIV262183 KSR262178:KSR262183 LCN262178:LCN262183 LMJ262178:LMJ262183 LWF262178:LWF262183 MGB262178:MGB262183 MPX262178:MPX262183 MZT262178:MZT262183 NJP262178:NJP262183 NTL262178:NTL262183 ODH262178:ODH262183 OND262178:OND262183 OWZ262178:OWZ262183 PGV262178:PGV262183 PQR262178:PQR262183 QAN262178:QAN262183 QKJ262178:QKJ262183 QUF262178:QUF262183 REB262178:REB262183 RNX262178:RNX262183 RXT262178:RXT262183 SHP262178:SHP262183 SRL262178:SRL262183 TBH262178:TBH262183 TLD262178:TLD262183 TUZ262178:TUZ262183 UEV262178:UEV262183 UOR262178:UOR262183 UYN262178:UYN262183 VIJ262178:VIJ262183 VSF262178:VSF262183 WCB262178:WCB262183 WLX262178:WLX262183 WVT262178:WVT262183 L327714:L327719 JH327714:JH327719 TD327714:TD327719 ACZ327714:ACZ327719 AMV327714:AMV327719 AWR327714:AWR327719 BGN327714:BGN327719 BQJ327714:BQJ327719 CAF327714:CAF327719 CKB327714:CKB327719 CTX327714:CTX327719 DDT327714:DDT327719 DNP327714:DNP327719 DXL327714:DXL327719 EHH327714:EHH327719 ERD327714:ERD327719 FAZ327714:FAZ327719 FKV327714:FKV327719 FUR327714:FUR327719 GEN327714:GEN327719 GOJ327714:GOJ327719 GYF327714:GYF327719 HIB327714:HIB327719 HRX327714:HRX327719 IBT327714:IBT327719 ILP327714:ILP327719 IVL327714:IVL327719 JFH327714:JFH327719 JPD327714:JPD327719 JYZ327714:JYZ327719 KIV327714:KIV327719 KSR327714:KSR327719 LCN327714:LCN327719 LMJ327714:LMJ327719 LWF327714:LWF327719 MGB327714:MGB327719 MPX327714:MPX327719 MZT327714:MZT327719 NJP327714:NJP327719 NTL327714:NTL327719 ODH327714:ODH327719 OND327714:OND327719 OWZ327714:OWZ327719 PGV327714:PGV327719 PQR327714:PQR327719 QAN327714:QAN327719 QKJ327714:QKJ327719 QUF327714:QUF327719 REB327714:REB327719 RNX327714:RNX327719 RXT327714:RXT327719 SHP327714:SHP327719 SRL327714:SRL327719 TBH327714:TBH327719 TLD327714:TLD327719 TUZ327714:TUZ327719 UEV327714:UEV327719 UOR327714:UOR327719 UYN327714:UYN327719 VIJ327714:VIJ327719 VSF327714:VSF327719 WCB327714:WCB327719 WLX327714:WLX327719 WVT327714:WVT327719 L393250:L393255 JH393250:JH393255 TD393250:TD393255 ACZ393250:ACZ393255 AMV393250:AMV393255 AWR393250:AWR393255 BGN393250:BGN393255 BQJ393250:BQJ393255 CAF393250:CAF393255 CKB393250:CKB393255 CTX393250:CTX393255 DDT393250:DDT393255 DNP393250:DNP393255 DXL393250:DXL393255 EHH393250:EHH393255 ERD393250:ERD393255 FAZ393250:FAZ393255 FKV393250:FKV393255 FUR393250:FUR393255 GEN393250:GEN393255 GOJ393250:GOJ393255 GYF393250:GYF393255 HIB393250:HIB393255 HRX393250:HRX393255 IBT393250:IBT393255 ILP393250:ILP393255 IVL393250:IVL393255 JFH393250:JFH393255 JPD393250:JPD393255 JYZ393250:JYZ393255 KIV393250:KIV393255 KSR393250:KSR393255 LCN393250:LCN393255 LMJ393250:LMJ393255 LWF393250:LWF393255 MGB393250:MGB393255 MPX393250:MPX393255 MZT393250:MZT393255 NJP393250:NJP393255 NTL393250:NTL393255 ODH393250:ODH393255 OND393250:OND393255 OWZ393250:OWZ393255 PGV393250:PGV393255 PQR393250:PQR393255 QAN393250:QAN393255 QKJ393250:QKJ393255 QUF393250:QUF393255 REB393250:REB393255 RNX393250:RNX393255 RXT393250:RXT393255 SHP393250:SHP393255 SRL393250:SRL393255 TBH393250:TBH393255 TLD393250:TLD393255 TUZ393250:TUZ393255 UEV393250:UEV393255 UOR393250:UOR393255 UYN393250:UYN393255 VIJ393250:VIJ393255 VSF393250:VSF393255 WCB393250:WCB393255 WLX393250:WLX393255 WVT393250:WVT393255 L458786:L458791 JH458786:JH458791 TD458786:TD458791 ACZ458786:ACZ458791 AMV458786:AMV458791 AWR458786:AWR458791 BGN458786:BGN458791 BQJ458786:BQJ458791 CAF458786:CAF458791 CKB458786:CKB458791 CTX458786:CTX458791 DDT458786:DDT458791 DNP458786:DNP458791 DXL458786:DXL458791 EHH458786:EHH458791 ERD458786:ERD458791 FAZ458786:FAZ458791 FKV458786:FKV458791 FUR458786:FUR458791 GEN458786:GEN458791 GOJ458786:GOJ458791 GYF458786:GYF458791 HIB458786:HIB458791 HRX458786:HRX458791 IBT458786:IBT458791 ILP458786:ILP458791 IVL458786:IVL458791 JFH458786:JFH458791 JPD458786:JPD458791 JYZ458786:JYZ458791 KIV458786:KIV458791 KSR458786:KSR458791 LCN458786:LCN458791 LMJ458786:LMJ458791 LWF458786:LWF458791 MGB458786:MGB458791 MPX458786:MPX458791 MZT458786:MZT458791 NJP458786:NJP458791 NTL458786:NTL458791 ODH458786:ODH458791 OND458786:OND458791 OWZ458786:OWZ458791 PGV458786:PGV458791 PQR458786:PQR458791 QAN458786:QAN458791 QKJ458786:QKJ458791 QUF458786:QUF458791 REB458786:REB458791 RNX458786:RNX458791 RXT458786:RXT458791 SHP458786:SHP458791 SRL458786:SRL458791 TBH458786:TBH458791 TLD458786:TLD458791 TUZ458786:TUZ458791 UEV458786:UEV458791 UOR458786:UOR458791 UYN458786:UYN458791 VIJ458786:VIJ458791 VSF458786:VSF458791 WCB458786:WCB458791 WLX458786:WLX458791 WVT458786:WVT458791 L524322:L524327 JH524322:JH524327 TD524322:TD524327 ACZ524322:ACZ524327 AMV524322:AMV524327 AWR524322:AWR524327 BGN524322:BGN524327 BQJ524322:BQJ524327 CAF524322:CAF524327 CKB524322:CKB524327 CTX524322:CTX524327 DDT524322:DDT524327 DNP524322:DNP524327 DXL524322:DXL524327 EHH524322:EHH524327 ERD524322:ERD524327 FAZ524322:FAZ524327 FKV524322:FKV524327 FUR524322:FUR524327 GEN524322:GEN524327 GOJ524322:GOJ524327 GYF524322:GYF524327 HIB524322:HIB524327 HRX524322:HRX524327 IBT524322:IBT524327 ILP524322:ILP524327 IVL524322:IVL524327 JFH524322:JFH524327 JPD524322:JPD524327 JYZ524322:JYZ524327 KIV524322:KIV524327 KSR524322:KSR524327 LCN524322:LCN524327 LMJ524322:LMJ524327 LWF524322:LWF524327 MGB524322:MGB524327 MPX524322:MPX524327 MZT524322:MZT524327 NJP524322:NJP524327 NTL524322:NTL524327 ODH524322:ODH524327 OND524322:OND524327 OWZ524322:OWZ524327 PGV524322:PGV524327 PQR524322:PQR524327 QAN524322:QAN524327 QKJ524322:QKJ524327 QUF524322:QUF524327 REB524322:REB524327 RNX524322:RNX524327 RXT524322:RXT524327 SHP524322:SHP524327 SRL524322:SRL524327 TBH524322:TBH524327 TLD524322:TLD524327 TUZ524322:TUZ524327 UEV524322:UEV524327 UOR524322:UOR524327 UYN524322:UYN524327 VIJ524322:VIJ524327 VSF524322:VSF524327 WCB524322:WCB524327 WLX524322:WLX524327 WVT524322:WVT524327 L589858:L589863 JH589858:JH589863 TD589858:TD589863 ACZ589858:ACZ589863 AMV589858:AMV589863 AWR589858:AWR589863 BGN589858:BGN589863 BQJ589858:BQJ589863 CAF589858:CAF589863 CKB589858:CKB589863 CTX589858:CTX589863 DDT589858:DDT589863 DNP589858:DNP589863 DXL589858:DXL589863 EHH589858:EHH589863 ERD589858:ERD589863 FAZ589858:FAZ589863 FKV589858:FKV589863 FUR589858:FUR589863 GEN589858:GEN589863 GOJ589858:GOJ589863 GYF589858:GYF589863 HIB589858:HIB589863 HRX589858:HRX589863 IBT589858:IBT589863 ILP589858:ILP589863 IVL589858:IVL589863 JFH589858:JFH589863 JPD589858:JPD589863 JYZ589858:JYZ589863 KIV589858:KIV589863 KSR589858:KSR589863 LCN589858:LCN589863 LMJ589858:LMJ589863 LWF589858:LWF589863 MGB589858:MGB589863 MPX589858:MPX589863 MZT589858:MZT589863 NJP589858:NJP589863 NTL589858:NTL589863 ODH589858:ODH589863 OND589858:OND589863 OWZ589858:OWZ589863 PGV589858:PGV589863 PQR589858:PQR589863 QAN589858:QAN589863 QKJ589858:QKJ589863 QUF589858:QUF589863 REB589858:REB589863 RNX589858:RNX589863 RXT589858:RXT589863 SHP589858:SHP589863 SRL589858:SRL589863 TBH589858:TBH589863 TLD589858:TLD589863 TUZ589858:TUZ589863 UEV589858:UEV589863 UOR589858:UOR589863 UYN589858:UYN589863 VIJ589858:VIJ589863 VSF589858:VSF589863 WCB589858:WCB589863 WLX589858:WLX589863 WVT589858:WVT589863 L655394:L655399 JH655394:JH655399 TD655394:TD655399 ACZ655394:ACZ655399 AMV655394:AMV655399 AWR655394:AWR655399 BGN655394:BGN655399 BQJ655394:BQJ655399 CAF655394:CAF655399 CKB655394:CKB655399 CTX655394:CTX655399 DDT655394:DDT655399 DNP655394:DNP655399 DXL655394:DXL655399 EHH655394:EHH655399 ERD655394:ERD655399 FAZ655394:FAZ655399 FKV655394:FKV655399 FUR655394:FUR655399 GEN655394:GEN655399 GOJ655394:GOJ655399 GYF655394:GYF655399 HIB655394:HIB655399 HRX655394:HRX655399 IBT655394:IBT655399 ILP655394:ILP655399 IVL655394:IVL655399 JFH655394:JFH655399 JPD655394:JPD655399 JYZ655394:JYZ655399 KIV655394:KIV655399 KSR655394:KSR655399 LCN655394:LCN655399 LMJ655394:LMJ655399 LWF655394:LWF655399 MGB655394:MGB655399 MPX655394:MPX655399 MZT655394:MZT655399 NJP655394:NJP655399 NTL655394:NTL655399 ODH655394:ODH655399 OND655394:OND655399 OWZ655394:OWZ655399 PGV655394:PGV655399 PQR655394:PQR655399 QAN655394:QAN655399 QKJ655394:QKJ655399 QUF655394:QUF655399 REB655394:REB655399 RNX655394:RNX655399 RXT655394:RXT655399 SHP655394:SHP655399 SRL655394:SRL655399 TBH655394:TBH655399 TLD655394:TLD655399 TUZ655394:TUZ655399 UEV655394:UEV655399 UOR655394:UOR655399 UYN655394:UYN655399 VIJ655394:VIJ655399 VSF655394:VSF655399 WCB655394:WCB655399 WLX655394:WLX655399 WVT655394:WVT655399 L720930:L720935 JH720930:JH720935 TD720930:TD720935 ACZ720930:ACZ720935 AMV720930:AMV720935 AWR720930:AWR720935 BGN720930:BGN720935 BQJ720930:BQJ720935 CAF720930:CAF720935 CKB720930:CKB720935 CTX720930:CTX720935 DDT720930:DDT720935 DNP720930:DNP720935 DXL720930:DXL720935 EHH720930:EHH720935 ERD720930:ERD720935 FAZ720930:FAZ720935 FKV720930:FKV720935 FUR720930:FUR720935 GEN720930:GEN720935 GOJ720930:GOJ720935 GYF720930:GYF720935 HIB720930:HIB720935 HRX720930:HRX720935 IBT720930:IBT720935 ILP720930:ILP720935 IVL720930:IVL720935 JFH720930:JFH720935 JPD720930:JPD720935 JYZ720930:JYZ720935 KIV720930:KIV720935 KSR720930:KSR720935 LCN720930:LCN720935 LMJ720930:LMJ720935 LWF720930:LWF720935 MGB720930:MGB720935 MPX720930:MPX720935 MZT720930:MZT720935 NJP720930:NJP720935 NTL720930:NTL720935 ODH720930:ODH720935 OND720930:OND720935 OWZ720930:OWZ720935 PGV720930:PGV720935 PQR720930:PQR720935 QAN720930:QAN720935 QKJ720930:QKJ720935 QUF720930:QUF720935 REB720930:REB720935 RNX720930:RNX720935 RXT720930:RXT720935 SHP720930:SHP720935 SRL720930:SRL720935 TBH720930:TBH720935 TLD720930:TLD720935 TUZ720930:TUZ720935 UEV720930:UEV720935 UOR720930:UOR720935 UYN720930:UYN720935 VIJ720930:VIJ720935 VSF720930:VSF720935 WCB720930:WCB720935 WLX720930:WLX720935 WVT720930:WVT720935 L786466:L786471 JH786466:JH786471 TD786466:TD786471 ACZ786466:ACZ786471 AMV786466:AMV786471 AWR786466:AWR786471 BGN786466:BGN786471 BQJ786466:BQJ786471 CAF786466:CAF786471 CKB786466:CKB786471 CTX786466:CTX786471 DDT786466:DDT786471 DNP786466:DNP786471 DXL786466:DXL786471 EHH786466:EHH786471 ERD786466:ERD786471 FAZ786466:FAZ786471 FKV786466:FKV786471 FUR786466:FUR786471 GEN786466:GEN786471 GOJ786466:GOJ786471 GYF786466:GYF786471 HIB786466:HIB786471 HRX786466:HRX786471 IBT786466:IBT786471 ILP786466:ILP786471 IVL786466:IVL786471 JFH786466:JFH786471 JPD786466:JPD786471 JYZ786466:JYZ786471 KIV786466:KIV786471 KSR786466:KSR786471 LCN786466:LCN786471 LMJ786466:LMJ786471 LWF786466:LWF786471 MGB786466:MGB786471 MPX786466:MPX786471 MZT786466:MZT786471 NJP786466:NJP786471 NTL786466:NTL786471 ODH786466:ODH786471 OND786466:OND786471 OWZ786466:OWZ786471 PGV786466:PGV786471 PQR786466:PQR786471 QAN786466:QAN786471 QKJ786466:QKJ786471 QUF786466:QUF786471 REB786466:REB786471 RNX786466:RNX786471 RXT786466:RXT786471 SHP786466:SHP786471 SRL786466:SRL786471 TBH786466:TBH786471 TLD786466:TLD786471 TUZ786466:TUZ786471 UEV786466:UEV786471 UOR786466:UOR786471 UYN786466:UYN786471 VIJ786466:VIJ786471 VSF786466:VSF786471 WCB786466:WCB786471 WLX786466:WLX786471 WVT786466:WVT786471 L852002:L852007 JH852002:JH852007 TD852002:TD852007 ACZ852002:ACZ852007 AMV852002:AMV852007 AWR852002:AWR852007 BGN852002:BGN852007 BQJ852002:BQJ852007 CAF852002:CAF852007 CKB852002:CKB852007 CTX852002:CTX852007 DDT852002:DDT852007 DNP852002:DNP852007 DXL852002:DXL852007 EHH852002:EHH852007 ERD852002:ERD852007 FAZ852002:FAZ852007 FKV852002:FKV852007 FUR852002:FUR852007 GEN852002:GEN852007 GOJ852002:GOJ852007 GYF852002:GYF852007 HIB852002:HIB852007 HRX852002:HRX852007 IBT852002:IBT852007 ILP852002:ILP852007 IVL852002:IVL852007 JFH852002:JFH852007 JPD852002:JPD852007 JYZ852002:JYZ852007 KIV852002:KIV852007 KSR852002:KSR852007 LCN852002:LCN852007 LMJ852002:LMJ852007 LWF852002:LWF852007 MGB852002:MGB852007 MPX852002:MPX852007 MZT852002:MZT852007 NJP852002:NJP852007 NTL852002:NTL852007 ODH852002:ODH852007 OND852002:OND852007 OWZ852002:OWZ852007 PGV852002:PGV852007 PQR852002:PQR852007 QAN852002:QAN852007 QKJ852002:QKJ852007 QUF852002:QUF852007 REB852002:REB852007 RNX852002:RNX852007 RXT852002:RXT852007 SHP852002:SHP852007 SRL852002:SRL852007 TBH852002:TBH852007 TLD852002:TLD852007 TUZ852002:TUZ852007 UEV852002:UEV852007 UOR852002:UOR852007 UYN852002:UYN852007 VIJ852002:VIJ852007 VSF852002:VSF852007 WCB852002:WCB852007 WLX852002:WLX852007 WVT852002:WVT852007 L917538:L917543 JH917538:JH917543 TD917538:TD917543 ACZ917538:ACZ917543 AMV917538:AMV917543 AWR917538:AWR917543 BGN917538:BGN917543 BQJ917538:BQJ917543 CAF917538:CAF917543 CKB917538:CKB917543 CTX917538:CTX917543 DDT917538:DDT917543 DNP917538:DNP917543 DXL917538:DXL917543 EHH917538:EHH917543 ERD917538:ERD917543 FAZ917538:FAZ917543 FKV917538:FKV917543 FUR917538:FUR917543 GEN917538:GEN917543 GOJ917538:GOJ917543 GYF917538:GYF917543 HIB917538:HIB917543 HRX917538:HRX917543 IBT917538:IBT917543 ILP917538:ILP917543 IVL917538:IVL917543 JFH917538:JFH917543 JPD917538:JPD917543 JYZ917538:JYZ917543 KIV917538:KIV917543 KSR917538:KSR917543 LCN917538:LCN917543 LMJ917538:LMJ917543 LWF917538:LWF917543 MGB917538:MGB917543 MPX917538:MPX917543 MZT917538:MZT917543 NJP917538:NJP917543 NTL917538:NTL917543 ODH917538:ODH917543 OND917538:OND917543 OWZ917538:OWZ917543 PGV917538:PGV917543 PQR917538:PQR917543 QAN917538:QAN917543 QKJ917538:QKJ917543 QUF917538:QUF917543 REB917538:REB917543 RNX917538:RNX917543 RXT917538:RXT917543 SHP917538:SHP917543 SRL917538:SRL917543 TBH917538:TBH917543 TLD917538:TLD917543 TUZ917538:TUZ917543 UEV917538:UEV917543 UOR917538:UOR917543 UYN917538:UYN917543 VIJ917538:VIJ917543 VSF917538:VSF917543 WCB917538:WCB917543 WLX917538:WLX917543 WVT917538:WVT917543 L983074:L983079 JH983074:JH983079 TD983074:TD983079 ACZ983074:ACZ983079 AMV983074:AMV983079 AWR983074:AWR983079 BGN983074:BGN983079 BQJ983074:BQJ983079 CAF983074:CAF983079 CKB983074:CKB983079 CTX983074:CTX983079 DDT983074:DDT983079 DNP983074:DNP983079 DXL983074:DXL983079 EHH983074:EHH983079 ERD983074:ERD983079 FAZ983074:FAZ983079 FKV983074:FKV983079 FUR983074:FUR983079 GEN983074:GEN983079 GOJ983074:GOJ983079 GYF983074:GYF983079 HIB983074:HIB983079 HRX983074:HRX983079 IBT983074:IBT983079 ILP983074:ILP983079 IVL983074:IVL983079 JFH983074:JFH983079 JPD983074:JPD983079 JYZ983074:JYZ983079 KIV983074:KIV983079 KSR983074:KSR983079 LCN983074:LCN983079 LMJ983074:LMJ983079 LWF983074:LWF983079 MGB983074:MGB983079 MPX983074:MPX983079 MZT983074:MZT983079 NJP983074:NJP983079 NTL983074:NTL983079 ODH983074:ODH983079 OND983074:OND983079 OWZ983074:OWZ983079 PGV983074:PGV983079 PQR983074:PQR983079 QAN983074:QAN983079 QKJ983074:QKJ983079 QUF983074:QUF983079 REB983074:REB983079 RNX983074:RNX983079 RXT983074:RXT983079 SHP983074:SHP983079 SRL983074:SRL983079 TBH983074:TBH983079 TLD983074:TLD983079 TUZ983074:TUZ983079 UEV983074:UEV983079 UOR983074:UOR983079 UYN983074:UYN983079 VIJ983074:VIJ983079 VSF983074:VSF983079 WCB983074:WCB983079 WLX983074:WLX983079 WVT983074:WVT983079 K34:K36 JG34:JG36 TC34:TC36 ACY34:ACY36 AMU34:AMU36 AWQ34:AWQ36 BGM34:BGM36 BQI34:BQI36 CAE34:CAE36 CKA34:CKA36 CTW34:CTW36 DDS34:DDS36 DNO34:DNO36 DXK34:DXK36 EHG34:EHG36 ERC34:ERC36 FAY34:FAY36 FKU34:FKU36 FUQ34:FUQ36 GEM34:GEM36 GOI34:GOI36 GYE34:GYE36 HIA34:HIA36 HRW34:HRW36 IBS34:IBS36 ILO34:ILO36 IVK34:IVK36 JFG34:JFG36 JPC34:JPC36 JYY34:JYY36 KIU34:KIU36 KSQ34:KSQ36 LCM34:LCM36 LMI34:LMI36 LWE34:LWE36 MGA34:MGA36 MPW34:MPW36 MZS34:MZS36 NJO34:NJO36 NTK34:NTK36 ODG34:ODG36 ONC34:ONC36 OWY34:OWY36 PGU34:PGU36 PQQ34:PQQ36 QAM34:QAM36 QKI34:QKI36 QUE34:QUE36 REA34:REA36 RNW34:RNW36 RXS34:RXS36 SHO34:SHO36 SRK34:SRK36 TBG34:TBG36 TLC34:TLC36 TUY34:TUY36 UEU34:UEU36 UOQ34:UOQ36 UYM34:UYM36 VII34:VII36 VSE34:VSE36 WCA34:WCA36 WLW34:WLW36 WVS34:WVS36 K65570:K65572 JG65570:JG65572 TC65570:TC65572 ACY65570:ACY65572 AMU65570:AMU65572 AWQ65570:AWQ65572 BGM65570:BGM65572 BQI65570:BQI65572 CAE65570:CAE65572 CKA65570:CKA65572 CTW65570:CTW65572 DDS65570:DDS65572 DNO65570:DNO65572 DXK65570:DXK65572 EHG65570:EHG65572 ERC65570:ERC65572 FAY65570:FAY65572 FKU65570:FKU65572 FUQ65570:FUQ65572 GEM65570:GEM65572 GOI65570:GOI65572 GYE65570:GYE65572 HIA65570:HIA65572 HRW65570:HRW65572 IBS65570:IBS65572 ILO65570:ILO65572 IVK65570:IVK65572 JFG65570:JFG65572 JPC65570:JPC65572 JYY65570:JYY65572 KIU65570:KIU65572 KSQ65570:KSQ65572 LCM65570:LCM65572 LMI65570:LMI65572 LWE65570:LWE65572 MGA65570:MGA65572 MPW65570:MPW65572 MZS65570:MZS65572 NJO65570:NJO65572 NTK65570:NTK65572 ODG65570:ODG65572 ONC65570:ONC65572 OWY65570:OWY65572 PGU65570:PGU65572 PQQ65570:PQQ65572 QAM65570:QAM65572 QKI65570:QKI65572 QUE65570:QUE65572 REA65570:REA65572 RNW65570:RNW65572 RXS65570:RXS65572 SHO65570:SHO65572 SRK65570:SRK65572 TBG65570:TBG65572 TLC65570:TLC65572 TUY65570:TUY65572 UEU65570:UEU65572 UOQ65570:UOQ65572 UYM65570:UYM65572 VII65570:VII65572 VSE65570:VSE65572 WCA65570:WCA65572 WLW65570:WLW65572 WVS65570:WVS65572 K131106:K131108 JG131106:JG131108 TC131106:TC131108 ACY131106:ACY131108 AMU131106:AMU131108 AWQ131106:AWQ131108 BGM131106:BGM131108 BQI131106:BQI131108 CAE131106:CAE131108 CKA131106:CKA131108 CTW131106:CTW131108 DDS131106:DDS131108 DNO131106:DNO131108 DXK131106:DXK131108 EHG131106:EHG131108 ERC131106:ERC131108 FAY131106:FAY131108 FKU131106:FKU131108 FUQ131106:FUQ131108 GEM131106:GEM131108 GOI131106:GOI131108 GYE131106:GYE131108 HIA131106:HIA131108 HRW131106:HRW131108 IBS131106:IBS131108 ILO131106:ILO131108 IVK131106:IVK131108 JFG131106:JFG131108 JPC131106:JPC131108 JYY131106:JYY131108 KIU131106:KIU131108 KSQ131106:KSQ131108 LCM131106:LCM131108 LMI131106:LMI131108 LWE131106:LWE131108 MGA131106:MGA131108 MPW131106:MPW131108 MZS131106:MZS131108 NJO131106:NJO131108 NTK131106:NTK131108 ODG131106:ODG131108 ONC131106:ONC131108 OWY131106:OWY131108 PGU131106:PGU131108 PQQ131106:PQQ131108 QAM131106:QAM131108 QKI131106:QKI131108 QUE131106:QUE131108 REA131106:REA131108 RNW131106:RNW131108 RXS131106:RXS131108 SHO131106:SHO131108 SRK131106:SRK131108 TBG131106:TBG131108 TLC131106:TLC131108 TUY131106:TUY131108 UEU131106:UEU131108 UOQ131106:UOQ131108 UYM131106:UYM131108 VII131106:VII131108 VSE131106:VSE131108 WCA131106:WCA131108 WLW131106:WLW131108 WVS131106:WVS131108 K196642:K196644 JG196642:JG196644 TC196642:TC196644 ACY196642:ACY196644 AMU196642:AMU196644 AWQ196642:AWQ196644 BGM196642:BGM196644 BQI196642:BQI196644 CAE196642:CAE196644 CKA196642:CKA196644 CTW196642:CTW196644 DDS196642:DDS196644 DNO196642:DNO196644 DXK196642:DXK196644 EHG196642:EHG196644 ERC196642:ERC196644 FAY196642:FAY196644 FKU196642:FKU196644 FUQ196642:FUQ196644 GEM196642:GEM196644 GOI196642:GOI196644 GYE196642:GYE196644 HIA196642:HIA196644 HRW196642:HRW196644 IBS196642:IBS196644 ILO196642:ILO196644 IVK196642:IVK196644 JFG196642:JFG196644 JPC196642:JPC196644 JYY196642:JYY196644 KIU196642:KIU196644 KSQ196642:KSQ196644 LCM196642:LCM196644 LMI196642:LMI196644 LWE196642:LWE196644 MGA196642:MGA196644 MPW196642:MPW196644 MZS196642:MZS196644 NJO196642:NJO196644 NTK196642:NTK196644 ODG196642:ODG196644 ONC196642:ONC196644 OWY196642:OWY196644 PGU196642:PGU196644 PQQ196642:PQQ196644 QAM196642:QAM196644 QKI196642:QKI196644 QUE196642:QUE196644 REA196642:REA196644 RNW196642:RNW196644 RXS196642:RXS196644 SHO196642:SHO196644 SRK196642:SRK196644 TBG196642:TBG196644 TLC196642:TLC196644 TUY196642:TUY196644 UEU196642:UEU196644 UOQ196642:UOQ196644 UYM196642:UYM196644 VII196642:VII196644 VSE196642:VSE196644 WCA196642:WCA196644 WLW196642:WLW196644 WVS196642:WVS196644 K262178:K262180 JG262178:JG262180 TC262178:TC262180 ACY262178:ACY262180 AMU262178:AMU262180 AWQ262178:AWQ262180 BGM262178:BGM262180 BQI262178:BQI262180 CAE262178:CAE262180 CKA262178:CKA262180 CTW262178:CTW262180 DDS262178:DDS262180 DNO262178:DNO262180 DXK262178:DXK262180 EHG262178:EHG262180 ERC262178:ERC262180 FAY262178:FAY262180 FKU262178:FKU262180 FUQ262178:FUQ262180 GEM262178:GEM262180 GOI262178:GOI262180 GYE262178:GYE262180 HIA262178:HIA262180 HRW262178:HRW262180 IBS262178:IBS262180 ILO262178:ILO262180 IVK262178:IVK262180 JFG262178:JFG262180 JPC262178:JPC262180 JYY262178:JYY262180 KIU262178:KIU262180 KSQ262178:KSQ262180 LCM262178:LCM262180 LMI262178:LMI262180 LWE262178:LWE262180 MGA262178:MGA262180 MPW262178:MPW262180 MZS262178:MZS262180 NJO262178:NJO262180 NTK262178:NTK262180 ODG262178:ODG262180 ONC262178:ONC262180 OWY262178:OWY262180 PGU262178:PGU262180 PQQ262178:PQQ262180 QAM262178:QAM262180 QKI262178:QKI262180 QUE262178:QUE262180 REA262178:REA262180 RNW262178:RNW262180 RXS262178:RXS262180 SHO262178:SHO262180 SRK262178:SRK262180 TBG262178:TBG262180 TLC262178:TLC262180 TUY262178:TUY262180 UEU262178:UEU262180 UOQ262178:UOQ262180 UYM262178:UYM262180 VII262178:VII262180 VSE262178:VSE262180 WCA262178:WCA262180 WLW262178:WLW262180 WVS262178:WVS262180 K327714:K327716 JG327714:JG327716 TC327714:TC327716 ACY327714:ACY327716 AMU327714:AMU327716 AWQ327714:AWQ327716 BGM327714:BGM327716 BQI327714:BQI327716 CAE327714:CAE327716 CKA327714:CKA327716 CTW327714:CTW327716 DDS327714:DDS327716 DNO327714:DNO327716 DXK327714:DXK327716 EHG327714:EHG327716 ERC327714:ERC327716 FAY327714:FAY327716 FKU327714:FKU327716 FUQ327714:FUQ327716 GEM327714:GEM327716 GOI327714:GOI327716 GYE327714:GYE327716 HIA327714:HIA327716 HRW327714:HRW327716 IBS327714:IBS327716 ILO327714:ILO327716 IVK327714:IVK327716 JFG327714:JFG327716 JPC327714:JPC327716 JYY327714:JYY327716 KIU327714:KIU327716 KSQ327714:KSQ327716 LCM327714:LCM327716 LMI327714:LMI327716 LWE327714:LWE327716 MGA327714:MGA327716 MPW327714:MPW327716 MZS327714:MZS327716 NJO327714:NJO327716 NTK327714:NTK327716 ODG327714:ODG327716 ONC327714:ONC327716 OWY327714:OWY327716 PGU327714:PGU327716 PQQ327714:PQQ327716 QAM327714:QAM327716 QKI327714:QKI327716 QUE327714:QUE327716 REA327714:REA327716 RNW327714:RNW327716 RXS327714:RXS327716 SHO327714:SHO327716 SRK327714:SRK327716 TBG327714:TBG327716 TLC327714:TLC327716 TUY327714:TUY327716 UEU327714:UEU327716 UOQ327714:UOQ327716 UYM327714:UYM327716 VII327714:VII327716 VSE327714:VSE327716 WCA327714:WCA327716 WLW327714:WLW327716 WVS327714:WVS327716 K393250:K393252 JG393250:JG393252 TC393250:TC393252 ACY393250:ACY393252 AMU393250:AMU393252 AWQ393250:AWQ393252 BGM393250:BGM393252 BQI393250:BQI393252 CAE393250:CAE393252 CKA393250:CKA393252 CTW393250:CTW393252 DDS393250:DDS393252 DNO393250:DNO393252 DXK393250:DXK393252 EHG393250:EHG393252 ERC393250:ERC393252 FAY393250:FAY393252 FKU393250:FKU393252 FUQ393250:FUQ393252 GEM393250:GEM393252 GOI393250:GOI393252 GYE393250:GYE393252 HIA393250:HIA393252 HRW393250:HRW393252 IBS393250:IBS393252 ILO393250:ILO393252 IVK393250:IVK393252 JFG393250:JFG393252 JPC393250:JPC393252 JYY393250:JYY393252 KIU393250:KIU393252 KSQ393250:KSQ393252 LCM393250:LCM393252 LMI393250:LMI393252 LWE393250:LWE393252 MGA393250:MGA393252 MPW393250:MPW393252 MZS393250:MZS393252 NJO393250:NJO393252 NTK393250:NTK393252 ODG393250:ODG393252 ONC393250:ONC393252 OWY393250:OWY393252 PGU393250:PGU393252 PQQ393250:PQQ393252 QAM393250:QAM393252 QKI393250:QKI393252 QUE393250:QUE393252 REA393250:REA393252 RNW393250:RNW393252 RXS393250:RXS393252 SHO393250:SHO393252 SRK393250:SRK393252 TBG393250:TBG393252 TLC393250:TLC393252 TUY393250:TUY393252 UEU393250:UEU393252 UOQ393250:UOQ393252 UYM393250:UYM393252 VII393250:VII393252 VSE393250:VSE393252 WCA393250:WCA393252 WLW393250:WLW393252 WVS393250:WVS393252 K458786:K458788 JG458786:JG458788 TC458786:TC458788 ACY458786:ACY458788 AMU458786:AMU458788 AWQ458786:AWQ458788 BGM458786:BGM458788 BQI458786:BQI458788 CAE458786:CAE458788 CKA458786:CKA458788 CTW458786:CTW458788 DDS458786:DDS458788 DNO458786:DNO458788 DXK458786:DXK458788 EHG458786:EHG458788 ERC458786:ERC458788 FAY458786:FAY458788 FKU458786:FKU458788 FUQ458786:FUQ458788 GEM458786:GEM458788 GOI458786:GOI458788 GYE458786:GYE458788 HIA458786:HIA458788 HRW458786:HRW458788 IBS458786:IBS458788 ILO458786:ILO458788 IVK458786:IVK458788 JFG458786:JFG458788 JPC458786:JPC458788 JYY458786:JYY458788 KIU458786:KIU458788 KSQ458786:KSQ458788 LCM458786:LCM458788 LMI458786:LMI458788 LWE458786:LWE458788 MGA458786:MGA458788 MPW458786:MPW458788 MZS458786:MZS458788 NJO458786:NJO458788 NTK458786:NTK458788 ODG458786:ODG458788 ONC458786:ONC458788 OWY458786:OWY458788 PGU458786:PGU458788 PQQ458786:PQQ458788 QAM458786:QAM458788 QKI458786:QKI458788 QUE458786:QUE458788 REA458786:REA458788 RNW458786:RNW458788 RXS458786:RXS458788 SHO458786:SHO458788 SRK458786:SRK458788 TBG458786:TBG458788 TLC458786:TLC458788 TUY458786:TUY458788 UEU458786:UEU458788 UOQ458786:UOQ458788 UYM458786:UYM458788 VII458786:VII458788 VSE458786:VSE458788 WCA458786:WCA458788 WLW458786:WLW458788 WVS458786:WVS458788 K524322:K524324 JG524322:JG524324 TC524322:TC524324 ACY524322:ACY524324 AMU524322:AMU524324 AWQ524322:AWQ524324 BGM524322:BGM524324 BQI524322:BQI524324 CAE524322:CAE524324 CKA524322:CKA524324 CTW524322:CTW524324 DDS524322:DDS524324 DNO524322:DNO524324 DXK524322:DXK524324 EHG524322:EHG524324 ERC524322:ERC524324 FAY524322:FAY524324 FKU524322:FKU524324 FUQ524322:FUQ524324 GEM524322:GEM524324 GOI524322:GOI524324 GYE524322:GYE524324 HIA524322:HIA524324 HRW524322:HRW524324 IBS524322:IBS524324 ILO524322:ILO524324 IVK524322:IVK524324 JFG524322:JFG524324 JPC524322:JPC524324 JYY524322:JYY524324 KIU524322:KIU524324 KSQ524322:KSQ524324 LCM524322:LCM524324 LMI524322:LMI524324 LWE524322:LWE524324 MGA524322:MGA524324 MPW524322:MPW524324 MZS524322:MZS524324 NJO524322:NJO524324 NTK524322:NTK524324 ODG524322:ODG524324 ONC524322:ONC524324 OWY524322:OWY524324 PGU524322:PGU524324 PQQ524322:PQQ524324 QAM524322:QAM524324 QKI524322:QKI524324 QUE524322:QUE524324 REA524322:REA524324 RNW524322:RNW524324 RXS524322:RXS524324 SHO524322:SHO524324 SRK524322:SRK524324 TBG524322:TBG524324 TLC524322:TLC524324 TUY524322:TUY524324 UEU524322:UEU524324 UOQ524322:UOQ524324 UYM524322:UYM524324 VII524322:VII524324 VSE524322:VSE524324 WCA524322:WCA524324 WLW524322:WLW524324 WVS524322:WVS524324 K589858:K589860 JG589858:JG589860 TC589858:TC589860 ACY589858:ACY589860 AMU589858:AMU589860 AWQ589858:AWQ589860 BGM589858:BGM589860 BQI589858:BQI589860 CAE589858:CAE589860 CKA589858:CKA589860 CTW589858:CTW589860 DDS589858:DDS589860 DNO589858:DNO589860 DXK589858:DXK589860 EHG589858:EHG589860 ERC589858:ERC589860 FAY589858:FAY589860 FKU589858:FKU589860 FUQ589858:FUQ589860 GEM589858:GEM589860 GOI589858:GOI589860 GYE589858:GYE589860 HIA589858:HIA589860 HRW589858:HRW589860 IBS589858:IBS589860 ILO589858:ILO589860 IVK589858:IVK589860 JFG589858:JFG589860 JPC589858:JPC589860 JYY589858:JYY589860 KIU589858:KIU589860 KSQ589858:KSQ589860 LCM589858:LCM589860 LMI589858:LMI589860 LWE589858:LWE589860 MGA589858:MGA589860 MPW589858:MPW589860 MZS589858:MZS589860 NJO589858:NJO589860 NTK589858:NTK589860 ODG589858:ODG589860 ONC589858:ONC589860 OWY589858:OWY589860 PGU589858:PGU589860 PQQ589858:PQQ589860 QAM589858:QAM589860 QKI589858:QKI589860 QUE589858:QUE589860 REA589858:REA589860 RNW589858:RNW589860 RXS589858:RXS589860 SHO589858:SHO589860 SRK589858:SRK589860 TBG589858:TBG589860 TLC589858:TLC589860 TUY589858:TUY589860 UEU589858:UEU589860 UOQ589858:UOQ589860 UYM589858:UYM589860 VII589858:VII589860 VSE589858:VSE589860 WCA589858:WCA589860 WLW589858:WLW589860 WVS589858:WVS589860 K655394:K655396 JG655394:JG655396 TC655394:TC655396 ACY655394:ACY655396 AMU655394:AMU655396 AWQ655394:AWQ655396 BGM655394:BGM655396 BQI655394:BQI655396 CAE655394:CAE655396 CKA655394:CKA655396 CTW655394:CTW655396 DDS655394:DDS655396 DNO655394:DNO655396 DXK655394:DXK655396 EHG655394:EHG655396 ERC655394:ERC655396 FAY655394:FAY655396 FKU655394:FKU655396 FUQ655394:FUQ655396 GEM655394:GEM655396 GOI655394:GOI655396 GYE655394:GYE655396 HIA655394:HIA655396 HRW655394:HRW655396 IBS655394:IBS655396 ILO655394:ILO655396 IVK655394:IVK655396 JFG655394:JFG655396 JPC655394:JPC655396 JYY655394:JYY655396 KIU655394:KIU655396 KSQ655394:KSQ655396 LCM655394:LCM655396 LMI655394:LMI655396 LWE655394:LWE655396 MGA655394:MGA655396 MPW655394:MPW655396 MZS655394:MZS655396 NJO655394:NJO655396 NTK655394:NTK655396 ODG655394:ODG655396 ONC655394:ONC655396 OWY655394:OWY655396 PGU655394:PGU655396 PQQ655394:PQQ655396 QAM655394:QAM655396 QKI655394:QKI655396 QUE655394:QUE655396 REA655394:REA655396 RNW655394:RNW655396 RXS655394:RXS655396 SHO655394:SHO655396 SRK655394:SRK655396 TBG655394:TBG655396 TLC655394:TLC655396 TUY655394:TUY655396 UEU655394:UEU655396 UOQ655394:UOQ655396 UYM655394:UYM655396 VII655394:VII655396 VSE655394:VSE655396 WCA655394:WCA655396 WLW655394:WLW655396 WVS655394:WVS655396 K720930:K720932 JG720930:JG720932 TC720930:TC720932 ACY720930:ACY720932 AMU720930:AMU720932 AWQ720930:AWQ720932 BGM720930:BGM720932 BQI720930:BQI720932 CAE720930:CAE720932 CKA720930:CKA720932 CTW720930:CTW720932 DDS720930:DDS720932 DNO720930:DNO720932 DXK720930:DXK720932 EHG720930:EHG720932 ERC720930:ERC720932 FAY720930:FAY720932 FKU720930:FKU720932 FUQ720930:FUQ720932 GEM720930:GEM720932 GOI720930:GOI720932 GYE720930:GYE720932 HIA720930:HIA720932 HRW720930:HRW720932 IBS720930:IBS720932 ILO720930:ILO720932 IVK720930:IVK720932 JFG720930:JFG720932 JPC720930:JPC720932 JYY720930:JYY720932 KIU720930:KIU720932 KSQ720930:KSQ720932 LCM720930:LCM720932 LMI720930:LMI720932 LWE720930:LWE720932 MGA720930:MGA720932 MPW720930:MPW720932 MZS720930:MZS720932 NJO720930:NJO720932 NTK720930:NTK720932 ODG720930:ODG720932 ONC720930:ONC720932 OWY720930:OWY720932 PGU720930:PGU720932 PQQ720930:PQQ720932 QAM720930:QAM720932 QKI720930:QKI720932 QUE720930:QUE720932 REA720930:REA720932 RNW720930:RNW720932 RXS720930:RXS720932 SHO720930:SHO720932 SRK720930:SRK720932 TBG720930:TBG720932 TLC720930:TLC720932 TUY720930:TUY720932 UEU720930:UEU720932 UOQ720930:UOQ720932 UYM720930:UYM720932 VII720930:VII720932 VSE720930:VSE720932 WCA720930:WCA720932 WLW720930:WLW720932 WVS720930:WVS720932 K786466:K786468 JG786466:JG786468 TC786466:TC786468 ACY786466:ACY786468 AMU786466:AMU786468 AWQ786466:AWQ786468 BGM786466:BGM786468 BQI786466:BQI786468 CAE786466:CAE786468 CKA786466:CKA786468 CTW786466:CTW786468 DDS786466:DDS786468 DNO786466:DNO786468 DXK786466:DXK786468 EHG786466:EHG786468 ERC786466:ERC786468 FAY786466:FAY786468 FKU786466:FKU786468 FUQ786466:FUQ786468 GEM786466:GEM786468 GOI786466:GOI786468 GYE786466:GYE786468 HIA786466:HIA786468 HRW786466:HRW786468 IBS786466:IBS786468 ILO786466:ILO786468 IVK786466:IVK786468 JFG786466:JFG786468 JPC786466:JPC786468 JYY786466:JYY786468 KIU786466:KIU786468 KSQ786466:KSQ786468 LCM786466:LCM786468 LMI786466:LMI786468 LWE786466:LWE786468 MGA786466:MGA786468 MPW786466:MPW786468 MZS786466:MZS786468 NJO786466:NJO786468 NTK786466:NTK786468 ODG786466:ODG786468 ONC786466:ONC786468 OWY786466:OWY786468 PGU786466:PGU786468 PQQ786466:PQQ786468 QAM786466:QAM786468 QKI786466:QKI786468 QUE786466:QUE786468 REA786466:REA786468 RNW786466:RNW786468 RXS786466:RXS786468 SHO786466:SHO786468 SRK786466:SRK786468 TBG786466:TBG786468 TLC786466:TLC786468 TUY786466:TUY786468 UEU786466:UEU786468 UOQ786466:UOQ786468 UYM786466:UYM786468 VII786466:VII786468 VSE786466:VSE786468 WCA786466:WCA786468 WLW786466:WLW786468 WVS786466:WVS786468 K852002:K852004 JG852002:JG852004 TC852002:TC852004 ACY852002:ACY852004 AMU852002:AMU852004 AWQ852002:AWQ852004 BGM852002:BGM852004 BQI852002:BQI852004 CAE852002:CAE852004 CKA852002:CKA852004 CTW852002:CTW852004 DDS852002:DDS852004 DNO852002:DNO852004 DXK852002:DXK852004 EHG852002:EHG852004 ERC852002:ERC852004 FAY852002:FAY852004 FKU852002:FKU852004 FUQ852002:FUQ852004 GEM852002:GEM852004 GOI852002:GOI852004 GYE852002:GYE852004 HIA852002:HIA852004 HRW852002:HRW852004 IBS852002:IBS852004 ILO852002:ILO852004 IVK852002:IVK852004 JFG852002:JFG852004 JPC852002:JPC852004 JYY852002:JYY852004 KIU852002:KIU852004 KSQ852002:KSQ852004 LCM852002:LCM852004 LMI852002:LMI852004 LWE852002:LWE852004 MGA852002:MGA852004 MPW852002:MPW852004 MZS852002:MZS852004 NJO852002:NJO852004 NTK852002:NTK852004 ODG852002:ODG852004 ONC852002:ONC852004 OWY852002:OWY852004 PGU852002:PGU852004 PQQ852002:PQQ852004 QAM852002:QAM852004 QKI852002:QKI852004 QUE852002:QUE852004 REA852002:REA852004 RNW852002:RNW852004 RXS852002:RXS852004 SHO852002:SHO852004 SRK852002:SRK852004 TBG852002:TBG852004 TLC852002:TLC852004 TUY852002:TUY852004 UEU852002:UEU852004 UOQ852002:UOQ852004 UYM852002:UYM852004 VII852002:VII852004 VSE852002:VSE852004 WCA852002:WCA852004 WLW852002:WLW852004 WVS852002:WVS852004 K917538:K917540 JG917538:JG917540 TC917538:TC917540 ACY917538:ACY917540 AMU917538:AMU917540 AWQ917538:AWQ917540 BGM917538:BGM917540 BQI917538:BQI917540 CAE917538:CAE917540 CKA917538:CKA917540 CTW917538:CTW917540 DDS917538:DDS917540 DNO917538:DNO917540 DXK917538:DXK917540 EHG917538:EHG917540 ERC917538:ERC917540 FAY917538:FAY917540 FKU917538:FKU917540 FUQ917538:FUQ917540 GEM917538:GEM917540 GOI917538:GOI917540 GYE917538:GYE917540 HIA917538:HIA917540 HRW917538:HRW917540 IBS917538:IBS917540 ILO917538:ILO917540 IVK917538:IVK917540 JFG917538:JFG917540 JPC917538:JPC917540 JYY917538:JYY917540 KIU917538:KIU917540 KSQ917538:KSQ917540 LCM917538:LCM917540 LMI917538:LMI917540 LWE917538:LWE917540 MGA917538:MGA917540 MPW917538:MPW917540 MZS917538:MZS917540 NJO917538:NJO917540 NTK917538:NTK917540 ODG917538:ODG917540 ONC917538:ONC917540 OWY917538:OWY917540 PGU917538:PGU917540 PQQ917538:PQQ917540 QAM917538:QAM917540 QKI917538:QKI917540 QUE917538:QUE917540 REA917538:REA917540 RNW917538:RNW917540 RXS917538:RXS917540 SHO917538:SHO917540 SRK917538:SRK917540 TBG917538:TBG917540 TLC917538:TLC917540 TUY917538:TUY917540 UEU917538:UEU917540 UOQ917538:UOQ917540 UYM917538:UYM917540 VII917538:VII917540 VSE917538:VSE917540 WCA917538:WCA917540 WLW917538:WLW917540 WVS917538:WVS917540 K983074:K983076 JG983074:JG983076 TC983074:TC983076 ACY983074:ACY983076 AMU983074:AMU983076 AWQ983074:AWQ983076 BGM983074:BGM983076 BQI983074:BQI983076 CAE983074:CAE983076 CKA983074:CKA983076 CTW983074:CTW983076 DDS983074:DDS983076 DNO983074:DNO983076 DXK983074:DXK983076 EHG983074:EHG983076 ERC983074:ERC983076 FAY983074:FAY983076 FKU983074:FKU983076 FUQ983074:FUQ983076 GEM983074:GEM983076 GOI983074:GOI983076 GYE983074:GYE983076 HIA983074:HIA983076 HRW983074:HRW983076 IBS983074:IBS983076 ILO983074:ILO983076 IVK983074:IVK983076 JFG983074:JFG983076 JPC983074:JPC983076 JYY983074:JYY983076 KIU983074:KIU983076 KSQ983074:KSQ983076 LCM983074:LCM983076 LMI983074:LMI983076 LWE983074:LWE983076 MGA983074:MGA983076 MPW983074:MPW983076 MZS983074:MZS983076 NJO983074:NJO983076 NTK983074:NTK983076 ODG983074:ODG983076 ONC983074:ONC983076 OWY983074:OWY983076 PGU983074:PGU983076 PQQ983074:PQQ983076 QAM983074:QAM983076 QKI983074:QKI983076 QUE983074:QUE983076 REA983074:REA983076 RNW983074:RNW983076 RXS983074:RXS983076 SHO983074:SHO983076 SRK983074:SRK983076 TBG983074:TBG983076 TLC983074:TLC983076 TUY983074:TUY983076 UEU983074:UEU983076 UOQ983074:UOQ983076 UYM983074:UYM983076 VII983074:VII983076 VSE983074:VSE983076 WCA983074:WCA983076 WLW983074:WLW983076 WVS983074:WVS983076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K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K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K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K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K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K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K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K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K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K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K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K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K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K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K26:L30 JG26:JH30 TC26:TD30 ACY26:ACZ30 AMU26:AMV30 AWQ26:AWR30 BGM26:BGN30 BQI26:BQJ30 CAE26:CAF30 CKA26:CKB30 CTW26:CTX30 DDS26:DDT30 DNO26:DNP30 DXK26:DXL30 EHG26:EHH30 ERC26:ERD30 FAY26:FAZ30 FKU26:FKV30 FUQ26:FUR30 GEM26:GEN30 GOI26:GOJ30 GYE26:GYF30 HIA26:HIB30 HRW26:HRX30 IBS26:IBT30 ILO26:ILP30 IVK26:IVL30 JFG26:JFH30 JPC26:JPD30 JYY26:JYZ30 KIU26:KIV30 KSQ26:KSR30 LCM26:LCN30 LMI26:LMJ30 LWE26:LWF30 MGA26:MGB30 MPW26:MPX30 MZS26:MZT30 NJO26:NJP30 NTK26:NTL30 ODG26:ODH30 ONC26:OND30 OWY26:OWZ30 PGU26:PGV30 PQQ26:PQR30 QAM26:QAN30 QKI26:QKJ30 QUE26:QUF30 REA26:REB30 RNW26:RNX30 RXS26:RXT30 SHO26:SHP30 SRK26:SRL30 TBG26:TBH30 TLC26:TLD30 TUY26:TUZ30 UEU26:UEV30 UOQ26:UOR30 UYM26:UYN30 VII26:VIJ30 VSE26:VSF30 WCA26:WCB30 WLW26:WLX30 WVS26:WVT30 K65562:L65566 JG65562:JH65566 TC65562:TD65566 ACY65562:ACZ65566 AMU65562:AMV65566 AWQ65562:AWR65566 BGM65562:BGN65566 BQI65562:BQJ65566 CAE65562:CAF65566 CKA65562:CKB65566 CTW65562:CTX65566 DDS65562:DDT65566 DNO65562:DNP65566 DXK65562:DXL65566 EHG65562:EHH65566 ERC65562:ERD65566 FAY65562:FAZ65566 FKU65562:FKV65566 FUQ65562:FUR65566 GEM65562:GEN65566 GOI65562:GOJ65566 GYE65562:GYF65566 HIA65562:HIB65566 HRW65562:HRX65566 IBS65562:IBT65566 ILO65562:ILP65566 IVK65562:IVL65566 JFG65562:JFH65566 JPC65562:JPD65566 JYY65562:JYZ65566 KIU65562:KIV65566 KSQ65562:KSR65566 LCM65562:LCN65566 LMI65562:LMJ65566 LWE65562:LWF65566 MGA65562:MGB65566 MPW65562:MPX65566 MZS65562:MZT65566 NJO65562:NJP65566 NTK65562:NTL65566 ODG65562:ODH65566 ONC65562:OND65566 OWY65562:OWZ65566 PGU65562:PGV65566 PQQ65562:PQR65566 QAM65562:QAN65566 QKI65562:QKJ65566 QUE65562:QUF65566 REA65562:REB65566 RNW65562:RNX65566 RXS65562:RXT65566 SHO65562:SHP65566 SRK65562:SRL65566 TBG65562:TBH65566 TLC65562:TLD65566 TUY65562:TUZ65566 UEU65562:UEV65566 UOQ65562:UOR65566 UYM65562:UYN65566 VII65562:VIJ65566 VSE65562:VSF65566 WCA65562:WCB65566 WLW65562:WLX65566 WVS65562:WVT65566 K131098:L131102 JG131098:JH131102 TC131098:TD131102 ACY131098:ACZ131102 AMU131098:AMV131102 AWQ131098:AWR131102 BGM131098:BGN131102 BQI131098:BQJ131102 CAE131098:CAF131102 CKA131098:CKB131102 CTW131098:CTX131102 DDS131098:DDT131102 DNO131098:DNP131102 DXK131098:DXL131102 EHG131098:EHH131102 ERC131098:ERD131102 FAY131098:FAZ131102 FKU131098:FKV131102 FUQ131098:FUR131102 GEM131098:GEN131102 GOI131098:GOJ131102 GYE131098:GYF131102 HIA131098:HIB131102 HRW131098:HRX131102 IBS131098:IBT131102 ILO131098:ILP131102 IVK131098:IVL131102 JFG131098:JFH131102 JPC131098:JPD131102 JYY131098:JYZ131102 KIU131098:KIV131102 KSQ131098:KSR131102 LCM131098:LCN131102 LMI131098:LMJ131102 LWE131098:LWF131102 MGA131098:MGB131102 MPW131098:MPX131102 MZS131098:MZT131102 NJO131098:NJP131102 NTK131098:NTL131102 ODG131098:ODH131102 ONC131098:OND131102 OWY131098:OWZ131102 PGU131098:PGV131102 PQQ131098:PQR131102 QAM131098:QAN131102 QKI131098:QKJ131102 QUE131098:QUF131102 REA131098:REB131102 RNW131098:RNX131102 RXS131098:RXT131102 SHO131098:SHP131102 SRK131098:SRL131102 TBG131098:TBH131102 TLC131098:TLD131102 TUY131098:TUZ131102 UEU131098:UEV131102 UOQ131098:UOR131102 UYM131098:UYN131102 VII131098:VIJ131102 VSE131098:VSF131102 WCA131098:WCB131102 WLW131098:WLX131102 WVS131098:WVT131102 K196634:L196638 JG196634:JH196638 TC196634:TD196638 ACY196634:ACZ196638 AMU196634:AMV196638 AWQ196634:AWR196638 BGM196634:BGN196638 BQI196634:BQJ196638 CAE196634:CAF196638 CKA196634:CKB196638 CTW196634:CTX196638 DDS196634:DDT196638 DNO196634:DNP196638 DXK196634:DXL196638 EHG196634:EHH196638 ERC196634:ERD196638 FAY196634:FAZ196638 FKU196634:FKV196638 FUQ196634:FUR196638 GEM196634:GEN196638 GOI196634:GOJ196638 GYE196634:GYF196638 HIA196634:HIB196638 HRW196634:HRX196638 IBS196634:IBT196638 ILO196634:ILP196638 IVK196634:IVL196638 JFG196634:JFH196638 JPC196634:JPD196638 JYY196634:JYZ196638 KIU196634:KIV196638 KSQ196634:KSR196638 LCM196634:LCN196638 LMI196634:LMJ196638 LWE196634:LWF196638 MGA196634:MGB196638 MPW196634:MPX196638 MZS196634:MZT196638 NJO196634:NJP196638 NTK196634:NTL196638 ODG196634:ODH196638 ONC196634:OND196638 OWY196634:OWZ196638 PGU196634:PGV196638 PQQ196634:PQR196638 QAM196634:QAN196638 QKI196634:QKJ196638 QUE196634:QUF196638 REA196634:REB196638 RNW196634:RNX196638 RXS196634:RXT196638 SHO196634:SHP196638 SRK196634:SRL196638 TBG196634:TBH196638 TLC196634:TLD196638 TUY196634:TUZ196638 UEU196634:UEV196638 UOQ196634:UOR196638 UYM196634:UYN196638 VII196634:VIJ196638 VSE196634:VSF196638 WCA196634:WCB196638 WLW196634:WLX196638 WVS196634:WVT196638 K262170:L262174 JG262170:JH262174 TC262170:TD262174 ACY262170:ACZ262174 AMU262170:AMV262174 AWQ262170:AWR262174 BGM262170:BGN262174 BQI262170:BQJ262174 CAE262170:CAF262174 CKA262170:CKB262174 CTW262170:CTX262174 DDS262170:DDT262174 DNO262170:DNP262174 DXK262170:DXL262174 EHG262170:EHH262174 ERC262170:ERD262174 FAY262170:FAZ262174 FKU262170:FKV262174 FUQ262170:FUR262174 GEM262170:GEN262174 GOI262170:GOJ262174 GYE262170:GYF262174 HIA262170:HIB262174 HRW262170:HRX262174 IBS262170:IBT262174 ILO262170:ILP262174 IVK262170:IVL262174 JFG262170:JFH262174 JPC262170:JPD262174 JYY262170:JYZ262174 KIU262170:KIV262174 KSQ262170:KSR262174 LCM262170:LCN262174 LMI262170:LMJ262174 LWE262170:LWF262174 MGA262170:MGB262174 MPW262170:MPX262174 MZS262170:MZT262174 NJO262170:NJP262174 NTK262170:NTL262174 ODG262170:ODH262174 ONC262170:OND262174 OWY262170:OWZ262174 PGU262170:PGV262174 PQQ262170:PQR262174 QAM262170:QAN262174 QKI262170:QKJ262174 QUE262170:QUF262174 REA262170:REB262174 RNW262170:RNX262174 RXS262170:RXT262174 SHO262170:SHP262174 SRK262170:SRL262174 TBG262170:TBH262174 TLC262170:TLD262174 TUY262170:TUZ262174 UEU262170:UEV262174 UOQ262170:UOR262174 UYM262170:UYN262174 VII262170:VIJ262174 VSE262170:VSF262174 WCA262170:WCB262174 WLW262170:WLX262174 WVS262170:WVT262174 K327706:L327710 JG327706:JH327710 TC327706:TD327710 ACY327706:ACZ327710 AMU327706:AMV327710 AWQ327706:AWR327710 BGM327706:BGN327710 BQI327706:BQJ327710 CAE327706:CAF327710 CKA327706:CKB327710 CTW327706:CTX327710 DDS327706:DDT327710 DNO327706:DNP327710 DXK327706:DXL327710 EHG327706:EHH327710 ERC327706:ERD327710 FAY327706:FAZ327710 FKU327706:FKV327710 FUQ327706:FUR327710 GEM327706:GEN327710 GOI327706:GOJ327710 GYE327706:GYF327710 HIA327706:HIB327710 HRW327706:HRX327710 IBS327706:IBT327710 ILO327706:ILP327710 IVK327706:IVL327710 JFG327706:JFH327710 JPC327706:JPD327710 JYY327706:JYZ327710 KIU327706:KIV327710 KSQ327706:KSR327710 LCM327706:LCN327710 LMI327706:LMJ327710 LWE327706:LWF327710 MGA327706:MGB327710 MPW327706:MPX327710 MZS327706:MZT327710 NJO327706:NJP327710 NTK327706:NTL327710 ODG327706:ODH327710 ONC327706:OND327710 OWY327706:OWZ327710 PGU327706:PGV327710 PQQ327706:PQR327710 QAM327706:QAN327710 QKI327706:QKJ327710 QUE327706:QUF327710 REA327706:REB327710 RNW327706:RNX327710 RXS327706:RXT327710 SHO327706:SHP327710 SRK327706:SRL327710 TBG327706:TBH327710 TLC327706:TLD327710 TUY327706:TUZ327710 UEU327706:UEV327710 UOQ327706:UOR327710 UYM327706:UYN327710 VII327706:VIJ327710 VSE327706:VSF327710 WCA327706:WCB327710 WLW327706:WLX327710 WVS327706:WVT327710 K393242:L393246 JG393242:JH393246 TC393242:TD393246 ACY393242:ACZ393246 AMU393242:AMV393246 AWQ393242:AWR393246 BGM393242:BGN393246 BQI393242:BQJ393246 CAE393242:CAF393246 CKA393242:CKB393246 CTW393242:CTX393246 DDS393242:DDT393246 DNO393242:DNP393246 DXK393242:DXL393246 EHG393242:EHH393246 ERC393242:ERD393246 FAY393242:FAZ393246 FKU393242:FKV393246 FUQ393242:FUR393246 GEM393242:GEN393246 GOI393242:GOJ393246 GYE393242:GYF393246 HIA393242:HIB393246 HRW393242:HRX393246 IBS393242:IBT393246 ILO393242:ILP393246 IVK393242:IVL393246 JFG393242:JFH393246 JPC393242:JPD393246 JYY393242:JYZ393246 KIU393242:KIV393246 KSQ393242:KSR393246 LCM393242:LCN393246 LMI393242:LMJ393246 LWE393242:LWF393246 MGA393242:MGB393246 MPW393242:MPX393246 MZS393242:MZT393246 NJO393242:NJP393246 NTK393242:NTL393246 ODG393242:ODH393246 ONC393242:OND393246 OWY393242:OWZ393246 PGU393242:PGV393246 PQQ393242:PQR393246 QAM393242:QAN393246 QKI393242:QKJ393246 QUE393242:QUF393246 REA393242:REB393246 RNW393242:RNX393246 RXS393242:RXT393246 SHO393242:SHP393246 SRK393242:SRL393246 TBG393242:TBH393246 TLC393242:TLD393246 TUY393242:TUZ393246 UEU393242:UEV393246 UOQ393242:UOR393246 UYM393242:UYN393246 VII393242:VIJ393246 VSE393242:VSF393246 WCA393242:WCB393246 WLW393242:WLX393246 WVS393242:WVT393246 K458778:L458782 JG458778:JH458782 TC458778:TD458782 ACY458778:ACZ458782 AMU458778:AMV458782 AWQ458778:AWR458782 BGM458778:BGN458782 BQI458778:BQJ458782 CAE458778:CAF458782 CKA458778:CKB458782 CTW458778:CTX458782 DDS458778:DDT458782 DNO458778:DNP458782 DXK458778:DXL458782 EHG458778:EHH458782 ERC458778:ERD458782 FAY458778:FAZ458782 FKU458778:FKV458782 FUQ458778:FUR458782 GEM458778:GEN458782 GOI458778:GOJ458782 GYE458778:GYF458782 HIA458778:HIB458782 HRW458778:HRX458782 IBS458778:IBT458782 ILO458778:ILP458782 IVK458778:IVL458782 JFG458778:JFH458782 JPC458778:JPD458782 JYY458778:JYZ458782 KIU458778:KIV458782 KSQ458778:KSR458782 LCM458778:LCN458782 LMI458778:LMJ458782 LWE458778:LWF458782 MGA458778:MGB458782 MPW458778:MPX458782 MZS458778:MZT458782 NJO458778:NJP458782 NTK458778:NTL458782 ODG458778:ODH458782 ONC458778:OND458782 OWY458778:OWZ458782 PGU458778:PGV458782 PQQ458778:PQR458782 QAM458778:QAN458782 QKI458778:QKJ458782 QUE458778:QUF458782 REA458778:REB458782 RNW458778:RNX458782 RXS458778:RXT458782 SHO458778:SHP458782 SRK458778:SRL458782 TBG458778:TBH458782 TLC458778:TLD458782 TUY458778:TUZ458782 UEU458778:UEV458782 UOQ458778:UOR458782 UYM458778:UYN458782 VII458778:VIJ458782 VSE458778:VSF458782 WCA458778:WCB458782 WLW458778:WLX458782 WVS458778:WVT458782 K524314:L524318 JG524314:JH524318 TC524314:TD524318 ACY524314:ACZ524318 AMU524314:AMV524318 AWQ524314:AWR524318 BGM524314:BGN524318 BQI524314:BQJ524318 CAE524314:CAF524318 CKA524314:CKB524318 CTW524314:CTX524318 DDS524314:DDT524318 DNO524314:DNP524318 DXK524314:DXL524318 EHG524314:EHH524318 ERC524314:ERD524318 FAY524314:FAZ524318 FKU524314:FKV524318 FUQ524314:FUR524318 GEM524314:GEN524318 GOI524314:GOJ524318 GYE524314:GYF524318 HIA524314:HIB524318 HRW524314:HRX524318 IBS524314:IBT524318 ILO524314:ILP524318 IVK524314:IVL524318 JFG524314:JFH524318 JPC524314:JPD524318 JYY524314:JYZ524318 KIU524314:KIV524318 KSQ524314:KSR524318 LCM524314:LCN524318 LMI524314:LMJ524318 LWE524314:LWF524318 MGA524314:MGB524318 MPW524314:MPX524318 MZS524314:MZT524318 NJO524314:NJP524318 NTK524314:NTL524318 ODG524314:ODH524318 ONC524314:OND524318 OWY524314:OWZ524318 PGU524314:PGV524318 PQQ524314:PQR524318 QAM524314:QAN524318 QKI524314:QKJ524318 QUE524314:QUF524318 REA524314:REB524318 RNW524314:RNX524318 RXS524314:RXT524318 SHO524314:SHP524318 SRK524314:SRL524318 TBG524314:TBH524318 TLC524314:TLD524318 TUY524314:TUZ524318 UEU524314:UEV524318 UOQ524314:UOR524318 UYM524314:UYN524318 VII524314:VIJ524318 VSE524314:VSF524318 WCA524314:WCB524318 WLW524314:WLX524318 WVS524314:WVT524318 K589850:L589854 JG589850:JH589854 TC589850:TD589854 ACY589850:ACZ589854 AMU589850:AMV589854 AWQ589850:AWR589854 BGM589850:BGN589854 BQI589850:BQJ589854 CAE589850:CAF589854 CKA589850:CKB589854 CTW589850:CTX589854 DDS589850:DDT589854 DNO589850:DNP589854 DXK589850:DXL589854 EHG589850:EHH589854 ERC589850:ERD589854 FAY589850:FAZ589854 FKU589850:FKV589854 FUQ589850:FUR589854 GEM589850:GEN589854 GOI589850:GOJ589854 GYE589850:GYF589854 HIA589850:HIB589854 HRW589850:HRX589854 IBS589850:IBT589854 ILO589850:ILP589854 IVK589850:IVL589854 JFG589850:JFH589854 JPC589850:JPD589854 JYY589850:JYZ589854 KIU589850:KIV589854 KSQ589850:KSR589854 LCM589850:LCN589854 LMI589850:LMJ589854 LWE589850:LWF589854 MGA589850:MGB589854 MPW589850:MPX589854 MZS589850:MZT589854 NJO589850:NJP589854 NTK589850:NTL589854 ODG589850:ODH589854 ONC589850:OND589854 OWY589850:OWZ589854 PGU589850:PGV589854 PQQ589850:PQR589854 QAM589850:QAN589854 QKI589850:QKJ589854 QUE589850:QUF589854 REA589850:REB589854 RNW589850:RNX589854 RXS589850:RXT589854 SHO589850:SHP589854 SRK589850:SRL589854 TBG589850:TBH589854 TLC589850:TLD589854 TUY589850:TUZ589854 UEU589850:UEV589854 UOQ589850:UOR589854 UYM589850:UYN589854 VII589850:VIJ589854 VSE589850:VSF589854 WCA589850:WCB589854 WLW589850:WLX589854 WVS589850:WVT589854 K655386:L655390 JG655386:JH655390 TC655386:TD655390 ACY655386:ACZ655390 AMU655386:AMV655390 AWQ655386:AWR655390 BGM655386:BGN655390 BQI655386:BQJ655390 CAE655386:CAF655390 CKA655386:CKB655390 CTW655386:CTX655390 DDS655386:DDT655390 DNO655386:DNP655390 DXK655386:DXL655390 EHG655386:EHH655390 ERC655386:ERD655390 FAY655386:FAZ655390 FKU655386:FKV655390 FUQ655386:FUR655390 GEM655386:GEN655390 GOI655386:GOJ655390 GYE655386:GYF655390 HIA655386:HIB655390 HRW655386:HRX655390 IBS655386:IBT655390 ILO655386:ILP655390 IVK655386:IVL655390 JFG655386:JFH655390 JPC655386:JPD655390 JYY655386:JYZ655390 KIU655386:KIV655390 KSQ655386:KSR655390 LCM655386:LCN655390 LMI655386:LMJ655390 LWE655386:LWF655390 MGA655386:MGB655390 MPW655386:MPX655390 MZS655386:MZT655390 NJO655386:NJP655390 NTK655386:NTL655390 ODG655386:ODH655390 ONC655386:OND655390 OWY655386:OWZ655390 PGU655386:PGV655390 PQQ655386:PQR655390 QAM655386:QAN655390 QKI655386:QKJ655390 QUE655386:QUF655390 REA655386:REB655390 RNW655386:RNX655390 RXS655386:RXT655390 SHO655386:SHP655390 SRK655386:SRL655390 TBG655386:TBH655390 TLC655386:TLD655390 TUY655386:TUZ655390 UEU655386:UEV655390 UOQ655386:UOR655390 UYM655386:UYN655390 VII655386:VIJ655390 VSE655386:VSF655390 WCA655386:WCB655390 WLW655386:WLX655390 WVS655386:WVT655390 K720922:L720926 JG720922:JH720926 TC720922:TD720926 ACY720922:ACZ720926 AMU720922:AMV720926 AWQ720922:AWR720926 BGM720922:BGN720926 BQI720922:BQJ720926 CAE720922:CAF720926 CKA720922:CKB720926 CTW720922:CTX720926 DDS720922:DDT720926 DNO720922:DNP720926 DXK720922:DXL720926 EHG720922:EHH720926 ERC720922:ERD720926 FAY720922:FAZ720926 FKU720922:FKV720926 FUQ720922:FUR720926 GEM720922:GEN720926 GOI720922:GOJ720926 GYE720922:GYF720926 HIA720922:HIB720926 HRW720922:HRX720926 IBS720922:IBT720926 ILO720922:ILP720926 IVK720922:IVL720926 JFG720922:JFH720926 JPC720922:JPD720926 JYY720922:JYZ720926 KIU720922:KIV720926 KSQ720922:KSR720926 LCM720922:LCN720926 LMI720922:LMJ720926 LWE720922:LWF720926 MGA720922:MGB720926 MPW720922:MPX720926 MZS720922:MZT720926 NJO720922:NJP720926 NTK720922:NTL720926 ODG720922:ODH720926 ONC720922:OND720926 OWY720922:OWZ720926 PGU720922:PGV720926 PQQ720922:PQR720926 QAM720922:QAN720926 QKI720922:QKJ720926 QUE720922:QUF720926 REA720922:REB720926 RNW720922:RNX720926 RXS720922:RXT720926 SHO720922:SHP720926 SRK720922:SRL720926 TBG720922:TBH720926 TLC720922:TLD720926 TUY720922:TUZ720926 UEU720922:UEV720926 UOQ720922:UOR720926 UYM720922:UYN720926 VII720922:VIJ720926 VSE720922:VSF720926 WCA720922:WCB720926 WLW720922:WLX720926 WVS720922:WVT720926 K786458:L786462 JG786458:JH786462 TC786458:TD786462 ACY786458:ACZ786462 AMU786458:AMV786462 AWQ786458:AWR786462 BGM786458:BGN786462 BQI786458:BQJ786462 CAE786458:CAF786462 CKA786458:CKB786462 CTW786458:CTX786462 DDS786458:DDT786462 DNO786458:DNP786462 DXK786458:DXL786462 EHG786458:EHH786462 ERC786458:ERD786462 FAY786458:FAZ786462 FKU786458:FKV786462 FUQ786458:FUR786462 GEM786458:GEN786462 GOI786458:GOJ786462 GYE786458:GYF786462 HIA786458:HIB786462 HRW786458:HRX786462 IBS786458:IBT786462 ILO786458:ILP786462 IVK786458:IVL786462 JFG786458:JFH786462 JPC786458:JPD786462 JYY786458:JYZ786462 KIU786458:KIV786462 KSQ786458:KSR786462 LCM786458:LCN786462 LMI786458:LMJ786462 LWE786458:LWF786462 MGA786458:MGB786462 MPW786458:MPX786462 MZS786458:MZT786462 NJO786458:NJP786462 NTK786458:NTL786462 ODG786458:ODH786462 ONC786458:OND786462 OWY786458:OWZ786462 PGU786458:PGV786462 PQQ786458:PQR786462 QAM786458:QAN786462 QKI786458:QKJ786462 QUE786458:QUF786462 REA786458:REB786462 RNW786458:RNX786462 RXS786458:RXT786462 SHO786458:SHP786462 SRK786458:SRL786462 TBG786458:TBH786462 TLC786458:TLD786462 TUY786458:TUZ786462 UEU786458:UEV786462 UOQ786458:UOR786462 UYM786458:UYN786462 VII786458:VIJ786462 VSE786458:VSF786462 WCA786458:WCB786462 WLW786458:WLX786462 WVS786458:WVT786462 K851994:L851998 JG851994:JH851998 TC851994:TD851998 ACY851994:ACZ851998 AMU851994:AMV851998 AWQ851994:AWR851998 BGM851994:BGN851998 BQI851994:BQJ851998 CAE851994:CAF851998 CKA851994:CKB851998 CTW851994:CTX851998 DDS851994:DDT851998 DNO851994:DNP851998 DXK851994:DXL851998 EHG851994:EHH851998 ERC851994:ERD851998 FAY851994:FAZ851998 FKU851994:FKV851998 FUQ851994:FUR851998 GEM851994:GEN851998 GOI851994:GOJ851998 GYE851994:GYF851998 HIA851994:HIB851998 HRW851994:HRX851998 IBS851994:IBT851998 ILO851994:ILP851998 IVK851994:IVL851998 JFG851994:JFH851998 JPC851994:JPD851998 JYY851994:JYZ851998 KIU851994:KIV851998 KSQ851994:KSR851998 LCM851994:LCN851998 LMI851994:LMJ851998 LWE851994:LWF851998 MGA851994:MGB851998 MPW851994:MPX851998 MZS851994:MZT851998 NJO851994:NJP851998 NTK851994:NTL851998 ODG851994:ODH851998 ONC851994:OND851998 OWY851994:OWZ851998 PGU851994:PGV851998 PQQ851994:PQR851998 QAM851994:QAN851998 QKI851994:QKJ851998 QUE851994:QUF851998 REA851994:REB851998 RNW851994:RNX851998 RXS851994:RXT851998 SHO851994:SHP851998 SRK851994:SRL851998 TBG851994:TBH851998 TLC851994:TLD851998 TUY851994:TUZ851998 UEU851994:UEV851998 UOQ851994:UOR851998 UYM851994:UYN851998 VII851994:VIJ851998 VSE851994:VSF851998 WCA851994:WCB851998 WLW851994:WLX851998 WVS851994:WVT851998 K917530:L917534 JG917530:JH917534 TC917530:TD917534 ACY917530:ACZ917534 AMU917530:AMV917534 AWQ917530:AWR917534 BGM917530:BGN917534 BQI917530:BQJ917534 CAE917530:CAF917534 CKA917530:CKB917534 CTW917530:CTX917534 DDS917530:DDT917534 DNO917530:DNP917534 DXK917530:DXL917534 EHG917530:EHH917534 ERC917530:ERD917534 FAY917530:FAZ917534 FKU917530:FKV917534 FUQ917530:FUR917534 GEM917530:GEN917534 GOI917530:GOJ917534 GYE917530:GYF917534 HIA917530:HIB917534 HRW917530:HRX917534 IBS917530:IBT917534 ILO917530:ILP917534 IVK917530:IVL917534 JFG917530:JFH917534 JPC917530:JPD917534 JYY917530:JYZ917534 KIU917530:KIV917534 KSQ917530:KSR917534 LCM917530:LCN917534 LMI917530:LMJ917534 LWE917530:LWF917534 MGA917530:MGB917534 MPW917530:MPX917534 MZS917530:MZT917534 NJO917530:NJP917534 NTK917530:NTL917534 ODG917530:ODH917534 ONC917530:OND917534 OWY917530:OWZ917534 PGU917530:PGV917534 PQQ917530:PQR917534 QAM917530:QAN917534 QKI917530:QKJ917534 QUE917530:QUF917534 REA917530:REB917534 RNW917530:RNX917534 RXS917530:RXT917534 SHO917530:SHP917534 SRK917530:SRL917534 TBG917530:TBH917534 TLC917530:TLD917534 TUY917530:TUZ917534 UEU917530:UEV917534 UOQ917530:UOR917534 UYM917530:UYN917534 VII917530:VIJ917534 VSE917530:VSF917534 WCA917530:WCB917534 WLW917530:WLX917534 WVS917530:WVT917534 K983066:L983070 JG983066:JH983070 TC983066:TD983070 ACY983066:ACZ983070 AMU983066:AMV983070 AWQ983066:AWR983070 BGM983066:BGN983070 BQI983066:BQJ983070 CAE983066:CAF983070 CKA983066:CKB983070 CTW983066:CTX983070 DDS983066:DDT983070 DNO983066:DNP983070 DXK983066:DXL983070 EHG983066:EHH983070 ERC983066:ERD983070 FAY983066:FAZ983070 FKU983066:FKV983070 FUQ983066:FUR983070 GEM983066:GEN983070 GOI983066:GOJ983070 GYE983066:GYF983070 HIA983066:HIB983070 HRW983066:HRX983070 IBS983066:IBT983070 ILO983066:ILP983070 IVK983066:IVL983070 JFG983066:JFH983070 JPC983066:JPD983070 JYY983066:JYZ983070 KIU983066:KIV983070 KSQ983066:KSR983070 LCM983066:LCN983070 LMI983066:LMJ983070 LWE983066:LWF983070 MGA983066:MGB983070 MPW983066:MPX983070 MZS983066:MZT983070 NJO983066:NJP983070 NTK983066:NTL983070 ODG983066:ODH983070 ONC983066:OND983070 OWY983066:OWZ983070 PGU983066:PGV983070 PQQ983066:PQR983070 QAM983066:QAN983070 QKI983066:QKJ983070 QUE983066:QUF983070 REA983066:REB983070 RNW983066:RNX983070 RXS983066:RXT983070 SHO983066:SHP983070 SRK983066:SRL983070 TBG983066:TBH983070 TLC983066:TLD983070 TUY983066:TUZ983070 UEU983066:UEV983070 UOQ983066:UOR983070 UYM983066:UYN983070 VII983066:VIJ983070 VSE983066:VSF983070 WCA983066:WCB983070 WLW983066:WLX983070 WVS983066:WVT983070">
      <formula1>"Yes,No,NA"</formula1>
    </dataValidation>
  </dataValidations>
  <hyperlinks>
    <hyperlink ref="A1" location="'Table Of Contents'!A1" display="TOC"/>
  </hyperlinks>
  <pageMargins left="0.25" right="0.25" top="0.75" bottom="0.75" header="0.3" footer="0.3"/>
  <pageSetup scale="47"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9FF99"/>
  </sheetPr>
  <dimension ref="A1:BH187"/>
  <sheetViews>
    <sheetView showGridLines="0" view="pageBreakPreview" zoomScaleNormal="100" zoomScaleSheetLayoutView="100" workbookViewId="0">
      <selection activeCell="B1" sqref="B1"/>
    </sheetView>
  </sheetViews>
  <sheetFormatPr defaultRowHeight="12.75"/>
  <cols>
    <col min="1" max="1" width="9.140625" style="1313" customWidth="1"/>
    <col min="2" max="2" width="20" style="953" customWidth="1"/>
    <col min="3" max="3" width="16.85546875" style="953" customWidth="1"/>
    <col min="4" max="5" width="15.140625" style="953" customWidth="1"/>
    <col min="6" max="6" width="29.140625" style="953" customWidth="1"/>
    <col min="7" max="7" width="10.7109375" style="953" customWidth="1"/>
    <col min="8" max="8" width="5.7109375" style="953" customWidth="1"/>
    <col min="9" max="9" width="11" style="953" customWidth="1"/>
    <col min="10" max="10" width="24.42578125" style="953" customWidth="1"/>
    <col min="11" max="11" width="9.140625" style="1313"/>
    <col min="12" max="12" width="19.42578125" style="953" customWidth="1"/>
    <col min="13" max="13" width="29" style="953" customWidth="1"/>
    <col min="14" max="14" width="9.140625" style="953" hidden="1" customWidth="1"/>
    <col min="15" max="256" width="9.140625" style="953"/>
    <col min="257" max="257" width="9.140625" style="953" customWidth="1"/>
    <col min="258" max="258" width="20" style="953" customWidth="1"/>
    <col min="259" max="259" width="16.85546875" style="953" customWidth="1"/>
    <col min="260" max="261" width="15.140625" style="953" customWidth="1"/>
    <col min="262" max="262" width="29.140625" style="953" customWidth="1"/>
    <col min="263" max="263" width="10.7109375" style="953" customWidth="1"/>
    <col min="264" max="264" width="5.7109375" style="953" customWidth="1"/>
    <col min="265" max="265" width="11" style="953" customWidth="1"/>
    <col min="266" max="266" width="24.42578125" style="953" customWidth="1"/>
    <col min="267" max="267" width="9.140625" style="953"/>
    <col min="268" max="268" width="19.42578125" style="953" customWidth="1"/>
    <col min="269" max="269" width="29" style="953" customWidth="1"/>
    <col min="270" max="270" width="0" style="953" hidden="1" customWidth="1"/>
    <col min="271" max="512" width="9.140625" style="953"/>
    <col min="513" max="513" width="9.140625" style="953" customWidth="1"/>
    <col min="514" max="514" width="20" style="953" customWidth="1"/>
    <col min="515" max="515" width="16.85546875" style="953" customWidth="1"/>
    <col min="516" max="517" width="15.140625" style="953" customWidth="1"/>
    <col min="518" max="518" width="29.140625" style="953" customWidth="1"/>
    <col min="519" max="519" width="10.7109375" style="953" customWidth="1"/>
    <col min="520" max="520" width="5.7109375" style="953" customWidth="1"/>
    <col min="521" max="521" width="11" style="953" customWidth="1"/>
    <col min="522" max="522" width="24.42578125" style="953" customWidth="1"/>
    <col min="523" max="523" width="9.140625" style="953"/>
    <col min="524" max="524" width="19.42578125" style="953" customWidth="1"/>
    <col min="525" max="525" width="29" style="953" customWidth="1"/>
    <col min="526" max="526" width="0" style="953" hidden="1" customWidth="1"/>
    <col min="527" max="768" width="9.140625" style="953"/>
    <col min="769" max="769" width="9.140625" style="953" customWidth="1"/>
    <col min="770" max="770" width="20" style="953" customWidth="1"/>
    <col min="771" max="771" width="16.85546875" style="953" customWidth="1"/>
    <col min="772" max="773" width="15.140625" style="953" customWidth="1"/>
    <col min="774" max="774" width="29.140625" style="953" customWidth="1"/>
    <col min="775" max="775" width="10.7109375" style="953" customWidth="1"/>
    <col min="776" max="776" width="5.7109375" style="953" customWidth="1"/>
    <col min="777" max="777" width="11" style="953" customWidth="1"/>
    <col min="778" max="778" width="24.42578125" style="953" customWidth="1"/>
    <col min="779" max="779" width="9.140625" style="953"/>
    <col min="780" max="780" width="19.42578125" style="953" customWidth="1"/>
    <col min="781" max="781" width="29" style="953" customWidth="1"/>
    <col min="782" max="782" width="0" style="953" hidden="1" customWidth="1"/>
    <col min="783" max="1024" width="9.140625" style="953"/>
    <col min="1025" max="1025" width="9.140625" style="953" customWidth="1"/>
    <col min="1026" max="1026" width="20" style="953" customWidth="1"/>
    <col min="1027" max="1027" width="16.85546875" style="953" customWidth="1"/>
    <col min="1028" max="1029" width="15.140625" style="953" customWidth="1"/>
    <col min="1030" max="1030" width="29.140625" style="953" customWidth="1"/>
    <col min="1031" max="1031" width="10.7109375" style="953" customWidth="1"/>
    <col min="1032" max="1032" width="5.7109375" style="953" customWidth="1"/>
    <col min="1033" max="1033" width="11" style="953" customWidth="1"/>
    <col min="1034" max="1034" width="24.42578125" style="953" customWidth="1"/>
    <col min="1035" max="1035" width="9.140625" style="953"/>
    <col min="1036" max="1036" width="19.42578125" style="953" customWidth="1"/>
    <col min="1037" max="1037" width="29" style="953" customWidth="1"/>
    <col min="1038" max="1038" width="0" style="953" hidden="1" customWidth="1"/>
    <col min="1039" max="1280" width="9.140625" style="953"/>
    <col min="1281" max="1281" width="9.140625" style="953" customWidth="1"/>
    <col min="1282" max="1282" width="20" style="953" customWidth="1"/>
    <col min="1283" max="1283" width="16.85546875" style="953" customWidth="1"/>
    <col min="1284" max="1285" width="15.140625" style="953" customWidth="1"/>
    <col min="1286" max="1286" width="29.140625" style="953" customWidth="1"/>
    <col min="1287" max="1287" width="10.7109375" style="953" customWidth="1"/>
    <col min="1288" max="1288" width="5.7109375" style="953" customWidth="1"/>
    <col min="1289" max="1289" width="11" style="953" customWidth="1"/>
    <col min="1290" max="1290" width="24.42578125" style="953" customWidth="1"/>
    <col min="1291" max="1291" width="9.140625" style="953"/>
    <col min="1292" max="1292" width="19.42578125" style="953" customWidth="1"/>
    <col min="1293" max="1293" width="29" style="953" customWidth="1"/>
    <col min="1294" max="1294" width="0" style="953" hidden="1" customWidth="1"/>
    <col min="1295" max="1536" width="9.140625" style="953"/>
    <col min="1537" max="1537" width="9.140625" style="953" customWidth="1"/>
    <col min="1538" max="1538" width="20" style="953" customWidth="1"/>
    <col min="1539" max="1539" width="16.85546875" style="953" customWidth="1"/>
    <col min="1540" max="1541" width="15.140625" style="953" customWidth="1"/>
    <col min="1542" max="1542" width="29.140625" style="953" customWidth="1"/>
    <col min="1543" max="1543" width="10.7109375" style="953" customWidth="1"/>
    <col min="1544" max="1544" width="5.7109375" style="953" customWidth="1"/>
    <col min="1545" max="1545" width="11" style="953" customWidth="1"/>
    <col min="1546" max="1546" width="24.42578125" style="953" customWidth="1"/>
    <col min="1547" max="1547" width="9.140625" style="953"/>
    <col min="1548" max="1548" width="19.42578125" style="953" customWidth="1"/>
    <col min="1549" max="1549" width="29" style="953" customWidth="1"/>
    <col min="1550" max="1550" width="0" style="953" hidden="1" customWidth="1"/>
    <col min="1551" max="1792" width="9.140625" style="953"/>
    <col min="1793" max="1793" width="9.140625" style="953" customWidth="1"/>
    <col min="1794" max="1794" width="20" style="953" customWidth="1"/>
    <col min="1795" max="1795" width="16.85546875" style="953" customWidth="1"/>
    <col min="1796" max="1797" width="15.140625" style="953" customWidth="1"/>
    <col min="1798" max="1798" width="29.140625" style="953" customWidth="1"/>
    <col min="1799" max="1799" width="10.7109375" style="953" customWidth="1"/>
    <col min="1800" max="1800" width="5.7109375" style="953" customWidth="1"/>
    <col min="1801" max="1801" width="11" style="953" customWidth="1"/>
    <col min="1802" max="1802" width="24.42578125" style="953" customWidth="1"/>
    <col min="1803" max="1803" width="9.140625" style="953"/>
    <col min="1804" max="1804" width="19.42578125" style="953" customWidth="1"/>
    <col min="1805" max="1805" width="29" style="953" customWidth="1"/>
    <col min="1806" max="1806" width="0" style="953" hidden="1" customWidth="1"/>
    <col min="1807" max="2048" width="9.140625" style="953"/>
    <col min="2049" max="2049" width="9.140625" style="953" customWidth="1"/>
    <col min="2050" max="2050" width="20" style="953" customWidth="1"/>
    <col min="2051" max="2051" width="16.85546875" style="953" customWidth="1"/>
    <col min="2052" max="2053" width="15.140625" style="953" customWidth="1"/>
    <col min="2054" max="2054" width="29.140625" style="953" customWidth="1"/>
    <col min="2055" max="2055" width="10.7109375" style="953" customWidth="1"/>
    <col min="2056" max="2056" width="5.7109375" style="953" customWidth="1"/>
    <col min="2057" max="2057" width="11" style="953" customWidth="1"/>
    <col min="2058" max="2058" width="24.42578125" style="953" customWidth="1"/>
    <col min="2059" max="2059" width="9.140625" style="953"/>
    <col min="2060" max="2060" width="19.42578125" style="953" customWidth="1"/>
    <col min="2061" max="2061" width="29" style="953" customWidth="1"/>
    <col min="2062" max="2062" width="0" style="953" hidden="1" customWidth="1"/>
    <col min="2063" max="2304" width="9.140625" style="953"/>
    <col min="2305" max="2305" width="9.140625" style="953" customWidth="1"/>
    <col min="2306" max="2306" width="20" style="953" customWidth="1"/>
    <col min="2307" max="2307" width="16.85546875" style="953" customWidth="1"/>
    <col min="2308" max="2309" width="15.140625" style="953" customWidth="1"/>
    <col min="2310" max="2310" width="29.140625" style="953" customWidth="1"/>
    <col min="2311" max="2311" width="10.7109375" style="953" customWidth="1"/>
    <col min="2312" max="2312" width="5.7109375" style="953" customWidth="1"/>
    <col min="2313" max="2313" width="11" style="953" customWidth="1"/>
    <col min="2314" max="2314" width="24.42578125" style="953" customWidth="1"/>
    <col min="2315" max="2315" width="9.140625" style="953"/>
    <col min="2316" max="2316" width="19.42578125" style="953" customWidth="1"/>
    <col min="2317" max="2317" width="29" style="953" customWidth="1"/>
    <col min="2318" max="2318" width="0" style="953" hidden="1" customWidth="1"/>
    <col min="2319" max="2560" width="9.140625" style="953"/>
    <col min="2561" max="2561" width="9.140625" style="953" customWidth="1"/>
    <col min="2562" max="2562" width="20" style="953" customWidth="1"/>
    <col min="2563" max="2563" width="16.85546875" style="953" customWidth="1"/>
    <col min="2564" max="2565" width="15.140625" style="953" customWidth="1"/>
    <col min="2566" max="2566" width="29.140625" style="953" customWidth="1"/>
    <col min="2567" max="2567" width="10.7109375" style="953" customWidth="1"/>
    <col min="2568" max="2568" width="5.7109375" style="953" customWidth="1"/>
    <col min="2569" max="2569" width="11" style="953" customWidth="1"/>
    <col min="2570" max="2570" width="24.42578125" style="953" customWidth="1"/>
    <col min="2571" max="2571" width="9.140625" style="953"/>
    <col min="2572" max="2572" width="19.42578125" style="953" customWidth="1"/>
    <col min="2573" max="2573" width="29" style="953" customWidth="1"/>
    <col min="2574" max="2574" width="0" style="953" hidden="1" customWidth="1"/>
    <col min="2575" max="2816" width="9.140625" style="953"/>
    <col min="2817" max="2817" width="9.140625" style="953" customWidth="1"/>
    <col min="2818" max="2818" width="20" style="953" customWidth="1"/>
    <col min="2819" max="2819" width="16.85546875" style="953" customWidth="1"/>
    <col min="2820" max="2821" width="15.140625" style="953" customWidth="1"/>
    <col min="2822" max="2822" width="29.140625" style="953" customWidth="1"/>
    <col min="2823" max="2823" width="10.7109375" style="953" customWidth="1"/>
    <col min="2824" max="2824" width="5.7109375" style="953" customWidth="1"/>
    <col min="2825" max="2825" width="11" style="953" customWidth="1"/>
    <col min="2826" max="2826" width="24.42578125" style="953" customWidth="1"/>
    <col min="2827" max="2827" width="9.140625" style="953"/>
    <col min="2828" max="2828" width="19.42578125" style="953" customWidth="1"/>
    <col min="2829" max="2829" width="29" style="953" customWidth="1"/>
    <col min="2830" max="2830" width="0" style="953" hidden="1" customWidth="1"/>
    <col min="2831" max="3072" width="9.140625" style="953"/>
    <col min="3073" max="3073" width="9.140625" style="953" customWidth="1"/>
    <col min="3074" max="3074" width="20" style="953" customWidth="1"/>
    <col min="3075" max="3075" width="16.85546875" style="953" customWidth="1"/>
    <col min="3076" max="3077" width="15.140625" style="953" customWidth="1"/>
    <col min="3078" max="3078" width="29.140625" style="953" customWidth="1"/>
    <col min="3079" max="3079" width="10.7109375" style="953" customWidth="1"/>
    <col min="3080" max="3080" width="5.7109375" style="953" customWidth="1"/>
    <col min="3081" max="3081" width="11" style="953" customWidth="1"/>
    <col min="3082" max="3082" width="24.42578125" style="953" customWidth="1"/>
    <col min="3083" max="3083" width="9.140625" style="953"/>
    <col min="3084" max="3084" width="19.42578125" style="953" customWidth="1"/>
    <col min="3085" max="3085" width="29" style="953" customWidth="1"/>
    <col min="3086" max="3086" width="0" style="953" hidden="1" customWidth="1"/>
    <col min="3087" max="3328" width="9.140625" style="953"/>
    <col min="3329" max="3329" width="9.140625" style="953" customWidth="1"/>
    <col min="3330" max="3330" width="20" style="953" customWidth="1"/>
    <col min="3331" max="3331" width="16.85546875" style="953" customWidth="1"/>
    <col min="3332" max="3333" width="15.140625" style="953" customWidth="1"/>
    <col min="3334" max="3334" width="29.140625" style="953" customWidth="1"/>
    <col min="3335" max="3335" width="10.7109375" style="953" customWidth="1"/>
    <col min="3336" max="3336" width="5.7109375" style="953" customWidth="1"/>
    <col min="3337" max="3337" width="11" style="953" customWidth="1"/>
    <col min="3338" max="3338" width="24.42578125" style="953" customWidth="1"/>
    <col min="3339" max="3339" width="9.140625" style="953"/>
    <col min="3340" max="3340" width="19.42578125" style="953" customWidth="1"/>
    <col min="3341" max="3341" width="29" style="953" customWidth="1"/>
    <col min="3342" max="3342" width="0" style="953" hidden="1" customWidth="1"/>
    <col min="3343" max="3584" width="9.140625" style="953"/>
    <col min="3585" max="3585" width="9.140625" style="953" customWidth="1"/>
    <col min="3586" max="3586" width="20" style="953" customWidth="1"/>
    <col min="3587" max="3587" width="16.85546875" style="953" customWidth="1"/>
    <col min="3588" max="3589" width="15.140625" style="953" customWidth="1"/>
    <col min="3590" max="3590" width="29.140625" style="953" customWidth="1"/>
    <col min="3591" max="3591" width="10.7109375" style="953" customWidth="1"/>
    <col min="3592" max="3592" width="5.7109375" style="953" customWidth="1"/>
    <col min="3593" max="3593" width="11" style="953" customWidth="1"/>
    <col min="3594" max="3594" width="24.42578125" style="953" customWidth="1"/>
    <col min="3595" max="3595" width="9.140625" style="953"/>
    <col min="3596" max="3596" width="19.42578125" style="953" customWidth="1"/>
    <col min="3597" max="3597" width="29" style="953" customWidth="1"/>
    <col min="3598" max="3598" width="0" style="953" hidden="1" customWidth="1"/>
    <col min="3599" max="3840" width="9.140625" style="953"/>
    <col min="3841" max="3841" width="9.140625" style="953" customWidth="1"/>
    <col min="3842" max="3842" width="20" style="953" customWidth="1"/>
    <col min="3843" max="3843" width="16.85546875" style="953" customWidth="1"/>
    <col min="3844" max="3845" width="15.140625" style="953" customWidth="1"/>
    <col min="3846" max="3846" width="29.140625" style="953" customWidth="1"/>
    <col min="3847" max="3847" width="10.7109375" style="953" customWidth="1"/>
    <col min="3848" max="3848" width="5.7109375" style="953" customWidth="1"/>
    <col min="3849" max="3849" width="11" style="953" customWidth="1"/>
    <col min="3850" max="3850" width="24.42578125" style="953" customWidth="1"/>
    <col min="3851" max="3851" width="9.140625" style="953"/>
    <col min="3852" max="3852" width="19.42578125" style="953" customWidth="1"/>
    <col min="3853" max="3853" width="29" style="953" customWidth="1"/>
    <col min="3854" max="3854" width="0" style="953" hidden="1" customWidth="1"/>
    <col min="3855" max="4096" width="9.140625" style="953"/>
    <col min="4097" max="4097" width="9.140625" style="953" customWidth="1"/>
    <col min="4098" max="4098" width="20" style="953" customWidth="1"/>
    <col min="4099" max="4099" width="16.85546875" style="953" customWidth="1"/>
    <col min="4100" max="4101" width="15.140625" style="953" customWidth="1"/>
    <col min="4102" max="4102" width="29.140625" style="953" customWidth="1"/>
    <col min="4103" max="4103" width="10.7109375" style="953" customWidth="1"/>
    <col min="4104" max="4104" width="5.7109375" style="953" customWidth="1"/>
    <col min="4105" max="4105" width="11" style="953" customWidth="1"/>
    <col min="4106" max="4106" width="24.42578125" style="953" customWidth="1"/>
    <col min="4107" max="4107" width="9.140625" style="953"/>
    <col min="4108" max="4108" width="19.42578125" style="953" customWidth="1"/>
    <col min="4109" max="4109" width="29" style="953" customWidth="1"/>
    <col min="4110" max="4110" width="0" style="953" hidden="1" customWidth="1"/>
    <col min="4111" max="4352" width="9.140625" style="953"/>
    <col min="4353" max="4353" width="9.140625" style="953" customWidth="1"/>
    <col min="4354" max="4354" width="20" style="953" customWidth="1"/>
    <col min="4355" max="4355" width="16.85546875" style="953" customWidth="1"/>
    <col min="4356" max="4357" width="15.140625" style="953" customWidth="1"/>
    <col min="4358" max="4358" width="29.140625" style="953" customWidth="1"/>
    <col min="4359" max="4359" width="10.7109375" style="953" customWidth="1"/>
    <col min="4360" max="4360" width="5.7109375" style="953" customWidth="1"/>
    <col min="4361" max="4361" width="11" style="953" customWidth="1"/>
    <col min="4362" max="4362" width="24.42578125" style="953" customWidth="1"/>
    <col min="4363" max="4363" width="9.140625" style="953"/>
    <col min="4364" max="4364" width="19.42578125" style="953" customWidth="1"/>
    <col min="4365" max="4365" width="29" style="953" customWidth="1"/>
    <col min="4366" max="4366" width="0" style="953" hidden="1" customWidth="1"/>
    <col min="4367" max="4608" width="9.140625" style="953"/>
    <col min="4609" max="4609" width="9.140625" style="953" customWidth="1"/>
    <col min="4610" max="4610" width="20" style="953" customWidth="1"/>
    <col min="4611" max="4611" width="16.85546875" style="953" customWidth="1"/>
    <col min="4612" max="4613" width="15.140625" style="953" customWidth="1"/>
    <col min="4614" max="4614" width="29.140625" style="953" customWidth="1"/>
    <col min="4615" max="4615" width="10.7109375" style="953" customWidth="1"/>
    <col min="4616" max="4616" width="5.7109375" style="953" customWidth="1"/>
    <col min="4617" max="4617" width="11" style="953" customWidth="1"/>
    <col min="4618" max="4618" width="24.42578125" style="953" customWidth="1"/>
    <col min="4619" max="4619" width="9.140625" style="953"/>
    <col min="4620" max="4620" width="19.42578125" style="953" customWidth="1"/>
    <col min="4621" max="4621" width="29" style="953" customWidth="1"/>
    <col min="4622" max="4622" width="0" style="953" hidden="1" customWidth="1"/>
    <col min="4623" max="4864" width="9.140625" style="953"/>
    <col min="4865" max="4865" width="9.140625" style="953" customWidth="1"/>
    <col min="4866" max="4866" width="20" style="953" customWidth="1"/>
    <col min="4867" max="4867" width="16.85546875" style="953" customWidth="1"/>
    <col min="4868" max="4869" width="15.140625" style="953" customWidth="1"/>
    <col min="4870" max="4870" width="29.140625" style="953" customWidth="1"/>
    <col min="4871" max="4871" width="10.7109375" style="953" customWidth="1"/>
    <col min="4872" max="4872" width="5.7109375" style="953" customWidth="1"/>
    <col min="4873" max="4873" width="11" style="953" customWidth="1"/>
    <col min="4874" max="4874" width="24.42578125" style="953" customWidth="1"/>
    <col min="4875" max="4875" width="9.140625" style="953"/>
    <col min="4876" max="4876" width="19.42578125" style="953" customWidth="1"/>
    <col min="4877" max="4877" width="29" style="953" customWidth="1"/>
    <col min="4878" max="4878" width="0" style="953" hidden="1" customWidth="1"/>
    <col min="4879" max="5120" width="9.140625" style="953"/>
    <col min="5121" max="5121" width="9.140625" style="953" customWidth="1"/>
    <col min="5122" max="5122" width="20" style="953" customWidth="1"/>
    <col min="5123" max="5123" width="16.85546875" style="953" customWidth="1"/>
    <col min="5124" max="5125" width="15.140625" style="953" customWidth="1"/>
    <col min="5126" max="5126" width="29.140625" style="953" customWidth="1"/>
    <col min="5127" max="5127" width="10.7109375" style="953" customWidth="1"/>
    <col min="5128" max="5128" width="5.7109375" style="953" customWidth="1"/>
    <col min="5129" max="5129" width="11" style="953" customWidth="1"/>
    <col min="5130" max="5130" width="24.42578125" style="953" customWidth="1"/>
    <col min="5131" max="5131" width="9.140625" style="953"/>
    <col min="5132" max="5132" width="19.42578125" style="953" customWidth="1"/>
    <col min="5133" max="5133" width="29" style="953" customWidth="1"/>
    <col min="5134" max="5134" width="0" style="953" hidden="1" customWidth="1"/>
    <col min="5135" max="5376" width="9.140625" style="953"/>
    <col min="5377" max="5377" width="9.140625" style="953" customWidth="1"/>
    <col min="5378" max="5378" width="20" style="953" customWidth="1"/>
    <col min="5379" max="5379" width="16.85546875" style="953" customWidth="1"/>
    <col min="5380" max="5381" width="15.140625" style="953" customWidth="1"/>
    <col min="5382" max="5382" width="29.140625" style="953" customWidth="1"/>
    <col min="5383" max="5383" width="10.7109375" style="953" customWidth="1"/>
    <col min="5384" max="5384" width="5.7109375" style="953" customWidth="1"/>
    <col min="5385" max="5385" width="11" style="953" customWidth="1"/>
    <col min="5386" max="5386" width="24.42578125" style="953" customWidth="1"/>
    <col min="5387" max="5387" width="9.140625" style="953"/>
    <col min="5388" max="5388" width="19.42578125" style="953" customWidth="1"/>
    <col min="5389" max="5389" width="29" style="953" customWidth="1"/>
    <col min="5390" max="5390" width="0" style="953" hidden="1" customWidth="1"/>
    <col min="5391" max="5632" width="9.140625" style="953"/>
    <col min="5633" max="5633" width="9.140625" style="953" customWidth="1"/>
    <col min="5634" max="5634" width="20" style="953" customWidth="1"/>
    <col min="5635" max="5635" width="16.85546875" style="953" customWidth="1"/>
    <col min="5636" max="5637" width="15.140625" style="953" customWidth="1"/>
    <col min="5638" max="5638" width="29.140625" style="953" customWidth="1"/>
    <col min="5639" max="5639" width="10.7109375" style="953" customWidth="1"/>
    <col min="5640" max="5640" width="5.7109375" style="953" customWidth="1"/>
    <col min="5641" max="5641" width="11" style="953" customWidth="1"/>
    <col min="5642" max="5642" width="24.42578125" style="953" customWidth="1"/>
    <col min="5643" max="5643" width="9.140625" style="953"/>
    <col min="5644" max="5644" width="19.42578125" style="953" customWidth="1"/>
    <col min="5645" max="5645" width="29" style="953" customWidth="1"/>
    <col min="5646" max="5646" width="0" style="953" hidden="1" customWidth="1"/>
    <col min="5647" max="5888" width="9.140625" style="953"/>
    <col min="5889" max="5889" width="9.140625" style="953" customWidth="1"/>
    <col min="5890" max="5890" width="20" style="953" customWidth="1"/>
    <col min="5891" max="5891" width="16.85546875" style="953" customWidth="1"/>
    <col min="5892" max="5893" width="15.140625" style="953" customWidth="1"/>
    <col min="5894" max="5894" width="29.140625" style="953" customWidth="1"/>
    <col min="5895" max="5895" width="10.7109375" style="953" customWidth="1"/>
    <col min="5896" max="5896" width="5.7109375" style="953" customWidth="1"/>
    <col min="5897" max="5897" width="11" style="953" customWidth="1"/>
    <col min="5898" max="5898" width="24.42578125" style="953" customWidth="1"/>
    <col min="5899" max="5899" width="9.140625" style="953"/>
    <col min="5900" max="5900" width="19.42578125" style="953" customWidth="1"/>
    <col min="5901" max="5901" width="29" style="953" customWidth="1"/>
    <col min="5902" max="5902" width="0" style="953" hidden="1" customWidth="1"/>
    <col min="5903" max="6144" width="9.140625" style="953"/>
    <col min="6145" max="6145" width="9.140625" style="953" customWidth="1"/>
    <col min="6146" max="6146" width="20" style="953" customWidth="1"/>
    <col min="6147" max="6147" width="16.85546875" style="953" customWidth="1"/>
    <col min="6148" max="6149" width="15.140625" style="953" customWidth="1"/>
    <col min="6150" max="6150" width="29.140625" style="953" customWidth="1"/>
    <col min="6151" max="6151" width="10.7109375" style="953" customWidth="1"/>
    <col min="6152" max="6152" width="5.7109375" style="953" customWidth="1"/>
    <col min="6153" max="6153" width="11" style="953" customWidth="1"/>
    <col min="6154" max="6154" width="24.42578125" style="953" customWidth="1"/>
    <col min="6155" max="6155" width="9.140625" style="953"/>
    <col min="6156" max="6156" width="19.42578125" style="953" customWidth="1"/>
    <col min="6157" max="6157" width="29" style="953" customWidth="1"/>
    <col min="6158" max="6158" width="0" style="953" hidden="1" customWidth="1"/>
    <col min="6159" max="6400" width="9.140625" style="953"/>
    <col min="6401" max="6401" width="9.140625" style="953" customWidth="1"/>
    <col min="6402" max="6402" width="20" style="953" customWidth="1"/>
    <col min="6403" max="6403" width="16.85546875" style="953" customWidth="1"/>
    <col min="6404" max="6405" width="15.140625" style="953" customWidth="1"/>
    <col min="6406" max="6406" width="29.140625" style="953" customWidth="1"/>
    <col min="6407" max="6407" width="10.7109375" style="953" customWidth="1"/>
    <col min="6408" max="6408" width="5.7109375" style="953" customWidth="1"/>
    <col min="6409" max="6409" width="11" style="953" customWidth="1"/>
    <col min="6410" max="6410" width="24.42578125" style="953" customWidth="1"/>
    <col min="6411" max="6411" width="9.140625" style="953"/>
    <col min="6412" max="6412" width="19.42578125" style="953" customWidth="1"/>
    <col min="6413" max="6413" width="29" style="953" customWidth="1"/>
    <col min="6414" max="6414" width="0" style="953" hidden="1" customWidth="1"/>
    <col min="6415" max="6656" width="9.140625" style="953"/>
    <col min="6657" max="6657" width="9.140625" style="953" customWidth="1"/>
    <col min="6658" max="6658" width="20" style="953" customWidth="1"/>
    <col min="6659" max="6659" width="16.85546875" style="953" customWidth="1"/>
    <col min="6660" max="6661" width="15.140625" style="953" customWidth="1"/>
    <col min="6662" max="6662" width="29.140625" style="953" customWidth="1"/>
    <col min="6663" max="6663" width="10.7109375" style="953" customWidth="1"/>
    <col min="6664" max="6664" width="5.7109375" style="953" customWidth="1"/>
    <col min="6665" max="6665" width="11" style="953" customWidth="1"/>
    <col min="6666" max="6666" width="24.42578125" style="953" customWidth="1"/>
    <col min="6667" max="6667" width="9.140625" style="953"/>
    <col min="6668" max="6668" width="19.42578125" style="953" customWidth="1"/>
    <col min="6669" max="6669" width="29" style="953" customWidth="1"/>
    <col min="6670" max="6670" width="0" style="953" hidden="1" customWidth="1"/>
    <col min="6671" max="6912" width="9.140625" style="953"/>
    <col min="6913" max="6913" width="9.140625" style="953" customWidth="1"/>
    <col min="6914" max="6914" width="20" style="953" customWidth="1"/>
    <col min="6915" max="6915" width="16.85546875" style="953" customWidth="1"/>
    <col min="6916" max="6917" width="15.140625" style="953" customWidth="1"/>
    <col min="6918" max="6918" width="29.140625" style="953" customWidth="1"/>
    <col min="6919" max="6919" width="10.7109375" style="953" customWidth="1"/>
    <col min="6920" max="6920" width="5.7109375" style="953" customWidth="1"/>
    <col min="6921" max="6921" width="11" style="953" customWidth="1"/>
    <col min="6922" max="6922" width="24.42578125" style="953" customWidth="1"/>
    <col min="6923" max="6923" width="9.140625" style="953"/>
    <col min="6924" max="6924" width="19.42578125" style="953" customWidth="1"/>
    <col min="6925" max="6925" width="29" style="953" customWidth="1"/>
    <col min="6926" max="6926" width="0" style="953" hidden="1" customWidth="1"/>
    <col min="6927" max="7168" width="9.140625" style="953"/>
    <col min="7169" max="7169" width="9.140625" style="953" customWidth="1"/>
    <col min="7170" max="7170" width="20" style="953" customWidth="1"/>
    <col min="7171" max="7171" width="16.85546875" style="953" customWidth="1"/>
    <col min="7172" max="7173" width="15.140625" style="953" customWidth="1"/>
    <col min="7174" max="7174" width="29.140625" style="953" customWidth="1"/>
    <col min="7175" max="7175" width="10.7109375" style="953" customWidth="1"/>
    <col min="7176" max="7176" width="5.7109375" style="953" customWidth="1"/>
    <col min="7177" max="7177" width="11" style="953" customWidth="1"/>
    <col min="7178" max="7178" width="24.42578125" style="953" customWidth="1"/>
    <col min="7179" max="7179" width="9.140625" style="953"/>
    <col min="7180" max="7180" width="19.42578125" style="953" customWidth="1"/>
    <col min="7181" max="7181" width="29" style="953" customWidth="1"/>
    <col min="7182" max="7182" width="0" style="953" hidden="1" customWidth="1"/>
    <col min="7183" max="7424" width="9.140625" style="953"/>
    <col min="7425" max="7425" width="9.140625" style="953" customWidth="1"/>
    <col min="7426" max="7426" width="20" style="953" customWidth="1"/>
    <col min="7427" max="7427" width="16.85546875" style="953" customWidth="1"/>
    <col min="7428" max="7429" width="15.140625" style="953" customWidth="1"/>
    <col min="7430" max="7430" width="29.140625" style="953" customWidth="1"/>
    <col min="7431" max="7431" width="10.7109375" style="953" customWidth="1"/>
    <col min="7432" max="7432" width="5.7109375" style="953" customWidth="1"/>
    <col min="7433" max="7433" width="11" style="953" customWidth="1"/>
    <col min="7434" max="7434" width="24.42578125" style="953" customWidth="1"/>
    <col min="7435" max="7435" width="9.140625" style="953"/>
    <col min="7436" max="7436" width="19.42578125" style="953" customWidth="1"/>
    <col min="7437" max="7437" width="29" style="953" customWidth="1"/>
    <col min="7438" max="7438" width="0" style="953" hidden="1" customWidth="1"/>
    <col min="7439" max="7680" width="9.140625" style="953"/>
    <col min="7681" max="7681" width="9.140625" style="953" customWidth="1"/>
    <col min="7682" max="7682" width="20" style="953" customWidth="1"/>
    <col min="7683" max="7683" width="16.85546875" style="953" customWidth="1"/>
    <col min="7684" max="7685" width="15.140625" style="953" customWidth="1"/>
    <col min="7686" max="7686" width="29.140625" style="953" customWidth="1"/>
    <col min="7687" max="7687" width="10.7109375" style="953" customWidth="1"/>
    <col min="7688" max="7688" width="5.7109375" style="953" customWidth="1"/>
    <col min="7689" max="7689" width="11" style="953" customWidth="1"/>
    <col min="7690" max="7690" width="24.42578125" style="953" customWidth="1"/>
    <col min="7691" max="7691" width="9.140625" style="953"/>
    <col min="7692" max="7692" width="19.42578125" style="953" customWidth="1"/>
    <col min="7693" max="7693" width="29" style="953" customWidth="1"/>
    <col min="7694" max="7694" width="0" style="953" hidden="1" customWidth="1"/>
    <col min="7695" max="7936" width="9.140625" style="953"/>
    <col min="7937" max="7937" width="9.140625" style="953" customWidth="1"/>
    <col min="7938" max="7938" width="20" style="953" customWidth="1"/>
    <col min="7939" max="7939" width="16.85546875" style="953" customWidth="1"/>
    <col min="7940" max="7941" width="15.140625" style="953" customWidth="1"/>
    <col min="7942" max="7942" width="29.140625" style="953" customWidth="1"/>
    <col min="7943" max="7943" width="10.7109375" style="953" customWidth="1"/>
    <col min="7944" max="7944" width="5.7109375" style="953" customWidth="1"/>
    <col min="7945" max="7945" width="11" style="953" customWidth="1"/>
    <col min="7946" max="7946" width="24.42578125" style="953" customWidth="1"/>
    <col min="7947" max="7947" width="9.140625" style="953"/>
    <col min="7948" max="7948" width="19.42578125" style="953" customWidth="1"/>
    <col min="7949" max="7949" width="29" style="953" customWidth="1"/>
    <col min="7950" max="7950" width="0" style="953" hidden="1" customWidth="1"/>
    <col min="7951" max="8192" width="9.140625" style="953"/>
    <col min="8193" max="8193" width="9.140625" style="953" customWidth="1"/>
    <col min="8194" max="8194" width="20" style="953" customWidth="1"/>
    <col min="8195" max="8195" width="16.85546875" style="953" customWidth="1"/>
    <col min="8196" max="8197" width="15.140625" style="953" customWidth="1"/>
    <col min="8198" max="8198" width="29.140625" style="953" customWidth="1"/>
    <col min="8199" max="8199" width="10.7109375" style="953" customWidth="1"/>
    <col min="8200" max="8200" width="5.7109375" style="953" customWidth="1"/>
    <col min="8201" max="8201" width="11" style="953" customWidth="1"/>
    <col min="8202" max="8202" width="24.42578125" style="953" customWidth="1"/>
    <col min="8203" max="8203" width="9.140625" style="953"/>
    <col min="8204" max="8204" width="19.42578125" style="953" customWidth="1"/>
    <col min="8205" max="8205" width="29" style="953" customWidth="1"/>
    <col min="8206" max="8206" width="0" style="953" hidden="1" customWidth="1"/>
    <col min="8207" max="8448" width="9.140625" style="953"/>
    <col min="8449" max="8449" width="9.140625" style="953" customWidth="1"/>
    <col min="8450" max="8450" width="20" style="953" customWidth="1"/>
    <col min="8451" max="8451" width="16.85546875" style="953" customWidth="1"/>
    <col min="8452" max="8453" width="15.140625" style="953" customWidth="1"/>
    <col min="8454" max="8454" width="29.140625" style="953" customWidth="1"/>
    <col min="8455" max="8455" width="10.7109375" style="953" customWidth="1"/>
    <col min="8456" max="8456" width="5.7109375" style="953" customWidth="1"/>
    <col min="8457" max="8457" width="11" style="953" customWidth="1"/>
    <col min="8458" max="8458" width="24.42578125" style="953" customWidth="1"/>
    <col min="8459" max="8459" width="9.140625" style="953"/>
    <col min="8460" max="8460" width="19.42578125" style="953" customWidth="1"/>
    <col min="8461" max="8461" width="29" style="953" customWidth="1"/>
    <col min="8462" max="8462" width="0" style="953" hidden="1" customWidth="1"/>
    <col min="8463" max="8704" width="9.140625" style="953"/>
    <col min="8705" max="8705" width="9.140625" style="953" customWidth="1"/>
    <col min="8706" max="8706" width="20" style="953" customWidth="1"/>
    <col min="8707" max="8707" width="16.85546875" style="953" customWidth="1"/>
    <col min="8708" max="8709" width="15.140625" style="953" customWidth="1"/>
    <col min="8710" max="8710" width="29.140625" style="953" customWidth="1"/>
    <col min="8711" max="8711" width="10.7109375" style="953" customWidth="1"/>
    <col min="8712" max="8712" width="5.7109375" style="953" customWidth="1"/>
    <col min="8713" max="8713" width="11" style="953" customWidth="1"/>
    <col min="8714" max="8714" width="24.42578125" style="953" customWidth="1"/>
    <col min="8715" max="8715" width="9.140625" style="953"/>
    <col min="8716" max="8716" width="19.42578125" style="953" customWidth="1"/>
    <col min="8717" max="8717" width="29" style="953" customWidth="1"/>
    <col min="8718" max="8718" width="0" style="953" hidden="1" customWidth="1"/>
    <col min="8719" max="8960" width="9.140625" style="953"/>
    <col min="8961" max="8961" width="9.140625" style="953" customWidth="1"/>
    <col min="8962" max="8962" width="20" style="953" customWidth="1"/>
    <col min="8963" max="8963" width="16.85546875" style="953" customWidth="1"/>
    <col min="8964" max="8965" width="15.140625" style="953" customWidth="1"/>
    <col min="8966" max="8966" width="29.140625" style="953" customWidth="1"/>
    <col min="8967" max="8967" width="10.7109375" style="953" customWidth="1"/>
    <col min="8968" max="8968" width="5.7109375" style="953" customWidth="1"/>
    <col min="8969" max="8969" width="11" style="953" customWidth="1"/>
    <col min="8970" max="8970" width="24.42578125" style="953" customWidth="1"/>
    <col min="8971" max="8971" width="9.140625" style="953"/>
    <col min="8972" max="8972" width="19.42578125" style="953" customWidth="1"/>
    <col min="8973" max="8973" width="29" style="953" customWidth="1"/>
    <col min="8974" max="8974" width="0" style="953" hidden="1" customWidth="1"/>
    <col min="8975" max="9216" width="9.140625" style="953"/>
    <col min="9217" max="9217" width="9.140625" style="953" customWidth="1"/>
    <col min="9218" max="9218" width="20" style="953" customWidth="1"/>
    <col min="9219" max="9219" width="16.85546875" style="953" customWidth="1"/>
    <col min="9220" max="9221" width="15.140625" style="953" customWidth="1"/>
    <col min="9222" max="9222" width="29.140625" style="953" customWidth="1"/>
    <col min="9223" max="9223" width="10.7109375" style="953" customWidth="1"/>
    <col min="9224" max="9224" width="5.7109375" style="953" customWidth="1"/>
    <col min="9225" max="9225" width="11" style="953" customWidth="1"/>
    <col min="9226" max="9226" width="24.42578125" style="953" customWidth="1"/>
    <col min="9227" max="9227" width="9.140625" style="953"/>
    <col min="9228" max="9228" width="19.42578125" style="953" customWidth="1"/>
    <col min="9229" max="9229" width="29" style="953" customWidth="1"/>
    <col min="9230" max="9230" width="0" style="953" hidden="1" customWidth="1"/>
    <col min="9231" max="9472" width="9.140625" style="953"/>
    <col min="9473" max="9473" width="9.140625" style="953" customWidth="1"/>
    <col min="9474" max="9474" width="20" style="953" customWidth="1"/>
    <col min="9475" max="9475" width="16.85546875" style="953" customWidth="1"/>
    <col min="9476" max="9477" width="15.140625" style="953" customWidth="1"/>
    <col min="9478" max="9478" width="29.140625" style="953" customWidth="1"/>
    <col min="9479" max="9479" width="10.7109375" style="953" customWidth="1"/>
    <col min="9480" max="9480" width="5.7109375" style="953" customWidth="1"/>
    <col min="9481" max="9481" width="11" style="953" customWidth="1"/>
    <col min="9482" max="9482" width="24.42578125" style="953" customWidth="1"/>
    <col min="9483" max="9483" width="9.140625" style="953"/>
    <col min="9484" max="9484" width="19.42578125" style="953" customWidth="1"/>
    <col min="9485" max="9485" width="29" style="953" customWidth="1"/>
    <col min="9486" max="9486" width="0" style="953" hidden="1" customWidth="1"/>
    <col min="9487" max="9728" width="9.140625" style="953"/>
    <col min="9729" max="9729" width="9.140625" style="953" customWidth="1"/>
    <col min="9730" max="9730" width="20" style="953" customWidth="1"/>
    <col min="9731" max="9731" width="16.85546875" style="953" customWidth="1"/>
    <col min="9732" max="9733" width="15.140625" style="953" customWidth="1"/>
    <col min="9734" max="9734" width="29.140625" style="953" customWidth="1"/>
    <col min="9735" max="9735" width="10.7109375" style="953" customWidth="1"/>
    <col min="9736" max="9736" width="5.7109375" style="953" customWidth="1"/>
    <col min="9737" max="9737" width="11" style="953" customWidth="1"/>
    <col min="9738" max="9738" width="24.42578125" style="953" customWidth="1"/>
    <col min="9739" max="9739" width="9.140625" style="953"/>
    <col min="9740" max="9740" width="19.42578125" style="953" customWidth="1"/>
    <col min="9741" max="9741" width="29" style="953" customWidth="1"/>
    <col min="9742" max="9742" width="0" style="953" hidden="1" customWidth="1"/>
    <col min="9743" max="9984" width="9.140625" style="953"/>
    <col min="9985" max="9985" width="9.140625" style="953" customWidth="1"/>
    <col min="9986" max="9986" width="20" style="953" customWidth="1"/>
    <col min="9987" max="9987" width="16.85546875" style="953" customWidth="1"/>
    <col min="9988" max="9989" width="15.140625" style="953" customWidth="1"/>
    <col min="9990" max="9990" width="29.140625" style="953" customWidth="1"/>
    <col min="9991" max="9991" width="10.7109375" style="953" customWidth="1"/>
    <col min="9992" max="9992" width="5.7109375" style="953" customWidth="1"/>
    <col min="9993" max="9993" width="11" style="953" customWidth="1"/>
    <col min="9994" max="9994" width="24.42578125" style="953" customWidth="1"/>
    <col min="9995" max="9995" width="9.140625" style="953"/>
    <col min="9996" max="9996" width="19.42578125" style="953" customWidth="1"/>
    <col min="9997" max="9997" width="29" style="953" customWidth="1"/>
    <col min="9998" max="9998" width="0" style="953" hidden="1" customWidth="1"/>
    <col min="9999" max="10240" width="9.140625" style="953"/>
    <col min="10241" max="10241" width="9.140625" style="953" customWidth="1"/>
    <col min="10242" max="10242" width="20" style="953" customWidth="1"/>
    <col min="10243" max="10243" width="16.85546875" style="953" customWidth="1"/>
    <col min="10244" max="10245" width="15.140625" style="953" customWidth="1"/>
    <col min="10246" max="10246" width="29.140625" style="953" customWidth="1"/>
    <col min="10247" max="10247" width="10.7109375" style="953" customWidth="1"/>
    <col min="10248" max="10248" width="5.7109375" style="953" customWidth="1"/>
    <col min="10249" max="10249" width="11" style="953" customWidth="1"/>
    <col min="10250" max="10250" width="24.42578125" style="953" customWidth="1"/>
    <col min="10251" max="10251" width="9.140625" style="953"/>
    <col min="10252" max="10252" width="19.42578125" style="953" customWidth="1"/>
    <col min="10253" max="10253" width="29" style="953" customWidth="1"/>
    <col min="10254" max="10254" width="0" style="953" hidden="1" customWidth="1"/>
    <col min="10255" max="10496" width="9.140625" style="953"/>
    <col min="10497" max="10497" width="9.140625" style="953" customWidth="1"/>
    <col min="10498" max="10498" width="20" style="953" customWidth="1"/>
    <col min="10499" max="10499" width="16.85546875" style="953" customWidth="1"/>
    <col min="10500" max="10501" width="15.140625" style="953" customWidth="1"/>
    <col min="10502" max="10502" width="29.140625" style="953" customWidth="1"/>
    <col min="10503" max="10503" width="10.7109375" style="953" customWidth="1"/>
    <col min="10504" max="10504" width="5.7109375" style="953" customWidth="1"/>
    <col min="10505" max="10505" width="11" style="953" customWidth="1"/>
    <col min="10506" max="10506" width="24.42578125" style="953" customWidth="1"/>
    <col min="10507" max="10507" width="9.140625" style="953"/>
    <col min="10508" max="10508" width="19.42578125" style="953" customWidth="1"/>
    <col min="10509" max="10509" width="29" style="953" customWidth="1"/>
    <col min="10510" max="10510" width="0" style="953" hidden="1" customWidth="1"/>
    <col min="10511" max="10752" width="9.140625" style="953"/>
    <col min="10753" max="10753" width="9.140625" style="953" customWidth="1"/>
    <col min="10754" max="10754" width="20" style="953" customWidth="1"/>
    <col min="10755" max="10755" width="16.85546875" style="953" customWidth="1"/>
    <col min="10756" max="10757" width="15.140625" style="953" customWidth="1"/>
    <col min="10758" max="10758" width="29.140625" style="953" customWidth="1"/>
    <col min="10759" max="10759" width="10.7109375" style="953" customWidth="1"/>
    <col min="10760" max="10760" width="5.7109375" style="953" customWidth="1"/>
    <col min="10761" max="10761" width="11" style="953" customWidth="1"/>
    <col min="10762" max="10762" width="24.42578125" style="953" customWidth="1"/>
    <col min="10763" max="10763" width="9.140625" style="953"/>
    <col min="10764" max="10764" width="19.42578125" style="953" customWidth="1"/>
    <col min="10765" max="10765" width="29" style="953" customWidth="1"/>
    <col min="10766" max="10766" width="0" style="953" hidden="1" customWidth="1"/>
    <col min="10767" max="11008" width="9.140625" style="953"/>
    <col min="11009" max="11009" width="9.140625" style="953" customWidth="1"/>
    <col min="11010" max="11010" width="20" style="953" customWidth="1"/>
    <col min="11011" max="11011" width="16.85546875" style="953" customWidth="1"/>
    <col min="11012" max="11013" width="15.140625" style="953" customWidth="1"/>
    <col min="11014" max="11014" width="29.140625" style="953" customWidth="1"/>
    <col min="11015" max="11015" width="10.7109375" style="953" customWidth="1"/>
    <col min="11016" max="11016" width="5.7109375" style="953" customWidth="1"/>
    <col min="11017" max="11017" width="11" style="953" customWidth="1"/>
    <col min="11018" max="11018" width="24.42578125" style="953" customWidth="1"/>
    <col min="11019" max="11019" width="9.140625" style="953"/>
    <col min="11020" max="11020" width="19.42578125" style="953" customWidth="1"/>
    <col min="11021" max="11021" width="29" style="953" customWidth="1"/>
    <col min="11022" max="11022" width="0" style="953" hidden="1" customWidth="1"/>
    <col min="11023" max="11264" width="9.140625" style="953"/>
    <col min="11265" max="11265" width="9.140625" style="953" customWidth="1"/>
    <col min="11266" max="11266" width="20" style="953" customWidth="1"/>
    <col min="11267" max="11267" width="16.85546875" style="953" customWidth="1"/>
    <col min="11268" max="11269" width="15.140625" style="953" customWidth="1"/>
    <col min="11270" max="11270" width="29.140625" style="953" customWidth="1"/>
    <col min="11271" max="11271" width="10.7109375" style="953" customWidth="1"/>
    <col min="11272" max="11272" width="5.7109375" style="953" customWidth="1"/>
    <col min="11273" max="11273" width="11" style="953" customWidth="1"/>
    <col min="11274" max="11274" width="24.42578125" style="953" customWidth="1"/>
    <col min="11275" max="11275" width="9.140625" style="953"/>
    <col min="11276" max="11276" width="19.42578125" style="953" customWidth="1"/>
    <col min="11277" max="11277" width="29" style="953" customWidth="1"/>
    <col min="11278" max="11278" width="0" style="953" hidden="1" customWidth="1"/>
    <col min="11279" max="11520" width="9.140625" style="953"/>
    <col min="11521" max="11521" width="9.140625" style="953" customWidth="1"/>
    <col min="11522" max="11522" width="20" style="953" customWidth="1"/>
    <col min="11523" max="11523" width="16.85546875" style="953" customWidth="1"/>
    <col min="11524" max="11525" width="15.140625" style="953" customWidth="1"/>
    <col min="11526" max="11526" width="29.140625" style="953" customWidth="1"/>
    <col min="11527" max="11527" width="10.7109375" style="953" customWidth="1"/>
    <col min="11528" max="11528" width="5.7109375" style="953" customWidth="1"/>
    <col min="11529" max="11529" width="11" style="953" customWidth="1"/>
    <col min="11530" max="11530" width="24.42578125" style="953" customWidth="1"/>
    <col min="11531" max="11531" width="9.140625" style="953"/>
    <col min="11532" max="11532" width="19.42578125" style="953" customWidth="1"/>
    <col min="11533" max="11533" width="29" style="953" customWidth="1"/>
    <col min="11534" max="11534" width="0" style="953" hidden="1" customWidth="1"/>
    <col min="11535" max="11776" width="9.140625" style="953"/>
    <col min="11777" max="11777" width="9.140625" style="953" customWidth="1"/>
    <col min="11778" max="11778" width="20" style="953" customWidth="1"/>
    <col min="11779" max="11779" width="16.85546875" style="953" customWidth="1"/>
    <col min="11780" max="11781" width="15.140625" style="953" customWidth="1"/>
    <col min="11782" max="11782" width="29.140625" style="953" customWidth="1"/>
    <col min="11783" max="11783" width="10.7109375" style="953" customWidth="1"/>
    <col min="11784" max="11784" width="5.7109375" style="953" customWidth="1"/>
    <col min="11785" max="11785" width="11" style="953" customWidth="1"/>
    <col min="11786" max="11786" width="24.42578125" style="953" customWidth="1"/>
    <col min="11787" max="11787" width="9.140625" style="953"/>
    <col min="11788" max="11788" width="19.42578125" style="953" customWidth="1"/>
    <col min="11789" max="11789" width="29" style="953" customWidth="1"/>
    <col min="11790" max="11790" width="0" style="953" hidden="1" customWidth="1"/>
    <col min="11791" max="12032" width="9.140625" style="953"/>
    <col min="12033" max="12033" width="9.140625" style="953" customWidth="1"/>
    <col min="12034" max="12034" width="20" style="953" customWidth="1"/>
    <col min="12035" max="12035" width="16.85546875" style="953" customWidth="1"/>
    <col min="12036" max="12037" width="15.140625" style="953" customWidth="1"/>
    <col min="12038" max="12038" width="29.140625" style="953" customWidth="1"/>
    <col min="12039" max="12039" width="10.7109375" style="953" customWidth="1"/>
    <col min="12040" max="12040" width="5.7109375" style="953" customWidth="1"/>
    <col min="12041" max="12041" width="11" style="953" customWidth="1"/>
    <col min="12042" max="12042" width="24.42578125" style="953" customWidth="1"/>
    <col min="12043" max="12043" width="9.140625" style="953"/>
    <col min="12044" max="12044" width="19.42578125" style="953" customWidth="1"/>
    <col min="12045" max="12045" width="29" style="953" customWidth="1"/>
    <col min="12046" max="12046" width="0" style="953" hidden="1" customWidth="1"/>
    <col min="12047" max="12288" width="9.140625" style="953"/>
    <col min="12289" max="12289" width="9.140625" style="953" customWidth="1"/>
    <col min="12290" max="12290" width="20" style="953" customWidth="1"/>
    <col min="12291" max="12291" width="16.85546875" style="953" customWidth="1"/>
    <col min="12292" max="12293" width="15.140625" style="953" customWidth="1"/>
    <col min="12294" max="12294" width="29.140625" style="953" customWidth="1"/>
    <col min="12295" max="12295" width="10.7109375" style="953" customWidth="1"/>
    <col min="12296" max="12296" width="5.7109375" style="953" customWidth="1"/>
    <col min="12297" max="12297" width="11" style="953" customWidth="1"/>
    <col min="12298" max="12298" width="24.42578125" style="953" customWidth="1"/>
    <col min="12299" max="12299" width="9.140625" style="953"/>
    <col min="12300" max="12300" width="19.42578125" style="953" customWidth="1"/>
    <col min="12301" max="12301" width="29" style="953" customWidth="1"/>
    <col min="12302" max="12302" width="0" style="953" hidden="1" customWidth="1"/>
    <col min="12303" max="12544" width="9.140625" style="953"/>
    <col min="12545" max="12545" width="9.140625" style="953" customWidth="1"/>
    <col min="12546" max="12546" width="20" style="953" customWidth="1"/>
    <col min="12547" max="12547" width="16.85546875" style="953" customWidth="1"/>
    <col min="12548" max="12549" width="15.140625" style="953" customWidth="1"/>
    <col min="12550" max="12550" width="29.140625" style="953" customWidth="1"/>
    <col min="12551" max="12551" width="10.7109375" style="953" customWidth="1"/>
    <col min="12552" max="12552" width="5.7109375" style="953" customWidth="1"/>
    <col min="12553" max="12553" width="11" style="953" customWidth="1"/>
    <col min="12554" max="12554" width="24.42578125" style="953" customWidth="1"/>
    <col min="12555" max="12555" width="9.140625" style="953"/>
    <col min="12556" max="12556" width="19.42578125" style="953" customWidth="1"/>
    <col min="12557" max="12557" width="29" style="953" customWidth="1"/>
    <col min="12558" max="12558" width="0" style="953" hidden="1" customWidth="1"/>
    <col min="12559" max="12800" width="9.140625" style="953"/>
    <col min="12801" max="12801" width="9.140625" style="953" customWidth="1"/>
    <col min="12802" max="12802" width="20" style="953" customWidth="1"/>
    <col min="12803" max="12803" width="16.85546875" style="953" customWidth="1"/>
    <col min="12804" max="12805" width="15.140625" style="953" customWidth="1"/>
    <col min="12806" max="12806" width="29.140625" style="953" customWidth="1"/>
    <col min="12807" max="12807" width="10.7109375" style="953" customWidth="1"/>
    <col min="12808" max="12808" width="5.7109375" style="953" customWidth="1"/>
    <col min="12809" max="12809" width="11" style="953" customWidth="1"/>
    <col min="12810" max="12810" width="24.42578125" style="953" customWidth="1"/>
    <col min="12811" max="12811" width="9.140625" style="953"/>
    <col min="12812" max="12812" width="19.42578125" style="953" customWidth="1"/>
    <col min="12813" max="12813" width="29" style="953" customWidth="1"/>
    <col min="12814" max="12814" width="0" style="953" hidden="1" customWidth="1"/>
    <col min="12815" max="13056" width="9.140625" style="953"/>
    <col min="13057" max="13057" width="9.140625" style="953" customWidth="1"/>
    <col min="13058" max="13058" width="20" style="953" customWidth="1"/>
    <col min="13059" max="13059" width="16.85546875" style="953" customWidth="1"/>
    <col min="13060" max="13061" width="15.140625" style="953" customWidth="1"/>
    <col min="13062" max="13062" width="29.140625" style="953" customWidth="1"/>
    <col min="13063" max="13063" width="10.7109375" style="953" customWidth="1"/>
    <col min="13064" max="13064" width="5.7109375" style="953" customWidth="1"/>
    <col min="13065" max="13065" width="11" style="953" customWidth="1"/>
    <col min="13066" max="13066" width="24.42578125" style="953" customWidth="1"/>
    <col min="13067" max="13067" width="9.140625" style="953"/>
    <col min="13068" max="13068" width="19.42578125" style="953" customWidth="1"/>
    <col min="13069" max="13069" width="29" style="953" customWidth="1"/>
    <col min="13070" max="13070" width="0" style="953" hidden="1" customWidth="1"/>
    <col min="13071" max="13312" width="9.140625" style="953"/>
    <col min="13313" max="13313" width="9.140625" style="953" customWidth="1"/>
    <col min="13314" max="13314" width="20" style="953" customWidth="1"/>
    <col min="13315" max="13315" width="16.85546875" style="953" customWidth="1"/>
    <col min="13316" max="13317" width="15.140625" style="953" customWidth="1"/>
    <col min="13318" max="13318" width="29.140625" style="953" customWidth="1"/>
    <col min="13319" max="13319" width="10.7109375" style="953" customWidth="1"/>
    <col min="13320" max="13320" width="5.7109375" style="953" customWidth="1"/>
    <col min="13321" max="13321" width="11" style="953" customWidth="1"/>
    <col min="13322" max="13322" width="24.42578125" style="953" customWidth="1"/>
    <col min="13323" max="13323" width="9.140625" style="953"/>
    <col min="13324" max="13324" width="19.42578125" style="953" customWidth="1"/>
    <col min="13325" max="13325" width="29" style="953" customWidth="1"/>
    <col min="13326" max="13326" width="0" style="953" hidden="1" customWidth="1"/>
    <col min="13327" max="13568" width="9.140625" style="953"/>
    <col min="13569" max="13569" width="9.140625" style="953" customWidth="1"/>
    <col min="13570" max="13570" width="20" style="953" customWidth="1"/>
    <col min="13571" max="13571" width="16.85546875" style="953" customWidth="1"/>
    <col min="13572" max="13573" width="15.140625" style="953" customWidth="1"/>
    <col min="13574" max="13574" width="29.140625" style="953" customWidth="1"/>
    <col min="13575" max="13575" width="10.7109375" style="953" customWidth="1"/>
    <col min="13576" max="13576" width="5.7109375" style="953" customWidth="1"/>
    <col min="13577" max="13577" width="11" style="953" customWidth="1"/>
    <col min="13578" max="13578" width="24.42578125" style="953" customWidth="1"/>
    <col min="13579" max="13579" width="9.140625" style="953"/>
    <col min="13580" max="13580" width="19.42578125" style="953" customWidth="1"/>
    <col min="13581" max="13581" width="29" style="953" customWidth="1"/>
    <col min="13582" max="13582" width="0" style="953" hidden="1" customWidth="1"/>
    <col min="13583" max="13824" width="9.140625" style="953"/>
    <col min="13825" max="13825" width="9.140625" style="953" customWidth="1"/>
    <col min="13826" max="13826" width="20" style="953" customWidth="1"/>
    <col min="13827" max="13827" width="16.85546875" style="953" customWidth="1"/>
    <col min="13828" max="13829" width="15.140625" style="953" customWidth="1"/>
    <col min="13830" max="13830" width="29.140625" style="953" customWidth="1"/>
    <col min="13831" max="13831" width="10.7109375" style="953" customWidth="1"/>
    <col min="13832" max="13832" width="5.7109375" style="953" customWidth="1"/>
    <col min="13833" max="13833" width="11" style="953" customWidth="1"/>
    <col min="13834" max="13834" width="24.42578125" style="953" customWidth="1"/>
    <col min="13835" max="13835" width="9.140625" style="953"/>
    <col min="13836" max="13836" width="19.42578125" style="953" customWidth="1"/>
    <col min="13837" max="13837" width="29" style="953" customWidth="1"/>
    <col min="13838" max="13838" width="0" style="953" hidden="1" customWidth="1"/>
    <col min="13839" max="14080" width="9.140625" style="953"/>
    <col min="14081" max="14081" width="9.140625" style="953" customWidth="1"/>
    <col min="14082" max="14082" width="20" style="953" customWidth="1"/>
    <col min="14083" max="14083" width="16.85546875" style="953" customWidth="1"/>
    <col min="14084" max="14085" width="15.140625" style="953" customWidth="1"/>
    <col min="14086" max="14086" width="29.140625" style="953" customWidth="1"/>
    <col min="14087" max="14087" width="10.7109375" style="953" customWidth="1"/>
    <col min="14088" max="14088" width="5.7109375" style="953" customWidth="1"/>
    <col min="14089" max="14089" width="11" style="953" customWidth="1"/>
    <col min="14090" max="14090" width="24.42578125" style="953" customWidth="1"/>
    <col min="14091" max="14091" width="9.140625" style="953"/>
    <col min="14092" max="14092" width="19.42578125" style="953" customWidth="1"/>
    <col min="14093" max="14093" width="29" style="953" customWidth="1"/>
    <col min="14094" max="14094" width="0" style="953" hidden="1" customWidth="1"/>
    <col min="14095" max="14336" width="9.140625" style="953"/>
    <col min="14337" max="14337" width="9.140625" style="953" customWidth="1"/>
    <col min="14338" max="14338" width="20" style="953" customWidth="1"/>
    <col min="14339" max="14339" width="16.85546875" style="953" customWidth="1"/>
    <col min="14340" max="14341" width="15.140625" style="953" customWidth="1"/>
    <col min="14342" max="14342" width="29.140625" style="953" customWidth="1"/>
    <col min="14343" max="14343" width="10.7109375" style="953" customWidth="1"/>
    <col min="14344" max="14344" width="5.7109375" style="953" customWidth="1"/>
    <col min="14345" max="14345" width="11" style="953" customWidth="1"/>
    <col min="14346" max="14346" width="24.42578125" style="953" customWidth="1"/>
    <col min="14347" max="14347" width="9.140625" style="953"/>
    <col min="14348" max="14348" width="19.42578125" style="953" customWidth="1"/>
    <col min="14349" max="14349" width="29" style="953" customWidth="1"/>
    <col min="14350" max="14350" width="0" style="953" hidden="1" customWidth="1"/>
    <col min="14351" max="14592" width="9.140625" style="953"/>
    <col min="14593" max="14593" width="9.140625" style="953" customWidth="1"/>
    <col min="14594" max="14594" width="20" style="953" customWidth="1"/>
    <col min="14595" max="14595" width="16.85546875" style="953" customWidth="1"/>
    <col min="14596" max="14597" width="15.140625" style="953" customWidth="1"/>
    <col min="14598" max="14598" width="29.140625" style="953" customWidth="1"/>
    <col min="14599" max="14599" width="10.7109375" style="953" customWidth="1"/>
    <col min="14600" max="14600" width="5.7109375" style="953" customWidth="1"/>
    <col min="14601" max="14601" width="11" style="953" customWidth="1"/>
    <col min="14602" max="14602" width="24.42578125" style="953" customWidth="1"/>
    <col min="14603" max="14603" width="9.140625" style="953"/>
    <col min="14604" max="14604" width="19.42578125" style="953" customWidth="1"/>
    <col min="14605" max="14605" width="29" style="953" customWidth="1"/>
    <col min="14606" max="14606" width="0" style="953" hidden="1" customWidth="1"/>
    <col min="14607" max="14848" width="9.140625" style="953"/>
    <col min="14849" max="14849" width="9.140625" style="953" customWidth="1"/>
    <col min="14850" max="14850" width="20" style="953" customWidth="1"/>
    <col min="14851" max="14851" width="16.85546875" style="953" customWidth="1"/>
    <col min="14852" max="14853" width="15.140625" style="953" customWidth="1"/>
    <col min="14854" max="14854" width="29.140625" style="953" customWidth="1"/>
    <col min="14855" max="14855" width="10.7109375" style="953" customWidth="1"/>
    <col min="14856" max="14856" width="5.7109375" style="953" customWidth="1"/>
    <col min="14857" max="14857" width="11" style="953" customWidth="1"/>
    <col min="14858" max="14858" width="24.42578125" style="953" customWidth="1"/>
    <col min="14859" max="14859" width="9.140625" style="953"/>
    <col min="14860" max="14860" width="19.42578125" style="953" customWidth="1"/>
    <col min="14861" max="14861" width="29" style="953" customWidth="1"/>
    <col min="14862" max="14862" width="0" style="953" hidden="1" customWidth="1"/>
    <col min="14863" max="15104" width="9.140625" style="953"/>
    <col min="15105" max="15105" width="9.140625" style="953" customWidth="1"/>
    <col min="15106" max="15106" width="20" style="953" customWidth="1"/>
    <col min="15107" max="15107" width="16.85546875" style="953" customWidth="1"/>
    <col min="15108" max="15109" width="15.140625" style="953" customWidth="1"/>
    <col min="15110" max="15110" width="29.140625" style="953" customWidth="1"/>
    <col min="15111" max="15111" width="10.7109375" style="953" customWidth="1"/>
    <col min="15112" max="15112" width="5.7109375" style="953" customWidth="1"/>
    <col min="15113" max="15113" width="11" style="953" customWidth="1"/>
    <col min="15114" max="15114" width="24.42578125" style="953" customWidth="1"/>
    <col min="15115" max="15115" width="9.140625" style="953"/>
    <col min="15116" max="15116" width="19.42578125" style="953" customWidth="1"/>
    <col min="15117" max="15117" width="29" style="953" customWidth="1"/>
    <col min="15118" max="15118" width="0" style="953" hidden="1" customWidth="1"/>
    <col min="15119" max="15360" width="9.140625" style="953"/>
    <col min="15361" max="15361" width="9.140625" style="953" customWidth="1"/>
    <col min="15362" max="15362" width="20" style="953" customWidth="1"/>
    <col min="15363" max="15363" width="16.85546875" style="953" customWidth="1"/>
    <col min="15364" max="15365" width="15.140625" style="953" customWidth="1"/>
    <col min="15366" max="15366" width="29.140625" style="953" customWidth="1"/>
    <col min="15367" max="15367" width="10.7109375" style="953" customWidth="1"/>
    <col min="15368" max="15368" width="5.7109375" style="953" customWidth="1"/>
    <col min="15369" max="15369" width="11" style="953" customWidth="1"/>
    <col min="15370" max="15370" width="24.42578125" style="953" customWidth="1"/>
    <col min="15371" max="15371" width="9.140625" style="953"/>
    <col min="15372" max="15372" width="19.42578125" style="953" customWidth="1"/>
    <col min="15373" max="15373" width="29" style="953" customWidth="1"/>
    <col min="15374" max="15374" width="0" style="953" hidden="1" customWidth="1"/>
    <col min="15375" max="15616" width="9.140625" style="953"/>
    <col min="15617" max="15617" width="9.140625" style="953" customWidth="1"/>
    <col min="15618" max="15618" width="20" style="953" customWidth="1"/>
    <col min="15619" max="15619" width="16.85546875" style="953" customWidth="1"/>
    <col min="15620" max="15621" width="15.140625" style="953" customWidth="1"/>
    <col min="15622" max="15622" width="29.140625" style="953" customWidth="1"/>
    <col min="15623" max="15623" width="10.7109375" style="953" customWidth="1"/>
    <col min="15624" max="15624" width="5.7109375" style="953" customWidth="1"/>
    <col min="15625" max="15625" width="11" style="953" customWidth="1"/>
    <col min="15626" max="15626" width="24.42578125" style="953" customWidth="1"/>
    <col min="15627" max="15627" width="9.140625" style="953"/>
    <col min="15628" max="15628" width="19.42578125" style="953" customWidth="1"/>
    <col min="15629" max="15629" width="29" style="953" customWidth="1"/>
    <col min="15630" max="15630" width="0" style="953" hidden="1" customWidth="1"/>
    <col min="15631" max="15872" width="9.140625" style="953"/>
    <col min="15873" max="15873" width="9.140625" style="953" customWidth="1"/>
    <col min="15874" max="15874" width="20" style="953" customWidth="1"/>
    <col min="15875" max="15875" width="16.85546875" style="953" customWidth="1"/>
    <col min="15876" max="15877" width="15.140625" style="953" customWidth="1"/>
    <col min="15878" max="15878" width="29.140625" style="953" customWidth="1"/>
    <col min="15879" max="15879" width="10.7109375" style="953" customWidth="1"/>
    <col min="15880" max="15880" width="5.7109375" style="953" customWidth="1"/>
    <col min="15881" max="15881" width="11" style="953" customWidth="1"/>
    <col min="15882" max="15882" width="24.42578125" style="953" customWidth="1"/>
    <col min="15883" max="15883" width="9.140625" style="953"/>
    <col min="15884" max="15884" width="19.42578125" style="953" customWidth="1"/>
    <col min="15885" max="15885" width="29" style="953" customWidth="1"/>
    <col min="15886" max="15886" width="0" style="953" hidden="1" customWidth="1"/>
    <col min="15887" max="16128" width="9.140625" style="953"/>
    <col min="16129" max="16129" width="9.140625" style="953" customWidth="1"/>
    <col min="16130" max="16130" width="20" style="953" customWidth="1"/>
    <col min="16131" max="16131" width="16.85546875" style="953" customWidth="1"/>
    <col min="16132" max="16133" width="15.140625" style="953" customWidth="1"/>
    <col min="16134" max="16134" width="29.140625" style="953" customWidth="1"/>
    <col min="16135" max="16135" width="10.7109375" style="953" customWidth="1"/>
    <col min="16136" max="16136" width="5.7109375" style="953" customWidth="1"/>
    <col min="16137" max="16137" width="11" style="953" customWidth="1"/>
    <col min="16138" max="16138" width="24.42578125" style="953" customWidth="1"/>
    <col min="16139" max="16139" width="9.140625" style="953"/>
    <col min="16140" max="16140" width="19.42578125" style="953" customWidth="1"/>
    <col min="16141" max="16141" width="29" style="953" customWidth="1"/>
    <col min="16142" max="16142" width="0" style="953" hidden="1" customWidth="1"/>
    <col min="16143" max="16384" width="9.140625" style="953"/>
  </cols>
  <sheetData>
    <row r="1" spans="1:60" ht="26.25" customHeight="1">
      <c r="A1" s="1437" t="s">
        <v>1597</v>
      </c>
      <c r="B1" s="1438" t="s">
        <v>1598</v>
      </c>
      <c r="C1" s="1439"/>
      <c r="D1" s="1439"/>
      <c r="E1" s="1439"/>
      <c r="F1" s="1441"/>
      <c r="G1" s="1439"/>
      <c r="H1" s="1439"/>
      <c r="I1" s="1439"/>
      <c r="J1" s="1439"/>
      <c r="K1" s="953"/>
    </row>
    <row r="2" spans="1:60" ht="26.25" customHeight="1">
      <c r="A2" s="953"/>
      <c r="B2" s="1438" t="s">
        <v>1599</v>
      </c>
      <c r="C2" s="1439"/>
      <c r="D2" s="1439"/>
      <c r="E2" s="1439"/>
      <c r="F2" s="1441"/>
      <c r="G2" s="1439"/>
      <c r="H2" s="1439"/>
      <c r="I2" s="1439"/>
      <c r="J2" s="1439"/>
      <c r="K2" s="953"/>
    </row>
    <row r="3" spans="1:60" ht="26.25" customHeight="1">
      <c r="A3" s="953"/>
      <c r="B3" s="1440" t="s">
        <v>409</v>
      </c>
      <c r="C3" s="1440">
        <f>'Project Info'!$C$3</f>
        <v>0</v>
      </c>
      <c r="D3" s="1440"/>
      <c r="E3" s="1439"/>
      <c r="F3" s="1441"/>
      <c r="G3" s="1439"/>
      <c r="H3" s="1439"/>
      <c r="I3" s="1439"/>
      <c r="J3" s="1439"/>
      <c r="K3" s="953"/>
    </row>
    <row r="4" spans="1:60" ht="26.25" customHeight="1">
      <c r="B4" s="1439"/>
      <c r="C4" s="1440"/>
      <c r="D4" s="1440"/>
      <c r="E4" s="1439"/>
      <c r="F4" s="1441"/>
      <c r="G4" s="1439"/>
      <c r="H4" s="1439"/>
      <c r="I4" s="1439"/>
      <c r="J4" s="1439"/>
    </row>
    <row r="5" spans="1:60" s="1448" customFormat="1" ht="15.75">
      <c r="A5" s="1442"/>
      <c r="B5" s="1443" t="s">
        <v>2015</v>
      </c>
      <c r="C5" s="1444"/>
      <c r="D5" s="1444"/>
      <c r="E5" s="1445"/>
      <c r="F5" s="1617"/>
      <c r="G5" s="1617"/>
      <c r="H5" s="2628" t="s">
        <v>1601</v>
      </c>
      <c r="I5" s="2628"/>
      <c r="J5" s="1447" t="s">
        <v>1602</v>
      </c>
      <c r="K5" s="1442"/>
      <c r="L5" s="1475"/>
      <c r="M5" s="1475"/>
      <c r="N5" s="1475"/>
      <c r="O5" s="1475"/>
      <c r="P5" s="1475"/>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c r="BD5" s="1475"/>
      <c r="BE5" s="1475"/>
      <c r="BF5" s="1475"/>
      <c r="BG5" s="1475"/>
      <c r="BH5" s="1475"/>
    </row>
    <row r="6" spans="1:60">
      <c r="B6" s="1449"/>
      <c r="C6" s="1449"/>
      <c r="D6" s="1449"/>
      <c r="E6" s="1449"/>
      <c r="F6" s="1449"/>
      <c r="G6" s="1449"/>
      <c r="H6" s="2674" t="s">
        <v>1603</v>
      </c>
      <c r="I6" s="2624"/>
      <c r="J6" s="1137"/>
    </row>
    <row r="7" spans="1:60">
      <c r="B7" s="1451" t="s">
        <v>1604</v>
      </c>
      <c r="C7" s="1449"/>
      <c r="D7" s="1449"/>
      <c r="E7" s="1449"/>
      <c r="F7" s="1449"/>
      <c r="G7" s="1449"/>
      <c r="H7" s="2624"/>
      <c r="I7" s="2624"/>
      <c r="J7" s="1164"/>
    </row>
    <row r="8" spans="1:60" ht="42.75" customHeight="1">
      <c r="B8" s="2585" t="s">
        <v>2016</v>
      </c>
      <c r="C8" s="2585"/>
      <c r="D8" s="2585"/>
      <c r="E8" s="2585"/>
      <c r="F8" s="2585"/>
      <c r="G8" s="2585"/>
      <c r="H8" s="2624"/>
      <c r="I8" s="2624"/>
      <c r="J8" s="1111"/>
      <c r="K8" s="1460"/>
    </row>
    <row r="9" spans="1:60" ht="13.5" customHeight="1">
      <c r="B9" s="2585" t="s">
        <v>2017</v>
      </c>
      <c r="C9" s="2585"/>
      <c r="D9" s="2585"/>
      <c r="E9" s="2585"/>
      <c r="F9" s="2585"/>
      <c r="G9" s="2585"/>
      <c r="H9" s="2623"/>
      <c r="I9" s="2623"/>
      <c r="J9" s="1449"/>
      <c r="K9" s="1460"/>
    </row>
    <row r="10" spans="1:60" ht="13.5" customHeight="1">
      <c r="B10" s="2585" t="s">
        <v>2018</v>
      </c>
      <c r="C10" s="2585"/>
      <c r="D10" s="2585"/>
      <c r="E10" s="2585"/>
      <c r="F10" s="2585"/>
      <c r="G10" s="2585"/>
      <c r="H10" s="1449"/>
      <c r="I10" s="1449"/>
      <c r="J10" s="1452"/>
      <c r="K10" s="1460"/>
    </row>
    <row r="11" spans="1:60" ht="13.5" customHeight="1">
      <c r="B11" s="2585" t="s">
        <v>2019</v>
      </c>
      <c r="C11" s="2585"/>
      <c r="D11" s="2585"/>
      <c r="E11" s="2585"/>
      <c r="F11" s="2585"/>
      <c r="G11" s="2585"/>
      <c r="H11" s="1449"/>
      <c r="I11" s="1449"/>
      <c r="J11" s="1452"/>
      <c r="K11" s="1460"/>
    </row>
    <row r="12" spans="1:60" ht="13.5" customHeight="1">
      <c r="B12" s="2585" t="s">
        <v>2020</v>
      </c>
      <c r="C12" s="2585"/>
      <c r="D12" s="2585"/>
      <c r="E12" s="2585"/>
      <c r="F12" s="2585"/>
      <c r="G12" s="2585"/>
      <c r="H12" s="1449"/>
      <c r="I12" s="1449"/>
      <c r="J12" s="1452"/>
      <c r="K12" s="1460"/>
    </row>
    <row r="13" spans="1:60" ht="13.5" customHeight="1">
      <c r="B13" s="2585" t="s">
        <v>2021</v>
      </c>
      <c r="C13" s="2585"/>
      <c r="D13" s="2585"/>
      <c r="E13" s="2585"/>
      <c r="F13" s="2585"/>
      <c r="G13" s="2585"/>
      <c r="H13" s="1449"/>
      <c r="I13" s="1449"/>
      <c r="J13" s="1452"/>
      <c r="K13" s="1460"/>
    </row>
    <row r="14" spans="1:60" ht="13.5" customHeight="1">
      <c r="B14" s="2585" t="s">
        <v>2022</v>
      </c>
      <c r="C14" s="2585"/>
      <c r="D14" s="2585"/>
      <c r="E14" s="2585"/>
      <c r="F14" s="2585"/>
      <c r="G14" s="2585"/>
      <c r="H14" s="1449"/>
      <c r="I14" s="1449"/>
      <c r="J14" s="1452"/>
      <c r="K14" s="1460"/>
    </row>
    <row r="15" spans="1:60" ht="13.5" customHeight="1">
      <c r="B15" s="1616" t="s">
        <v>2023</v>
      </c>
      <c r="C15" s="1449"/>
      <c r="D15" s="1449"/>
      <c r="E15" s="1449"/>
      <c r="F15" s="1449"/>
      <c r="G15" s="1449"/>
      <c r="H15" s="1449"/>
      <c r="I15" s="1449"/>
      <c r="J15" s="1452"/>
    </row>
    <row r="16" spans="1:60">
      <c r="B16" s="1451" t="s">
        <v>1607</v>
      </c>
      <c r="C16" s="1449"/>
      <c r="D16" s="1449"/>
      <c r="E16" s="1449"/>
      <c r="F16" s="1449"/>
      <c r="G16" s="1449"/>
      <c r="H16" s="1449"/>
      <c r="I16" s="1449"/>
      <c r="J16" s="1452"/>
    </row>
    <row r="17" spans="1:12">
      <c r="B17" s="1449" t="s">
        <v>1608</v>
      </c>
      <c r="C17" s="1449"/>
      <c r="D17" s="1449"/>
      <c r="E17" s="1449"/>
      <c r="F17" s="1449"/>
      <c r="G17" s="1449"/>
      <c r="H17" s="1449"/>
      <c r="I17" s="1449"/>
      <c r="J17" s="1449"/>
    </row>
    <row r="18" spans="1:12">
      <c r="B18" s="1455" t="s">
        <v>1674</v>
      </c>
      <c r="C18" s="1449"/>
      <c r="D18" s="1449"/>
      <c r="E18" s="1449"/>
      <c r="F18" s="1449"/>
      <c r="G18" s="1449"/>
      <c r="H18" s="1449"/>
      <c r="I18" s="1449"/>
      <c r="J18" s="1449"/>
    </row>
    <row r="19" spans="1:12">
      <c r="B19" s="1449" t="s">
        <v>1610</v>
      </c>
      <c r="C19" s="1449"/>
      <c r="D19" s="1449"/>
      <c r="E19" s="1449"/>
      <c r="F19" s="1449"/>
      <c r="G19" s="1449"/>
      <c r="H19" s="1449"/>
      <c r="I19" s="1449"/>
      <c r="J19" s="1449"/>
    </row>
    <row r="20" spans="1:12">
      <c r="B20" s="1449" t="s">
        <v>2024</v>
      </c>
      <c r="C20" s="1449"/>
      <c r="D20" s="1449"/>
      <c r="E20" s="1449"/>
      <c r="F20" s="1449"/>
      <c r="G20" s="1449"/>
      <c r="H20" s="1449"/>
      <c r="I20" s="1449"/>
      <c r="J20" s="1449"/>
    </row>
    <row r="21" spans="1:12">
      <c r="B21" s="1449"/>
      <c r="C21" s="1449"/>
      <c r="D21" s="1449"/>
      <c r="E21" s="1449"/>
      <c r="F21" s="1449"/>
      <c r="G21" s="1449"/>
      <c r="H21" s="1449"/>
      <c r="I21" s="1449"/>
      <c r="J21" s="1449"/>
    </row>
    <row r="22" spans="1:12">
      <c r="B22" s="1454" t="s">
        <v>1611</v>
      </c>
      <c r="C22" s="1449"/>
      <c r="D22" s="1449"/>
      <c r="E22" s="1449"/>
      <c r="F22" s="1449"/>
      <c r="G22" s="1449"/>
      <c r="H22" s="1449"/>
      <c r="I22" s="1449"/>
      <c r="J22" s="1449"/>
    </row>
    <row r="23" spans="1:12" ht="39.75" customHeight="1">
      <c r="B23" s="2585" t="s">
        <v>1727</v>
      </c>
      <c r="C23" s="2585"/>
      <c r="D23" s="2585"/>
      <c r="E23" s="2585"/>
      <c r="F23" s="2585"/>
      <c r="G23" s="2585"/>
      <c r="H23" s="1449"/>
      <c r="I23" s="1449"/>
      <c r="J23" s="1449"/>
    </row>
    <row r="24" spans="1:12" ht="78" customHeight="1">
      <c r="B24" s="2585" t="s">
        <v>2025</v>
      </c>
      <c r="C24" s="2585"/>
      <c r="D24" s="2585"/>
      <c r="E24" s="2585"/>
      <c r="F24" s="2585"/>
      <c r="G24" s="2585"/>
      <c r="H24" s="1449"/>
      <c r="I24" s="1449"/>
      <c r="J24" s="1449"/>
    </row>
    <row r="25" spans="1:12" ht="54" customHeight="1">
      <c r="B25" s="2585" t="s">
        <v>2026</v>
      </c>
      <c r="C25" s="2585"/>
      <c r="D25" s="2585"/>
      <c r="E25" s="2585"/>
      <c r="F25" s="2585"/>
      <c r="G25" s="2585"/>
      <c r="H25" s="1449"/>
      <c r="I25" s="1449"/>
      <c r="J25" s="1449"/>
    </row>
    <row r="26" spans="1:12" ht="52.5" customHeight="1">
      <c r="B26" s="2585" t="s">
        <v>1760</v>
      </c>
      <c r="C26" s="2585"/>
      <c r="D26" s="2585"/>
      <c r="E26" s="2585"/>
      <c r="F26" s="2585"/>
      <c r="G26" s="2585"/>
      <c r="H26" s="1449"/>
      <c r="I26" s="1449"/>
      <c r="J26" s="1449"/>
    </row>
    <row r="27" spans="1:12" ht="16.5" customHeight="1">
      <c r="B27" s="2644" t="s">
        <v>1761</v>
      </c>
      <c r="C27" s="2585"/>
      <c r="D27" s="2585"/>
      <c r="E27" s="2585"/>
      <c r="F27" s="2585"/>
      <c r="G27" s="2585"/>
      <c r="H27" s="1449"/>
      <c r="I27" s="1449"/>
      <c r="J27" s="1449"/>
    </row>
    <row r="28" spans="1:12" ht="24.75" customHeight="1">
      <c r="B28" s="2585" t="s">
        <v>2027</v>
      </c>
      <c r="C28" s="2585"/>
      <c r="D28" s="2585"/>
      <c r="E28" s="2585"/>
      <c r="F28" s="2585"/>
      <c r="G28" s="2585"/>
      <c r="H28" s="1449"/>
      <c r="I28" s="1449"/>
      <c r="J28" s="1449"/>
    </row>
    <row r="29" spans="1:12" ht="54.75" customHeight="1">
      <c r="B29" s="2662" t="s">
        <v>2028</v>
      </c>
      <c r="C29" s="2662"/>
      <c r="D29" s="2662"/>
      <c r="E29" s="2662"/>
      <c r="F29" s="2662"/>
      <c r="G29" s="2662"/>
      <c r="H29" s="1449"/>
      <c r="I29" s="1449"/>
      <c r="J29" s="1449"/>
    </row>
    <row r="30" spans="1:12" ht="74.25" customHeight="1">
      <c r="B30" s="1590" t="s">
        <v>1617</v>
      </c>
      <c r="C30" s="1463"/>
      <c r="D30" s="1463"/>
      <c r="E30" s="1463"/>
      <c r="F30" s="1463" t="s">
        <v>1626</v>
      </c>
      <c r="G30" s="1463" t="s">
        <v>1703</v>
      </c>
      <c r="H30" s="1465" t="s">
        <v>1628</v>
      </c>
      <c r="I30" s="1460"/>
      <c r="J30" s="1514"/>
      <c r="K30" s="1461"/>
      <c r="L30" s="1457"/>
    </row>
    <row r="31" spans="1:12" ht="195.75" customHeight="1">
      <c r="A31" s="1321"/>
      <c r="B31" s="2575" t="s">
        <v>2029</v>
      </c>
      <c r="C31" s="2589"/>
      <c r="D31" s="2589"/>
      <c r="E31" s="2647"/>
      <c r="F31" s="1267"/>
      <c r="G31" s="1263"/>
      <c r="H31" s="1284"/>
      <c r="K31" s="953"/>
    </row>
    <row r="32" spans="1:12" ht="369.75" customHeight="1">
      <c r="A32" s="1321"/>
      <c r="B32" s="2575" t="s">
        <v>2030</v>
      </c>
      <c r="C32" s="2589"/>
      <c r="D32" s="2589"/>
      <c r="E32" s="2647"/>
      <c r="F32" s="1267"/>
      <c r="G32" s="1263"/>
      <c r="H32" s="1284"/>
      <c r="K32" s="953"/>
    </row>
    <row r="33" spans="1:14" ht="78" customHeight="1">
      <c r="A33" s="1633"/>
      <c r="B33" s="2643" t="s">
        <v>1701</v>
      </c>
      <c r="C33" s="2643"/>
      <c r="D33" s="2643"/>
      <c r="E33" s="2643"/>
      <c r="F33" s="1463" t="s">
        <v>1626</v>
      </c>
      <c r="G33" s="1463" t="s">
        <v>1703</v>
      </c>
      <c r="H33" s="1465" t="s">
        <v>1628</v>
      </c>
      <c r="I33" s="1465" t="s">
        <v>1629</v>
      </c>
      <c r="J33" s="1463" t="s">
        <v>2031</v>
      </c>
      <c r="K33" s="1460"/>
      <c r="L33" s="1514"/>
      <c r="M33" s="1514"/>
      <c r="N33" s="1457"/>
    </row>
    <row r="34" spans="1:14" s="1520" customFormat="1" ht="54" customHeight="1">
      <c r="A34" s="1634"/>
      <c r="B34" s="1635" t="s">
        <v>2032</v>
      </c>
      <c r="C34" s="1622"/>
      <c r="D34" s="1622"/>
      <c r="E34" s="1636" t="s">
        <v>2033</v>
      </c>
      <c r="F34" s="1274"/>
      <c r="G34" s="2648"/>
      <c r="H34" s="1117"/>
      <c r="I34" s="1123"/>
      <c r="J34" s="1170"/>
      <c r="K34" s="1519"/>
      <c r="L34" s="1514"/>
      <c r="M34" s="1461"/>
      <c r="N34" s="1514"/>
    </row>
    <row r="35" spans="1:14" s="1520" customFormat="1" ht="28.5" customHeight="1">
      <c r="A35" s="1521"/>
      <c r="B35" s="1637"/>
      <c r="C35" s="1449"/>
      <c r="D35" s="1449"/>
      <c r="E35" s="1636" t="s">
        <v>2034</v>
      </c>
      <c r="F35" s="1274"/>
      <c r="G35" s="2649"/>
      <c r="H35" s="1117"/>
      <c r="I35" s="1123"/>
      <c r="J35" s="1170"/>
      <c r="K35" s="1519"/>
      <c r="L35" s="1514"/>
      <c r="M35" s="1461"/>
      <c r="N35" s="1514"/>
    </row>
    <row r="36" spans="1:14" s="1520" customFormat="1" ht="28.5" customHeight="1">
      <c r="A36" s="1521"/>
      <c r="B36" s="1637"/>
      <c r="C36" s="1449"/>
      <c r="D36" s="1449"/>
      <c r="E36" s="1636" t="s">
        <v>2035</v>
      </c>
      <c r="F36" s="1274"/>
      <c r="G36" s="2649"/>
      <c r="H36" s="1117"/>
      <c r="I36" s="1123"/>
      <c r="J36" s="1170"/>
      <c r="K36" s="1519"/>
      <c r="L36" s="1514"/>
      <c r="M36" s="1461"/>
      <c r="N36" s="1514"/>
    </row>
    <row r="37" spans="1:14" s="1520" customFormat="1" ht="28.5" customHeight="1">
      <c r="A37" s="1521"/>
      <c r="B37" s="1637"/>
      <c r="C37" s="1449"/>
      <c r="D37" s="1449"/>
      <c r="E37" s="1636" t="s">
        <v>2036</v>
      </c>
      <c r="F37" s="1274"/>
      <c r="G37" s="2649"/>
      <c r="H37" s="1117"/>
      <c r="I37" s="1123"/>
      <c r="J37" s="1170"/>
      <c r="K37" s="1519"/>
      <c r="L37" s="1514"/>
      <c r="M37" s="1461"/>
      <c r="N37" s="1514"/>
    </row>
    <row r="38" spans="1:14" s="1520" customFormat="1" ht="28.5" customHeight="1">
      <c r="A38" s="1521"/>
      <c r="B38" s="1637"/>
      <c r="C38" s="1449"/>
      <c r="D38" s="1449"/>
      <c r="E38" s="1636" t="s">
        <v>2037</v>
      </c>
      <c r="F38" s="1274"/>
      <c r="G38" s="2649"/>
      <c r="H38" s="1117"/>
      <c r="I38" s="1123"/>
      <c r="J38" s="1170"/>
      <c r="K38" s="1519"/>
      <c r="L38" s="1514"/>
      <c r="M38" s="1461"/>
      <c r="N38" s="1514"/>
    </row>
    <row r="39" spans="1:14" s="1520" customFormat="1" ht="28.5" customHeight="1">
      <c r="A39" s="1521"/>
      <c r="B39" s="1637"/>
      <c r="C39" s="1449"/>
      <c r="D39" s="1449"/>
      <c r="E39" s="1636" t="s">
        <v>2038</v>
      </c>
      <c r="F39" s="1274"/>
      <c r="G39" s="2649"/>
      <c r="H39" s="1117"/>
      <c r="I39" s="1123"/>
      <c r="J39" s="1170"/>
      <c r="K39" s="1519"/>
      <c r="L39" s="1514"/>
      <c r="M39" s="1461"/>
      <c r="N39" s="1514"/>
    </row>
    <row r="40" spans="1:14" s="1520" customFormat="1" ht="28.5" customHeight="1">
      <c r="A40" s="1521"/>
      <c r="B40" s="1637"/>
      <c r="C40" s="1449"/>
      <c r="D40" s="1449"/>
      <c r="E40" s="1636" t="s">
        <v>2039</v>
      </c>
      <c r="F40" s="1274"/>
      <c r="G40" s="2649"/>
      <c r="H40" s="1117"/>
      <c r="I40" s="1123"/>
      <c r="J40" s="1170"/>
      <c r="K40" s="1519"/>
      <c r="L40" s="1514"/>
      <c r="M40" s="1461"/>
      <c r="N40" s="1514"/>
    </row>
    <row r="41" spans="1:14" s="1520" customFormat="1" ht="28.5" customHeight="1">
      <c r="A41" s="1521"/>
      <c r="B41" s="1637"/>
      <c r="C41" s="1449"/>
      <c r="D41" s="1449"/>
      <c r="E41" s="1636" t="s">
        <v>2040</v>
      </c>
      <c r="F41" s="1274"/>
      <c r="G41" s="2649"/>
      <c r="H41" s="1117"/>
      <c r="I41" s="1123"/>
      <c r="J41" s="1170"/>
      <c r="K41" s="1519"/>
      <c r="L41" s="1514"/>
      <c r="M41" s="1461"/>
      <c r="N41" s="1514"/>
    </row>
    <row r="42" spans="1:14" s="1520" customFormat="1" ht="28.5" customHeight="1">
      <c r="A42" s="1521"/>
      <c r="B42" s="1637"/>
      <c r="C42" s="1449"/>
      <c r="D42" s="1449"/>
      <c r="E42" s="1638" t="s">
        <v>2041</v>
      </c>
      <c r="F42" s="1274"/>
      <c r="G42" s="2649"/>
      <c r="H42" s="1117"/>
      <c r="I42" s="1123"/>
      <c r="J42" s="1170"/>
      <c r="K42" s="1519"/>
      <c r="L42" s="1514"/>
      <c r="M42" s="1461"/>
      <c r="N42" s="1514"/>
    </row>
    <row r="43" spans="1:14" s="1520" customFormat="1" ht="28.5" customHeight="1">
      <c r="A43" s="1521"/>
      <c r="B43" s="1637"/>
      <c r="C43" s="1449"/>
      <c r="D43" s="1449"/>
      <c r="E43" s="1638" t="s">
        <v>2042</v>
      </c>
      <c r="F43" s="1274"/>
      <c r="G43" s="2649"/>
      <c r="H43" s="1117"/>
      <c r="I43" s="1123"/>
      <c r="J43" s="1170"/>
      <c r="K43" s="1519"/>
      <c r="L43" s="1514"/>
      <c r="M43" s="1461"/>
      <c r="N43" s="1514"/>
    </row>
    <row r="44" spans="1:14" s="1520" customFormat="1" ht="28.5" customHeight="1">
      <c r="A44" s="1521"/>
      <c r="B44" s="1639"/>
      <c r="C44" s="1640"/>
      <c r="D44" s="1640"/>
      <c r="E44" s="1641" t="s">
        <v>2043</v>
      </c>
      <c r="F44" s="1274"/>
      <c r="G44" s="2650"/>
      <c r="H44" s="1117"/>
      <c r="I44" s="1123"/>
      <c r="J44" s="1170"/>
      <c r="K44" s="1519"/>
      <c r="L44" s="1514"/>
      <c r="M44" s="1461"/>
      <c r="N44" s="1514"/>
    </row>
    <row r="45" spans="1:14" s="1520" customFormat="1" ht="16.5" customHeight="1">
      <c r="A45" s="1521"/>
      <c r="B45" s="1538"/>
      <c r="C45" s="1538"/>
      <c r="D45" s="1538"/>
      <c r="E45" s="1538"/>
      <c r="F45" s="1539"/>
      <c r="G45" s="1539"/>
      <c r="H45" s="1450"/>
      <c r="I45" s="1450"/>
      <c r="J45" s="1538"/>
      <c r="K45" s="1519"/>
      <c r="L45" s="1514"/>
      <c r="M45" s="1514"/>
      <c r="N45" s="1514"/>
    </row>
    <row r="46" spans="1:14" ht="75" customHeight="1">
      <c r="B46" s="1463" t="s">
        <v>1633</v>
      </c>
      <c r="C46" s="2639" t="s">
        <v>1619</v>
      </c>
      <c r="D46" s="2639"/>
      <c r="E46" s="2639"/>
      <c r="F46" s="1463" t="s">
        <v>1626</v>
      </c>
      <c r="G46" s="1463" t="s">
        <v>1703</v>
      </c>
      <c r="H46" s="1465" t="s">
        <v>1628</v>
      </c>
      <c r="I46" s="1465" t="s">
        <v>1629</v>
      </c>
      <c r="J46" s="1463" t="s">
        <v>2031</v>
      </c>
      <c r="K46" s="1460"/>
      <c r="L46" s="1514"/>
      <c r="M46" s="1461"/>
      <c r="N46" s="1457"/>
    </row>
    <row r="47" spans="1:14" ht="217.5" customHeight="1">
      <c r="A47" s="1536"/>
      <c r="B47" s="1642" t="s">
        <v>2044</v>
      </c>
      <c r="C47" s="2595" t="str">
        <f>IF('Project Info'!C4='Project Info'!P32,'Mod Prescriptive Path Checklist'!C117,IF('Project Info'!C4='Project Info'!P33,#REF!,"&lt;Select compliance path on the 'Project Info' tab&gt;"))</f>
        <v>The building plans shall demonstrate a continuous, unbroken air barrier separating the conditioned space of the building from the exterior, unconditioned spaces within the building, commercial spaces, mechanical rooms vented with unconditioned air, mechanical chases opening to unconditioned spaces, elevator shafts, and garages or other vehicle/equipment storage facilities.</v>
      </c>
      <c r="D47" s="2597"/>
      <c r="E47" s="2638"/>
      <c r="F47" s="1284"/>
      <c r="G47" s="1284"/>
      <c r="H47" s="1284"/>
      <c r="I47" s="1270"/>
      <c r="J47" s="1252"/>
      <c r="K47" s="1460"/>
      <c r="L47" s="1457"/>
      <c r="M47" s="1457"/>
      <c r="N47" s="1457"/>
    </row>
    <row r="48" spans="1:14" ht="51.75" customHeight="1">
      <c r="B48" s="2588" t="s">
        <v>2045</v>
      </c>
      <c r="C48" s="2763"/>
      <c r="D48" s="2763"/>
      <c r="E48" s="2763"/>
      <c r="F48" s="1284"/>
      <c r="G48" s="1284"/>
      <c r="H48" s="1284"/>
      <c r="I48" s="1270"/>
      <c r="J48" s="1252"/>
      <c r="K48" s="1460"/>
      <c r="L48" s="1457"/>
      <c r="M48" s="1457"/>
      <c r="N48" s="1457"/>
    </row>
    <row r="49" spans="1:14" ht="30" customHeight="1">
      <c r="A49" s="1643"/>
      <c r="B49" s="2588" t="s">
        <v>2046</v>
      </c>
      <c r="C49" s="2763"/>
      <c r="D49" s="2763"/>
      <c r="E49" s="2763"/>
      <c r="F49" s="1284"/>
      <c r="G49" s="1284"/>
      <c r="H49" s="1284"/>
      <c r="I49" s="1270"/>
      <c r="J49" s="1252"/>
      <c r="K49" s="1460"/>
      <c r="L49" s="1457"/>
      <c r="M49" s="1457"/>
      <c r="N49" s="1457"/>
    </row>
    <row r="50" spans="1:14" ht="95.25" customHeight="1">
      <c r="A50" s="1643"/>
      <c r="B50" s="2588" t="s">
        <v>2047</v>
      </c>
      <c r="C50" s="2763"/>
      <c r="D50" s="2763"/>
      <c r="E50" s="2763"/>
      <c r="F50" s="1284"/>
      <c r="G50" s="1284"/>
      <c r="H50" s="1284"/>
      <c r="I50" s="1270"/>
      <c r="J50" s="1252"/>
      <c r="K50" s="1460"/>
      <c r="L50" s="1457"/>
      <c r="M50" s="1457"/>
      <c r="N50" s="1457"/>
    </row>
    <row r="51" spans="1:14" ht="39.75" customHeight="1">
      <c r="B51" s="2588" t="s">
        <v>2048</v>
      </c>
      <c r="C51" s="2763"/>
      <c r="D51" s="2763"/>
      <c r="E51" s="2763"/>
      <c r="F51" s="1284"/>
      <c r="G51" s="1284"/>
      <c r="H51" s="1284"/>
      <c r="I51" s="1270"/>
      <c r="J51" s="1252"/>
      <c r="K51" s="1460"/>
      <c r="L51" s="1457"/>
      <c r="M51" s="1457"/>
      <c r="N51" s="1457"/>
    </row>
    <row r="52" spans="1:14" ht="57" customHeight="1">
      <c r="A52" s="1644"/>
      <c r="B52" s="2588" t="s">
        <v>2049</v>
      </c>
      <c r="C52" s="2763"/>
      <c r="D52" s="2763"/>
      <c r="E52" s="2763"/>
      <c r="F52" s="1284"/>
      <c r="G52" s="1284"/>
      <c r="H52" s="1284"/>
      <c r="I52" s="1270"/>
      <c r="J52" s="1252"/>
      <c r="K52" s="1460"/>
      <c r="L52" s="1457"/>
      <c r="M52" s="1457"/>
      <c r="N52" s="1457"/>
    </row>
    <row r="53" spans="1:14" ht="52.5" customHeight="1">
      <c r="A53" s="1644"/>
      <c r="B53" s="2588" t="s">
        <v>2050</v>
      </c>
      <c r="C53" s="2763"/>
      <c r="D53" s="2763"/>
      <c r="E53" s="2763"/>
      <c r="F53" s="1284"/>
      <c r="G53" s="1284"/>
      <c r="H53" s="1284"/>
      <c r="I53" s="1270"/>
      <c r="J53" s="1252"/>
      <c r="K53" s="1460"/>
      <c r="L53" s="1457"/>
      <c r="M53" s="1457"/>
      <c r="N53" s="1457"/>
    </row>
    <row r="54" spans="1:14" ht="53.25" customHeight="1">
      <c r="A54" s="1644"/>
      <c r="B54" s="2588" t="s">
        <v>2051</v>
      </c>
      <c r="C54" s="2763"/>
      <c r="D54" s="2763"/>
      <c r="E54" s="2763"/>
      <c r="F54" s="1284"/>
      <c r="G54" s="1284"/>
      <c r="H54" s="1284"/>
      <c r="I54" s="1270"/>
      <c r="J54" s="1252"/>
      <c r="K54" s="1540"/>
      <c r="L54" s="1457"/>
      <c r="M54" s="1457"/>
      <c r="N54" s="1457"/>
    </row>
    <row r="55" spans="1:14" ht="81.75" customHeight="1">
      <c r="B55" s="2588" t="s">
        <v>2052</v>
      </c>
      <c r="C55" s="2763"/>
      <c r="D55" s="2763"/>
      <c r="E55" s="2763"/>
      <c r="F55" s="1284"/>
      <c r="G55" s="1284"/>
      <c r="H55" s="1284"/>
      <c r="I55" s="1270"/>
      <c r="J55" s="1252"/>
      <c r="K55" s="1460"/>
      <c r="L55" s="1457"/>
      <c r="M55" s="1457"/>
      <c r="N55" s="1457"/>
    </row>
    <row r="56" spans="1:14" ht="42.75" customHeight="1">
      <c r="B56" s="2588" t="s">
        <v>2053</v>
      </c>
      <c r="C56" s="2763"/>
      <c r="D56" s="2763"/>
      <c r="E56" s="2763"/>
      <c r="F56" s="1284"/>
      <c r="G56" s="1284"/>
      <c r="H56" s="1284"/>
      <c r="I56" s="1270"/>
      <c r="J56" s="1252"/>
      <c r="K56" s="1460"/>
      <c r="L56" s="1457"/>
      <c r="M56" s="1457"/>
      <c r="N56" s="1457"/>
    </row>
    <row r="57" spans="1:14" ht="53.25" customHeight="1">
      <c r="A57" s="1644"/>
      <c r="B57" s="2588" t="s">
        <v>2054</v>
      </c>
      <c r="C57" s="2763"/>
      <c r="D57" s="2763"/>
      <c r="E57" s="2763"/>
      <c r="F57" s="1284"/>
      <c r="G57" s="1284"/>
      <c r="H57" s="1284"/>
      <c r="I57" s="1270"/>
      <c r="J57" s="1252"/>
      <c r="K57" s="1540"/>
      <c r="L57" s="1457"/>
      <c r="M57" s="1457"/>
      <c r="N57" s="1457"/>
    </row>
    <row r="58" spans="1:14" ht="42" customHeight="1">
      <c r="A58" s="1644"/>
      <c r="B58" s="2588" t="s">
        <v>2055</v>
      </c>
      <c r="C58" s="2763"/>
      <c r="D58" s="2763"/>
      <c r="E58" s="2763"/>
      <c r="F58" s="1284"/>
      <c r="G58" s="1284"/>
      <c r="H58" s="1284"/>
      <c r="I58" s="1270"/>
      <c r="J58" s="1252"/>
      <c r="K58" s="1540"/>
      <c r="L58" s="1457"/>
      <c r="M58" s="1457"/>
      <c r="N58" s="1457"/>
    </row>
    <row r="59" spans="1:14" ht="69" customHeight="1">
      <c r="A59" s="1644"/>
      <c r="B59" s="2588" t="s">
        <v>2056</v>
      </c>
      <c r="C59" s="2763"/>
      <c r="D59" s="2763"/>
      <c r="E59" s="2763"/>
      <c r="F59" s="1284"/>
      <c r="G59" s="1284"/>
      <c r="H59" s="1284"/>
      <c r="I59" s="1270"/>
      <c r="J59" s="1252"/>
      <c r="K59" s="1460"/>
      <c r="L59" s="1457"/>
      <c r="M59" s="1457"/>
      <c r="N59" s="1457"/>
    </row>
    <row r="60" spans="1:14" ht="64.5" customHeight="1">
      <c r="A60" s="1536"/>
      <c r="B60" s="2588" t="s">
        <v>2057</v>
      </c>
      <c r="C60" s="2763"/>
      <c r="D60" s="2763"/>
      <c r="E60" s="2763"/>
      <c r="F60" s="1284"/>
      <c r="G60" s="1284"/>
      <c r="H60" s="1284"/>
      <c r="I60" s="1270"/>
      <c r="J60" s="1252"/>
      <c r="K60" s="1460"/>
      <c r="L60" s="1457"/>
      <c r="M60" s="1457"/>
      <c r="N60" s="1457"/>
    </row>
    <row r="61" spans="1:14" ht="66.75" customHeight="1">
      <c r="A61" s="1633"/>
      <c r="B61" s="2588" t="s">
        <v>2058</v>
      </c>
      <c r="C61" s="2763"/>
      <c r="D61" s="2763"/>
      <c r="E61" s="2763"/>
      <c r="F61" s="1284"/>
      <c r="G61" s="1284"/>
      <c r="H61" s="1284"/>
      <c r="I61" s="1270"/>
      <c r="J61" s="1252"/>
      <c r="K61" s="1460"/>
      <c r="L61" s="1457"/>
      <c r="M61" s="1457"/>
      <c r="N61" s="1457"/>
    </row>
    <row r="62" spans="1:14" ht="66" customHeight="1">
      <c r="B62" s="2588" t="s">
        <v>2059</v>
      </c>
      <c r="C62" s="2763"/>
      <c r="D62" s="2763"/>
      <c r="E62" s="2763"/>
      <c r="F62" s="1284"/>
      <c r="G62" s="1284"/>
      <c r="H62" s="1284"/>
      <c r="I62" s="1270"/>
      <c r="J62" s="1252"/>
      <c r="K62" s="1540"/>
      <c r="L62" s="1457"/>
      <c r="M62" s="1457"/>
      <c r="N62" s="1457"/>
    </row>
    <row r="63" spans="1:14" ht="118.5" customHeight="1">
      <c r="A63" s="1644"/>
      <c r="B63" s="2588" t="s">
        <v>2060</v>
      </c>
      <c r="C63" s="2763"/>
      <c r="D63" s="2763"/>
      <c r="E63" s="2763"/>
      <c r="F63" s="1284"/>
      <c r="G63" s="1284"/>
      <c r="H63" s="1284"/>
      <c r="I63" s="1270"/>
      <c r="J63" s="1252"/>
      <c r="K63" s="1540"/>
      <c r="L63" s="1457"/>
      <c r="M63" s="1457"/>
      <c r="N63" s="1457"/>
    </row>
    <row r="64" spans="1:14" ht="66.75" customHeight="1">
      <c r="A64" s="1643"/>
      <c r="B64" s="2588" t="s">
        <v>2061</v>
      </c>
      <c r="C64" s="2763"/>
      <c r="D64" s="2763"/>
      <c r="E64" s="2763"/>
      <c r="F64" s="1284"/>
      <c r="G64" s="1284"/>
      <c r="H64" s="1284"/>
      <c r="I64" s="1270"/>
      <c r="J64" s="1252"/>
      <c r="K64" s="1540"/>
      <c r="L64" s="1457"/>
      <c r="M64" s="1457"/>
      <c r="N64" s="1457"/>
    </row>
    <row r="65" spans="1:14" ht="81.75" customHeight="1">
      <c r="A65" s="1643"/>
      <c r="B65" s="2588" t="s">
        <v>2062</v>
      </c>
      <c r="C65" s="2763"/>
      <c r="D65" s="2763"/>
      <c r="E65" s="2763"/>
      <c r="F65" s="1284"/>
      <c r="G65" s="1284"/>
      <c r="H65" s="1284"/>
      <c r="I65" s="1270"/>
      <c r="J65" s="1252"/>
      <c r="K65" s="1540"/>
      <c r="L65" s="1457"/>
      <c r="M65" s="1457"/>
      <c r="N65" s="1457"/>
    </row>
    <row r="66" spans="1:14" ht="41.25" customHeight="1">
      <c r="B66" s="2588" t="s">
        <v>2063</v>
      </c>
      <c r="C66" s="2763"/>
      <c r="D66" s="2763"/>
      <c r="E66" s="2763"/>
      <c r="F66" s="1284"/>
      <c r="G66" s="1284"/>
      <c r="H66" s="1284"/>
      <c r="I66" s="1270"/>
      <c r="J66" s="1252"/>
      <c r="K66" s="1460"/>
      <c r="L66" s="1457"/>
      <c r="M66" s="1457"/>
      <c r="N66" s="1457"/>
    </row>
    <row r="67" spans="1:14" ht="68.25" customHeight="1">
      <c r="B67" s="2588" t="s">
        <v>2064</v>
      </c>
      <c r="C67" s="2763"/>
      <c r="D67" s="2763"/>
      <c r="E67" s="2763"/>
      <c r="F67" s="1284"/>
      <c r="G67" s="1284"/>
      <c r="H67" s="1284"/>
      <c r="I67" s="1270"/>
      <c r="J67" s="1252"/>
      <c r="K67" s="1460"/>
      <c r="L67" s="1457"/>
      <c r="M67" s="1457"/>
      <c r="N67" s="1457"/>
    </row>
    <row r="68" spans="1:14" ht="105.75" customHeight="1">
      <c r="B68" s="2588" t="s">
        <v>2065</v>
      </c>
      <c r="C68" s="2763"/>
      <c r="D68" s="2763"/>
      <c r="E68" s="2763"/>
      <c r="F68" s="1284"/>
      <c r="G68" s="1284"/>
      <c r="H68" s="1284"/>
      <c r="I68" s="1270"/>
      <c r="J68" s="1252"/>
      <c r="K68" s="1460"/>
      <c r="L68" s="1457"/>
      <c r="M68" s="1457"/>
      <c r="N68" s="1457"/>
    </row>
    <row r="69" spans="1:14" ht="108" customHeight="1">
      <c r="B69" s="2588" t="s">
        <v>2066</v>
      </c>
      <c r="C69" s="2763"/>
      <c r="D69" s="2763"/>
      <c r="E69" s="2763"/>
      <c r="F69" s="1284"/>
      <c r="G69" s="1284"/>
      <c r="H69" s="1284"/>
      <c r="I69" s="1270"/>
      <c r="J69" s="1252"/>
      <c r="K69" s="1460"/>
      <c r="L69" s="1457"/>
      <c r="M69" s="1457"/>
      <c r="N69" s="1457"/>
    </row>
    <row r="70" spans="1:14" ht="81.75" customHeight="1">
      <c r="A70" s="1313" t="s">
        <v>0</v>
      </c>
      <c r="B70" s="2588" t="s">
        <v>2067</v>
      </c>
      <c r="C70" s="2763"/>
      <c r="D70" s="2763"/>
      <c r="E70" s="2763"/>
      <c r="F70" s="1284"/>
      <c r="G70" s="1284"/>
      <c r="H70" s="1284"/>
      <c r="I70" s="1270"/>
      <c r="J70" s="1252"/>
      <c r="K70" s="1460"/>
      <c r="L70" s="1457"/>
      <c r="M70" s="1457"/>
      <c r="N70" s="1457"/>
    </row>
    <row r="71" spans="1:14" ht="114.75" customHeight="1">
      <c r="B71" s="2588" t="s">
        <v>2068</v>
      </c>
      <c r="C71" s="2589"/>
      <c r="D71" s="2589"/>
      <c r="E71" s="2647"/>
      <c r="F71" s="1284"/>
      <c r="G71" s="1284"/>
      <c r="H71" s="1284"/>
      <c r="I71" s="1270"/>
      <c r="J71" s="1252"/>
      <c r="K71" s="1460"/>
      <c r="L71" s="1457"/>
      <c r="M71" s="1457"/>
      <c r="N71" s="1457"/>
    </row>
    <row r="72" spans="1:14" ht="25.5">
      <c r="A72" s="953"/>
      <c r="C72" s="1468"/>
      <c r="K72" s="953"/>
    </row>
    <row r="73" spans="1:14" ht="25.5">
      <c r="A73" s="953"/>
      <c r="C73" s="1468"/>
      <c r="K73" s="953"/>
    </row>
    <row r="74" spans="1:14" ht="25.5">
      <c r="A74" s="953"/>
      <c r="C74" s="1468"/>
      <c r="K74" s="953"/>
    </row>
    <row r="76" spans="1:14">
      <c r="N76" s="953" t="s">
        <v>403</v>
      </c>
    </row>
    <row r="77" spans="1:14">
      <c r="N77" s="1321" t="s">
        <v>405</v>
      </c>
    </row>
    <row r="78" spans="1:14">
      <c r="N78" s="1321" t="s">
        <v>404</v>
      </c>
    </row>
    <row r="187" spans="2:2" ht="18">
      <c r="B187" s="1323"/>
    </row>
  </sheetData>
  <sheetProtection sheet="1" objects="1" scenarios="1" formatCells="0" formatColumns="0" formatRows="0" insertColumns="0" insertRows="0"/>
  <mergeCells count="49">
    <mergeCell ref="B23:G23"/>
    <mergeCell ref="H5:I5"/>
    <mergeCell ref="H6:I6"/>
    <mergeCell ref="H7:I7"/>
    <mergeCell ref="B8:G8"/>
    <mergeCell ref="H8:I8"/>
    <mergeCell ref="B9:G9"/>
    <mergeCell ref="H9:I9"/>
    <mergeCell ref="B10:G10"/>
    <mergeCell ref="B11:G11"/>
    <mergeCell ref="B12:G12"/>
    <mergeCell ref="B13:G13"/>
    <mergeCell ref="B14:G14"/>
    <mergeCell ref="C47:E47"/>
    <mergeCell ref="B24:G24"/>
    <mergeCell ref="B25:G25"/>
    <mergeCell ref="B26:G26"/>
    <mergeCell ref="B27:G27"/>
    <mergeCell ref="B28:G28"/>
    <mergeCell ref="B29:G29"/>
    <mergeCell ref="B31:E31"/>
    <mergeCell ref="B32:E32"/>
    <mergeCell ref="B33:E33"/>
    <mergeCell ref="G34:G44"/>
    <mergeCell ref="C46:E46"/>
    <mergeCell ref="B59:E59"/>
    <mergeCell ref="B48:E48"/>
    <mergeCell ref="B49:E49"/>
    <mergeCell ref="B50:E50"/>
    <mergeCell ref="B51:E51"/>
    <mergeCell ref="B52:E52"/>
    <mergeCell ref="B53:E53"/>
    <mergeCell ref="B54:E54"/>
    <mergeCell ref="B55:E55"/>
    <mergeCell ref="B56:E56"/>
    <mergeCell ref="B57:E57"/>
    <mergeCell ref="B58:E58"/>
    <mergeCell ref="B71:E71"/>
    <mergeCell ref="B60:E60"/>
    <mergeCell ref="B61:E61"/>
    <mergeCell ref="B62:E62"/>
    <mergeCell ref="B63:E63"/>
    <mergeCell ref="B64:E64"/>
    <mergeCell ref="B65:E65"/>
    <mergeCell ref="B66:E66"/>
    <mergeCell ref="B67:E67"/>
    <mergeCell ref="B68:E68"/>
    <mergeCell ref="B69:E69"/>
    <mergeCell ref="B70:E70"/>
  </mergeCells>
  <dataValidations count="1">
    <dataValidation type="list" allowBlank="1" showInputMessage="1" showErrorMessage="1" sqref="H47:I71 JD47:JE71 SZ47:TA71 ACV47:ACW71 AMR47:AMS71 AWN47:AWO71 BGJ47:BGK71 BQF47:BQG71 CAB47:CAC71 CJX47:CJY71 CTT47:CTU71 DDP47:DDQ71 DNL47:DNM71 DXH47:DXI71 EHD47:EHE71 EQZ47:ERA71 FAV47:FAW71 FKR47:FKS71 FUN47:FUO71 GEJ47:GEK71 GOF47:GOG71 GYB47:GYC71 HHX47:HHY71 HRT47:HRU71 IBP47:IBQ71 ILL47:ILM71 IVH47:IVI71 JFD47:JFE71 JOZ47:JPA71 JYV47:JYW71 KIR47:KIS71 KSN47:KSO71 LCJ47:LCK71 LMF47:LMG71 LWB47:LWC71 MFX47:MFY71 MPT47:MPU71 MZP47:MZQ71 NJL47:NJM71 NTH47:NTI71 ODD47:ODE71 OMZ47:ONA71 OWV47:OWW71 PGR47:PGS71 PQN47:PQO71 QAJ47:QAK71 QKF47:QKG71 QUB47:QUC71 RDX47:RDY71 RNT47:RNU71 RXP47:RXQ71 SHL47:SHM71 SRH47:SRI71 TBD47:TBE71 TKZ47:TLA71 TUV47:TUW71 UER47:UES71 UON47:UOO71 UYJ47:UYK71 VIF47:VIG71 VSB47:VSC71 WBX47:WBY71 WLT47:WLU71 WVP47:WVQ71 H65583:I65607 JD65583:JE65607 SZ65583:TA65607 ACV65583:ACW65607 AMR65583:AMS65607 AWN65583:AWO65607 BGJ65583:BGK65607 BQF65583:BQG65607 CAB65583:CAC65607 CJX65583:CJY65607 CTT65583:CTU65607 DDP65583:DDQ65607 DNL65583:DNM65607 DXH65583:DXI65607 EHD65583:EHE65607 EQZ65583:ERA65607 FAV65583:FAW65607 FKR65583:FKS65607 FUN65583:FUO65607 GEJ65583:GEK65607 GOF65583:GOG65607 GYB65583:GYC65607 HHX65583:HHY65607 HRT65583:HRU65607 IBP65583:IBQ65607 ILL65583:ILM65607 IVH65583:IVI65607 JFD65583:JFE65607 JOZ65583:JPA65607 JYV65583:JYW65607 KIR65583:KIS65607 KSN65583:KSO65607 LCJ65583:LCK65607 LMF65583:LMG65607 LWB65583:LWC65607 MFX65583:MFY65607 MPT65583:MPU65607 MZP65583:MZQ65607 NJL65583:NJM65607 NTH65583:NTI65607 ODD65583:ODE65607 OMZ65583:ONA65607 OWV65583:OWW65607 PGR65583:PGS65607 PQN65583:PQO65607 QAJ65583:QAK65607 QKF65583:QKG65607 QUB65583:QUC65607 RDX65583:RDY65607 RNT65583:RNU65607 RXP65583:RXQ65607 SHL65583:SHM65607 SRH65583:SRI65607 TBD65583:TBE65607 TKZ65583:TLA65607 TUV65583:TUW65607 UER65583:UES65607 UON65583:UOO65607 UYJ65583:UYK65607 VIF65583:VIG65607 VSB65583:VSC65607 WBX65583:WBY65607 WLT65583:WLU65607 WVP65583:WVQ65607 H131119:I131143 JD131119:JE131143 SZ131119:TA131143 ACV131119:ACW131143 AMR131119:AMS131143 AWN131119:AWO131143 BGJ131119:BGK131143 BQF131119:BQG131143 CAB131119:CAC131143 CJX131119:CJY131143 CTT131119:CTU131143 DDP131119:DDQ131143 DNL131119:DNM131143 DXH131119:DXI131143 EHD131119:EHE131143 EQZ131119:ERA131143 FAV131119:FAW131143 FKR131119:FKS131143 FUN131119:FUO131143 GEJ131119:GEK131143 GOF131119:GOG131143 GYB131119:GYC131143 HHX131119:HHY131143 HRT131119:HRU131143 IBP131119:IBQ131143 ILL131119:ILM131143 IVH131119:IVI131143 JFD131119:JFE131143 JOZ131119:JPA131143 JYV131119:JYW131143 KIR131119:KIS131143 KSN131119:KSO131143 LCJ131119:LCK131143 LMF131119:LMG131143 LWB131119:LWC131143 MFX131119:MFY131143 MPT131119:MPU131143 MZP131119:MZQ131143 NJL131119:NJM131143 NTH131119:NTI131143 ODD131119:ODE131143 OMZ131119:ONA131143 OWV131119:OWW131143 PGR131119:PGS131143 PQN131119:PQO131143 QAJ131119:QAK131143 QKF131119:QKG131143 QUB131119:QUC131143 RDX131119:RDY131143 RNT131119:RNU131143 RXP131119:RXQ131143 SHL131119:SHM131143 SRH131119:SRI131143 TBD131119:TBE131143 TKZ131119:TLA131143 TUV131119:TUW131143 UER131119:UES131143 UON131119:UOO131143 UYJ131119:UYK131143 VIF131119:VIG131143 VSB131119:VSC131143 WBX131119:WBY131143 WLT131119:WLU131143 WVP131119:WVQ131143 H196655:I196679 JD196655:JE196679 SZ196655:TA196679 ACV196655:ACW196679 AMR196655:AMS196679 AWN196655:AWO196679 BGJ196655:BGK196679 BQF196655:BQG196679 CAB196655:CAC196679 CJX196655:CJY196679 CTT196655:CTU196679 DDP196655:DDQ196679 DNL196655:DNM196679 DXH196655:DXI196679 EHD196655:EHE196679 EQZ196655:ERA196679 FAV196655:FAW196679 FKR196655:FKS196679 FUN196655:FUO196679 GEJ196655:GEK196679 GOF196655:GOG196679 GYB196655:GYC196679 HHX196655:HHY196679 HRT196655:HRU196679 IBP196655:IBQ196679 ILL196655:ILM196679 IVH196655:IVI196679 JFD196655:JFE196679 JOZ196655:JPA196679 JYV196655:JYW196679 KIR196655:KIS196679 KSN196655:KSO196679 LCJ196655:LCK196679 LMF196655:LMG196679 LWB196655:LWC196679 MFX196655:MFY196679 MPT196655:MPU196679 MZP196655:MZQ196679 NJL196655:NJM196679 NTH196655:NTI196679 ODD196655:ODE196679 OMZ196655:ONA196679 OWV196655:OWW196679 PGR196655:PGS196679 PQN196655:PQO196679 QAJ196655:QAK196679 QKF196655:QKG196679 QUB196655:QUC196679 RDX196655:RDY196679 RNT196655:RNU196679 RXP196655:RXQ196679 SHL196655:SHM196679 SRH196655:SRI196679 TBD196655:TBE196679 TKZ196655:TLA196679 TUV196655:TUW196679 UER196655:UES196679 UON196655:UOO196679 UYJ196655:UYK196679 VIF196655:VIG196679 VSB196655:VSC196679 WBX196655:WBY196679 WLT196655:WLU196679 WVP196655:WVQ196679 H262191:I262215 JD262191:JE262215 SZ262191:TA262215 ACV262191:ACW262215 AMR262191:AMS262215 AWN262191:AWO262215 BGJ262191:BGK262215 BQF262191:BQG262215 CAB262191:CAC262215 CJX262191:CJY262215 CTT262191:CTU262215 DDP262191:DDQ262215 DNL262191:DNM262215 DXH262191:DXI262215 EHD262191:EHE262215 EQZ262191:ERA262215 FAV262191:FAW262215 FKR262191:FKS262215 FUN262191:FUO262215 GEJ262191:GEK262215 GOF262191:GOG262215 GYB262191:GYC262215 HHX262191:HHY262215 HRT262191:HRU262215 IBP262191:IBQ262215 ILL262191:ILM262215 IVH262191:IVI262215 JFD262191:JFE262215 JOZ262191:JPA262215 JYV262191:JYW262215 KIR262191:KIS262215 KSN262191:KSO262215 LCJ262191:LCK262215 LMF262191:LMG262215 LWB262191:LWC262215 MFX262191:MFY262215 MPT262191:MPU262215 MZP262191:MZQ262215 NJL262191:NJM262215 NTH262191:NTI262215 ODD262191:ODE262215 OMZ262191:ONA262215 OWV262191:OWW262215 PGR262191:PGS262215 PQN262191:PQO262215 QAJ262191:QAK262215 QKF262191:QKG262215 QUB262191:QUC262215 RDX262191:RDY262215 RNT262191:RNU262215 RXP262191:RXQ262215 SHL262191:SHM262215 SRH262191:SRI262215 TBD262191:TBE262215 TKZ262191:TLA262215 TUV262191:TUW262215 UER262191:UES262215 UON262191:UOO262215 UYJ262191:UYK262215 VIF262191:VIG262215 VSB262191:VSC262215 WBX262191:WBY262215 WLT262191:WLU262215 WVP262191:WVQ262215 H327727:I327751 JD327727:JE327751 SZ327727:TA327751 ACV327727:ACW327751 AMR327727:AMS327751 AWN327727:AWO327751 BGJ327727:BGK327751 BQF327727:BQG327751 CAB327727:CAC327751 CJX327727:CJY327751 CTT327727:CTU327751 DDP327727:DDQ327751 DNL327727:DNM327751 DXH327727:DXI327751 EHD327727:EHE327751 EQZ327727:ERA327751 FAV327727:FAW327751 FKR327727:FKS327751 FUN327727:FUO327751 GEJ327727:GEK327751 GOF327727:GOG327751 GYB327727:GYC327751 HHX327727:HHY327751 HRT327727:HRU327751 IBP327727:IBQ327751 ILL327727:ILM327751 IVH327727:IVI327751 JFD327727:JFE327751 JOZ327727:JPA327751 JYV327727:JYW327751 KIR327727:KIS327751 KSN327727:KSO327751 LCJ327727:LCK327751 LMF327727:LMG327751 LWB327727:LWC327751 MFX327727:MFY327751 MPT327727:MPU327751 MZP327727:MZQ327751 NJL327727:NJM327751 NTH327727:NTI327751 ODD327727:ODE327751 OMZ327727:ONA327751 OWV327727:OWW327751 PGR327727:PGS327751 PQN327727:PQO327751 QAJ327727:QAK327751 QKF327727:QKG327751 QUB327727:QUC327751 RDX327727:RDY327751 RNT327727:RNU327751 RXP327727:RXQ327751 SHL327727:SHM327751 SRH327727:SRI327751 TBD327727:TBE327751 TKZ327727:TLA327751 TUV327727:TUW327751 UER327727:UES327751 UON327727:UOO327751 UYJ327727:UYK327751 VIF327727:VIG327751 VSB327727:VSC327751 WBX327727:WBY327751 WLT327727:WLU327751 WVP327727:WVQ327751 H393263:I393287 JD393263:JE393287 SZ393263:TA393287 ACV393263:ACW393287 AMR393263:AMS393287 AWN393263:AWO393287 BGJ393263:BGK393287 BQF393263:BQG393287 CAB393263:CAC393287 CJX393263:CJY393287 CTT393263:CTU393287 DDP393263:DDQ393287 DNL393263:DNM393287 DXH393263:DXI393287 EHD393263:EHE393287 EQZ393263:ERA393287 FAV393263:FAW393287 FKR393263:FKS393287 FUN393263:FUO393287 GEJ393263:GEK393287 GOF393263:GOG393287 GYB393263:GYC393287 HHX393263:HHY393287 HRT393263:HRU393287 IBP393263:IBQ393287 ILL393263:ILM393287 IVH393263:IVI393287 JFD393263:JFE393287 JOZ393263:JPA393287 JYV393263:JYW393287 KIR393263:KIS393287 KSN393263:KSO393287 LCJ393263:LCK393287 LMF393263:LMG393287 LWB393263:LWC393287 MFX393263:MFY393287 MPT393263:MPU393287 MZP393263:MZQ393287 NJL393263:NJM393287 NTH393263:NTI393287 ODD393263:ODE393287 OMZ393263:ONA393287 OWV393263:OWW393287 PGR393263:PGS393287 PQN393263:PQO393287 QAJ393263:QAK393287 QKF393263:QKG393287 QUB393263:QUC393287 RDX393263:RDY393287 RNT393263:RNU393287 RXP393263:RXQ393287 SHL393263:SHM393287 SRH393263:SRI393287 TBD393263:TBE393287 TKZ393263:TLA393287 TUV393263:TUW393287 UER393263:UES393287 UON393263:UOO393287 UYJ393263:UYK393287 VIF393263:VIG393287 VSB393263:VSC393287 WBX393263:WBY393287 WLT393263:WLU393287 WVP393263:WVQ393287 H458799:I458823 JD458799:JE458823 SZ458799:TA458823 ACV458799:ACW458823 AMR458799:AMS458823 AWN458799:AWO458823 BGJ458799:BGK458823 BQF458799:BQG458823 CAB458799:CAC458823 CJX458799:CJY458823 CTT458799:CTU458823 DDP458799:DDQ458823 DNL458799:DNM458823 DXH458799:DXI458823 EHD458799:EHE458823 EQZ458799:ERA458823 FAV458799:FAW458823 FKR458799:FKS458823 FUN458799:FUO458823 GEJ458799:GEK458823 GOF458799:GOG458823 GYB458799:GYC458823 HHX458799:HHY458823 HRT458799:HRU458823 IBP458799:IBQ458823 ILL458799:ILM458823 IVH458799:IVI458823 JFD458799:JFE458823 JOZ458799:JPA458823 JYV458799:JYW458823 KIR458799:KIS458823 KSN458799:KSO458823 LCJ458799:LCK458823 LMF458799:LMG458823 LWB458799:LWC458823 MFX458799:MFY458823 MPT458799:MPU458823 MZP458799:MZQ458823 NJL458799:NJM458823 NTH458799:NTI458823 ODD458799:ODE458823 OMZ458799:ONA458823 OWV458799:OWW458823 PGR458799:PGS458823 PQN458799:PQO458823 QAJ458799:QAK458823 QKF458799:QKG458823 QUB458799:QUC458823 RDX458799:RDY458823 RNT458799:RNU458823 RXP458799:RXQ458823 SHL458799:SHM458823 SRH458799:SRI458823 TBD458799:TBE458823 TKZ458799:TLA458823 TUV458799:TUW458823 UER458799:UES458823 UON458799:UOO458823 UYJ458799:UYK458823 VIF458799:VIG458823 VSB458799:VSC458823 WBX458799:WBY458823 WLT458799:WLU458823 WVP458799:WVQ458823 H524335:I524359 JD524335:JE524359 SZ524335:TA524359 ACV524335:ACW524359 AMR524335:AMS524359 AWN524335:AWO524359 BGJ524335:BGK524359 BQF524335:BQG524359 CAB524335:CAC524359 CJX524335:CJY524359 CTT524335:CTU524359 DDP524335:DDQ524359 DNL524335:DNM524359 DXH524335:DXI524359 EHD524335:EHE524359 EQZ524335:ERA524359 FAV524335:FAW524359 FKR524335:FKS524359 FUN524335:FUO524359 GEJ524335:GEK524359 GOF524335:GOG524359 GYB524335:GYC524359 HHX524335:HHY524359 HRT524335:HRU524359 IBP524335:IBQ524359 ILL524335:ILM524359 IVH524335:IVI524359 JFD524335:JFE524359 JOZ524335:JPA524359 JYV524335:JYW524359 KIR524335:KIS524359 KSN524335:KSO524359 LCJ524335:LCK524359 LMF524335:LMG524359 LWB524335:LWC524359 MFX524335:MFY524359 MPT524335:MPU524359 MZP524335:MZQ524359 NJL524335:NJM524359 NTH524335:NTI524359 ODD524335:ODE524359 OMZ524335:ONA524359 OWV524335:OWW524359 PGR524335:PGS524359 PQN524335:PQO524359 QAJ524335:QAK524359 QKF524335:QKG524359 QUB524335:QUC524359 RDX524335:RDY524359 RNT524335:RNU524359 RXP524335:RXQ524359 SHL524335:SHM524359 SRH524335:SRI524359 TBD524335:TBE524359 TKZ524335:TLA524359 TUV524335:TUW524359 UER524335:UES524359 UON524335:UOO524359 UYJ524335:UYK524359 VIF524335:VIG524359 VSB524335:VSC524359 WBX524335:WBY524359 WLT524335:WLU524359 WVP524335:WVQ524359 H589871:I589895 JD589871:JE589895 SZ589871:TA589895 ACV589871:ACW589895 AMR589871:AMS589895 AWN589871:AWO589895 BGJ589871:BGK589895 BQF589871:BQG589895 CAB589871:CAC589895 CJX589871:CJY589895 CTT589871:CTU589895 DDP589871:DDQ589895 DNL589871:DNM589895 DXH589871:DXI589895 EHD589871:EHE589895 EQZ589871:ERA589895 FAV589871:FAW589895 FKR589871:FKS589895 FUN589871:FUO589895 GEJ589871:GEK589895 GOF589871:GOG589895 GYB589871:GYC589895 HHX589871:HHY589895 HRT589871:HRU589895 IBP589871:IBQ589895 ILL589871:ILM589895 IVH589871:IVI589895 JFD589871:JFE589895 JOZ589871:JPA589895 JYV589871:JYW589895 KIR589871:KIS589895 KSN589871:KSO589895 LCJ589871:LCK589895 LMF589871:LMG589895 LWB589871:LWC589895 MFX589871:MFY589895 MPT589871:MPU589895 MZP589871:MZQ589895 NJL589871:NJM589895 NTH589871:NTI589895 ODD589871:ODE589895 OMZ589871:ONA589895 OWV589871:OWW589895 PGR589871:PGS589895 PQN589871:PQO589895 QAJ589871:QAK589895 QKF589871:QKG589895 QUB589871:QUC589895 RDX589871:RDY589895 RNT589871:RNU589895 RXP589871:RXQ589895 SHL589871:SHM589895 SRH589871:SRI589895 TBD589871:TBE589895 TKZ589871:TLA589895 TUV589871:TUW589895 UER589871:UES589895 UON589871:UOO589895 UYJ589871:UYK589895 VIF589871:VIG589895 VSB589871:VSC589895 WBX589871:WBY589895 WLT589871:WLU589895 WVP589871:WVQ589895 H655407:I655431 JD655407:JE655431 SZ655407:TA655431 ACV655407:ACW655431 AMR655407:AMS655431 AWN655407:AWO655431 BGJ655407:BGK655431 BQF655407:BQG655431 CAB655407:CAC655431 CJX655407:CJY655431 CTT655407:CTU655431 DDP655407:DDQ655431 DNL655407:DNM655431 DXH655407:DXI655431 EHD655407:EHE655431 EQZ655407:ERA655431 FAV655407:FAW655431 FKR655407:FKS655431 FUN655407:FUO655431 GEJ655407:GEK655431 GOF655407:GOG655431 GYB655407:GYC655431 HHX655407:HHY655431 HRT655407:HRU655431 IBP655407:IBQ655431 ILL655407:ILM655431 IVH655407:IVI655431 JFD655407:JFE655431 JOZ655407:JPA655431 JYV655407:JYW655431 KIR655407:KIS655431 KSN655407:KSO655431 LCJ655407:LCK655431 LMF655407:LMG655431 LWB655407:LWC655431 MFX655407:MFY655431 MPT655407:MPU655431 MZP655407:MZQ655431 NJL655407:NJM655431 NTH655407:NTI655431 ODD655407:ODE655431 OMZ655407:ONA655431 OWV655407:OWW655431 PGR655407:PGS655431 PQN655407:PQO655431 QAJ655407:QAK655431 QKF655407:QKG655431 QUB655407:QUC655431 RDX655407:RDY655431 RNT655407:RNU655431 RXP655407:RXQ655431 SHL655407:SHM655431 SRH655407:SRI655431 TBD655407:TBE655431 TKZ655407:TLA655431 TUV655407:TUW655431 UER655407:UES655431 UON655407:UOO655431 UYJ655407:UYK655431 VIF655407:VIG655431 VSB655407:VSC655431 WBX655407:WBY655431 WLT655407:WLU655431 WVP655407:WVQ655431 H720943:I720967 JD720943:JE720967 SZ720943:TA720967 ACV720943:ACW720967 AMR720943:AMS720967 AWN720943:AWO720967 BGJ720943:BGK720967 BQF720943:BQG720967 CAB720943:CAC720967 CJX720943:CJY720967 CTT720943:CTU720967 DDP720943:DDQ720967 DNL720943:DNM720967 DXH720943:DXI720967 EHD720943:EHE720967 EQZ720943:ERA720967 FAV720943:FAW720967 FKR720943:FKS720967 FUN720943:FUO720967 GEJ720943:GEK720967 GOF720943:GOG720967 GYB720943:GYC720967 HHX720943:HHY720967 HRT720943:HRU720967 IBP720943:IBQ720967 ILL720943:ILM720967 IVH720943:IVI720967 JFD720943:JFE720967 JOZ720943:JPA720967 JYV720943:JYW720967 KIR720943:KIS720967 KSN720943:KSO720967 LCJ720943:LCK720967 LMF720943:LMG720967 LWB720943:LWC720967 MFX720943:MFY720967 MPT720943:MPU720967 MZP720943:MZQ720967 NJL720943:NJM720967 NTH720943:NTI720967 ODD720943:ODE720967 OMZ720943:ONA720967 OWV720943:OWW720967 PGR720943:PGS720967 PQN720943:PQO720967 QAJ720943:QAK720967 QKF720943:QKG720967 QUB720943:QUC720967 RDX720943:RDY720967 RNT720943:RNU720967 RXP720943:RXQ720967 SHL720943:SHM720967 SRH720943:SRI720967 TBD720943:TBE720967 TKZ720943:TLA720967 TUV720943:TUW720967 UER720943:UES720967 UON720943:UOO720967 UYJ720943:UYK720967 VIF720943:VIG720967 VSB720943:VSC720967 WBX720943:WBY720967 WLT720943:WLU720967 WVP720943:WVQ720967 H786479:I786503 JD786479:JE786503 SZ786479:TA786503 ACV786479:ACW786503 AMR786479:AMS786503 AWN786479:AWO786503 BGJ786479:BGK786503 BQF786479:BQG786503 CAB786479:CAC786503 CJX786479:CJY786503 CTT786479:CTU786503 DDP786479:DDQ786503 DNL786479:DNM786503 DXH786479:DXI786503 EHD786479:EHE786503 EQZ786479:ERA786503 FAV786479:FAW786503 FKR786479:FKS786503 FUN786479:FUO786503 GEJ786479:GEK786503 GOF786479:GOG786503 GYB786479:GYC786503 HHX786479:HHY786503 HRT786479:HRU786503 IBP786479:IBQ786503 ILL786479:ILM786503 IVH786479:IVI786503 JFD786479:JFE786503 JOZ786479:JPA786503 JYV786479:JYW786503 KIR786479:KIS786503 KSN786479:KSO786503 LCJ786479:LCK786503 LMF786479:LMG786503 LWB786479:LWC786503 MFX786479:MFY786503 MPT786479:MPU786503 MZP786479:MZQ786503 NJL786479:NJM786503 NTH786479:NTI786503 ODD786479:ODE786503 OMZ786479:ONA786503 OWV786479:OWW786503 PGR786479:PGS786503 PQN786479:PQO786503 QAJ786479:QAK786503 QKF786479:QKG786503 QUB786479:QUC786503 RDX786479:RDY786503 RNT786479:RNU786503 RXP786479:RXQ786503 SHL786479:SHM786503 SRH786479:SRI786503 TBD786479:TBE786503 TKZ786479:TLA786503 TUV786479:TUW786503 UER786479:UES786503 UON786479:UOO786503 UYJ786479:UYK786503 VIF786479:VIG786503 VSB786479:VSC786503 WBX786479:WBY786503 WLT786479:WLU786503 WVP786479:WVQ786503 H852015:I852039 JD852015:JE852039 SZ852015:TA852039 ACV852015:ACW852039 AMR852015:AMS852039 AWN852015:AWO852039 BGJ852015:BGK852039 BQF852015:BQG852039 CAB852015:CAC852039 CJX852015:CJY852039 CTT852015:CTU852039 DDP852015:DDQ852039 DNL852015:DNM852039 DXH852015:DXI852039 EHD852015:EHE852039 EQZ852015:ERA852039 FAV852015:FAW852039 FKR852015:FKS852039 FUN852015:FUO852039 GEJ852015:GEK852039 GOF852015:GOG852039 GYB852015:GYC852039 HHX852015:HHY852039 HRT852015:HRU852039 IBP852015:IBQ852039 ILL852015:ILM852039 IVH852015:IVI852039 JFD852015:JFE852039 JOZ852015:JPA852039 JYV852015:JYW852039 KIR852015:KIS852039 KSN852015:KSO852039 LCJ852015:LCK852039 LMF852015:LMG852039 LWB852015:LWC852039 MFX852015:MFY852039 MPT852015:MPU852039 MZP852015:MZQ852039 NJL852015:NJM852039 NTH852015:NTI852039 ODD852015:ODE852039 OMZ852015:ONA852039 OWV852015:OWW852039 PGR852015:PGS852039 PQN852015:PQO852039 QAJ852015:QAK852039 QKF852015:QKG852039 QUB852015:QUC852039 RDX852015:RDY852039 RNT852015:RNU852039 RXP852015:RXQ852039 SHL852015:SHM852039 SRH852015:SRI852039 TBD852015:TBE852039 TKZ852015:TLA852039 TUV852015:TUW852039 UER852015:UES852039 UON852015:UOO852039 UYJ852015:UYK852039 VIF852015:VIG852039 VSB852015:VSC852039 WBX852015:WBY852039 WLT852015:WLU852039 WVP852015:WVQ852039 H917551:I917575 JD917551:JE917575 SZ917551:TA917575 ACV917551:ACW917575 AMR917551:AMS917575 AWN917551:AWO917575 BGJ917551:BGK917575 BQF917551:BQG917575 CAB917551:CAC917575 CJX917551:CJY917575 CTT917551:CTU917575 DDP917551:DDQ917575 DNL917551:DNM917575 DXH917551:DXI917575 EHD917551:EHE917575 EQZ917551:ERA917575 FAV917551:FAW917575 FKR917551:FKS917575 FUN917551:FUO917575 GEJ917551:GEK917575 GOF917551:GOG917575 GYB917551:GYC917575 HHX917551:HHY917575 HRT917551:HRU917575 IBP917551:IBQ917575 ILL917551:ILM917575 IVH917551:IVI917575 JFD917551:JFE917575 JOZ917551:JPA917575 JYV917551:JYW917575 KIR917551:KIS917575 KSN917551:KSO917575 LCJ917551:LCK917575 LMF917551:LMG917575 LWB917551:LWC917575 MFX917551:MFY917575 MPT917551:MPU917575 MZP917551:MZQ917575 NJL917551:NJM917575 NTH917551:NTI917575 ODD917551:ODE917575 OMZ917551:ONA917575 OWV917551:OWW917575 PGR917551:PGS917575 PQN917551:PQO917575 QAJ917551:QAK917575 QKF917551:QKG917575 QUB917551:QUC917575 RDX917551:RDY917575 RNT917551:RNU917575 RXP917551:RXQ917575 SHL917551:SHM917575 SRH917551:SRI917575 TBD917551:TBE917575 TKZ917551:TLA917575 TUV917551:TUW917575 UER917551:UES917575 UON917551:UOO917575 UYJ917551:UYK917575 VIF917551:VIG917575 VSB917551:VSC917575 WBX917551:WBY917575 WLT917551:WLU917575 WVP917551:WVQ917575 H983087:I983111 JD983087:JE983111 SZ983087:TA983111 ACV983087:ACW983111 AMR983087:AMS983111 AWN983087:AWO983111 BGJ983087:BGK983111 BQF983087:BQG983111 CAB983087:CAC983111 CJX983087:CJY983111 CTT983087:CTU983111 DDP983087:DDQ983111 DNL983087:DNM983111 DXH983087:DXI983111 EHD983087:EHE983111 EQZ983087:ERA983111 FAV983087:FAW983111 FKR983087:FKS983111 FUN983087:FUO983111 GEJ983087:GEK983111 GOF983087:GOG983111 GYB983087:GYC983111 HHX983087:HHY983111 HRT983087:HRU983111 IBP983087:IBQ983111 ILL983087:ILM983111 IVH983087:IVI983111 JFD983087:JFE983111 JOZ983087:JPA983111 JYV983087:JYW983111 KIR983087:KIS983111 KSN983087:KSO983111 LCJ983087:LCK983111 LMF983087:LMG983111 LWB983087:LWC983111 MFX983087:MFY983111 MPT983087:MPU983111 MZP983087:MZQ983111 NJL983087:NJM983111 NTH983087:NTI983111 ODD983087:ODE983111 OMZ983087:ONA983111 OWV983087:OWW983111 PGR983087:PGS983111 PQN983087:PQO983111 QAJ983087:QAK983111 QKF983087:QKG983111 QUB983087:QUC983111 RDX983087:RDY983111 RNT983087:RNU983111 RXP983087:RXQ983111 SHL983087:SHM983111 SRH983087:SRI983111 TBD983087:TBE983111 TKZ983087:TLA983111 TUV983087:TUW983111 UER983087:UES983111 UON983087:UOO983111 UYJ983087:UYK983111 VIF983087:VIG983111 VSB983087:VSC983111 WBX983087:WBY983111 WLT983087:WLU983111 WVP983087:WVQ983111 H34:I44 JD34:JE44 SZ34:TA44 ACV34:ACW44 AMR34:AMS44 AWN34:AWO44 BGJ34:BGK44 BQF34:BQG44 CAB34:CAC44 CJX34:CJY44 CTT34:CTU44 DDP34:DDQ44 DNL34:DNM44 DXH34:DXI44 EHD34:EHE44 EQZ34:ERA44 FAV34:FAW44 FKR34:FKS44 FUN34:FUO44 GEJ34:GEK44 GOF34:GOG44 GYB34:GYC44 HHX34:HHY44 HRT34:HRU44 IBP34:IBQ44 ILL34:ILM44 IVH34:IVI44 JFD34:JFE44 JOZ34:JPA44 JYV34:JYW44 KIR34:KIS44 KSN34:KSO44 LCJ34:LCK44 LMF34:LMG44 LWB34:LWC44 MFX34:MFY44 MPT34:MPU44 MZP34:MZQ44 NJL34:NJM44 NTH34:NTI44 ODD34:ODE44 OMZ34:ONA44 OWV34:OWW44 PGR34:PGS44 PQN34:PQO44 QAJ34:QAK44 QKF34:QKG44 QUB34:QUC44 RDX34:RDY44 RNT34:RNU44 RXP34:RXQ44 SHL34:SHM44 SRH34:SRI44 TBD34:TBE44 TKZ34:TLA44 TUV34:TUW44 UER34:UES44 UON34:UOO44 UYJ34:UYK44 VIF34:VIG44 VSB34:VSC44 WBX34:WBY44 WLT34:WLU44 WVP34:WVQ44 H65570:I65580 JD65570:JE65580 SZ65570:TA65580 ACV65570:ACW65580 AMR65570:AMS65580 AWN65570:AWO65580 BGJ65570:BGK65580 BQF65570:BQG65580 CAB65570:CAC65580 CJX65570:CJY65580 CTT65570:CTU65580 DDP65570:DDQ65580 DNL65570:DNM65580 DXH65570:DXI65580 EHD65570:EHE65580 EQZ65570:ERA65580 FAV65570:FAW65580 FKR65570:FKS65580 FUN65570:FUO65580 GEJ65570:GEK65580 GOF65570:GOG65580 GYB65570:GYC65580 HHX65570:HHY65580 HRT65570:HRU65580 IBP65570:IBQ65580 ILL65570:ILM65580 IVH65570:IVI65580 JFD65570:JFE65580 JOZ65570:JPA65580 JYV65570:JYW65580 KIR65570:KIS65580 KSN65570:KSO65580 LCJ65570:LCK65580 LMF65570:LMG65580 LWB65570:LWC65580 MFX65570:MFY65580 MPT65570:MPU65580 MZP65570:MZQ65580 NJL65570:NJM65580 NTH65570:NTI65580 ODD65570:ODE65580 OMZ65570:ONA65580 OWV65570:OWW65580 PGR65570:PGS65580 PQN65570:PQO65580 QAJ65570:QAK65580 QKF65570:QKG65580 QUB65570:QUC65580 RDX65570:RDY65580 RNT65570:RNU65580 RXP65570:RXQ65580 SHL65570:SHM65580 SRH65570:SRI65580 TBD65570:TBE65580 TKZ65570:TLA65580 TUV65570:TUW65580 UER65570:UES65580 UON65570:UOO65580 UYJ65570:UYK65580 VIF65570:VIG65580 VSB65570:VSC65580 WBX65570:WBY65580 WLT65570:WLU65580 WVP65570:WVQ65580 H131106:I131116 JD131106:JE131116 SZ131106:TA131116 ACV131106:ACW131116 AMR131106:AMS131116 AWN131106:AWO131116 BGJ131106:BGK131116 BQF131106:BQG131116 CAB131106:CAC131116 CJX131106:CJY131116 CTT131106:CTU131116 DDP131106:DDQ131116 DNL131106:DNM131116 DXH131106:DXI131116 EHD131106:EHE131116 EQZ131106:ERA131116 FAV131106:FAW131116 FKR131106:FKS131116 FUN131106:FUO131116 GEJ131106:GEK131116 GOF131106:GOG131116 GYB131106:GYC131116 HHX131106:HHY131116 HRT131106:HRU131116 IBP131106:IBQ131116 ILL131106:ILM131116 IVH131106:IVI131116 JFD131106:JFE131116 JOZ131106:JPA131116 JYV131106:JYW131116 KIR131106:KIS131116 KSN131106:KSO131116 LCJ131106:LCK131116 LMF131106:LMG131116 LWB131106:LWC131116 MFX131106:MFY131116 MPT131106:MPU131116 MZP131106:MZQ131116 NJL131106:NJM131116 NTH131106:NTI131116 ODD131106:ODE131116 OMZ131106:ONA131116 OWV131106:OWW131116 PGR131106:PGS131116 PQN131106:PQO131116 QAJ131106:QAK131116 QKF131106:QKG131116 QUB131106:QUC131116 RDX131106:RDY131116 RNT131106:RNU131116 RXP131106:RXQ131116 SHL131106:SHM131116 SRH131106:SRI131116 TBD131106:TBE131116 TKZ131106:TLA131116 TUV131106:TUW131116 UER131106:UES131116 UON131106:UOO131116 UYJ131106:UYK131116 VIF131106:VIG131116 VSB131106:VSC131116 WBX131106:WBY131116 WLT131106:WLU131116 WVP131106:WVQ131116 H196642:I196652 JD196642:JE196652 SZ196642:TA196652 ACV196642:ACW196652 AMR196642:AMS196652 AWN196642:AWO196652 BGJ196642:BGK196652 BQF196642:BQG196652 CAB196642:CAC196652 CJX196642:CJY196652 CTT196642:CTU196652 DDP196642:DDQ196652 DNL196642:DNM196652 DXH196642:DXI196652 EHD196642:EHE196652 EQZ196642:ERA196652 FAV196642:FAW196652 FKR196642:FKS196652 FUN196642:FUO196652 GEJ196642:GEK196652 GOF196642:GOG196652 GYB196642:GYC196652 HHX196642:HHY196652 HRT196642:HRU196652 IBP196642:IBQ196652 ILL196642:ILM196652 IVH196642:IVI196652 JFD196642:JFE196652 JOZ196642:JPA196652 JYV196642:JYW196652 KIR196642:KIS196652 KSN196642:KSO196652 LCJ196642:LCK196652 LMF196642:LMG196652 LWB196642:LWC196652 MFX196642:MFY196652 MPT196642:MPU196652 MZP196642:MZQ196652 NJL196642:NJM196652 NTH196642:NTI196652 ODD196642:ODE196652 OMZ196642:ONA196652 OWV196642:OWW196652 PGR196642:PGS196652 PQN196642:PQO196652 QAJ196642:QAK196652 QKF196642:QKG196652 QUB196642:QUC196652 RDX196642:RDY196652 RNT196642:RNU196652 RXP196642:RXQ196652 SHL196642:SHM196652 SRH196642:SRI196652 TBD196642:TBE196652 TKZ196642:TLA196652 TUV196642:TUW196652 UER196642:UES196652 UON196642:UOO196652 UYJ196642:UYK196652 VIF196642:VIG196652 VSB196642:VSC196652 WBX196642:WBY196652 WLT196642:WLU196652 WVP196642:WVQ196652 H262178:I262188 JD262178:JE262188 SZ262178:TA262188 ACV262178:ACW262188 AMR262178:AMS262188 AWN262178:AWO262188 BGJ262178:BGK262188 BQF262178:BQG262188 CAB262178:CAC262188 CJX262178:CJY262188 CTT262178:CTU262188 DDP262178:DDQ262188 DNL262178:DNM262188 DXH262178:DXI262188 EHD262178:EHE262188 EQZ262178:ERA262188 FAV262178:FAW262188 FKR262178:FKS262188 FUN262178:FUO262188 GEJ262178:GEK262188 GOF262178:GOG262188 GYB262178:GYC262188 HHX262178:HHY262188 HRT262178:HRU262188 IBP262178:IBQ262188 ILL262178:ILM262188 IVH262178:IVI262188 JFD262178:JFE262188 JOZ262178:JPA262188 JYV262178:JYW262188 KIR262178:KIS262188 KSN262178:KSO262188 LCJ262178:LCK262188 LMF262178:LMG262188 LWB262178:LWC262188 MFX262178:MFY262188 MPT262178:MPU262188 MZP262178:MZQ262188 NJL262178:NJM262188 NTH262178:NTI262188 ODD262178:ODE262188 OMZ262178:ONA262188 OWV262178:OWW262188 PGR262178:PGS262188 PQN262178:PQO262188 QAJ262178:QAK262188 QKF262178:QKG262188 QUB262178:QUC262188 RDX262178:RDY262188 RNT262178:RNU262188 RXP262178:RXQ262188 SHL262178:SHM262188 SRH262178:SRI262188 TBD262178:TBE262188 TKZ262178:TLA262188 TUV262178:TUW262188 UER262178:UES262188 UON262178:UOO262188 UYJ262178:UYK262188 VIF262178:VIG262188 VSB262178:VSC262188 WBX262178:WBY262188 WLT262178:WLU262188 WVP262178:WVQ262188 H327714:I327724 JD327714:JE327724 SZ327714:TA327724 ACV327714:ACW327724 AMR327714:AMS327724 AWN327714:AWO327724 BGJ327714:BGK327724 BQF327714:BQG327724 CAB327714:CAC327724 CJX327714:CJY327724 CTT327714:CTU327724 DDP327714:DDQ327724 DNL327714:DNM327724 DXH327714:DXI327724 EHD327714:EHE327724 EQZ327714:ERA327724 FAV327714:FAW327724 FKR327714:FKS327724 FUN327714:FUO327724 GEJ327714:GEK327724 GOF327714:GOG327724 GYB327714:GYC327724 HHX327714:HHY327724 HRT327714:HRU327724 IBP327714:IBQ327724 ILL327714:ILM327724 IVH327714:IVI327724 JFD327714:JFE327724 JOZ327714:JPA327724 JYV327714:JYW327724 KIR327714:KIS327724 KSN327714:KSO327724 LCJ327714:LCK327724 LMF327714:LMG327724 LWB327714:LWC327724 MFX327714:MFY327724 MPT327714:MPU327724 MZP327714:MZQ327724 NJL327714:NJM327724 NTH327714:NTI327724 ODD327714:ODE327724 OMZ327714:ONA327724 OWV327714:OWW327724 PGR327714:PGS327724 PQN327714:PQO327724 QAJ327714:QAK327724 QKF327714:QKG327724 QUB327714:QUC327724 RDX327714:RDY327724 RNT327714:RNU327724 RXP327714:RXQ327724 SHL327714:SHM327724 SRH327714:SRI327724 TBD327714:TBE327724 TKZ327714:TLA327724 TUV327714:TUW327724 UER327714:UES327724 UON327714:UOO327724 UYJ327714:UYK327724 VIF327714:VIG327724 VSB327714:VSC327724 WBX327714:WBY327724 WLT327714:WLU327724 WVP327714:WVQ327724 H393250:I393260 JD393250:JE393260 SZ393250:TA393260 ACV393250:ACW393260 AMR393250:AMS393260 AWN393250:AWO393260 BGJ393250:BGK393260 BQF393250:BQG393260 CAB393250:CAC393260 CJX393250:CJY393260 CTT393250:CTU393260 DDP393250:DDQ393260 DNL393250:DNM393260 DXH393250:DXI393260 EHD393250:EHE393260 EQZ393250:ERA393260 FAV393250:FAW393260 FKR393250:FKS393260 FUN393250:FUO393260 GEJ393250:GEK393260 GOF393250:GOG393260 GYB393250:GYC393260 HHX393250:HHY393260 HRT393250:HRU393260 IBP393250:IBQ393260 ILL393250:ILM393260 IVH393250:IVI393260 JFD393250:JFE393260 JOZ393250:JPA393260 JYV393250:JYW393260 KIR393250:KIS393260 KSN393250:KSO393260 LCJ393250:LCK393260 LMF393250:LMG393260 LWB393250:LWC393260 MFX393250:MFY393260 MPT393250:MPU393260 MZP393250:MZQ393260 NJL393250:NJM393260 NTH393250:NTI393260 ODD393250:ODE393260 OMZ393250:ONA393260 OWV393250:OWW393260 PGR393250:PGS393260 PQN393250:PQO393260 QAJ393250:QAK393260 QKF393250:QKG393260 QUB393250:QUC393260 RDX393250:RDY393260 RNT393250:RNU393260 RXP393250:RXQ393260 SHL393250:SHM393260 SRH393250:SRI393260 TBD393250:TBE393260 TKZ393250:TLA393260 TUV393250:TUW393260 UER393250:UES393260 UON393250:UOO393260 UYJ393250:UYK393260 VIF393250:VIG393260 VSB393250:VSC393260 WBX393250:WBY393260 WLT393250:WLU393260 WVP393250:WVQ393260 H458786:I458796 JD458786:JE458796 SZ458786:TA458796 ACV458786:ACW458796 AMR458786:AMS458796 AWN458786:AWO458796 BGJ458786:BGK458796 BQF458786:BQG458796 CAB458786:CAC458796 CJX458786:CJY458796 CTT458786:CTU458796 DDP458786:DDQ458796 DNL458786:DNM458796 DXH458786:DXI458796 EHD458786:EHE458796 EQZ458786:ERA458796 FAV458786:FAW458796 FKR458786:FKS458796 FUN458786:FUO458796 GEJ458786:GEK458796 GOF458786:GOG458796 GYB458786:GYC458796 HHX458786:HHY458796 HRT458786:HRU458796 IBP458786:IBQ458796 ILL458786:ILM458796 IVH458786:IVI458796 JFD458786:JFE458796 JOZ458786:JPA458796 JYV458786:JYW458796 KIR458786:KIS458796 KSN458786:KSO458796 LCJ458786:LCK458796 LMF458786:LMG458796 LWB458786:LWC458796 MFX458786:MFY458796 MPT458786:MPU458796 MZP458786:MZQ458796 NJL458786:NJM458796 NTH458786:NTI458796 ODD458786:ODE458796 OMZ458786:ONA458796 OWV458786:OWW458796 PGR458786:PGS458796 PQN458786:PQO458796 QAJ458786:QAK458796 QKF458786:QKG458796 QUB458786:QUC458796 RDX458786:RDY458796 RNT458786:RNU458796 RXP458786:RXQ458796 SHL458786:SHM458796 SRH458786:SRI458796 TBD458786:TBE458796 TKZ458786:TLA458796 TUV458786:TUW458796 UER458786:UES458796 UON458786:UOO458796 UYJ458786:UYK458796 VIF458786:VIG458796 VSB458786:VSC458796 WBX458786:WBY458796 WLT458786:WLU458796 WVP458786:WVQ458796 H524322:I524332 JD524322:JE524332 SZ524322:TA524332 ACV524322:ACW524332 AMR524322:AMS524332 AWN524322:AWO524332 BGJ524322:BGK524332 BQF524322:BQG524332 CAB524322:CAC524332 CJX524322:CJY524332 CTT524322:CTU524332 DDP524322:DDQ524332 DNL524322:DNM524332 DXH524322:DXI524332 EHD524322:EHE524332 EQZ524322:ERA524332 FAV524322:FAW524332 FKR524322:FKS524332 FUN524322:FUO524332 GEJ524322:GEK524332 GOF524322:GOG524332 GYB524322:GYC524332 HHX524322:HHY524332 HRT524322:HRU524332 IBP524322:IBQ524332 ILL524322:ILM524332 IVH524322:IVI524332 JFD524322:JFE524332 JOZ524322:JPA524332 JYV524322:JYW524332 KIR524322:KIS524332 KSN524322:KSO524332 LCJ524322:LCK524332 LMF524322:LMG524332 LWB524322:LWC524332 MFX524322:MFY524332 MPT524322:MPU524332 MZP524322:MZQ524332 NJL524322:NJM524332 NTH524322:NTI524332 ODD524322:ODE524332 OMZ524322:ONA524332 OWV524322:OWW524332 PGR524322:PGS524332 PQN524322:PQO524332 QAJ524322:QAK524332 QKF524322:QKG524332 QUB524322:QUC524332 RDX524322:RDY524332 RNT524322:RNU524332 RXP524322:RXQ524332 SHL524322:SHM524332 SRH524322:SRI524332 TBD524322:TBE524332 TKZ524322:TLA524332 TUV524322:TUW524332 UER524322:UES524332 UON524322:UOO524332 UYJ524322:UYK524332 VIF524322:VIG524332 VSB524322:VSC524332 WBX524322:WBY524332 WLT524322:WLU524332 WVP524322:WVQ524332 H589858:I589868 JD589858:JE589868 SZ589858:TA589868 ACV589858:ACW589868 AMR589858:AMS589868 AWN589858:AWO589868 BGJ589858:BGK589868 BQF589858:BQG589868 CAB589858:CAC589868 CJX589858:CJY589868 CTT589858:CTU589868 DDP589858:DDQ589868 DNL589858:DNM589868 DXH589858:DXI589868 EHD589858:EHE589868 EQZ589858:ERA589868 FAV589858:FAW589868 FKR589858:FKS589868 FUN589858:FUO589868 GEJ589858:GEK589868 GOF589858:GOG589868 GYB589858:GYC589868 HHX589858:HHY589868 HRT589858:HRU589868 IBP589858:IBQ589868 ILL589858:ILM589868 IVH589858:IVI589868 JFD589858:JFE589868 JOZ589858:JPA589868 JYV589858:JYW589868 KIR589858:KIS589868 KSN589858:KSO589868 LCJ589858:LCK589868 LMF589858:LMG589868 LWB589858:LWC589868 MFX589858:MFY589868 MPT589858:MPU589868 MZP589858:MZQ589868 NJL589858:NJM589868 NTH589858:NTI589868 ODD589858:ODE589868 OMZ589858:ONA589868 OWV589858:OWW589868 PGR589858:PGS589868 PQN589858:PQO589868 QAJ589858:QAK589868 QKF589858:QKG589868 QUB589858:QUC589868 RDX589858:RDY589868 RNT589858:RNU589868 RXP589858:RXQ589868 SHL589858:SHM589868 SRH589858:SRI589868 TBD589858:TBE589868 TKZ589858:TLA589868 TUV589858:TUW589868 UER589858:UES589868 UON589858:UOO589868 UYJ589858:UYK589868 VIF589858:VIG589868 VSB589858:VSC589868 WBX589858:WBY589868 WLT589858:WLU589868 WVP589858:WVQ589868 H655394:I655404 JD655394:JE655404 SZ655394:TA655404 ACV655394:ACW655404 AMR655394:AMS655404 AWN655394:AWO655404 BGJ655394:BGK655404 BQF655394:BQG655404 CAB655394:CAC655404 CJX655394:CJY655404 CTT655394:CTU655404 DDP655394:DDQ655404 DNL655394:DNM655404 DXH655394:DXI655404 EHD655394:EHE655404 EQZ655394:ERA655404 FAV655394:FAW655404 FKR655394:FKS655404 FUN655394:FUO655404 GEJ655394:GEK655404 GOF655394:GOG655404 GYB655394:GYC655404 HHX655394:HHY655404 HRT655394:HRU655404 IBP655394:IBQ655404 ILL655394:ILM655404 IVH655394:IVI655404 JFD655394:JFE655404 JOZ655394:JPA655404 JYV655394:JYW655404 KIR655394:KIS655404 KSN655394:KSO655404 LCJ655394:LCK655404 LMF655394:LMG655404 LWB655394:LWC655404 MFX655394:MFY655404 MPT655394:MPU655404 MZP655394:MZQ655404 NJL655394:NJM655404 NTH655394:NTI655404 ODD655394:ODE655404 OMZ655394:ONA655404 OWV655394:OWW655404 PGR655394:PGS655404 PQN655394:PQO655404 QAJ655394:QAK655404 QKF655394:QKG655404 QUB655394:QUC655404 RDX655394:RDY655404 RNT655394:RNU655404 RXP655394:RXQ655404 SHL655394:SHM655404 SRH655394:SRI655404 TBD655394:TBE655404 TKZ655394:TLA655404 TUV655394:TUW655404 UER655394:UES655404 UON655394:UOO655404 UYJ655394:UYK655404 VIF655394:VIG655404 VSB655394:VSC655404 WBX655394:WBY655404 WLT655394:WLU655404 WVP655394:WVQ655404 H720930:I720940 JD720930:JE720940 SZ720930:TA720940 ACV720930:ACW720940 AMR720930:AMS720940 AWN720930:AWO720940 BGJ720930:BGK720940 BQF720930:BQG720940 CAB720930:CAC720940 CJX720930:CJY720940 CTT720930:CTU720940 DDP720930:DDQ720940 DNL720930:DNM720940 DXH720930:DXI720940 EHD720930:EHE720940 EQZ720930:ERA720940 FAV720930:FAW720940 FKR720930:FKS720940 FUN720930:FUO720940 GEJ720930:GEK720940 GOF720930:GOG720940 GYB720930:GYC720940 HHX720930:HHY720940 HRT720930:HRU720940 IBP720930:IBQ720940 ILL720930:ILM720940 IVH720930:IVI720940 JFD720930:JFE720940 JOZ720930:JPA720940 JYV720930:JYW720940 KIR720930:KIS720940 KSN720930:KSO720940 LCJ720930:LCK720940 LMF720930:LMG720940 LWB720930:LWC720940 MFX720930:MFY720940 MPT720930:MPU720940 MZP720930:MZQ720940 NJL720930:NJM720940 NTH720930:NTI720940 ODD720930:ODE720940 OMZ720930:ONA720940 OWV720930:OWW720940 PGR720930:PGS720940 PQN720930:PQO720940 QAJ720930:QAK720940 QKF720930:QKG720940 QUB720930:QUC720940 RDX720930:RDY720940 RNT720930:RNU720940 RXP720930:RXQ720940 SHL720930:SHM720940 SRH720930:SRI720940 TBD720930:TBE720940 TKZ720930:TLA720940 TUV720930:TUW720940 UER720930:UES720940 UON720930:UOO720940 UYJ720930:UYK720940 VIF720930:VIG720940 VSB720930:VSC720940 WBX720930:WBY720940 WLT720930:WLU720940 WVP720930:WVQ720940 H786466:I786476 JD786466:JE786476 SZ786466:TA786476 ACV786466:ACW786476 AMR786466:AMS786476 AWN786466:AWO786476 BGJ786466:BGK786476 BQF786466:BQG786476 CAB786466:CAC786476 CJX786466:CJY786476 CTT786466:CTU786476 DDP786466:DDQ786476 DNL786466:DNM786476 DXH786466:DXI786476 EHD786466:EHE786476 EQZ786466:ERA786476 FAV786466:FAW786476 FKR786466:FKS786476 FUN786466:FUO786476 GEJ786466:GEK786476 GOF786466:GOG786476 GYB786466:GYC786476 HHX786466:HHY786476 HRT786466:HRU786476 IBP786466:IBQ786476 ILL786466:ILM786476 IVH786466:IVI786476 JFD786466:JFE786476 JOZ786466:JPA786476 JYV786466:JYW786476 KIR786466:KIS786476 KSN786466:KSO786476 LCJ786466:LCK786476 LMF786466:LMG786476 LWB786466:LWC786476 MFX786466:MFY786476 MPT786466:MPU786476 MZP786466:MZQ786476 NJL786466:NJM786476 NTH786466:NTI786476 ODD786466:ODE786476 OMZ786466:ONA786476 OWV786466:OWW786476 PGR786466:PGS786476 PQN786466:PQO786476 QAJ786466:QAK786476 QKF786466:QKG786476 QUB786466:QUC786476 RDX786466:RDY786476 RNT786466:RNU786476 RXP786466:RXQ786476 SHL786466:SHM786476 SRH786466:SRI786476 TBD786466:TBE786476 TKZ786466:TLA786476 TUV786466:TUW786476 UER786466:UES786476 UON786466:UOO786476 UYJ786466:UYK786476 VIF786466:VIG786476 VSB786466:VSC786476 WBX786466:WBY786476 WLT786466:WLU786476 WVP786466:WVQ786476 H852002:I852012 JD852002:JE852012 SZ852002:TA852012 ACV852002:ACW852012 AMR852002:AMS852012 AWN852002:AWO852012 BGJ852002:BGK852012 BQF852002:BQG852012 CAB852002:CAC852012 CJX852002:CJY852012 CTT852002:CTU852012 DDP852002:DDQ852012 DNL852002:DNM852012 DXH852002:DXI852012 EHD852002:EHE852012 EQZ852002:ERA852012 FAV852002:FAW852012 FKR852002:FKS852012 FUN852002:FUO852012 GEJ852002:GEK852012 GOF852002:GOG852012 GYB852002:GYC852012 HHX852002:HHY852012 HRT852002:HRU852012 IBP852002:IBQ852012 ILL852002:ILM852012 IVH852002:IVI852012 JFD852002:JFE852012 JOZ852002:JPA852012 JYV852002:JYW852012 KIR852002:KIS852012 KSN852002:KSO852012 LCJ852002:LCK852012 LMF852002:LMG852012 LWB852002:LWC852012 MFX852002:MFY852012 MPT852002:MPU852012 MZP852002:MZQ852012 NJL852002:NJM852012 NTH852002:NTI852012 ODD852002:ODE852012 OMZ852002:ONA852012 OWV852002:OWW852012 PGR852002:PGS852012 PQN852002:PQO852012 QAJ852002:QAK852012 QKF852002:QKG852012 QUB852002:QUC852012 RDX852002:RDY852012 RNT852002:RNU852012 RXP852002:RXQ852012 SHL852002:SHM852012 SRH852002:SRI852012 TBD852002:TBE852012 TKZ852002:TLA852012 TUV852002:TUW852012 UER852002:UES852012 UON852002:UOO852012 UYJ852002:UYK852012 VIF852002:VIG852012 VSB852002:VSC852012 WBX852002:WBY852012 WLT852002:WLU852012 WVP852002:WVQ852012 H917538:I917548 JD917538:JE917548 SZ917538:TA917548 ACV917538:ACW917548 AMR917538:AMS917548 AWN917538:AWO917548 BGJ917538:BGK917548 BQF917538:BQG917548 CAB917538:CAC917548 CJX917538:CJY917548 CTT917538:CTU917548 DDP917538:DDQ917548 DNL917538:DNM917548 DXH917538:DXI917548 EHD917538:EHE917548 EQZ917538:ERA917548 FAV917538:FAW917548 FKR917538:FKS917548 FUN917538:FUO917548 GEJ917538:GEK917548 GOF917538:GOG917548 GYB917538:GYC917548 HHX917538:HHY917548 HRT917538:HRU917548 IBP917538:IBQ917548 ILL917538:ILM917548 IVH917538:IVI917548 JFD917538:JFE917548 JOZ917538:JPA917548 JYV917538:JYW917548 KIR917538:KIS917548 KSN917538:KSO917548 LCJ917538:LCK917548 LMF917538:LMG917548 LWB917538:LWC917548 MFX917538:MFY917548 MPT917538:MPU917548 MZP917538:MZQ917548 NJL917538:NJM917548 NTH917538:NTI917548 ODD917538:ODE917548 OMZ917538:ONA917548 OWV917538:OWW917548 PGR917538:PGS917548 PQN917538:PQO917548 QAJ917538:QAK917548 QKF917538:QKG917548 QUB917538:QUC917548 RDX917538:RDY917548 RNT917538:RNU917548 RXP917538:RXQ917548 SHL917538:SHM917548 SRH917538:SRI917548 TBD917538:TBE917548 TKZ917538:TLA917548 TUV917538:TUW917548 UER917538:UES917548 UON917538:UOO917548 UYJ917538:UYK917548 VIF917538:VIG917548 VSB917538:VSC917548 WBX917538:WBY917548 WLT917538:WLU917548 WVP917538:WVQ917548 H983074:I983084 JD983074:JE983084 SZ983074:TA983084 ACV983074:ACW983084 AMR983074:AMS983084 AWN983074:AWO983084 BGJ983074:BGK983084 BQF983074:BQG983084 CAB983074:CAC983084 CJX983074:CJY983084 CTT983074:CTU983084 DDP983074:DDQ983084 DNL983074:DNM983084 DXH983074:DXI983084 EHD983074:EHE983084 EQZ983074:ERA983084 FAV983074:FAW983084 FKR983074:FKS983084 FUN983074:FUO983084 GEJ983074:GEK983084 GOF983074:GOG983084 GYB983074:GYC983084 HHX983074:HHY983084 HRT983074:HRU983084 IBP983074:IBQ983084 ILL983074:ILM983084 IVH983074:IVI983084 JFD983074:JFE983084 JOZ983074:JPA983084 JYV983074:JYW983084 KIR983074:KIS983084 KSN983074:KSO983084 LCJ983074:LCK983084 LMF983074:LMG983084 LWB983074:LWC983084 MFX983074:MFY983084 MPT983074:MPU983084 MZP983074:MZQ983084 NJL983074:NJM983084 NTH983074:NTI983084 ODD983074:ODE983084 OMZ983074:ONA983084 OWV983074:OWW983084 PGR983074:PGS983084 PQN983074:PQO983084 QAJ983074:QAK983084 QKF983074:QKG983084 QUB983074:QUC983084 RDX983074:RDY983084 RNT983074:RNU983084 RXP983074:RXQ983084 SHL983074:SHM983084 SRH983074:SRI983084 TBD983074:TBE983084 TKZ983074:TLA983084 TUV983074:TUW983084 UER983074:UES983084 UON983074:UOO983084 UYJ983074:UYK983084 VIF983074:VIG983084 VSB983074:VSC983084 WBX983074:WBY983084 WLT983074:WLU983084 WVP983074:WVQ983084 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formula1>"Yes,No,NA"</formula1>
    </dataValidation>
  </dataValidations>
  <hyperlinks>
    <hyperlink ref="A1" location="'Table Of Contents'!A1" display="TOC"/>
  </hyperlinks>
  <pageMargins left="0.25" right="0.25" top="0.75" bottom="0.75" header="0.3" footer="0.3"/>
  <pageSetup scale="47" orientation="portrait" r:id="rId1"/>
  <headerFooter alignWithMargins="0"/>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9FF99"/>
  </sheetPr>
  <dimension ref="A1:N176"/>
  <sheetViews>
    <sheetView showGridLines="0" view="pageBreakPreview" zoomScaleNormal="75" zoomScaleSheetLayoutView="100" workbookViewId="0">
      <selection activeCell="B1" sqref="B1"/>
    </sheetView>
  </sheetViews>
  <sheetFormatPr defaultRowHeight="12.75"/>
  <cols>
    <col min="1" max="1" width="9.140625" style="953" customWidth="1"/>
    <col min="2" max="2" width="20" style="953" customWidth="1"/>
    <col min="3" max="3" width="16.140625" style="953" customWidth="1"/>
    <col min="4" max="5" width="15.140625" style="953" customWidth="1"/>
    <col min="6" max="6" width="30.7109375" style="953" customWidth="1"/>
    <col min="7" max="7" width="10.7109375" style="953" customWidth="1"/>
    <col min="8" max="8" width="5.7109375" style="953" customWidth="1"/>
    <col min="9" max="9" width="11" style="953" customWidth="1"/>
    <col min="10" max="10" width="32.42578125" style="953" customWidth="1"/>
    <col min="11" max="13" width="9.140625" style="953"/>
    <col min="14" max="14" width="9" style="953" hidden="1" customWidth="1"/>
    <col min="15" max="256" width="9.140625" style="953"/>
    <col min="257" max="257" width="9.140625" style="953" customWidth="1"/>
    <col min="258" max="258" width="20" style="953" customWidth="1"/>
    <col min="259" max="259" width="16.140625" style="953" customWidth="1"/>
    <col min="260" max="261" width="15.140625" style="953" customWidth="1"/>
    <col min="262" max="262" width="30.7109375" style="953" customWidth="1"/>
    <col min="263" max="263" width="10.7109375" style="953" customWidth="1"/>
    <col min="264" max="264" width="5.7109375" style="953" customWidth="1"/>
    <col min="265" max="265" width="11" style="953" customWidth="1"/>
    <col min="266" max="266" width="32.42578125" style="953" customWidth="1"/>
    <col min="267" max="269" width="9.140625" style="953"/>
    <col min="270" max="270" width="0" style="953" hidden="1" customWidth="1"/>
    <col min="271" max="512" width="9.140625" style="953"/>
    <col min="513" max="513" width="9.140625" style="953" customWidth="1"/>
    <col min="514" max="514" width="20" style="953" customWidth="1"/>
    <col min="515" max="515" width="16.140625" style="953" customWidth="1"/>
    <col min="516" max="517" width="15.140625" style="953" customWidth="1"/>
    <col min="518" max="518" width="30.7109375" style="953" customWidth="1"/>
    <col min="519" max="519" width="10.7109375" style="953" customWidth="1"/>
    <col min="520" max="520" width="5.7109375" style="953" customWidth="1"/>
    <col min="521" max="521" width="11" style="953" customWidth="1"/>
    <col min="522" max="522" width="32.42578125" style="953" customWidth="1"/>
    <col min="523" max="525" width="9.140625" style="953"/>
    <col min="526" max="526" width="0" style="953" hidden="1" customWidth="1"/>
    <col min="527" max="768" width="9.140625" style="953"/>
    <col min="769" max="769" width="9.140625" style="953" customWidth="1"/>
    <col min="770" max="770" width="20" style="953" customWidth="1"/>
    <col min="771" max="771" width="16.140625" style="953" customWidth="1"/>
    <col min="772" max="773" width="15.140625" style="953" customWidth="1"/>
    <col min="774" max="774" width="30.7109375" style="953" customWidth="1"/>
    <col min="775" max="775" width="10.7109375" style="953" customWidth="1"/>
    <col min="776" max="776" width="5.7109375" style="953" customWidth="1"/>
    <col min="777" max="777" width="11" style="953" customWidth="1"/>
    <col min="778" max="778" width="32.42578125" style="953" customWidth="1"/>
    <col min="779" max="781" width="9.140625" style="953"/>
    <col min="782" max="782" width="0" style="953" hidden="1" customWidth="1"/>
    <col min="783" max="1024" width="9.140625" style="953"/>
    <col min="1025" max="1025" width="9.140625" style="953" customWidth="1"/>
    <col min="1026" max="1026" width="20" style="953" customWidth="1"/>
    <col min="1027" max="1027" width="16.140625" style="953" customWidth="1"/>
    <col min="1028" max="1029" width="15.140625" style="953" customWidth="1"/>
    <col min="1030" max="1030" width="30.7109375" style="953" customWidth="1"/>
    <col min="1031" max="1031" width="10.7109375" style="953" customWidth="1"/>
    <col min="1032" max="1032" width="5.7109375" style="953" customWidth="1"/>
    <col min="1033" max="1033" width="11" style="953" customWidth="1"/>
    <col min="1034" max="1034" width="32.42578125" style="953" customWidth="1"/>
    <col min="1035" max="1037" width="9.140625" style="953"/>
    <col min="1038" max="1038" width="0" style="953" hidden="1" customWidth="1"/>
    <col min="1039" max="1280" width="9.140625" style="953"/>
    <col min="1281" max="1281" width="9.140625" style="953" customWidth="1"/>
    <col min="1282" max="1282" width="20" style="953" customWidth="1"/>
    <col min="1283" max="1283" width="16.140625" style="953" customWidth="1"/>
    <col min="1284" max="1285" width="15.140625" style="953" customWidth="1"/>
    <col min="1286" max="1286" width="30.7109375" style="953" customWidth="1"/>
    <col min="1287" max="1287" width="10.7109375" style="953" customWidth="1"/>
    <col min="1288" max="1288" width="5.7109375" style="953" customWidth="1"/>
    <col min="1289" max="1289" width="11" style="953" customWidth="1"/>
    <col min="1290" max="1290" width="32.42578125" style="953" customWidth="1"/>
    <col min="1291" max="1293" width="9.140625" style="953"/>
    <col min="1294" max="1294" width="0" style="953" hidden="1" customWidth="1"/>
    <col min="1295" max="1536" width="9.140625" style="953"/>
    <col min="1537" max="1537" width="9.140625" style="953" customWidth="1"/>
    <col min="1538" max="1538" width="20" style="953" customWidth="1"/>
    <col min="1539" max="1539" width="16.140625" style="953" customWidth="1"/>
    <col min="1540" max="1541" width="15.140625" style="953" customWidth="1"/>
    <col min="1542" max="1542" width="30.7109375" style="953" customWidth="1"/>
    <col min="1543" max="1543" width="10.7109375" style="953" customWidth="1"/>
    <col min="1544" max="1544" width="5.7109375" style="953" customWidth="1"/>
    <col min="1545" max="1545" width="11" style="953" customWidth="1"/>
    <col min="1546" max="1546" width="32.42578125" style="953" customWidth="1"/>
    <col min="1547" max="1549" width="9.140625" style="953"/>
    <col min="1550" max="1550" width="0" style="953" hidden="1" customWidth="1"/>
    <col min="1551" max="1792" width="9.140625" style="953"/>
    <col min="1793" max="1793" width="9.140625" style="953" customWidth="1"/>
    <col min="1794" max="1794" width="20" style="953" customWidth="1"/>
    <col min="1795" max="1795" width="16.140625" style="953" customWidth="1"/>
    <col min="1796" max="1797" width="15.140625" style="953" customWidth="1"/>
    <col min="1798" max="1798" width="30.7109375" style="953" customWidth="1"/>
    <col min="1799" max="1799" width="10.7109375" style="953" customWidth="1"/>
    <col min="1800" max="1800" width="5.7109375" style="953" customWidth="1"/>
    <col min="1801" max="1801" width="11" style="953" customWidth="1"/>
    <col min="1802" max="1802" width="32.42578125" style="953" customWidth="1"/>
    <col min="1803" max="1805" width="9.140625" style="953"/>
    <col min="1806" max="1806" width="0" style="953" hidden="1" customWidth="1"/>
    <col min="1807" max="2048" width="9.140625" style="953"/>
    <col min="2049" max="2049" width="9.140625" style="953" customWidth="1"/>
    <col min="2050" max="2050" width="20" style="953" customWidth="1"/>
    <col min="2051" max="2051" width="16.140625" style="953" customWidth="1"/>
    <col min="2052" max="2053" width="15.140625" style="953" customWidth="1"/>
    <col min="2054" max="2054" width="30.7109375" style="953" customWidth="1"/>
    <col min="2055" max="2055" width="10.7109375" style="953" customWidth="1"/>
    <col min="2056" max="2056" width="5.7109375" style="953" customWidth="1"/>
    <col min="2057" max="2057" width="11" style="953" customWidth="1"/>
    <col min="2058" max="2058" width="32.42578125" style="953" customWidth="1"/>
    <col min="2059" max="2061" width="9.140625" style="953"/>
    <col min="2062" max="2062" width="0" style="953" hidden="1" customWidth="1"/>
    <col min="2063" max="2304" width="9.140625" style="953"/>
    <col min="2305" max="2305" width="9.140625" style="953" customWidth="1"/>
    <col min="2306" max="2306" width="20" style="953" customWidth="1"/>
    <col min="2307" max="2307" width="16.140625" style="953" customWidth="1"/>
    <col min="2308" max="2309" width="15.140625" style="953" customWidth="1"/>
    <col min="2310" max="2310" width="30.7109375" style="953" customWidth="1"/>
    <col min="2311" max="2311" width="10.7109375" style="953" customWidth="1"/>
    <col min="2312" max="2312" width="5.7109375" style="953" customWidth="1"/>
    <col min="2313" max="2313" width="11" style="953" customWidth="1"/>
    <col min="2314" max="2314" width="32.42578125" style="953" customWidth="1"/>
    <col min="2315" max="2317" width="9.140625" style="953"/>
    <col min="2318" max="2318" width="0" style="953" hidden="1" customWidth="1"/>
    <col min="2319" max="2560" width="9.140625" style="953"/>
    <col min="2561" max="2561" width="9.140625" style="953" customWidth="1"/>
    <col min="2562" max="2562" width="20" style="953" customWidth="1"/>
    <col min="2563" max="2563" width="16.140625" style="953" customWidth="1"/>
    <col min="2564" max="2565" width="15.140625" style="953" customWidth="1"/>
    <col min="2566" max="2566" width="30.7109375" style="953" customWidth="1"/>
    <col min="2567" max="2567" width="10.7109375" style="953" customWidth="1"/>
    <col min="2568" max="2568" width="5.7109375" style="953" customWidth="1"/>
    <col min="2569" max="2569" width="11" style="953" customWidth="1"/>
    <col min="2570" max="2570" width="32.42578125" style="953" customWidth="1"/>
    <col min="2571" max="2573" width="9.140625" style="953"/>
    <col min="2574" max="2574" width="0" style="953" hidden="1" customWidth="1"/>
    <col min="2575" max="2816" width="9.140625" style="953"/>
    <col min="2817" max="2817" width="9.140625" style="953" customWidth="1"/>
    <col min="2818" max="2818" width="20" style="953" customWidth="1"/>
    <col min="2819" max="2819" width="16.140625" style="953" customWidth="1"/>
    <col min="2820" max="2821" width="15.140625" style="953" customWidth="1"/>
    <col min="2822" max="2822" width="30.7109375" style="953" customWidth="1"/>
    <col min="2823" max="2823" width="10.7109375" style="953" customWidth="1"/>
    <col min="2824" max="2824" width="5.7109375" style="953" customWidth="1"/>
    <col min="2825" max="2825" width="11" style="953" customWidth="1"/>
    <col min="2826" max="2826" width="32.42578125" style="953" customWidth="1"/>
    <col min="2827" max="2829" width="9.140625" style="953"/>
    <col min="2830" max="2830" width="0" style="953" hidden="1" customWidth="1"/>
    <col min="2831" max="3072" width="9.140625" style="953"/>
    <col min="3073" max="3073" width="9.140625" style="953" customWidth="1"/>
    <col min="3074" max="3074" width="20" style="953" customWidth="1"/>
    <col min="3075" max="3075" width="16.140625" style="953" customWidth="1"/>
    <col min="3076" max="3077" width="15.140625" style="953" customWidth="1"/>
    <col min="3078" max="3078" width="30.7109375" style="953" customWidth="1"/>
    <col min="3079" max="3079" width="10.7109375" style="953" customWidth="1"/>
    <col min="3080" max="3080" width="5.7109375" style="953" customWidth="1"/>
    <col min="3081" max="3081" width="11" style="953" customWidth="1"/>
    <col min="3082" max="3082" width="32.42578125" style="953" customWidth="1"/>
    <col min="3083" max="3085" width="9.140625" style="953"/>
    <col min="3086" max="3086" width="0" style="953" hidden="1" customWidth="1"/>
    <col min="3087" max="3328" width="9.140625" style="953"/>
    <col min="3329" max="3329" width="9.140625" style="953" customWidth="1"/>
    <col min="3330" max="3330" width="20" style="953" customWidth="1"/>
    <col min="3331" max="3331" width="16.140625" style="953" customWidth="1"/>
    <col min="3332" max="3333" width="15.140625" style="953" customWidth="1"/>
    <col min="3334" max="3334" width="30.7109375" style="953" customWidth="1"/>
    <col min="3335" max="3335" width="10.7109375" style="953" customWidth="1"/>
    <col min="3336" max="3336" width="5.7109375" style="953" customWidth="1"/>
    <col min="3337" max="3337" width="11" style="953" customWidth="1"/>
    <col min="3338" max="3338" width="32.42578125" style="953" customWidth="1"/>
    <col min="3339" max="3341" width="9.140625" style="953"/>
    <col min="3342" max="3342" width="0" style="953" hidden="1" customWidth="1"/>
    <col min="3343" max="3584" width="9.140625" style="953"/>
    <col min="3585" max="3585" width="9.140625" style="953" customWidth="1"/>
    <col min="3586" max="3586" width="20" style="953" customWidth="1"/>
    <col min="3587" max="3587" width="16.140625" style="953" customWidth="1"/>
    <col min="3588" max="3589" width="15.140625" style="953" customWidth="1"/>
    <col min="3590" max="3590" width="30.7109375" style="953" customWidth="1"/>
    <col min="3591" max="3591" width="10.7109375" style="953" customWidth="1"/>
    <col min="3592" max="3592" width="5.7109375" style="953" customWidth="1"/>
    <col min="3593" max="3593" width="11" style="953" customWidth="1"/>
    <col min="3594" max="3594" width="32.42578125" style="953" customWidth="1"/>
    <col min="3595" max="3597" width="9.140625" style="953"/>
    <col min="3598" max="3598" width="0" style="953" hidden="1" customWidth="1"/>
    <col min="3599" max="3840" width="9.140625" style="953"/>
    <col min="3841" max="3841" width="9.140625" style="953" customWidth="1"/>
    <col min="3842" max="3842" width="20" style="953" customWidth="1"/>
    <col min="3843" max="3843" width="16.140625" style="953" customWidth="1"/>
    <col min="3844" max="3845" width="15.140625" style="953" customWidth="1"/>
    <col min="3846" max="3846" width="30.7109375" style="953" customWidth="1"/>
    <col min="3847" max="3847" width="10.7109375" style="953" customWidth="1"/>
    <col min="3848" max="3848" width="5.7109375" style="953" customWidth="1"/>
    <col min="3849" max="3849" width="11" style="953" customWidth="1"/>
    <col min="3850" max="3850" width="32.42578125" style="953" customWidth="1"/>
    <col min="3851" max="3853" width="9.140625" style="953"/>
    <col min="3854" max="3854" width="0" style="953" hidden="1" customWidth="1"/>
    <col min="3855" max="4096" width="9.140625" style="953"/>
    <col min="4097" max="4097" width="9.140625" style="953" customWidth="1"/>
    <col min="4098" max="4098" width="20" style="953" customWidth="1"/>
    <col min="4099" max="4099" width="16.140625" style="953" customWidth="1"/>
    <col min="4100" max="4101" width="15.140625" style="953" customWidth="1"/>
    <col min="4102" max="4102" width="30.7109375" style="953" customWidth="1"/>
    <col min="4103" max="4103" width="10.7109375" style="953" customWidth="1"/>
    <col min="4104" max="4104" width="5.7109375" style="953" customWidth="1"/>
    <col min="4105" max="4105" width="11" style="953" customWidth="1"/>
    <col min="4106" max="4106" width="32.42578125" style="953" customWidth="1"/>
    <col min="4107" max="4109" width="9.140625" style="953"/>
    <col min="4110" max="4110" width="0" style="953" hidden="1" customWidth="1"/>
    <col min="4111" max="4352" width="9.140625" style="953"/>
    <col min="4353" max="4353" width="9.140625" style="953" customWidth="1"/>
    <col min="4354" max="4354" width="20" style="953" customWidth="1"/>
    <col min="4355" max="4355" width="16.140625" style="953" customWidth="1"/>
    <col min="4356" max="4357" width="15.140625" style="953" customWidth="1"/>
    <col min="4358" max="4358" width="30.7109375" style="953" customWidth="1"/>
    <col min="4359" max="4359" width="10.7109375" style="953" customWidth="1"/>
    <col min="4360" max="4360" width="5.7109375" style="953" customWidth="1"/>
    <col min="4361" max="4361" width="11" style="953" customWidth="1"/>
    <col min="4362" max="4362" width="32.42578125" style="953" customWidth="1"/>
    <col min="4363" max="4365" width="9.140625" style="953"/>
    <col min="4366" max="4366" width="0" style="953" hidden="1" customWidth="1"/>
    <col min="4367" max="4608" width="9.140625" style="953"/>
    <col min="4609" max="4609" width="9.140625" style="953" customWidth="1"/>
    <col min="4610" max="4610" width="20" style="953" customWidth="1"/>
    <col min="4611" max="4611" width="16.140625" style="953" customWidth="1"/>
    <col min="4612" max="4613" width="15.140625" style="953" customWidth="1"/>
    <col min="4614" max="4614" width="30.7109375" style="953" customWidth="1"/>
    <col min="4615" max="4615" width="10.7109375" style="953" customWidth="1"/>
    <col min="4616" max="4616" width="5.7109375" style="953" customWidth="1"/>
    <col min="4617" max="4617" width="11" style="953" customWidth="1"/>
    <col min="4618" max="4618" width="32.42578125" style="953" customWidth="1"/>
    <col min="4619" max="4621" width="9.140625" style="953"/>
    <col min="4622" max="4622" width="0" style="953" hidden="1" customWidth="1"/>
    <col min="4623" max="4864" width="9.140625" style="953"/>
    <col min="4865" max="4865" width="9.140625" style="953" customWidth="1"/>
    <col min="4866" max="4866" width="20" style="953" customWidth="1"/>
    <col min="4867" max="4867" width="16.140625" style="953" customWidth="1"/>
    <col min="4868" max="4869" width="15.140625" style="953" customWidth="1"/>
    <col min="4870" max="4870" width="30.7109375" style="953" customWidth="1"/>
    <col min="4871" max="4871" width="10.7109375" style="953" customWidth="1"/>
    <col min="4872" max="4872" width="5.7109375" style="953" customWidth="1"/>
    <col min="4873" max="4873" width="11" style="953" customWidth="1"/>
    <col min="4874" max="4874" width="32.42578125" style="953" customWidth="1"/>
    <col min="4875" max="4877" width="9.140625" style="953"/>
    <col min="4878" max="4878" width="0" style="953" hidden="1" customWidth="1"/>
    <col min="4879" max="5120" width="9.140625" style="953"/>
    <col min="5121" max="5121" width="9.140625" style="953" customWidth="1"/>
    <col min="5122" max="5122" width="20" style="953" customWidth="1"/>
    <col min="5123" max="5123" width="16.140625" style="953" customWidth="1"/>
    <col min="5124" max="5125" width="15.140625" style="953" customWidth="1"/>
    <col min="5126" max="5126" width="30.7109375" style="953" customWidth="1"/>
    <col min="5127" max="5127" width="10.7109375" style="953" customWidth="1"/>
    <col min="5128" max="5128" width="5.7109375" style="953" customWidth="1"/>
    <col min="5129" max="5129" width="11" style="953" customWidth="1"/>
    <col min="5130" max="5130" width="32.42578125" style="953" customWidth="1"/>
    <col min="5131" max="5133" width="9.140625" style="953"/>
    <col min="5134" max="5134" width="0" style="953" hidden="1" customWidth="1"/>
    <col min="5135" max="5376" width="9.140625" style="953"/>
    <col min="5377" max="5377" width="9.140625" style="953" customWidth="1"/>
    <col min="5378" max="5378" width="20" style="953" customWidth="1"/>
    <col min="5379" max="5379" width="16.140625" style="953" customWidth="1"/>
    <col min="5380" max="5381" width="15.140625" style="953" customWidth="1"/>
    <col min="5382" max="5382" width="30.7109375" style="953" customWidth="1"/>
    <col min="5383" max="5383" width="10.7109375" style="953" customWidth="1"/>
    <col min="5384" max="5384" width="5.7109375" style="953" customWidth="1"/>
    <col min="5385" max="5385" width="11" style="953" customWidth="1"/>
    <col min="5386" max="5386" width="32.42578125" style="953" customWidth="1"/>
    <col min="5387" max="5389" width="9.140625" style="953"/>
    <col min="5390" max="5390" width="0" style="953" hidden="1" customWidth="1"/>
    <col min="5391" max="5632" width="9.140625" style="953"/>
    <col min="5633" max="5633" width="9.140625" style="953" customWidth="1"/>
    <col min="5634" max="5634" width="20" style="953" customWidth="1"/>
    <col min="5635" max="5635" width="16.140625" style="953" customWidth="1"/>
    <col min="5636" max="5637" width="15.140625" style="953" customWidth="1"/>
    <col min="5638" max="5638" width="30.7109375" style="953" customWidth="1"/>
    <col min="5639" max="5639" width="10.7109375" style="953" customWidth="1"/>
    <col min="5640" max="5640" width="5.7109375" style="953" customWidth="1"/>
    <col min="5641" max="5641" width="11" style="953" customWidth="1"/>
    <col min="5642" max="5642" width="32.42578125" style="953" customWidth="1"/>
    <col min="5643" max="5645" width="9.140625" style="953"/>
    <col min="5646" max="5646" width="0" style="953" hidden="1" customWidth="1"/>
    <col min="5647" max="5888" width="9.140625" style="953"/>
    <col min="5889" max="5889" width="9.140625" style="953" customWidth="1"/>
    <col min="5890" max="5890" width="20" style="953" customWidth="1"/>
    <col min="5891" max="5891" width="16.140625" style="953" customWidth="1"/>
    <col min="5892" max="5893" width="15.140625" style="953" customWidth="1"/>
    <col min="5894" max="5894" width="30.7109375" style="953" customWidth="1"/>
    <col min="5895" max="5895" width="10.7109375" style="953" customWidth="1"/>
    <col min="5896" max="5896" width="5.7109375" style="953" customWidth="1"/>
    <col min="5897" max="5897" width="11" style="953" customWidth="1"/>
    <col min="5898" max="5898" width="32.42578125" style="953" customWidth="1"/>
    <col min="5899" max="5901" width="9.140625" style="953"/>
    <col min="5902" max="5902" width="0" style="953" hidden="1" customWidth="1"/>
    <col min="5903" max="6144" width="9.140625" style="953"/>
    <col min="6145" max="6145" width="9.140625" style="953" customWidth="1"/>
    <col min="6146" max="6146" width="20" style="953" customWidth="1"/>
    <col min="6147" max="6147" width="16.140625" style="953" customWidth="1"/>
    <col min="6148" max="6149" width="15.140625" style="953" customWidth="1"/>
    <col min="6150" max="6150" width="30.7109375" style="953" customWidth="1"/>
    <col min="6151" max="6151" width="10.7109375" style="953" customWidth="1"/>
    <col min="6152" max="6152" width="5.7109375" style="953" customWidth="1"/>
    <col min="6153" max="6153" width="11" style="953" customWidth="1"/>
    <col min="6154" max="6154" width="32.42578125" style="953" customWidth="1"/>
    <col min="6155" max="6157" width="9.140625" style="953"/>
    <col min="6158" max="6158" width="0" style="953" hidden="1" customWidth="1"/>
    <col min="6159" max="6400" width="9.140625" style="953"/>
    <col min="6401" max="6401" width="9.140625" style="953" customWidth="1"/>
    <col min="6402" max="6402" width="20" style="953" customWidth="1"/>
    <col min="6403" max="6403" width="16.140625" style="953" customWidth="1"/>
    <col min="6404" max="6405" width="15.140625" style="953" customWidth="1"/>
    <col min="6406" max="6406" width="30.7109375" style="953" customWidth="1"/>
    <col min="6407" max="6407" width="10.7109375" style="953" customWidth="1"/>
    <col min="6408" max="6408" width="5.7109375" style="953" customWidth="1"/>
    <col min="6409" max="6409" width="11" style="953" customWidth="1"/>
    <col min="6410" max="6410" width="32.42578125" style="953" customWidth="1"/>
    <col min="6411" max="6413" width="9.140625" style="953"/>
    <col min="6414" max="6414" width="0" style="953" hidden="1" customWidth="1"/>
    <col min="6415" max="6656" width="9.140625" style="953"/>
    <col min="6657" max="6657" width="9.140625" style="953" customWidth="1"/>
    <col min="6658" max="6658" width="20" style="953" customWidth="1"/>
    <col min="6659" max="6659" width="16.140625" style="953" customWidth="1"/>
    <col min="6660" max="6661" width="15.140625" style="953" customWidth="1"/>
    <col min="6662" max="6662" width="30.7109375" style="953" customWidth="1"/>
    <col min="6663" max="6663" width="10.7109375" style="953" customWidth="1"/>
    <col min="6664" max="6664" width="5.7109375" style="953" customWidth="1"/>
    <col min="6665" max="6665" width="11" style="953" customWidth="1"/>
    <col min="6666" max="6666" width="32.42578125" style="953" customWidth="1"/>
    <col min="6667" max="6669" width="9.140625" style="953"/>
    <col min="6670" max="6670" width="0" style="953" hidden="1" customWidth="1"/>
    <col min="6671" max="6912" width="9.140625" style="953"/>
    <col min="6913" max="6913" width="9.140625" style="953" customWidth="1"/>
    <col min="6914" max="6914" width="20" style="953" customWidth="1"/>
    <col min="6915" max="6915" width="16.140625" style="953" customWidth="1"/>
    <col min="6916" max="6917" width="15.140625" style="953" customWidth="1"/>
    <col min="6918" max="6918" width="30.7109375" style="953" customWidth="1"/>
    <col min="6919" max="6919" width="10.7109375" style="953" customWidth="1"/>
    <col min="6920" max="6920" width="5.7109375" style="953" customWidth="1"/>
    <col min="6921" max="6921" width="11" style="953" customWidth="1"/>
    <col min="6922" max="6922" width="32.42578125" style="953" customWidth="1"/>
    <col min="6923" max="6925" width="9.140625" style="953"/>
    <col min="6926" max="6926" width="0" style="953" hidden="1" customWidth="1"/>
    <col min="6927" max="7168" width="9.140625" style="953"/>
    <col min="7169" max="7169" width="9.140625" style="953" customWidth="1"/>
    <col min="7170" max="7170" width="20" style="953" customWidth="1"/>
    <col min="7171" max="7171" width="16.140625" style="953" customWidth="1"/>
    <col min="7172" max="7173" width="15.140625" style="953" customWidth="1"/>
    <col min="7174" max="7174" width="30.7109375" style="953" customWidth="1"/>
    <col min="7175" max="7175" width="10.7109375" style="953" customWidth="1"/>
    <col min="7176" max="7176" width="5.7109375" style="953" customWidth="1"/>
    <col min="7177" max="7177" width="11" style="953" customWidth="1"/>
    <col min="7178" max="7178" width="32.42578125" style="953" customWidth="1"/>
    <col min="7179" max="7181" width="9.140625" style="953"/>
    <col min="7182" max="7182" width="0" style="953" hidden="1" customWidth="1"/>
    <col min="7183" max="7424" width="9.140625" style="953"/>
    <col min="7425" max="7425" width="9.140625" style="953" customWidth="1"/>
    <col min="7426" max="7426" width="20" style="953" customWidth="1"/>
    <col min="7427" max="7427" width="16.140625" style="953" customWidth="1"/>
    <col min="7428" max="7429" width="15.140625" style="953" customWidth="1"/>
    <col min="7430" max="7430" width="30.7109375" style="953" customWidth="1"/>
    <col min="7431" max="7431" width="10.7109375" style="953" customWidth="1"/>
    <col min="7432" max="7432" width="5.7109375" style="953" customWidth="1"/>
    <col min="7433" max="7433" width="11" style="953" customWidth="1"/>
    <col min="7434" max="7434" width="32.42578125" style="953" customWidth="1"/>
    <col min="7435" max="7437" width="9.140625" style="953"/>
    <col min="7438" max="7438" width="0" style="953" hidden="1" customWidth="1"/>
    <col min="7439" max="7680" width="9.140625" style="953"/>
    <col min="7681" max="7681" width="9.140625" style="953" customWidth="1"/>
    <col min="7682" max="7682" width="20" style="953" customWidth="1"/>
    <col min="7683" max="7683" width="16.140625" style="953" customWidth="1"/>
    <col min="7684" max="7685" width="15.140625" style="953" customWidth="1"/>
    <col min="7686" max="7686" width="30.7109375" style="953" customWidth="1"/>
    <col min="7687" max="7687" width="10.7109375" style="953" customWidth="1"/>
    <col min="7688" max="7688" width="5.7109375" style="953" customWidth="1"/>
    <col min="7689" max="7689" width="11" style="953" customWidth="1"/>
    <col min="7690" max="7690" width="32.42578125" style="953" customWidth="1"/>
    <col min="7691" max="7693" width="9.140625" style="953"/>
    <col min="7694" max="7694" width="0" style="953" hidden="1" customWidth="1"/>
    <col min="7695" max="7936" width="9.140625" style="953"/>
    <col min="7937" max="7937" width="9.140625" style="953" customWidth="1"/>
    <col min="7938" max="7938" width="20" style="953" customWidth="1"/>
    <col min="7939" max="7939" width="16.140625" style="953" customWidth="1"/>
    <col min="7940" max="7941" width="15.140625" style="953" customWidth="1"/>
    <col min="7942" max="7942" width="30.7109375" style="953" customWidth="1"/>
    <col min="7943" max="7943" width="10.7109375" style="953" customWidth="1"/>
    <col min="7944" max="7944" width="5.7109375" style="953" customWidth="1"/>
    <col min="7945" max="7945" width="11" style="953" customWidth="1"/>
    <col min="7946" max="7946" width="32.42578125" style="953" customWidth="1"/>
    <col min="7947" max="7949" width="9.140625" style="953"/>
    <col min="7950" max="7950" width="0" style="953" hidden="1" customWidth="1"/>
    <col min="7951" max="8192" width="9.140625" style="953"/>
    <col min="8193" max="8193" width="9.140625" style="953" customWidth="1"/>
    <col min="8194" max="8194" width="20" style="953" customWidth="1"/>
    <col min="8195" max="8195" width="16.140625" style="953" customWidth="1"/>
    <col min="8196" max="8197" width="15.140625" style="953" customWidth="1"/>
    <col min="8198" max="8198" width="30.7109375" style="953" customWidth="1"/>
    <col min="8199" max="8199" width="10.7109375" style="953" customWidth="1"/>
    <col min="8200" max="8200" width="5.7109375" style="953" customWidth="1"/>
    <col min="8201" max="8201" width="11" style="953" customWidth="1"/>
    <col min="8202" max="8202" width="32.42578125" style="953" customWidth="1"/>
    <col min="8203" max="8205" width="9.140625" style="953"/>
    <col min="8206" max="8206" width="0" style="953" hidden="1" customWidth="1"/>
    <col min="8207" max="8448" width="9.140625" style="953"/>
    <col min="8449" max="8449" width="9.140625" style="953" customWidth="1"/>
    <col min="8450" max="8450" width="20" style="953" customWidth="1"/>
    <col min="8451" max="8451" width="16.140625" style="953" customWidth="1"/>
    <col min="8452" max="8453" width="15.140625" style="953" customWidth="1"/>
    <col min="8454" max="8454" width="30.7109375" style="953" customWidth="1"/>
    <col min="8455" max="8455" width="10.7109375" style="953" customWidth="1"/>
    <col min="8456" max="8456" width="5.7109375" style="953" customWidth="1"/>
    <col min="8457" max="8457" width="11" style="953" customWidth="1"/>
    <col min="8458" max="8458" width="32.42578125" style="953" customWidth="1"/>
    <col min="8459" max="8461" width="9.140625" style="953"/>
    <col min="8462" max="8462" width="0" style="953" hidden="1" customWidth="1"/>
    <col min="8463" max="8704" width="9.140625" style="953"/>
    <col min="8705" max="8705" width="9.140625" style="953" customWidth="1"/>
    <col min="8706" max="8706" width="20" style="953" customWidth="1"/>
    <col min="8707" max="8707" width="16.140625" style="953" customWidth="1"/>
    <col min="8708" max="8709" width="15.140625" style="953" customWidth="1"/>
    <col min="8710" max="8710" width="30.7109375" style="953" customWidth="1"/>
    <col min="8711" max="8711" width="10.7109375" style="953" customWidth="1"/>
    <col min="8712" max="8712" width="5.7109375" style="953" customWidth="1"/>
    <col min="8713" max="8713" width="11" style="953" customWidth="1"/>
    <col min="8714" max="8714" width="32.42578125" style="953" customWidth="1"/>
    <col min="8715" max="8717" width="9.140625" style="953"/>
    <col min="8718" max="8718" width="0" style="953" hidden="1" customWidth="1"/>
    <col min="8719" max="8960" width="9.140625" style="953"/>
    <col min="8961" max="8961" width="9.140625" style="953" customWidth="1"/>
    <col min="8962" max="8962" width="20" style="953" customWidth="1"/>
    <col min="8963" max="8963" width="16.140625" style="953" customWidth="1"/>
    <col min="8964" max="8965" width="15.140625" style="953" customWidth="1"/>
    <col min="8966" max="8966" width="30.7109375" style="953" customWidth="1"/>
    <col min="8967" max="8967" width="10.7109375" style="953" customWidth="1"/>
    <col min="8968" max="8968" width="5.7109375" style="953" customWidth="1"/>
    <col min="8969" max="8969" width="11" style="953" customWidth="1"/>
    <col min="8970" max="8970" width="32.42578125" style="953" customWidth="1"/>
    <col min="8971" max="8973" width="9.140625" style="953"/>
    <col min="8974" max="8974" width="0" style="953" hidden="1" customWidth="1"/>
    <col min="8975" max="9216" width="9.140625" style="953"/>
    <col min="9217" max="9217" width="9.140625" style="953" customWidth="1"/>
    <col min="9218" max="9218" width="20" style="953" customWidth="1"/>
    <col min="9219" max="9219" width="16.140625" style="953" customWidth="1"/>
    <col min="9220" max="9221" width="15.140625" style="953" customWidth="1"/>
    <col min="9222" max="9222" width="30.7109375" style="953" customWidth="1"/>
    <col min="9223" max="9223" width="10.7109375" style="953" customWidth="1"/>
    <col min="9224" max="9224" width="5.7109375" style="953" customWidth="1"/>
    <col min="9225" max="9225" width="11" style="953" customWidth="1"/>
    <col min="9226" max="9226" width="32.42578125" style="953" customWidth="1"/>
    <col min="9227" max="9229" width="9.140625" style="953"/>
    <col min="9230" max="9230" width="0" style="953" hidden="1" customWidth="1"/>
    <col min="9231" max="9472" width="9.140625" style="953"/>
    <col min="9473" max="9473" width="9.140625" style="953" customWidth="1"/>
    <col min="9474" max="9474" width="20" style="953" customWidth="1"/>
    <col min="9475" max="9475" width="16.140625" style="953" customWidth="1"/>
    <col min="9476" max="9477" width="15.140625" style="953" customWidth="1"/>
    <col min="9478" max="9478" width="30.7109375" style="953" customWidth="1"/>
    <col min="9479" max="9479" width="10.7109375" style="953" customWidth="1"/>
    <col min="9480" max="9480" width="5.7109375" style="953" customWidth="1"/>
    <col min="9481" max="9481" width="11" style="953" customWidth="1"/>
    <col min="9482" max="9482" width="32.42578125" style="953" customWidth="1"/>
    <col min="9483" max="9485" width="9.140625" style="953"/>
    <col min="9486" max="9486" width="0" style="953" hidden="1" customWidth="1"/>
    <col min="9487" max="9728" width="9.140625" style="953"/>
    <col min="9729" max="9729" width="9.140625" style="953" customWidth="1"/>
    <col min="9730" max="9730" width="20" style="953" customWidth="1"/>
    <col min="9731" max="9731" width="16.140625" style="953" customWidth="1"/>
    <col min="9732" max="9733" width="15.140625" style="953" customWidth="1"/>
    <col min="9734" max="9734" width="30.7109375" style="953" customWidth="1"/>
    <col min="9735" max="9735" width="10.7109375" style="953" customWidth="1"/>
    <col min="9736" max="9736" width="5.7109375" style="953" customWidth="1"/>
    <col min="9737" max="9737" width="11" style="953" customWidth="1"/>
    <col min="9738" max="9738" width="32.42578125" style="953" customWidth="1"/>
    <col min="9739" max="9741" width="9.140625" style="953"/>
    <col min="9742" max="9742" width="0" style="953" hidden="1" customWidth="1"/>
    <col min="9743" max="9984" width="9.140625" style="953"/>
    <col min="9985" max="9985" width="9.140625" style="953" customWidth="1"/>
    <col min="9986" max="9986" width="20" style="953" customWidth="1"/>
    <col min="9987" max="9987" width="16.140625" style="953" customWidth="1"/>
    <col min="9988" max="9989" width="15.140625" style="953" customWidth="1"/>
    <col min="9990" max="9990" width="30.7109375" style="953" customWidth="1"/>
    <col min="9991" max="9991" width="10.7109375" style="953" customWidth="1"/>
    <col min="9992" max="9992" width="5.7109375" style="953" customWidth="1"/>
    <col min="9993" max="9993" width="11" style="953" customWidth="1"/>
    <col min="9994" max="9994" width="32.42578125" style="953" customWidth="1"/>
    <col min="9995" max="9997" width="9.140625" style="953"/>
    <col min="9998" max="9998" width="0" style="953" hidden="1" customWidth="1"/>
    <col min="9999" max="10240" width="9.140625" style="953"/>
    <col min="10241" max="10241" width="9.140625" style="953" customWidth="1"/>
    <col min="10242" max="10242" width="20" style="953" customWidth="1"/>
    <col min="10243" max="10243" width="16.140625" style="953" customWidth="1"/>
    <col min="10244" max="10245" width="15.140625" style="953" customWidth="1"/>
    <col min="10246" max="10246" width="30.7109375" style="953" customWidth="1"/>
    <col min="10247" max="10247" width="10.7109375" style="953" customWidth="1"/>
    <col min="10248" max="10248" width="5.7109375" style="953" customWidth="1"/>
    <col min="10249" max="10249" width="11" style="953" customWidth="1"/>
    <col min="10250" max="10250" width="32.42578125" style="953" customWidth="1"/>
    <col min="10251" max="10253" width="9.140625" style="953"/>
    <col min="10254" max="10254" width="0" style="953" hidden="1" customWidth="1"/>
    <col min="10255" max="10496" width="9.140625" style="953"/>
    <col min="10497" max="10497" width="9.140625" style="953" customWidth="1"/>
    <col min="10498" max="10498" width="20" style="953" customWidth="1"/>
    <col min="10499" max="10499" width="16.140625" style="953" customWidth="1"/>
    <col min="10500" max="10501" width="15.140625" style="953" customWidth="1"/>
    <col min="10502" max="10502" width="30.7109375" style="953" customWidth="1"/>
    <col min="10503" max="10503" width="10.7109375" style="953" customWidth="1"/>
    <col min="10504" max="10504" width="5.7109375" style="953" customWidth="1"/>
    <col min="10505" max="10505" width="11" style="953" customWidth="1"/>
    <col min="10506" max="10506" width="32.42578125" style="953" customWidth="1"/>
    <col min="10507" max="10509" width="9.140625" style="953"/>
    <col min="10510" max="10510" width="0" style="953" hidden="1" customWidth="1"/>
    <col min="10511" max="10752" width="9.140625" style="953"/>
    <col min="10753" max="10753" width="9.140625" style="953" customWidth="1"/>
    <col min="10754" max="10754" width="20" style="953" customWidth="1"/>
    <col min="10755" max="10755" width="16.140625" style="953" customWidth="1"/>
    <col min="10756" max="10757" width="15.140625" style="953" customWidth="1"/>
    <col min="10758" max="10758" width="30.7109375" style="953" customWidth="1"/>
    <col min="10759" max="10759" width="10.7109375" style="953" customWidth="1"/>
    <col min="10760" max="10760" width="5.7109375" style="953" customWidth="1"/>
    <col min="10761" max="10761" width="11" style="953" customWidth="1"/>
    <col min="10762" max="10762" width="32.42578125" style="953" customWidth="1"/>
    <col min="10763" max="10765" width="9.140625" style="953"/>
    <col min="10766" max="10766" width="0" style="953" hidden="1" customWidth="1"/>
    <col min="10767" max="11008" width="9.140625" style="953"/>
    <col min="11009" max="11009" width="9.140625" style="953" customWidth="1"/>
    <col min="11010" max="11010" width="20" style="953" customWidth="1"/>
    <col min="11011" max="11011" width="16.140625" style="953" customWidth="1"/>
    <col min="11012" max="11013" width="15.140625" style="953" customWidth="1"/>
    <col min="11014" max="11014" width="30.7109375" style="953" customWidth="1"/>
    <col min="11015" max="11015" width="10.7109375" style="953" customWidth="1"/>
    <col min="11016" max="11016" width="5.7109375" style="953" customWidth="1"/>
    <col min="11017" max="11017" width="11" style="953" customWidth="1"/>
    <col min="11018" max="11018" width="32.42578125" style="953" customWidth="1"/>
    <col min="11019" max="11021" width="9.140625" style="953"/>
    <col min="11022" max="11022" width="0" style="953" hidden="1" customWidth="1"/>
    <col min="11023" max="11264" width="9.140625" style="953"/>
    <col min="11265" max="11265" width="9.140625" style="953" customWidth="1"/>
    <col min="11266" max="11266" width="20" style="953" customWidth="1"/>
    <col min="11267" max="11267" width="16.140625" style="953" customWidth="1"/>
    <col min="11268" max="11269" width="15.140625" style="953" customWidth="1"/>
    <col min="11270" max="11270" width="30.7109375" style="953" customWidth="1"/>
    <col min="11271" max="11271" width="10.7109375" style="953" customWidth="1"/>
    <col min="11272" max="11272" width="5.7109375" style="953" customWidth="1"/>
    <col min="11273" max="11273" width="11" style="953" customWidth="1"/>
    <col min="11274" max="11274" width="32.42578125" style="953" customWidth="1"/>
    <col min="11275" max="11277" width="9.140625" style="953"/>
    <col min="11278" max="11278" width="0" style="953" hidden="1" customWidth="1"/>
    <col min="11279" max="11520" width="9.140625" style="953"/>
    <col min="11521" max="11521" width="9.140625" style="953" customWidth="1"/>
    <col min="11522" max="11522" width="20" style="953" customWidth="1"/>
    <col min="11523" max="11523" width="16.140625" style="953" customWidth="1"/>
    <col min="11524" max="11525" width="15.140625" style="953" customWidth="1"/>
    <col min="11526" max="11526" width="30.7109375" style="953" customWidth="1"/>
    <col min="11527" max="11527" width="10.7109375" style="953" customWidth="1"/>
    <col min="11528" max="11528" width="5.7109375" style="953" customWidth="1"/>
    <col min="11529" max="11529" width="11" style="953" customWidth="1"/>
    <col min="11530" max="11530" width="32.42578125" style="953" customWidth="1"/>
    <col min="11531" max="11533" width="9.140625" style="953"/>
    <col min="11534" max="11534" width="0" style="953" hidden="1" customWidth="1"/>
    <col min="11535" max="11776" width="9.140625" style="953"/>
    <col min="11777" max="11777" width="9.140625" style="953" customWidth="1"/>
    <col min="11778" max="11778" width="20" style="953" customWidth="1"/>
    <col min="11779" max="11779" width="16.140625" style="953" customWidth="1"/>
    <col min="11780" max="11781" width="15.140625" style="953" customWidth="1"/>
    <col min="11782" max="11782" width="30.7109375" style="953" customWidth="1"/>
    <col min="11783" max="11783" width="10.7109375" style="953" customWidth="1"/>
    <col min="11784" max="11784" width="5.7109375" style="953" customWidth="1"/>
    <col min="11785" max="11785" width="11" style="953" customWidth="1"/>
    <col min="11786" max="11786" width="32.42578125" style="953" customWidth="1"/>
    <col min="11787" max="11789" width="9.140625" style="953"/>
    <col min="11790" max="11790" width="0" style="953" hidden="1" customWidth="1"/>
    <col min="11791" max="12032" width="9.140625" style="953"/>
    <col min="12033" max="12033" width="9.140625" style="953" customWidth="1"/>
    <col min="12034" max="12034" width="20" style="953" customWidth="1"/>
    <col min="12035" max="12035" width="16.140625" style="953" customWidth="1"/>
    <col min="12036" max="12037" width="15.140625" style="953" customWidth="1"/>
    <col min="12038" max="12038" width="30.7109375" style="953" customWidth="1"/>
    <col min="12039" max="12039" width="10.7109375" style="953" customWidth="1"/>
    <col min="12040" max="12040" width="5.7109375" style="953" customWidth="1"/>
    <col min="12041" max="12041" width="11" style="953" customWidth="1"/>
    <col min="12042" max="12042" width="32.42578125" style="953" customWidth="1"/>
    <col min="12043" max="12045" width="9.140625" style="953"/>
    <col min="12046" max="12046" width="0" style="953" hidden="1" customWidth="1"/>
    <col min="12047" max="12288" width="9.140625" style="953"/>
    <col min="12289" max="12289" width="9.140625" style="953" customWidth="1"/>
    <col min="12290" max="12290" width="20" style="953" customWidth="1"/>
    <col min="12291" max="12291" width="16.140625" style="953" customWidth="1"/>
    <col min="12292" max="12293" width="15.140625" style="953" customWidth="1"/>
    <col min="12294" max="12294" width="30.7109375" style="953" customWidth="1"/>
    <col min="12295" max="12295" width="10.7109375" style="953" customWidth="1"/>
    <col min="12296" max="12296" width="5.7109375" style="953" customWidth="1"/>
    <col min="12297" max="12297" width="11" style="953" customWidth="1"/>
    <col min="12298" max="12298" width="32.42578125" style="953" customWidth="1"/>
    <col min="12299" max="12301" width="9.140625" style="953"/>
    <col min="12302" max="12302" width="0" style="953" hidden="1" customWidth="1"/>
    <col min="12303" max="12544" width="9.140625" style="953"/>
    <col min="12545" max="12545" width="9.140625" style="953" customWidth="1"/>
    <col min="12546" max="12546" width="20" style="953" customWidth="1"/>
    <col min="12547" max="12547" width="16.140625" style="953" customWidth="1"/>
    <col min="12548" max="12549" width="15.140625" style="953" customWidth="1"/>
    <col min="12550" max="12550" width="30.7109375" style="953" customWidth="1"/>
    <col min="12551" max="12551" width="10.7109375" style="953" customWidth="1"/>
    <col min="12552" max="12552" width="5.7109375" style="953" customWidth="1"/>
    <col min="12553" max="12553" width="11" style="953" customWidth="1"/>
    <col min="12554" max="12554" width="32.42578125" style="953" customWidth="1"/>
    <col min="12555" max="12557" width="9.140625" style="953"/>
    <col min="12558" max="12558" width="0" style="953" hidden="1" customWidth="1"/>
    <col min="12559" max="12800" width="9.140625" style="953"/>
    <col min="12801" max="12801" width="9.140625" style="953" customWidth="1"/>
    <col min="12802" max="12802" width="20" style="953" customWidth="1"/>
    <col min="12803" max="12803" width="16.140625" style="953" customWidth="1"/>
    <col min="12804" max="12805" width="15.140625" style="953" customWidth="1"/>
    <col min="12806" max="12806" width="30.7109375" style="953" customWidth="1"/>
    <col min="12807" max="12807" width="10.7109375" style="953" customWidth="1"/>
    <col min="12808" max="12808" width="5.7109375" style="953" customWidth="1"/>
    <col min="12809" max="12809" width="11" style="953" customWidth="1"/>
    <col min="12810" max="12810" width="32.42578125" style="953" customWidth="1"/>
    <col min="12811" max="12813" width="9.140625" style="953"/>
    <col min="12814" max="12814" width="0" style="953" hidden="1" customWidth="1"/>
    <col min="12815" max="13056" width="9.140625" style="953"/>
    <col min="13057" max="13057" width="9.140625" style="953" customWidth="1"/>
    <col min="13058" max="13058" width="20" style="953" customWidth="1"/>
    <col min="13059" max="13059" width="16.140625" style="953" customWidth="1"/>
    <col min="13060" max="13061" width="15.140625" style="953" customWidth="1"/>
    <col min="13062" max="13062" width="30.7109375" style="953" customWidth="1"/>
    <col min="13063" max="13063" width="10.7109375" style="953" customWidth="1"/>
    <col min="13064" max="13064" width="5.7109375" style="953" customWidth="1"/>
    <col min="13065" max="13065" width="11" style="953" customWidth="1"/>
    <col min="13066" max="13066" width="32.42578125" style="953" customWidth="1"/>
    <col min="13067" max="13069" width="9.140625" style="953"/>
    <col min="13070" max="13070" width="0" style="953" hidden="1" customWidth="1"/>
    <col min="13071" max="13312" width="9.140625" style="953"/>
    <col min="13313" max="13313" width="9.140625" style="953" customWidth="1"/>
    <col min="13314" max="13314" width="20" style="953" customWidth="1"/>
    <col min="13315" max="13315" width="16.140625" style="953" customWidth="1"/>
    <col min="13316" max="13317" width="15.140625" style="953" customWidth="1"/>
    <col min="13318" max="13318" width="30.7109375" style="953" customWidth="1"/>
    <col min="13319" max="13319" width="10.7109375" style="953" customWidth="1"/>
    <col min="13320" max="13320" width="5.7109375" style="953" customWidth="1"/>
    <col min="13321" max="13321" width="11" style="953" customWidth="1"/>
    <col min="13322" max="13322" width="32.42578125" style="953" customWidth="1"/>
    <col min="13323" max="13325" width="9.140625" style="953"/>
    <col min="13326" max="13326" width="0" style="953" hidden="1" customWidth="1"/>
    <col min="13327" max="13568" width="9.140625" style="953"/>
    <col min="13569" max="13569" width="9.140625" style="953" customWidth="1"/>
    <col min="13570" max="13570" width="20" style="953" customWidth="1"/>
    <col min="13571" max="13571" width="16.140625" style="953" customWidth="1"/>
    <col min="13572" max="13573" width="15.140625" style="953" customWidth="1"/>
    <col min="13574" max="13574" width="30.7109375" style="953" customWidth="1"/>
    <col min="13575" max="13575" width="10.7109375" style="953" customWidth="1"/>
    <col min="13576" max="13576" width="5.7109375" style="953" customWidth="1"/>
    <col min="13577" max="13577" width="11" style="953" customWidth="1"/>
    <col min="13578" max="13578" width="32.42578125" style="953" customWidth="1"/>
    <col min="13579" max="13581" width="9.140625" style="953"/>
    <col min="13582" max="13582" width="0" style="953" hidden="1" customWidth="1"/>
    <col min="13583" max="13824" width="9.140625" style="953"/>
    <col min="13825" max="13825" width="9.140625" style="953" customWidth="1"/>
    <col min="13826" max="13826" width="20" style="953" customWidth="1"/>
    <col min="13827" max="13827" width="16.140625" style="953" customWidth="1"/>
    <col min="13828" max="13829" width="15.140625" style="953" customWidth="1"/>
    <col min="13830" max="13830" width="30.7109375" style="953" customWidth="1"/>
    <col min="13831" max="13831" width="10.7109375" style="953" customWidth="1"/>
    <col min="13832" max="13832" width="5.7109375" style="953" customWidth="1"/>
    <col min="13833" max="13833" width="11" style="953" customWidth="1"/>
    <col min="13834" max="13834" width="32.42578125" style="953" customWidth="1"/>
    <col min="13835" max="13837" width="9.140625" style="953"/>
    <col min="13838" max="13838" width="0" style="953" hidden="1" customWidth="1"/>
    <col min="13839" max="14080" width="9.140625" style="953"/>
    <col min="14081" max="14081" width="9.140625" style="953" customWidth="1"/>
    <col min="14082" max="14082" width="20" style="953" customWidth="1"/>
    <col min="14083" max="14083" width="16.140625" style="953" customWidth="1"/>
    <col min="14084" max="14085" width="15.140625" style="953" customWidth="1"/>
    <col min="14086" max="14086" width="30.7109375" style="953" customWidth="1"/>
    <col min="14087" max="14087" width="10.7109375" style="953" customWidth="1"/>
    <col min="14088" max="14088" width="5.7109375" style="953" customWidth="1"/>
    <col min="14089" max="14089" width="11" style="953" customWidth="1"/>
    <col min="14090" max="14090" width="32.42578125" style="953" customWidth="1"/>
    <col min="14091" max="14093" width="9.140625" style="953"/>
    <col min="14094" max="14094" width="0" style="953" hidden="1" customWidth="1"/>
    <col min="14095" max="14336" width="9.140625" style="953"/>
    <col min="14337" max="14337" width="9.140625" style="953" customWidth="1"/>
    <col min="14338" max="14338" width="20" style="953" customWidth="1"/>
    <col min="14339" max="14339" width="16.140625" style="953" customWidth="1"/>
    <col min="14340" max="14341" width="15.140625" style="953" customWidth="1"/>
    <col min="14342" max="14342" width="30.7109375" style="953" customWidth="1"/>
    <col min="14343" max="14343" width="10.7109375" style="953" customWidth="1"/>
    <col min="14344" max="14344" width="5.7109375" style="953" customWidth="1"/>
    <col min="14345" max="14345" width="11" style="953" customWidth="1"/>
    <col min="14346" max="14346" width="32.42578125" style="953" customWidth="1"/>
    <col min="14347" max="14349" width="9.140625" style="953"/>
    <col min="14350" max="14350" width="0" style="953" hidden="1" customWidth="1"/>
    <col min="14351" max="14592" width="9.140625" style="953"/>
    <col min="14593" max="14593" width="9.140625" style="953" customWidth="1"/>
    <col min="14594" max="14594" width="20" style="953" customWidth="1"/>
    <col min="14595" max="14595" width="16.140625" style="953" customWidth="1"/>
    <col min="14596" max="14597" width="15.140625" style="953" customWidth="1"/>
    <col min="14598" max="14598" width="30.7109375" style="953" customWidth="1"/>
    <col min="14599" max="14599" width="10.7109375" style="953" customWidth="1"/>
    <col min="14600" max="14600" width="5.7109375" style="953" customWidth="1"/>
    <col min="14601" max="14601" width="11" style="953" customWidth="1"/>
    <col min="14602" max="14602" width="32.42578125" style="953" customWidth="1"/>
    <col min="14603" max="14605" width="9.140625" style="953"/>
    <col min="14606" max="14606" width="0" style="953" hidden="1" customWidth="1"/>
    <col min="14607" max="14848" width="9.140625" style="953"/>
    <col min="14849" max="14849" width="9.140625" style="953" customWidth="1"/>
    <col min="14850" max="14850" width="20" style="953" customWidth="1"/>
    <col min="14851" max="14851" width="16.140625" style="953" customWidth="1"/>
    <col min="14852" max="14853" width="15.140625" style="953" customWidth="1"/>
    <col min="14854" max="14854" width="30.7109375" style="953" customWidth="1"/>
    <col min="14855" max="14855" width="10.7109375" style="953" customWidth="1"/>
    <col min="14856" max="14856" width="5.7109375" style="953" customWidth="1"/>
    <col min="14857" max="14857" width="11" style="953" customWidth="1"/>
    <col min="14858" max="14858" width="32.42578125" style="953" customWidth="1"/>
    <col min="14859" max="14861" width="9.140625" style="953"/>
    <col min="14862" max="14862" width="0" style="953" hidden="1" customWidth="1"/>
    <col min="14863" max="15104" width="9.140625" style="953"/>
    <col min="15105" max="15105" width="9.140625" style="953" customWidth="1"/>
    <col min="15106" max="15106" width="20" style="953" customWidth="1"/>
    <col min="15107" max="15107" width="16.140625" style="953" customWidth="1"/>
    <col min="15108" max="15109" width="15.140625" style="953" customWidth="1"/>
    <col min="15110" max="15110" width="30.7109375" style="953" customWidth="1"/>
    <col min="15111" max="15111" width="10.7109375" style="953" customWidth="1"/>
    <col min="15112" max="15112" width="5.7109375" style="953" customWidth="1"/>
    <col min="15113" max="15113" width="11" style="953" customWidth="1"/>
    <col min="15114" max="15114" width="32.42578125" style="953" customWidth="1"/>
    <col min="15115" max="15117" width="9.140625" style="953"/>
    <col min="15118" max="15118" width="0" style="953" hidden="1" customWidth="1"/>
    <col min="15119" max="15360" width="9.140625" style="953"/>
    <col min="15361" max="15361" width="9.140625" style="953" customWidth="1"/>
    <col min="15362" max="15362" width="20" style="953" customWidth="1"/>
    <col min="15363" max="15363" width="16.140625" style="953" customWidth="1"/>
    <col min="15364" max="15365" width="15.140625" style="953" customWidth="1"/>
    <col min="15366" max="15366" width="30.7109375" style="953" customWidth="1"/>
    <col min="15367" max="15367" width="10.7109375" style="953" customWidth="1"/>
    <col min="15368" max="15368" width="5.7109375" style="953" customWidth="1"/>
    <col min="15369" max="15369" width="11" style="953" customWidth="1"/>
    <col min="15370" max="15370" width="32.42578125" style="953" customWidth="1"/>
    <col min="15371" max="15373" width="9.140625" style="953"/>
    <col min="15374" max="15374" width="0" style="953" hidden="1" customWidth="1"/>
    <col min="15375" max="15616" width="9.140625" style="953"/>
    <col min="15617" max="15617" width="9.140625" style="953" customWidth="1"/>
    <col min="15618" max="15618" width="20" style="953" customWidth="1"/>
    <col min="15619" max="15619" width="16.140625" style="953" customWidth="1"/>
    <col min="15620" max="15621" width="15.140625" style="953" customWidth="1"/>
    <col min="15622" max="15622" width="30.7109375" style="953" customWidth="1"/>
    <col min="15623" max="15623" width="10.7109375" style="953" customWidth="1"/>
    <col min="15624" max="15624" width="5.7109375" style="953" customWidth="1"/>
    <col min="15625" max="15625" width="11" style="953" customWidth="1"/>
    <col min="15626" max="15626" width="32.42578125" style="953" customWidth="1"/>
    <col min="15627" max="15629" width="9.140625" style="953"/>
    <col min="15630" max="15630" width="0" style="953" hidden="1" customWidth="1"/>
    <col min="15631" max="15872" width="9.140625" style="953"/>
    <col min="15873" max="15873" width="9.140625" style="953" customWidth="1"/>
    <col min="15874" max="15874" width="20" style="953" customWidth="1"/>
    <col min="15875" max="15875" width="16.140625" style="953" customWidth="1"/>
    <col min="15876" max="15877" width="15.140625" style="953" customWidth="1"/>
    <col min="15878" max="15878" width="30.7109375" style="953" customWidth="1"/>
    <col min="15879" max="15879" width="10.7109375" style="953" customWidth="1"/>
    <col min="15880" max="15880" width="5.7109375" style="953" customWidth="1"/>
    <col min="15881" max="15881" width="11" style="953" customWidth="1"/>
    <col min="15882" max="15882" width="32.42578125" style="953" customWidth="1"/>
    <col min="15883" max="15885" width="9.140625" style="953"/>
    <col min="15886" max="15886" width="0" style="953" hidden="1" customWidth="1"/>
    <col min="15887" max="16128" width="9.140625" style="953"/>
    <col min="16129" max="16129" width="9.140625" style="953" customWidth="1"/>
    <col min="16130" max="16130" width="20" style="953" customWidth="1"/>
    <col min="16131" max="16131" width="16.140625" style="953" customWidth="1"/>
    <col min="16132" max="16133" width="15.140625" style="953" customWidth="1"/>
    <col min="16134" max="16134" width="30.7109375" style="953" customWidth="1"/>
    <col min="16135" max="16135" width="10.7109375" style="953" customWidth="1"/>
    <col min="16136" max="16136" width="5.7109375" style="953" customWidth="1"/>
    <col min="16137" max="16137" width="11" style="953" customWidth="1"/>
    <col min="16138" max="16138" width="32.42578125" style="953" customWidth="1"/>
    <col min="16139" max="16141" width="9.140625" style="953"/>
    <col min="16142" max="16142" width="0" style="953" hidden="1" customWidth="1"/>
    <col min="16143" max="16384" width="9.140625" style="953"/>
  </cols>
  <sheetData>
    <row r="1" spans="1:11" ht="26.25" customHeight="1">
      <c r="A1" s="1437" t="s">
        <v>1597</v>
      </c>
      <c r="B1" s="1438" t="s">
        <v>1598</v>
      </c>
      <c r="C1" s="1439"/>
      <c r="D1" s="1439"/>
      <c r="E1" s="1439"/>
      <c r="F1" s="1441"/>
      <c r="G1" s="1439"/>
      <c r="H1" s="1439"/>
      <c r="I1" s="1439"/>
      <c r="J1" s="1439"/>
    </row>
    <row r="2" spans="1:11" ht="26.25" customHeight="1">
      <c r="B2" s="1438" t="s">
        <v>1599</v>
      </c>
      <c r="C2" s="1439"/>
      <c r="D2" s="1439"/>
      <c r="E2" s="1439"/>
      <c r="F2" s="1441"/>
      <c r="G2" s="1439"/>
      <c r="H2" s="1439"/>
      <c r="I2" s="1439"/>
      <c r="J2" s="1439"/>
    </row>
    <row r="3" spans="1:11" ht="26.25" customHeight="1">
      <c r="B3" s="1440" t="s">
        <v>409</v>
      </c>
      <c r="C3" s="1440">
        <f>'Project Info'!$C$3</f>
        <v>0</v>
      </c>
      <c r="D3" s="1440"/>
      <c r="E3" s="1439"/>
      <c r="F3" s="1441"/>
      <c r="G3" s="1439"/>
      <c r="H3" s="1439"/>
      <c r="I3" s="1439"/>
      <c r="J3" s="1439"/>
    </row>
    <row r="4" spans="1:11" ht="26.25" customHeight="1">
      <c r="B4" s="1439"/>
      <c r="C4" s="1440"/>
      <c r="D4" s="1440"/>
      <c r="E4" s="1439"/>
      <c r="F4" s="1441"/>
      <c r="G4" s="1439"/>
      <c r="H4" s="1439"/>
      <c r="I4" s="1439"/>
      <c r="J4" s="1439"/>
    </row>
    <row r="5" spans="1:11" ht="15.75">
      <c r="B5" s="1443" t="s">
        <v>2069</v>
      </c>
      <c r="C5" s="1444"/>
      <c r="D5" s="1444"/>
      <c r="E5" s="1445"/>
      <c r="F5" s="1617"/>
      <c r="G5" s="1617"/>
      <c r="H5" s="2628" t="s">
        <v>1601</v>
      </c>
      <c r="I5" s="2628"/>
      <c r="J5" s="1447" t="s">
        <v>1602</v>
      </c>
    </row>
    <row r="6" spans="1:11">
      <c r="B6" s="1449"/>
      <c r="C6" s="1449"/>
      <c r="D6" s="1449"/>
      <c r="E6" s="1449"/>
      <c r="F6" s="1449"/>
      <c r="G6" s="1449"/>
      <c r="H6" s="2674" t="s">
        <v>1603</v>
      </c>
      <c r="I6" s="2624"/>
      <c r="J6" s="1137"/>
    </row>
    <row r="7" spans="1:11">
      <c r="A7" s="1313"/>
      <c r="B7" s="1451" t="s">
        <v>1604</v>
      </c>
      <c r="C7" s="1449"/>
      <c r="D7" s="1449"/>
      <c r="E7" s="1449"/>
      <c r="F7" s="1449"/>
      <c r="G7" s="1449"/>
      <c r="H7" s="2624"/>
      <c r="I7" s="2624"/>
      <c r="J7" s="1164"/>
      <c r="K7" s="1313"/>
    </row>
    <row r="8" spans="1:11" ht="42.75" customHeight="1">
      <c r="A8" s="1313"/>
      <c r="B8" s="2585" t="s">
        <v>2016</v>
      </c>
      <c r="C8" s="2585"/>
      <c r="D8" s="2585"/>
      <c r="E8" s="2585"/>
      <c r="F8" s="2585"/>
      <c r="G8" s="2585"/>
      <c r="H8" s="2624"/>
      <c r="I8" s="2624"/>
      <c r="J8" s="1111"/>
      <c r="K8" s="1460"/>
    </row>
    <row r="9" spans="1:11" ht="13.5" customHeight="1">
      <c r="A9" s="1313"/>
      <c r="B9" s="2585" t="s">
        <v>2017</v>
      </c>
      <c r="C9" s="2585"/>
      <c r="D9" s="2585"/>
      <c r="E9" s="2585"/>
      <c r="F9" s="2585"/>
      <c r="G9" s="2585"/>
      <c r="H9" s="1449"/>
      <c r="I9" s="1449"/>
      <c r="J9" s="1452"/>
      <c r="K9" s="1460"/>
    </row>
    <row r="10" spans="1:11" ht="13.5" customHeight="1">
      <c r="A10" s="1313"/>
      <c r="B10" s="2585" t="s">
        <v>2018</v>
      </c>
      <c r="C10" s="2585"/>
      <c r="D10" s="2585"/>
      <c r="E10" s="2585"/>
      <c r="F10" s="2585"/>
      <c r="G10" s="2585"/>
      <c r="H10" s="1449"/>
      <c r="I10" s="1449"/>
      <c r="J10" s="1452"/>
      <c r="K10" s="1460"/>
    </row>
    <row r="11" spans="1:11" ht="13.5" customHeight="1">
      <c r="A11" s="1313"/>
      <c r="B11" s="2585" t="s">
        <v>2019</v>
      </c>
      <c r="C11" s="2585"/>
      <c r="D11" s="2585"/>
      <c r="E11" s="2585"/>
      <c r="F11" s="2585"/>
      <c r="G11" s="2585"/>
      <c r="H11" s="1449"/>
      <c r="I11" s="1449"/>
      <c r="J11" s="1452"/>
      <c r="K11" s="1460"/>
    </row>
    <row r="12" spans="1:11" ht="13.5" customHeight="1">
      <c r="A12" s="1313"/>
      <c r="B12" s="2585" t="s">
        <v>2020</v>
      </c>
      <c r="C12" s="2585"/>
      <c r="D12" s="2585"/>
      <c r="E12" s="2585"/>
      <c r="F12" s="2585"/>
      <c r="G12" s="2585"/>
      <c r="H12" s="1449"/>
      <c r="I12" s="1449"/>
      <c r="J12" s="1452"/>
      <c r="K12" s="1460"/>
    </row>
    <row r="13" spans="1:11" ht="13.5" customHeight="1">
      <c r="A13" s="1313"/>
      <c r="B13" s="2585" t="s">
        <v>2021</v>
      </c>
      <c r="C13" s="2585"/>
      <c r="D13" s="2585"/>
      <c r="E13" s="2585"/>
      <c r="F13" s="2585"/>
      <c r="G13" s="2585"/>
      <c r="H13" s="1449"/>
      <c r="I13" s="1449"/>
      <c r="J13" s="1452"/>
      <c r="K13" s="1460"/>
    </row>
    <row r="14" spans="1:11" ht="13.5" customHeight="1">
      <c r="A14" s="1313"/>
      <c r="B14" s="2585" t="s">
        <v>2022</v>
      </c>
      <c r="C14" s="2585"/>
      <c r="D14" s="2585"/>
      <c r="E14" s="2585"/>
      <c r="F14" s="2585"/>
      <c r="G14" s="2585"/>
      <c r="H14" s="1449"/>
      <c r="I14" s="1449"/>
      <c r="J14" s="1452"/>
      <c r="K14" s="1460"/>
    </row>
    <row r="15" spans="1:11" ht="13.5" customHeight="1">
      <c r="A15" s="1313"/>
      <c r="B15" s="1616" t="s">
        <v>2023</v>
      </c>
      <c r="C15" s="1449"/>
      <c r="D15" s="1449"/>
      <c r="E15" s="1449"/>
      <c r="F15" s="1449"/>
      <c r="G15" s="1449"/>
      <c r="H15" s="1449"/>
      <c r="I15" s="1449"/>
      <c r="J15" s="1452"/>
      <c r="K15" s="1313"/>
    </row>
    <row r="16" spans="1:11">
      <c r="A16" s="1313"/>
      <c r="B16" s="1451" t="s">
        <v>1607</v>
      </c>
      <c r="C16" s="1449"/>
      <c r="D16" s="1449"/>
      <c r="E16" s="1449"/>
      <c r="F16" s="1449"/>
      <c r="G16" s="1449"/>
      <c r="H16" s="1449"/>
      <c r="I16" s="1449"/>
      <c r="J16" s="1452"/>
      <c r="K16" s="1313"/>
    </row>
    <row r="17" spans="1:11">
      <c r="A17" s="1313"/>
      <c r="B17" s="1449" t="s">
        <v>1608</v>
      </c>
      <c r="C17" s="1449"/>
      <c r="D17" s="1449"/>
      <c r="E17" s="1449"/>
      <c r="F17" s="1449"/>
      <c r="G17" s="1449"/>
      <c r="H17" s="1449"/>
      <c r="I17" s="1449"/>
      <c r="J17" s="1449"/>
      <c r="K17" s="1313"/>
    </row>
    <row r="18" spans="1:11">
      <c r="A18" s="1313"/>
      <c r="B18" s="1455" t="s">
        <v>1674</v>
      </c>
      <c r="C18" s="1449"/>
      <c r="D18" s="1449"/>
      <c r="E18" s="1449"/>
      <c r="F18" s="1449"/>
      <c r="G18" s="1449"/>
      <c r="H18" s="1449"/>
      <c r="I18" s="1449"/>
      <c r="J18" s="1449"/>
      <c r="K18" s="1313"/>
    </row>
    <row r="19" spans="1:11">
      <c r="A19" s="1313"/>
      <c r="B19" s="1455" t="s">
        <v>2070</v>
      </c>
      <c r="C19" s="1449"/>
      <c r="D19" s="1449"/>
      <c r="E19" s="1449"/>
      <c r="F19" s="1449"/>
      <c r="G19" s="1449"/>
      <c r="H19" s="1449"/>
      <c r="I19" s="1449"/>
      <c r="J19" s="1449"/>
      <c r="K19" s="1313"/>
    </row>
    <row r="20" spans="1:11" ht="24" customHeight="1">
      <c r="B20" s="1449"/>
      <c r="C20" s="1449"/>
      <c r="D20" s="1449"/>
      <c r="E20" s="1449"/>
      <c r="F20" s="1449"/>
      <c r="G20" s="1449"/>
      <c r="H20" s="1449"/>
      <c r="I20" s="1449"/>
      <c r="J20" s="1449"/>
    </row>
    <row r="21" spans="1:11" ht="16.5" customHeight="1">
      <c r="A21" s="1313"/>
      <c r="B21" s="1454" t="s">
        <v>1611</v>
      </c>
      <c r="C21" s="1449"/>
      <c r="D21" s="1449"/>
      <c r="E21" s="1449"/>
      <c r="F21" s="1449"/>
      <c r="G21" s="1449"/>
      <c r="H21" s="1449"/>
      <c r="I21" s="1449"/>
      <c r="J21" s="1449"/>
      <c r="K21" s="1313"/>
    </row>
    <row r="22" spans="1:11" ht="67.5" customHeight="1">
      <c r="A22" s="1313"/>
      <c r="B22" s="2585" t="s">
        <v>2071</v>
      </c>
      <c r="C22" s="2585"/>
      <c r="D22" s="2585"/>
      <c r="E22" s="2585"/>
      <c r="F22" s="2585"/>
      <c r="G22" s="2585"/>
      <c r="H22" s="1449"/>
      <c r="I22" s="1449"/>
      <c r="J22" s="1449"/>
      <c r="K22" s="1313"/>
    </row>
    <row r="23" spans="1:11" ht="30" customHeight="1">
      <c r="A23" s="1313"/>
      <c r="B23" s="2585" t="s">
        <v>2072</v>
      </c>
      <c r="C23" s="2585"/>
      <c r="D23" s="2585"/>
      <c r="E23" s="2585"/>
      <c r="F23" s="2585"/>
      <c r="G23" s="2585"/>
      <c r="H23" s="1449"/>
      <c r="I23" s="1449"/>
      <c r="J23" s="1449"/>
      <c r="K23" s="1313"/>
    </row>
    <row r="24" spans="1:11" ht="60.75" customHeight="1">
      <c r="A24" s="1313"/>
      <c r="B24" s="2585" t="s">
        <v>2073</v>
      </c>
      <c r="C24" s="2585"/>
      <c r="D24" s="2585"/>
      <c r="E24" s="2585"/>
      <c r="F24" s="2585"/>
      <c r="G24" s="2585"/>
      <c r="H24" s="1449"/>
      <c r="I24" s="1449"/>
      <c r="J24" s="1449"/>
      <c r="K24" s="1313"/>
    </row>
    <row r="25" spans="1:11" ht="16.5" customHeight="1">
      <c r="A25" s="1313"/>
      <c r="B25" s="2644" t="s">
        <v>1694</v>
      </c>
      <c r="C25" s="2585"/>
      <c r="D25" s="2585"/>
      <c r="E25" s="2585"/>
      <c r="F25" s="2585"/>
      <c r="G25" s="2585"/>
      <c r="H25" s="1449"/>
      <c r="I25" s="1449"/>
      <c r="J25" s="1449"/>
      <c r="K25" s="1313"/>
    </row>
    <row r="26" spans="1:11" ht="32.25" customHeight="1">
      <c r="A26" s="1313"/>
      <c r="B26" s="2585" t="s">
        <v>2074</v>
      </c>
      <c r="C26" s="2585"/>
      <c r="D26" s="2585"/>
      <c r="E26" s="2585"/>
      <c r="F26" s="2585"/>
      <c r="G26" s="2585"/>
      <c r="H26" s="1449"/>
      <c r="I26" s="1449"/>
      <c r="J26" s="1449"/>
      <c r="K26" s="1313"/>
    </row>
    <row r="27" spans="1:11" ht="78" customHeight="1">
      <c r="A27" s="1313"/>
      <c r="B27" s="2662" t="s">
        <v>2075</v>
      </c>
      <c r="C27" s="2662"/>
      <c r="D27" s="2662"/>
      <c r="E27" s="2662"/>
      <c r="F27" s="2766"/>
      <c r="G27" s="2662"/>
      <c r="H27" s="1449"/>
      <c r="I27" s="1449"/>
      <c r="J27" s="1449"/>
      <c r="K27" s="1313"/>
    </row>
    <row r="28" spans="1:11" ht="81.75" customHeight="1">
      <c r="B28" s="1590" t="s">
        <v>1617</v>
      </c>
      <c r="C28" s="1463"/>
      <c r="D28" s="1463"/>
      <c r="E28" s="1463"/>
      <c r="F28" s="1463" t="s">
        <v>1626</v>
      </c>
      <c r="G28" s="1463" t="s">
        <v>1703</v>
      </c>
      <c r="H28" s="1465" t="s">
        <v>1628</v>
      </c>
    </row>
    <row r="29" spans="1:11" ht="122.25" customHeight="1">
      <c r="B29" s="2575" t="s">
        <v>2076</v>
      </c>
      <c r="C29" s="2589"/>
      <c r="D29" s="2589"/>
      <c r="E29" s="2647"/>
      <c r="F29" s="1267"/>
      <c r="G29" s="1263"/>
      <c r="H29" s="1284"/>
    </row>
    <row r="30" spans="1:11" ht="87" customHeight="1">
      <c r="B30" s="1463" t="s">
        <v>1633</v>
      </c>
      <c r="C30" s="1463"/>
      <c r="D30" s="1463"/>
      <c r="E30" s="1463"/>
      <c r="F30" s="1463" t="s">
        <v>1626</v>
      </c>
      <c r="G30" s="1463" t="s">
        <v>1703</v>
      </c>
      <c r="H30" s="1465" t="s">
        <v>1628</v>
      </c>
      <c r="I30" s="1465" t="s">
        <v>1629</v>
      </c>
      <c r="J30" s="1463" t="s">
        <v>1630</v>
      </c>
    </row>
    <row r="31" spans="1:11" ht="60.75" customHeight="1">
      <c r="A31" s="1633"/>
      <c r="B31" s="2611" t="s">
        <v>2077</v>
      </c>
      <c r="C31" s="2640"/>
      <c r="D31" s="2640"/>
      <c r="E31" s="2706"/>
      <c r="F31" s="1267"/>
      <c r="G31" s="1263"/>
      <c r="H31" s="1271"/>
      <c r="I31" s="1270"/>
      <c r="J31" s="1252"/>
    </row>
    <row r="32" spans="1:11" ht="93.75" customHeight="1">
      <c r="B32" s="2655" t="s">
        <v>2078</v>
      </c>
      <c r="C32" s="2675"/>
      <c r="D32" s="2675"/>
      <c r="E32" s="2675"/>
      <c r="F32" s="2675"/>
      <c r="G32" s="2675"/>
      <c r="H32" s="2675"/>
      <c r="I32" s="1270"/>
      <c r="J32" s="1252"/>
    </row>
    <row r="33" spans="1:10" ht="67.5" customHeight="1">
      <c r="B33" s="2568" t="s">
        <v>2079</v>
      </c>
      <c r="C33" s="2675"/>
      <c r="D33" s="2675"/>
      <c r="E33" s="2675"/>
      <c r="F33" s="2675"/>
      <c r="G33" s="2675"/>
      <c r="H33" s="2675"/>
      <c r="I33" s="1270"/>
      <c r="J33" s="1252"/>
    </row>
    <row r="34" spans="1:10" ht="25.5" customHeight="1">
      <c r="B34" s="2655" t="s">
        <v>2080</v>
      </c>
      <c r="C34" s="2675"/>
      <c r="D34" s="2675"/>
      <c r="E34" s="2675"/>
      <c r="F34" s="2675"/>
      <c r="G34" s="2675"/>
      <c r="H34" s="2675"/>
      <c r="I34" s="1270"/>
      <c r="J34" s="1252"/>
    </row>
    <row r="35" spans="1:10" ht="25.5" customHeight="1">
      <c r="B35" s="2655" t="s">
        <v>2081</v>
      </c>
      <c r="C35" s="2675"/>
      <c r="D35" s="2675"/>
      <c r="E35" s="2675"/>
      <c r="F35" s="2675"/>
      <c r="G35" s="2675"/>
      <c r="H35" s="2675"/>
      <c r="I35" s="1270"/>
      <c r="J35" s="1252"/>
    </row>
    <row r="36" spans="1:10" ht="56.25" customHeight="1">
      <c r="B36" s="2655" t="s">
        <v>2082</v>
      </c>
      <c r="C36" s="2675"/>
      <c r="D36" s="2675"/>
      <c r="E36" s="2675"/>
      <c r="F36" s="2675"/>
      <c r="G36" s="2675"/>
      <c r="H36" s="2675"/>
      <c r="I36" s="1270"/>
      <c r="J36" s="1252"/>
    </row>
    <row r="37" spans="1:10" ht="23.25" customHeight="1">
      <c r="A37" s="1577"/>
      <c r="B37" s="2655" t="s">
        <v>1470</v>
      </c>
      <c r="C37" s="2675"/>
      <c r="D37" s="2675"/>
      <c r="E37" s="2675"/>
      <c r="F37" s="2675"/>
      <c r="G37" s="2675"/>
      <c r="H37" s="2675"/>
      <c r="I37" s="1270"/>
      <c r="J37" s="1252"/>
    </row>
    <row r="38" spans="1:10" ht="23.25" customHeight="1">
      <c r="B38" s="2655" t="s">
        <v>1474</v>
      </c>
      <c r="C38" s="2675"/>
      <c r="D38" s="2675"/>
      <c r="E38" s="2675"/>
      <c r="F38" s="2675"/>
      <c r="G38" s="2675"/>
      <c r="H38" s="2675"/>
      <c r="I38" s="1270"/>
      <c r="J38" s="1252"/>
    </row>
    <row r="39" spans="1:10" ht="25.5" customHeight="1">
      <c r="B39" s="2655" t="s">
        <v>1476</v>
      </c>
      <c r="C39" s="2675"/>
      <c r="D39" s="2675"/>
      <c r="E39" s="2675"/>
      <c r="F39" s="2675"/>
      <c r="G39" s="2675"/>
      <c r="H39" s="2675"/>
      <c r="I39" s="1270"/>
      <c r="J39" s="1252"/>
    </row>
    <row r="40" spans="1:10" ht="25.5" customHeight="1">
      <c r="B40" s="2655" t="s">
        <v>1478</v>
      </c>
      <c r="C40" s="2675"/>
      <c r="D40" s="2675"/>
      <c r="E40" s="2675"/>
      <c r="F40" s="2675"/>
      <c r="G40" s="2675"/>
      <c r="H40" s="2675"/>
      <c r="I40" s="1270"/>
      <c r="J40" s="1252"/>
    </row>
    <row r="41" spans="1:10" ht="25.5" customHeight="1">
      <c r="B41" s="2655" t="s">
        <v>1480</v>
      </c>
      <c r="C41" s="2675"/>
      <c r="D41" s="2675"/>
      <c r="E41" s="2675"/>
      <c r="F41" s="2675"/>
      <c r="G41" s="2675"/>
      <c r="H41" s="2675"/>
      <c r="I41" s="1270"/>
      <c r="J41" s="1252"/>
    </row>
    <row r="42" spans="1:10" ht="25.5" customHeight="1">
      <c r="B42" s="2655" t="s">
        <v>1482</v>
      </c>
      <c r="C42" s="2675"/>
      <c r="D42" s="2675"/>
      <c r="E42" s="2675"/>
      <c r="F42" s="2675"/>
      <c r="G42" s="2675"/>
      <c r="H42" s="2675"/>
      <c r="I42" s="1270"/>
      <c r="J42" s="1252"/>
    </row>
    <row r="43" spans="1:10" ht="25.5" customHeight="1">
      <c r="B43" s="2655" t="s">
        <v>1484</v>
      </c>
      <c r="C43" s="2675"/>
      <c r="D43" s="2675"/>
      <c r="E43" s="2675"/>
      <c r="F43" s="2675"/>
      <c r="G43" s="2675"/>
      <c r="H43" s="2675"/>
      <c r="I43" s="1270"/>
      <c r="J43" s="1252"/>
    </row>
    <row r="44" spans="1:10" ht="25.5" customHeight="1">
      <c r="B44" s="2655" t="s">
        <v>1486</v>
      </c>
      <c r="C44" s="2675"/>
      <c r="D44" s="2675"/>
      <c r="E44" s="2675"/>
      <c r="F44" s="2675"/>
      <c r="G44" s="2675"/>
      <c r="H44" s="2675"/>
      <c r="I44" s="1270"/>
      <c r="J44" s="1252"/>
    </row>
    <row r="45" spans="1:10" ht="25.5" customHeight="1">
      <c r="B45" s="2655" t="s">
        <v>1488</v>
      </c>
      <c r="C45" s="2675"/>
      <c r="D45" s="2675"/>
      <c r="E45" s="2675"/>
      <c r="F45" s="2675"/>
      <c r="G45" s="2675"/>
      <c r="H45" s="2675"/>
      <c r="I45" s="1270"/>
      <c r="J45" s="1252"/>
    </row>
    <row r="46" spans="1:10" ht="25.5" customHeight="1">
      <c r="B46" s="2655" t="s">
        <v>1490</v>
      </c>
      <c r="C46" s="2675"/>
      <c r="D46" s="2675"/>
      <c r="E46" s="2675"/>
      <c r="F46" s="2675"/>
      <c r="G46" s="2675"/>
      <c r="H46" s="2675"/>
      <c r="I46" s="1270"/>
      <c r="J46" s="1252"/>
    </row>
    <row r="47" spans="1:10" ht="25.5" customHeight="1">
      <c r="B47" s="2655" t="s">
        <v>1492</v>
      </c>
      <c r="C47" s="2675"/>
      <c r="D47" s="2675"/>
      <c r="E47" s="2675"/>
      <c r="F47" s="2675"/>
      <c r="G47" s="2675"/>
      <c r="H47" s="2675"/>
      <c r="I47" s="1270"/>
      <c r="J47" s="1252"/>
    </row>
    <row r="48" spans="1:10" ht="25.5" customHeight="1">
      <c r="B48" s="2655" t="s">
        <v>1494</v>
      </c>
      <c r="C48" s="2675"/>
      <c r="D48" s="2675"/>
      <c r="E48" s="2675"/>
      <c r="F48" s="2675"/>
      <c r="G48" s="2675"/>
      <c r="H48" s="2675"/>
      <c r="I48" s="1270"/>
      <c r="J48" s="1252"/>
    </row>
    <row r="49" spans="1:14" ht="25.5" customHeight="1">
      <c r="B49" s="2655" t="s">
        <v>1496</v>
      </c>
      <c r="C49" s="2675"/>
      <c r="D49" s="2675"/>
      <c r="E49" s="2675"/>
      <c r="F49" s="2675"/>
      <c r="G49" s="2675"/>
      <c r="H49" s="2675"/>
      <c r="I49" s="1270"/>
      <c r="J49" s="1252"/>
    </row>
    <row r="50" spans="1:14" ht="25.5" customHeight="1">
      <c r="B50" s="2655" t="s">
        <v>1498</v>
      </c>
      <c r="C50" s="2675"/>
      <c r="D50" s="2675"/>
      <c r="E50" s="2675"/>
      <c r="F50" s="2675"/>
      <c r="G50" s="2675"/>
      <c r="H50" s="2675"/>
      <c r="I50" s="1270"/>
      <c r="J50" s="1252"/>
    </row>
    <row r="51" spans="1:14" ht="25.5" customHeight="1">
      <c r="B51" s="2655" t="s">
        <v>1500</v>
      </c>
      <c r="C51" s="2675"/>
      <c r="D51" s="2675"/>
      <c r="E51" s="2675"/>
      <c r="F51" s="2675"/>
      <c r="G51" s="2675"/>
      <c r="H51" s="2675"/>
      <c r="I51" s="1270"/>
      <c r="J51" s="1252"/>
    </row>
    <row r="52" spans="1:14" ht="54.75" customHeight="1">
      <c r="B52" s="2655" t="s">
        <v>2068</v>
      </c>
      <c r="C52" s="2675"/>
      <c r="D52" s="2675"/>
      <c r="E52" s="2675"/>
      <c r="F52" s="2675"/>
      <c r="G52" s="2675"/>
      <c r="H52" s="2675"/>
      <c r="I52" s="1270"/>
      <c r="J52" s="1252"/>
    </row>
    <row r="53" spans="1:14" ht="15">
      <c r="A53" s="2765"/>
      <c r="B53" s="2765"/>
      <c r="C53" s="2765"/>
      <c r="D53" s="2765"/>
      <c r="E53" s="2765"/>
      <c r="N53" s="1321" t="s">
        <v>403</v>
      </c>
    </row>
    <row r="54" spans="1:14" ht="14.25">
      <c r="A54" s="1645"/>
      <c r="B54" s="2764"/>
      <c r="C54" s="2764"/>
      <c r="D54" s="2764"/>
      <c r="E54" s="2764"/>
      <c r="N54" s="1321" t="s">
        <v>405</v>
      </c>
    </row>
    <row r="55" spans="1:14" ht="14.25">
      <c r="A55" s="1645"/>
      <c r="B55" s="2764"/>
      <c r="C55" s="2764"/>
      <c r="D55" s="2764"/>
      <c r="E55" s="2764"/>
      <c r="N55" s="1321" t="s">
        <v>404</v>
      </c>
    </row>
    <row r="56" spans="1:14" ht="14.25">
      <c r="A56" s="1645"/>
      <c r="B56" s="2764"/>
      <c r="C56" s="2764"/>
      <c r="D56" s="2764"/>
      <c r="E56" s="2764"/>
      <c r="N56" s="1321"/>
    </row>
    <row r="57" spans="1:14" ht="14.25">
      <c r="A57" s="1645"/>
      <c r="B57" s="2764"/>
      <c r="C57" s="2764"/>
      <c r="D57" s="2764"/>
      <c r="E57" s="2764"/>
      <c r="N57" s="1321"/>
    </row>
    <row r="58" spans="1:14" ht="14.25">
      <c r="A58" s="1645"/>
      <c r="B58" s="2764"/>
      <c r="C58" s="2764"/>
      <c r="D58" s="2764"/>
      <c r="E58" s="2764"/>
      <c r="N58" s="1321"/>
    </row>
    <row r="59" spans="1:14" ht="14.25">
      <c r="A59" s="1645"/>
      <c r="B59" s="2764"/>
      <c r="C59" s="2764"/>
      <c r="D59" s="2764"/>
      <c r="E59" s="2764"/>
    </row>
    <row r="60" spans="1:14" ht="14.25">
      <c r="A60" s="1645"/>
      <c r="B60" s="2764"/>
      <c r="C60" s="2764"/>
      <c r="D60" s="2764"/>
      <c r="E60" s="2764"/>
    </row>
    <row r="61" spans="1:14" ht="14.25">
      <c r="A61" s="1645"/>
      <c r="B61" s="2764"/>
      <c r="C61" s="2764"/>
      <c r="D61" s="2764"/>
      <c r="E61" s="2764"/>
    </row>
    <row r="62" spans="1:14" ht="14.25">
      <c r="A62" s="1645"/>
      <c r="B62" s="2764"/>
      <c r="C62" s="2764"/>
      <c r="D62" s="2764"/>
      <c r="E62" s="2764"/>
    </row>
    <row r="63" spans="1:14" ht="60" customHeight="1">
      <c r="A63" s="1645"/>
      <c r="B63" s="2764"/>
      <c r="C63" s="2764"/>
      <c r="D63" s="2764"/>
      <c r="E63" s="2764"/>
    </row>
    <row r="64" spans="1:14" ht="69" customHeight="1">
      <c r="A64" s="1645"/>
      <c r="B64" s="2764"/>
      <c r="C64" s="2764"/>
      <c r="D64" s="2764"/>
      <c r="E64" s="2764"/>
    </row>
    <row r="65" spans="1:5" ht="45" customHeight="1">
      <c r="A65" s="1645"/>
      <c r="B65" s="2764"/>
      <c r="C65" s="2764"/>
      <c r="D65" s="2764"/>
      <c r="E65" s="2764"/>
    </row>
    <row r="66" spans="1:5" ht="63" customHeight="1">
      <c r="A66" s="1645"/>
      <c r="B66" s="2764"/>
      <c r="C66" s="2764"/>
      <c r="D66" s="2764"/>
      <c r="E66" s="2764"/>
    </row>
    <row r="67" spans="1:5" ht="61.5" customHeight="1">
      <c r="A67" s="1645"/>
      <c r="B67" s="2764"/>
      <c r="C67" s="2764"/>
      <c r="D67" s="2764"/>
      <c r="E67" s="2764"/>
    </row>
    <row r="68" spans="1:5" ht="33" customHeight="1">
      <c r="A68" s="1645"/>
      <c r="B68" s="2764"/>
      <c r="C68" s="2764"/>
      <c r="D68" s="2764"/>
      <c r="E68" s="2764"/>
    </row>
    <row r="69" spans="1:5" ht="48" customHeight="1">
      <c r="A69" s="1645"/>
      <c r="B69" s="2764"/>
      <c r="C69" s="2764"/>
      <c r="D69" s="2764"/>
      <c r="E69" s="2764"/>
    </row>
    <row r="70" spans="1:5" ht="48.75" customHeight="1"/>
    <row r="71" spans="1:5" ht="81" customHeight="1"/>
    <row r="72" spans="1:5" ht="178.5" customHeight="1"/>
    <row r="73" spans="1:5" ht="45.75" customHeight="1"/>
    <row r="74" spans="1:5" ht="33" customHeight="1"/>
    <row r="75" spans="1:5" ht="36" customHeight="1"/>
    <row r="176" spans="2:2" ht="18">
      <c r="B176" s="1323"/>
    </row>
  </sheetData>
  <sheetProtection sheet="1" objects="1" scenarios="1" formatCells="0" formatColumns="0" formatRows="0" insertColumns="0" insertRows="0"/>
  <mergeCells count="57">
    <mergeCell ref="B22:G22"/>
    <mergeCell ref="H5:I5"/>
    <mergeCell ref="H6:I6"/>
    <mergeCell ref="H7:I7"/>
    <mergeCell ref="B8:G8"/>
    <mergeCell ref="H8:I8"/>
    <mergeCell ref="B9:G9"/>
    <mergeCell ref="B10:G10"/>
    <mergeCell ref="B11:G11"/>
    <mergeCell ref="B12:G12"/>
    <mergeCell ref="B13:G13"/>
    <mergeCell ref="B14:G14"/>
    <mergeCell ref="B36:H36"/>
    <mergeCell ref="B23:G23"/>
    <mergeCell ref="B24:G24"/>
    <mergeCell ref="B25:G25"/>
    <mergeCell ref="B26:G26"/>
    <mergeCell ref="B27:G27"/>
    <mergeCell ref="B29:E29"/>
    <mergeCell ref="B31:E31"/>
    <mergeCell ref="B32:H32"/>
    <mergeCell ref="B33:H33"/>
    <mergeCell ref="B34:H34"/>
    <mergeCell ref="B35:H35"/>
    <mergeCell ref="B48:H48"/>
    <mergeCell ref="B37:H37"/>
    <mergeCell ref="B38:H38"/>
    <mergeCell ref="B39:H39"/>
    <mergeCell ref="B40:H40"/>
    <mergeCell ref="B41:H41"/>
    <mergeCell ref="B42:H42"/>
    <mergeCell ref="B43:H43"/>
    <mergeCell ref="B44:H44"/>
    <mergeCell ref="B45:H45"/>
    <mergeCell ref="B46:H46"/>
    <mergeCell ref="B47:H47"/>
    <mergeCell ref="B60:E60"/>
    <mergeCell ref="B49:H49"/>
    <mergeCell ref="B50:H50"/>
    <mergeCell ref="B51:H51"/>
    <mergeCell ref="B52:H52"/>
    <mergeCell ref="A53:E53"/>
    <mergeCell ref="B54:E54"/>
    <mergeCell ref="B55:E55"/>
    <mergeCell ref="B56:E56"/>
    <mergeCell ref="B57:E57"/>
    <mergeCell ref="B58:E58"/>
    <mergeCell ref="B59:E59"/>
    <mergeCell ref="B67:E67"/>
    <mergeCell ref="B68:E68"/>
    <mergeCell ref="B69:E69"/>
    <mergeCell ref="B61:E61"/>
    <mergeCell ref="B62:E62"/>
    <mergeCell ref="B63:E63"/>
    <mergeCell ref="B64:E64"/>
    <mergeCell ref="B65:E65"/>
    <mergeCell ref="B66:E66"/>
  </mergeCells>
  <dataValidations count="2">
    <dataValidation type="list" allowBlank="1" showInputMessage="1" showErrorMessage="1" sqref="I31:I52 JE31:JE52 TA31:TA52 ACW31:ACW52 AMS31:AMS52 AWO31:AWO52 BGK31:BGK52 BQG31:BQG52 CAC31:CAC52 CJY31:CJY52 CTU31:CTU52 DDQ31:DDQ52 DNM31:DNM52 DXI31:DXI52 EHE31:EHE52 ERA31:ERA52 FAW31:FAW52 FKS31:FKS52 FUO31:FUO52 GEK31:GEK52 GOG31:GOG52 GYC31:GYC52 HHY31:HHY52 HRU31:HRU52 IBQ31:IBQ52 ILM31:ILM52 IVI31:IVI52 JFE31:JFE52 JPA31:JPA52 JYW31:JYW52 KIS31:KIS52 KSO31:KSO52 LCK31:LCK52 LMG31:LMG52 LWC31:LWC52 MFY31:MFY52 MPU31:MPU52 MZQ31:MZQ52 NJM31:NJM52 NTI31:NTI52 ODE31:ODE52 ONA31:ONA52 OWW31:OWW52 PGS31:PGS52 PQO31:PQO52 QAK31:QAK52 QKG31:QKG52 QUC31:QUC52 RDY31:RDY52 RNU31:RNU52 RXQ31:RXQ52 SHM31:SHM52 SRI31:SRI52 TBE31:TBE52 TLA31:TLA52 TUW31:TUW52 UES31:UES52 UOO31:UOO52 UYK31:UYK52 VIG31:VIG52 VSC31:VSC52 WBY31:WBY52 WLU31:WLU52 WVQ31:WVQ52 I65567:I65588 JE65567:JE65588 TA65567:TA65588 ACW65567:ACW65588 AMS65567:AMS65588 AWO65567:AWO65588 BGK65567:BGK65588 BQG65567:BQG65588 CAC65567:CAC65588 CJY65567:CJY65588 CTU65567:CTU65588 DDQ65567:DDQ65588 DNM65567:DNM65588 DXI65567:DXI65588 EHE65567:EHE65588 ERA65567:ERA65588 FAW65567:FAW65588 FKS65567:FKS65588 FUO65567:FUO65588 GEK65567:GEK65588 GOG65567:GOG65588 GYC65567:GYC65588 HHY65567:HHY65588 HRU65567:HRU65588 IBQ65567:IBQ65588 ILM65567:ILM65588 IVI65567:IVI65588 JFE65567:JFE65588 JPA65567:JPA65588 JYW65567:JYW65588 KIS65567:KIS65588 KSO65567:KSO65588 LCK65567:LCK65588 LMG65567:LMG65588 LWC65567:LWC65588 MFY65567:MFY65588 MPU65567:MPU65588 MZQ65567:MZQ65588 NJM65567:NJM65588 NTI65567:NTI65588 ODE65567:ODE65588 ONA65567:ONA65588 OWW65567:OWW65588 PGS65567:PGS65588 PQO65567:PQO65588 QAK65567:QAK65588 QKG65567:QKG65588 QUC65567:QUC65588 RDY65567:RDY65588 RNU65567:RNU65588 RXQ65567:RXQ65588 SHM65567:SHM65588 SRI65567:SRI65588 TBE65567:TBE65588 TLA65567:TLA65588 TUW65567:TUW65588 UES65567:UES65588 UOO65567:UOO65588 UYK65567:UYK65588 VIG65567:VIG65588 VSC65567:VSC65588 WBY65567:WBY65588 WLU65567:WLU65588 WVQ65567:WVQ65588 I131103:I131124 JE131103:JE131124 TA131103:TA131124 ACW131103:ACW131124 AMS131103:AMS131124 AWO131103:AWO131124 BGK131103:BGK131124 BQG131103:BQG131124 CAC131103:CAC131124 CJY131103:CJY131124 CTU131103:CTU131124 DDQ131103:DDQ131124 DNM131103:DNM131124 DXI131103:DXI131124 EHE131103:EHE131124 ERA131103:ERA131124 FAW131103:FAW131124 FKS131103:FKS131124 FUO131103:FUO131124 GEK131103:GEK131124 GOG131103:GOG131124 GYC131103:GYC131124 HHY131103:HHY131124 HRU131103:HRU131124 IBQ131103:IBQ131124 ILM131103:ILM131124 IVI131103:IVI131124 JFE131103:JFE131124 JPA131103:JPA131124 JYW131103:JYW131124 KIS131103:KIS131124 KSO131103:KSO131124 LCK131103:LCK131124 LMG131103:LMG131124 LWC131103:LWC131124 MFY131103:MFY131124 MPU131103:MPU131124 MZQ131103:MZQ131124 NJM131103:NJM131124 NTI131103:NTI131124 ODE131103:ODE131124 ONA131103:ONA131124 OWW131103:OWW131124 PGS131103:PGS131124 PQO131103:PQO131124 QAK131103:QAK131124 QKG131103:QKG131124 QUC131103:QUC131124 RDY131103:RDY131124 RNU131103:RNU131124 RXQ131103:RXQ131124 SHM131103:SHM131124 SRI131103:SRI131124 TBE131103:TBE131124 TLA131103:TLA131124 TUW131103:TUW131124 UES131103:UES131124 UOO131103:UOO131124 UYK131103:UYK131124 VIG131103:VIG131124 VSC131103:VSC131124 WBY131103:WBY131124 WLU131103:WLU131124 WVQ131103:WVQ131124 I196639:I196660 JE196639:JE196660 TA196639:TA196660 ACW196639:ACW196660 AMS196639:AMS196660 AWO196639:AWO196660 BGK196639:BGK196660 BQG196639:BQG196660 CAC196639:CAC196660 CJY196639:CJY196660 CTU196639:CTU196660 DDQ196639:DDQ196660 DNM196639:DNM196660 DXI196639:DXI196660 EHE196639:EHE196660 ERA196639:ERA196660 FAW196639:FAW196660 FKS196639:FKS196660 FUO196639:FUO196660 GEK196639:GEK196660 GOG196639:GOG196660 GYC196639:GYC196660 HHY196639:HHY196660 HRU196639:HRU196660 IBQ196639:IBQ196660 ILM196639:ILM196660 IVI196639:IVI196660 JFE196639:JFE196660 JPA196639:JPA196660 JYW196639:JYW196660 KIS196639:KIS196660 KSO196639:KSO196660 LCK196639:LCK196660 LMG196639:LMG196660 LWC196639:LWC196660 MFY196639:MFY196660 MPU196639:MPU196660 MZQ196639:MZQ196660 NJM196639:NJM196660 NTI196639:NTI196660 ODE196639:ODE196660 ONA196639:ONA196660 OWW196639:OWW196660 PGS196639:PGS196660 PQO196639:PQO196660 QAK196639:QAK196660 QKG196639:QKG196660 QUC196639:QUC196660 RDY196639:RDY196660 RNU196639:RNU196660 RXQ196639:RXQ196660 SHM196639:SHM196660 SRI196639:SRI196660 TBE196639:TBE196660 TLA196639:TLA196660 TUW196639:TUW196660 UES196639:UES196660 UOO196639:UOO196660 UYK196639:UYK196660 VIG196639:VIG196660 VSC196639:VSC196660 WBY196639:WBY196660 WLU196639:WLU196660 WVQ196639:WVQ196660 I262175:I262196 JE262175:JE262196 TA262175:TA262196 ACW262175:ACW262196 AMS262175:AMS262196 AWO262175:AWO262196 BGK262175:BGK262196 BQG262175:BQG262196 CAC262175:CAC262196 CJY262175:CJY262196 CTU262175:CTU262196 DDQ262175:DDQ262196 DNM262175:DNM262196 DXI262175:DXI262196 EHE262175:EHE262196 ERA262175:ERA262196 FAW262175:FAW262196 FKS262175:FKS262196 FUO262175:FUO262196 GEK262175:GEK262196 GOG262175:GOG262196 GYC262175:GYC262196 HHY262175:HHY262196 HRU262175:HRU262196 IBQ262175:IBQ262196 ILM262175:ILM262196 IVI262175:IVI262196 JFE262175:JFE262196 JPA262175:JPA262196 JYW262175:JYW262196 KIS262175:KIS262196 KSO262175:KSO262196 LCK262175:LCK262196 LMG262175:LMG262196 LWC262175:LWC262196 MFY262175:MFY262196 MPU262175:MPU262196 MZQ262175:MZQ262196 NJM262175:NJM262196 NTI262175:NTI262196 ODE262175:ODE262196 ONA262175:ONA262196 OWW262175:OWW262196 PGS262175:PGS262196 PQO262175:PQO262196 QAK262175:QAK262196 QKG262175:QKG262196 QUC262175:QUC262196 RDY262175:RDY262196 RNU262175:RNU262196 RXQ262175:RXQ262196 SHM262175:SHM262196 SRI262175:SRI262196 TBE262175:TBE262196 TLA262175:TLA262196 TUW262175:TUW262196 UES262175:UES262196 UOO262175:UOO262196 UYK262175:UYK262196 VIG262175:VIG262196 VSC262175:VSC262196 WBY262175:WBY262196 WLU262175:WLU262196 WVQ262175:WVQ262196 I327711:I327732 JE327711:JE327732 TA327711:TA327732 ACW327711:ACW327732 AMS327711:AMS327732 AWO327711:AWO327732 BGK327711:BGK327732 BQG327711:BQG327732 CAC327711:CAC327732 CJY327711:CJY327732 CTU327711:CTU327732 DDQ327711:DDQ327732 DNM327711:DNM327732 DXI327711:DXI327732 EHE327711:EHE327732 ERA327711:ERA327732 FAW327711:FAW327732 FKS327711:FKS327732 FUO327711:FUO327732 GEK327711:GEK327732 GOG327711:GOG327732 GYC327711:GYC327732 HHY327711:HHY327732 HRU327711:HRU327732 IBQ327711:IBQ327732 ILM327711:ILM327732 IVI327711:IVI327732 JFE327711:JFE327732 JPA327711:JPA327732 JYW327711:JYW327732 KIS327711:KIS327732 KSO327711:KSO327732 LCK327711:LCK327732 LMG327711:LMG327732 LWC327711:LWC327732 MFY327711:MFY327732 MPU327711:MPU327732 MZQ327711:MZQ327732 NJM327711:NJM327732 NTI327711:NTI327732 ODE327711:ODE327732 ONA327711:ONA327732 OWW327711:OWW327732 PGS327711:PGS327732 PQO327711:PQO327732 QAK327711:QAK327732 QKG327711:QKG327732 QUC327711:QUC327732 RDY327711:RDY327732 RNU327711:RNU327732 RXQ327711:RXQ327732 SHM327711:SHM327732 SRI327711:SRI327732 TBE327711:TBE327732 TLA327711:TLA327732 TUW327711:TUW327732 UES327711:UES327732 UOO327711:UOO327732 UYK327711:UYK327732 VIG327711:VIG327732 VSC327711:VSC327732 WBY327711:WBY327732 WLU327711:WLU327732 WVQ327711:WVQ327732 I393247:I393268 JE393247:JE393268 TA393247:TA393268 ACW393247:ACW393268 AMS393247:AMS393268 AWO393247:AWO393268 BGK393247:BGK393268 BQG393247:BQG393268 CAC393247:CAC393268 CJY393247:CJY393268 CTU393247:CTU393268 DDQ393247:DDQ393268 DNM393247:DNM393268 DXI393247:DXI393268 EHE393247:EHE393268 ERA393247:ERA393268 FAW393247:FAW393268 FKS393247:FKS393268 FUO393247:FUO393268 GEK393247:GEK393268 GOG393247:GOG393268 GYC393247:GYC393268 HHY393247:HHY393268 HRU393247:HRU393268 IBQ393247:IBQ393268 ILM393247:ILM393268 IVI393247:IVI393268 JFE393247:JFE393268 JPA393247:JPA393268 JYW393247:JYW393268 KIS393247:KIS393268 KSO393247:KSO393268 LCK393247:LCK393268 LMG393247:LMG393268 LWC393247:LWC393268 MFY393247:MFY393268 MPU393247:MPU393268 MZQ393247:MZQ393268 NJM393247:NJM393268 NTI393247:NTI393268 ODE393247:ODE393268 ONA393247:ONA393268 OWW393247:OWW393268 PGS393247:PGS393268 PQO393247:PQO393268 QAK393247:QAK393268 QKG393247:QKG393268 QUC393247:QUC393268 RDY393247:RDY393268 RNU393247:RNU393268 RXQ393247:RXQ393268 SHM393247:SHM393268 SRI393247:SRI393268 TBE393247:TBE393268 TLA393247:TLA393268 TUW393247:TUW393268 UES393247:UES393268 UOO393247:UOO393268 UYK393247:UYK393268 VIG393247:VIG393268 VSC393247:VSC393268 WBY393247:WBY393268 WLU393247:WLU393268 WVQ393247:WVQ393268 I458783:I458804 JE458783:JE458804 TA458783:TA458804 ACW458783:ACW458804 AMS458783:AMS458804 AWO458783:AWO458804 BGK458783:BGK458804 BQG458783:BQG458804 CAC458783:CAC458804 CJY458783:CJY458804 CTU458783:CTU458804 DDQ458783:DDQ458804 DNM458783:DNM458804 DXI458783:DXI458804 EHE458783:EHE458804 ERA458783:ERA458804 FAW458783:FAW458804 FKS458783:FKS458804 FUO458783:FUO458804 GEK458783:GEK458804 GOG458783:GOG458804 GYC458783:GYC458804 HHY458783:HHY458804 HRU458783:HRU458804 IBQ458783:IBQ458804 ILM458783:ILM458804 IVI458783:IVI458804 JFE458783:JFE458804 JPA458783:JPA458804 JYW458783:JYW458804 KIS458783:KIS458804 KSO458783:KSO458804 LCK458783:LCK458804 LMG458783:LMG458804 LWC458783:LWC458804 MFY458783:MFY458804 MPU458783:MPU458804 MZQ458783:MZQ458804 NJM458783:NJM458804 NTI458783:NTI458804 ODE458783:ODE458804 ONA458783:ONA458804 OWW458783:OWW458804 PGS458783:PGS458804 PQO458783:PQO458804 QAK458783:QAK458804 QKG458783:QKG458804 QUC458783:QUC458804 RDY458783:RDY458804 RNU458783:RNU458804 RXQ458783:RXQ458804 SHM458783:SHM458804 SRI458783:SRI458804 TBE458783:TBE458804 TLA458783:TLA458804 TUW458783:TUW458804 UES458783:UES458804 UOO458783:UOO458804 UYK458783:UYK458804 VIG458783:VIG458804 VSC458783:VSC458804 WBY458783:WBY458804 WLU458783:WLU458804 WVQ458783:WVQ458804 I524319:I524340 JE524319:JE524340 TA524319:TA524340 ACW524319:ACW524340 AMS524319:AMS524340 AWO524319:AWO524340 BGK524319:BGK524340 BQG524319:BQG524340 CAC524319:CAC524340 CJY524319:CJY524340 CTU524319:CTU524340 DDQ524319:DDQ524340 DNM524319:DNM524340 DXI524319:DXI524340 EHE524319:EHE524340 ERA524319:ERA524340 FAW524319:FAW524340 FKS524319:FKS524340 FUO524319:FUO524340 GEK524319:GEK524340 GOG524319:GOG524340 GYC524319:GYC524340 HHY524319:HHY524340 HRU524319:HRU524340 IBQ524319:IBQ524340 ILM524319:ILM524340 IVI524319:IVI524340 JFE524319:JFE524340 JPA524319:JPA524340 JYW524319:JYW524340 KIS524319:KIS524340 KSO524319:KSO524340 LCK524319:LCK524340 LMG524319:LMG524340 LWC524319:LWC524340 MFY524319:MFY524340 MPU524319:MPU524340 MZQ524319:MZQ524340 NJM524319:NJM524340 NTI524319:NTI524340 ODE524319:ODE524340 ONA524319:ONA524340 OWW524319:OWW524340 PGS524319:PGS524340 PQO524319:PQO524340 QAK524319:QAK524340 QKG524319:QKG524340 QUC524319:QUC524340 RDY524319:RDY524340 RNU524319:RNU524340 RXQ524319:RXQ524340 SHM524319:SHM524340 SRI524319:SRI524340 TBE524319:TBE524340 TLA524319:TLA524340 TUW524319:TUW524340 UES524319:UES524340 UOO524319:UOO524340 UYK524319:UYK524340 VIG524319:VIG524340 VSC524319:VSC524340 WBY524319:WBY524340 WLU524319:WLU524340 WVQ524319:WVQ524340 I589855:I589876 JE589855:JE589876 TA589855:TA589876 ACW589855:ACW589876 AMS589855:AMS589876 AWO589855:AWO589876 BGK589855:BGK589876 BQG589855:BQG589876 CAC589855:CAC589876 CJY589855:CJY589876 CTU589855:CTU589876 DDQ589855:DDQ589876 DNM589855:DNM589876 DXI589855:DXI589876 EHE589855:EHE589876 ERA589855:ERA589876 FAW589855:FAW589876 FKS589855:FKS589876 FUO589855:FUO589876 GEK589855:GEK589876 GOG589855:GOG589876 GYC589855:GYC589876 HHY589855:HHY589876 HRU589855:HRU589876 IBQ589855:IBQ589876 ILM589855:ILM589876 IVI589855:IVI589876 JFE589855:JFE589876 JPA589855:JPA589876 JYW589855:JYW589876 KIS589855:KIS589876 KSO589855:KSO589876 LCK589855:LCK589876 LMG589855:LMG589876 LWC589855:LWC589876 MFY589855:MFY589876 MPU589855:MPU589876 MZQ589855:MZQ589876 NJM589855:NJM589876 NTI589855:NTI589876 ODE589855:ODE589876 ONA589855:ONA589876 OWW589855:OWW589876 PGS589855:PGS589876 PQO589855:PQO589876 QAK589855:QAK589876 QKG589855:QKG589876 QUC589855:QUC589876 RDY589855:RDY589876 RNU589855:RNU589876 RXQ589855:RXQ589876 SHM589855:SHM589876 SRI589855:SRI589876 TBE589855:TBE589876 TLA589855:TLA589876 TUW589855:TUW589876 UES589855:UES589876 UOO589855:UOO589876 UYK589855:UYK589876 VIG589855:VIG589876 VSC589855:VSC589876 WBY589855:WBY589876 WLU589855:WLU589876 WVQ589855:WVQ589876 I655391:I655412 JE655391:JE655412 TA655391:TA655412 ACW655391:ACW655412 AMS655391:AMS655412 AWO655391:AWO655412 BGK655391:BGK655412 BQG655391:BQG655412 CAC655391:CAC655412 CJY655391:CJY655412 CTU655391:CTU655412 DDQ655391:DDQ655412 DNM655391:DNM655412 DXI655391:DXI655412 EHE655391:EHE655412 ERA655391:ERA655412 FAW655391:FAW655412 FKS655391:FKS655412 FUO655391:FUO655412 GEK655391:GEK655412 GOG655391:GOG655412 GYC655391:GYC655412 HHY655391:HHY655412 HRU655391:HRU655412 IBQ655391:IBQ655412 ILM655391:ILM655412 IVI655391:IVI655412 JFE655391:JFE655412 JPA655391:JPA655412 JYW655391:JYW655412 KIS655391:KIS655412 KSO655391:KSO655412 LCK655391:LCK655412 LMG655391:LMG655412 LWC655391:LWC655412 MFY655391:MFY655412 MPU655391:MPU655412 MZQ655391:MZQ655412 NJM655391:NJM655412 NTI655391:NTI655412 ODE655391:ODE655412 ONA655391:ONA655412 OWW655391:OWW655412 PGS655391:PGS655412 PQO655391:PQO655412 QAK655391:QAK655412 QKG655391:QKG655412 QUC655391:QUC655412 RDY655391:RDY655412 RNU655391:RNU655412 RXQ655391:RXQ655412 SHM655391:SHM655412 SRI655391:SRI655412 TBE655391:TBE655412 TLA655391:TLA655412 TUW655391:TUW655412 UES655391:UES655412 UOO655391:UOO655412 UYK655391:UYK655412 VIG655391:VIG655412 VSC655391:VSC655412 WBY655391:WBY655412 WLU655391:WLU655412 WVQ655391:WVQ655412 I720927:I720948 JE720927:JE720948 TA720927:TA720948 ACW720927:ACW720948 AMS720927:AMS720948 AWO720927:AWO720948 BGK720927:BGK720948 BQG720927:BQG720948 CAC720927:CAC720948 CJY720927:CJY720948 CTU720927:CTU720948 DDQ720927:DDQ720948 DNM720927:DNM720948 DXI720927:DXI720948 EHE720927:EHE720948 ERA720927:ERA720948 FAW720927:FAW720948 FKS720927:FKS720948 FUO720927:FUO720948 GEK720927:GEK720948 GOG720927:GOG720948 GYC720927:GYC720948 HHY720927:HHY720948 HRU720927:HRU720948 IBQ720927:IBQ720948 ILM720927:ILM720948 IVI720927:IVI720948 JFE720927:JFE720948 JPA720927:JPA720948 JYW720927:JYW720948 KIS720927:KIS720948 KSO720927:KSO720948 LCK720927:LCK720948 LMG720927:LMG720948 LWC720927:LWC720948 MFY720927:MFY720948 MPU720927:MPU720948 MZQ720927:MZQ720948 NJM720927:NJM720948 NTI720927:NTI720948 ODE720927:ODE720948 ONA720927:ONA720948 OWW720927:OWW720948 PGS720927:PGS720948 PQO720927:PQO720948 QAK720927:QAK720948 QKG720927:QKG720948 QUC720927:QUC720948 RDY720927:RDY720948 RNU720927:RNU720948 RXQ720927:RXQ720948 SHM720927:SHM720948 SRI720927:SRI720948 TBE720927:TBE720948 TLA720927:TLA720948 TUW720927:TUW720948 UES720927:UES720948 UOO720927:UOO720948 UYK720927:UYK720948 VIG720927:VIG720948 VSC720927:VSC720948 WBY720927:WBY720948 WLU720927:WLU720948 WVQ720927:WVQ720948 I786463:I786484 JE786463:JE786484 TA786463:TA786484 ACW786463:ACW786484 AMS786463:AMS786484 AWO786463:AWO786484 BGK786463:BGK786484 BQG786463:BQG786484 CAC786463:CAC786484 CJY786463:CJY786484 CTU786463:CTU786484 DDQ786463:DDQ786484 DNM786463:DNM786484 DXI786463:DXI786484 EHE786463:EHE786484 ERA786463:ERA786484 FAW786463:FAW786484 FKS786463:FKS786484 FUO786463:FUO786484 GEK786463:GEK786484 GOG786463:GOG786484 GYC786463:GYC786484 HHY786463:HHY786484 HRU786463:HRU786484 IBQ786463:IBQ786484 ILM786463:ILM786484 IVI786463:IVI786484 JFE786463:JFE786484 JPA786463:JPA786484 JYW786463:JYW786484 KIS786463:KIS786484 KSO786463:KSO786484 LCK786463:LCK786484 LMG786463:LMG786484 LWC786463:LWC786484 MFY786463:MFY786484 MPU786463:MPU786484 MZQ786463:MZQ786484 NJM786463:NJM786484 NTI786463:NTI786484 ODE786463:ODE786484 ONA786463:ONA786484 OWW786463:OWW786484 PGS786463:PGS786484 PQO786463:PQO786484 QAK786463:QAK786484 QKG786463:QKG786484 QUC786463:QUC786484 RDY786463:RDY786484 RNU786463:RNU786484 RXQ786463:RXQ786484 SHM786463:SHM786484 SRI786463:SRI786484 TBE786463:TBE786484 TLA786463:TLA786484 TUW786463:TUW786484 UES786463:UES786484 UOO786463:UOO786484 UYK786463:UYK786484 VIG786463:VIG786484 VSC786463:VSC786484 WBY786463:WBY786484 WLU786463:WLU786484 WVQ786463:WVQ786484 I851999:I852020 JE851999:JE852020 TA851999:TA852020 ACW851999:ACW852020 AMS851999:AMS852020 AWO851999:AWO852020 BGK851999:BGK852020 BQG851999:BQG852020 CAC851999:CAC852020 CJY851999:CJY852020 CTU851999:CTU852020 DDQ851999:DDQ852020 DNM851999:DNM852020 DXI851999:DXI852020 EHE851999:EHE852020 ERA851999:ERA852020 FAW851999:FAW852020 FKS851999:FKS852020 FUO851999:FUO852020 GEK851999:GEK852020 GOG851999:GOG852020 GYC851999:GYC852020 HHY851999:HHY852020 HRU851999:HRU852020 IBQ851999:IBQ852020 ILM851999:ILM852020 IVI851999:IVI852020 JFE851999:JFE852020 JPA851999:JPA852020 JYW851999:JYW852020 KIS851999:KIS852020 KSO851999:KSO852020 LCK851999:LCK852020 LMG851999:LMG852020 LWC851999:LWC852020 MFY851999:MFY852020 MPU851999:MPU852020 MZQ851999:MZQ852020 NJM851999:NJM852020 NTI851999:NTI852020 ODE851999:ODE852020 ONA851999:ONA852020 OWW851999:OWW852020 PGS851999:PGS852020 PQO851999:PQO852020 QAK851999:QAK852020 QKG851999:QKG852020 QUC851999:QUC852020 RDY851999:RDY852020 RNU851999:RNU852020 RXQ851999:RXQ852020 SHM851999:SHM852020 SRI851999:SRI852020 TBE851999:TBE852020 TLA851999:TLA852020 TUW851999:TUW852020 UES851999:UES852020 UOO851999:UOO852020 UYK851999:UYK852020 VIG851999:VIG852020 VSC851999:VSC852020 WBY851999:WBY852020 WLU851999:WLU852020 WVQ851999:WVQ852020 I917535:I917556 JE917535:JE917556 TA917535:TA917556 ACW917535:ACW917556 AMS917535:AMS917556 AWO917535:AWO917556 BGK917535:BGK917556 BQG917535:BQG917556 CAC917535:CAC917556 CJY917535:CJY917556 CTU917535:CTU917556 DDQ917535:DDQ917556 DNM917535:DNM917556 DXI917535:DXI917556 EHE917535:EHE917556 ERA917535:ERA917556 FAW917535:FAW917556 FKS917535:FKS917556 FUO917535:FUO917556 GEK917535:GEK917556 GOG917535:GOG917556 GYC917535:GYC917556 HHY917535:HHY917556 HRU917535:HRU917556 IBQ917535:IBQ917556 ILM917535:ILM917556 IVI917535:IVI917556 JFE917535:JFE917556 JPA917535:JPA917556 JYW917535:JYW917556 KIS917535:KIS917556 KSO917535:KSO917556 LCK917535:LCK917556 LMG917535:LMG917556 LWC917535:LWC917556 MFY917535:MFY917556 MPU917535:MPU917556 MZQ917535:MZQ917556 NJM917535:NJM917556 NTI917535:NTI917556 ODE917535:ODE917556 ONA917535:ONA917556 OWW917535:OWW917556 PGS917535:PGS917556 PQO917535:PQO917556 QAK917535:QAK917556 QKG917535:QKG917556 QUC917535:QUC917556 RDY917535:RDY917556 RNU917535:RNU917556 RXQ917535:RXQ917556 SHM917535:SHM917556 SRI917535:SRI917556 TBE917535:TBE917556 TLA917535:TLA917556 TUW917535:TUW917556 UES917535:UES917556 UOO917535:UOO917556 UYK917535:UYK917556 VIG917535:VIG917556 VSC917535:VSC917556 WBY917535:WBY917556 WLU917535:WLU917556 WVQ917535:WVQ917556 I983071:I983092 JE983071:JE983092 TA983071:TA983092 ACW983071:ACW983092 AMS983071:AMS983092 AWO983071:AWO983092 BGK983071:BGK983092 BQG983071:BQG983092 CAC983071:CAC983092 CJY983071:CJY983092 CTU983071:CTU983092 DDQ983071:DDQ983092 DNM983071:DNM983092 DXI983071:DXI983092 EHE983071:EHE983092 ERA983071:ERA983092 FAW983071:FAW983092 FKS983071:FKS983092 FUO983071:FUO983092 GEK983071:GEK983092 GOG983071:GOG983092 GYC983071:GYC983092 HHY983071:HHY983092 HRU983071:HRU983092 IBQ983071:IBQ983092 ILM983071:ILM983092 IVI983071:IVI983092 JFE983071:JFE983092 JPA983071:JPA983092 JYW983071:JYW983092 KIS983071:KIS983092 KSO983071:KSO983092 LCK983071:LCK983092 LMG983071:LMG983092 LWC983071:LWC983092 MFY983071:MFY983092 MPU983071:MPU983092 MZQ983071:MZQ983092 NJM983071:NJM983092 NTI983071:NTI983092 ODE983071:ODE983092 ONA983071:ONA983092 OWW983071:OWW983092 PGS983071:PGS983092 PQO983071:PQO983092 QAK983071:QAK983092 QKG983071:QKG983092 QUC983071:QUC983092 RDY983071:RDY983092 RNU983071:RNU983092 RXQ983071:RXQ983092 SHM983071:SHM983092 SRI983071:SRI983092 TBE983071:TBE983092 TLA983071:TLA983092 TUW983071:TUW983092 UES983071:UES983092 UOO983071:UOO983092 UYK983071:UYK983092 VIG983071:VIG983092 VSC983071:VSC983092 WBY983071:WBY983092 WLU983071:WLU983092 WVQ983071:WVQ983092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formula1>"Yes,No,NA"</formula1>
    </dataValidation>
    <dataValidation type="list" allowBlank="1" showInputMessage="1" showErrorMessage="1" sqref="WVP983073:WVP983092 JD33:JD52 SZ33:SZ52 ACV33:ACV52 AMR33:AMR52 AWN33:AWN52 BGJ33:BGJ52 BQF33:BQF52 CAB33:CAB52 CJX33:CJX52 CTT33:CTT52 DDP33:DDP52 DNL33:DNL52 DXH33:DXH52 EHD33:EHD52 EQZ33:EQZ52 FAV33:FAV52 FKR33:FKR52 FUN33:FUN52 GEJ33:GEJ52 GOF33:GOF52 GYB33:GYB52 HHX33:HHX52 HRT33:HRT52 IBP33:IBP52 ILL33:ILL52 IVH33:IVH52 JFD33:JFD52 JOZ33:JOZ52 JYV33:JYV52 KIR33:KIR52 KSN33:KSN52 LCJ33:LCJ52 LMF33:LMF52 LWB33:LWB52 MFX33:MFX52 MPT33:MPT52 MZP33:MZP52 NJL33:NJL52 NTH33:NTH52 ODD33:ODD52 OMZ33:OMZ52 OWV33:OWV52 PGR33:PGR52 PQN33:PQN52 QAJ33:QAJ52 QKF33:QKF52 QUB33:QUB52 RDX33:RDX52 RNT33:RNT52 RXP33:RXP52 SHL33:SHL52 SRH33:SRH52 TBD33:TBD52 TKZ33:TKZ52 TUV33:TUV52 UER33:UER52 UON33:UON52 UYJ33:UYJ52 VIF33:VIF52 VSB33:VSB52 WBX33:WBX52 WLT33:WLT52 WVP33:WVP52 H65569:H65588 JD65569:JD65588 SZ65569:SZ65588 ACV65569:ACV65588 AMR65569:AMR65588 AWN65569:AWN65588 BGJ65569:BGJ65588 BQF65569:BQF65588 CAB65569:CAB65588 CJX65569:CJX65588 CTT65569:CTT65588 DDP65569:DDP65588 DNL65569:DNL65588 DXH65569:DXH65588 EHD65569:EHD65588 EQZ65569:EQZ65588 FAV65569:FAV65588 FKR65569:FKR65588 FUN65569:FUN65588 GEJ65569:GEJ65588 GOF65569:GOF65588 GYB65569:GYB65588 HHX65569:HHX65588 HRT65569:HRT65588 IBP65569:IBP65588 ILL65569:ILL65588 IVH65569:IVH65588 JFD65569:JFD65588 JOZ65569:JOZ65588 JYV65569:JYV65588 KIR65569:KIR65588 KSN65569:KSN65588 LCJ65569:LCJ65588 LMF65569:LMF65588 LWB65569:LWB65588 MFX65569:MFX65588 MPT65569:MPT65588 MZP65569:MZP65588 NJL65569:NJL65588 NTH65569:NTH65588 ODD65569:ODD65588 OMZ65569:OMZ65588 OWV65569:OWV65588 PGR65569:PGR65588 PQN65569:PQN65588 QAJ65569:QAJ65588 QKF65569:QKF65588 QUB65569:QUB65588 RDX65569:RDX65588 RNT65569:RNT65588 RXP65569:RXP65588 SHL65569:SHL65588 SRH65569:SRH65588 TBD65569:TBD65588 TKZ65569:TKZ65588 TUV65569:TUV65588 UER65569:UER65588 UON65569:UON65588 UYJ65569:UYJ65588 VIF65569:VIF65588 VSB65569:VSB65588 WBX65569:WBX65588 WLT65569:WLT65588 WVP65569:WVP65588 H131105:H131124 JD131105:JD131124 SZ131105:SZ131124 ACV131105:ACV131124 AMR131105:AMR131124 AWN131105:AWN131124 BGJ131105:BGJ131124 BQF131105:BQF131124 CAB131105:CAB131124 CJX131105:CJX131124 CTT131105:CTT131124 DDP131105:DDP131124 DNL131105:DNL131124 DXH131105:DXH131124 EHD131105:EHD131124 EQZ131105:EQZ131124 FAV131105:FAV131124 FKR131105:FKR131124 FUN131105:FUN131124 GEJ131105:GEJ131124 GOF131105:GOF131124 GYB131105:GYB131124 HHX131105:HHX131124 HRT131105:HRT131124 IBP131105:IBP131124 ILL131105:ILL131124 IVH131105:IVH131124 JFD131105:JFD131124 JOZ131105:JOZ131124 JYV131105:JYV131124 KIR131105:KIR131124 KSN131105:KSN131124 LCJ131105:LCJ131124 LMF131105:LMF131124 LWB131105:LWB131124 MFX131105:MFX131124 MPT131105:MPT131124 MZP131105:MZP131124 NJL131105:NJL131124 NTH131105:NTH131124 ODD131105:ODD131124 OMZ131105:OMZ131124 OWV131105:OWV131124 PGR131105:PGR131124 PQN131105:PQN131124 QAJ131105:QAJ131124 QKF131105:QKF131124 QUB131105:QUB131124 RDX131105:RDX131124 RNT131105:RNT131124 RXP131105:RXP131124 SHL131105:SHL131124 SRH131105:SRH131124 TBD131105:TBD131124 TKZ131105:TKZ131124 TUV131105:TUV131124 UER131105:UER131124 UON131105:UON131124 UYJ131105:UYJ131124 VIF131105:VIF131124 VSB131105:VSB131124 WBX131105:WBX131124 WLT131105:WLT131124 WVP131105:WVP131124 H196641:H196660 JD196641:JD196660 SZ196641:SZ196660 ACV196641:ACV196660 AMR196641:AMR196660 AWN196641:AWN196660 BGJ196641:BGJ196660 BQF196641:BQF196660 CAB196641:CAB196660 CJX196641:CJX196660 CTT196641:CTT196660 DDP196641:DDP196660 DNL196641:DNL196660 DXH196641:DXH196660 EHD196641:EHD196660 EQZ196641:EQZ196660 FAV196641:FAV196660 FKR196641:FKR196660 FUN196641:FUN196660 GEJ196641:GEJ196660 GOF196641:GOF196660 GYB196641:GYB196660 HHX196641:HHX196660 HRT196641:HRT196660 IBP196641:IBP196660 ILL196641:ILL196660 IVH196641:IVH196660 JFD196641:JFD196660 JOZ196641:JOZ196660 JYV196641:JYV196660 KIR196641:KIR196660 KSN196641:KSN196660 LCJ196641:LCJ196660 LMF196641:LMF196660 LWB196641:LWB196660 MFX196641:MFX196660 MPT196641:MPT196660 MZP196641:MZP196660 NJL196641:NJL196660 NTH196641:NTH196660 ODD196641:ODD196660 OMZ196641:OMZ196660 OWV196641:OWV196660 PGR196641:PGR196660 PQN196641:PQN196660 QAJ196641:QAJ196660 QKF196641:QKF196660 QUB196641:QUB196660 RDX196641:RDX196660 RNT196641:RNT196660 RXP196641:RXP196660 SHL196641:SHL196660 SRH196641:SRH196660 TBD196641:TBD196660 TKZ196641:TKZ196660 TUV196641:TUV196660 UER196641:UER196660 UON196641:UON196660 UYJ196641:UYJ196660 VIF196641:VIF196660 VSB196641:VSB196660 WBX196641:WBX196660 WLT196641:WLT196660 WVP196641:WVP196660 H262177:H262196 JD262177:JD262196 SZ262177:SZ262196 ACV262177:ACV262196 AMR262177:AMR262196 AWN262177:AWN262196 BGJ262177:BGJ262196 BQF262177:BQF262196 CAB262177:CAB262196 CJX262177:CJX262196 CTT262177:CTT262196 DDP262177:DDP262196 DNL262177:DNL262196 DXH262177:DXH262196 EHD262177:EHD262196 EQZ262177:EQZ262196 FAV262177:FAV262196 FKR262177:FKR262196 FUN262177:FUN262196 GEJ262177:GEJ262196 GOF262177:GOF262196 GYB262177:GYB262196 HHX262177:HHX262196 HRT262177:HRT262196 IBP262177:IBP262196 ILL262177:ILL262196 IVH262177:IVH262196 JFD262177:JFD262196 JOZ262177:JOZ262196 JYV262177:JYV262196 KIR262177:KIR262196 KSN262177:KSN262196 LCJ262177:LCJ262196 LMF262177:LMF262196 LWB262177:LWB262196 MFX262177:MFX262196 MPT262177:MPT262196 MZP262177:MZP262196 NJL262177:NJL262196 NTH262177:NTH262196 ODD262177:ODD262196 OMZ262177:OMZ262196 OWV262177:OWV262196 PGR262177:PGR262196 PQN262177:PQN262196 QAJ262177:QAJ262196 QKF262177:QKF262196 QUB262177:QUB262196 RDX262177:RDX262196 RNT262177:RNT262196 RXP262177:RXP262196 SHL262177:SHL262196 SRH262177:SRH262196 TBD262177:TBD262196 TKZ262177:TKZ262196 TUV262177:TUV262196 UER262177:UER262196 UON262177:UON262196 UYJ262177:UYJ262196 VIF262177:VIF262196 VSB262177:VSB262196 WBX262177:WBX262196 WLT262177:WLT262196 WVP262177:WVP262196 H327713:H327732 JD327713:JD327732 SZ327713:SZ327732 ACV327713:ACV327732 AMR327713:AMR327732 AWN327713:AWN327732 BGJ327713:BGJ327732 BQF327713:BQF327732 CAB327713:CAB327732 CJX327713:CJX327732 CTT327713:CTT327732 DDP327713:DDP327732 DNL327713:DNL327732 DXH327713:DXH327732 EHD327713:EHD327732 EQZ327713:EQZ327732 FAV327713:FAV327732 FKR327713:FKR327732 FUN327713:FUN327732 GEJ327713:GEJ327732 GOF327713:GOF327732 GYB327713:GYB327732 HHX327713:HHX327732 HRT327713:HRT327732 IBP327713:IBP327732 ILL327713:ILL327732 IVH327713:IVH327732 JFD327713:JFD327732 JOZ327713:JOZ327732 JYV327713:JYV327732 KIR327713:KIR327732 KSN327713:KSN327732 LCJ327713:LCJ327732 LMF327713:LMF327732 LWB327713:LWB327732 MFX327713:MFX327732 MPT327713:MPT327732 MZP327713:MZP327732 NJL327713:NJL327732 NTH327713:NTH327732 ODD327713:ODD327732 OMZ327713:OMZ327732 OWV327713:OWV327732 PGR327713:PGR327732 PQN327713:PQN327732 QAJ327713:QAJ327732 QKF327713:QKF327732 QUB327713:QUB327732 RDX327713:RDX327732 RNT327713:RNT327732 RXP327713:RXP327732 SHL327713:SHL327732 SRH327713:SRH327732 TBD327713:TBD327732 TKZ327713:TKZ327732 TUV327713:TUV327732 UER327713:UER327732 UON327713:UON327732 UYJ327713:UYJ327732 VIF327713:VIF327732 VSB327713:VSB327732 WBX327713:WBX327732 WLT327713:WLT327732 WVP327713:WVP327732 H393249:H393268 JD393249:JD393268 SZ393249:SZ393268 ACV393249:ACV393268 AMR393249:AMR393268 AWN393249:AWN393268 BGJ393249:BGJ393268 BQF393249:BQF393268 CAB393249:CAB393268 CJX393249:CJX393268 CTT393249:CTT393268 DDP393249:DDP393268 DNL393249:DNL393268 DXH393249:DXH393268 EHD393249:EHD393268 EQZ393249:EQZ393268 FAV393249:FAV393268 FKR393249:FKR393268 FUN393249:FUN393268 GEJ393249:GEJ393268 GOF393249:GOF393268 GYB393249:GYB393268 HHX393249:HHX393268 HRT393249:HRT393268 IBP393249:IBP393268 ILL393249:ILL393268 IVH393249:IVH393268 JFD393249:JFD393268 JOZ393249:JOZ393268 JYV393249:JYV393268 KIR393249:KIR393268 KSN393249:KSN393268 LCJ393249:LCJ393268 LMF393249:LMF393268 LWB393249:LWB393268 MFX393249:MFX393268 MPT393249:MPT393268 MZP393249:MZP393268 NJL393249:NJL393268 NTH393249:NTH393268 ODD393249:ODD393268 OMZ393249:OMZ393268 OWV393249:OWV393268 PGR393249:PGR393268 PQN393249:PQN393268 QAJ393249:QAJ393268 QKF393249:QKF393268 QUB393249:QUB393268 RDX393249:RDX393268 RNT393249:RNT393268 RXP393249:RXP393268 SHL393249:SHL393268 SRH393249:SRH393268 TBD393249:TBD393268 TKZ393249:TKZ393268 TUV393249:TUV393268 UER393249:UER393268 UON393249:UON393268 UYJ393249:UYJ393268 VIF393249:VIF393268 VSB393249:VSB393268 WBX393249:WBX393268 WLT393249:WLT393268 WVP393249:WVP393268 H458785:H458804 JD458785:JD458804 SZ458785:SZ458804 ACV458785:ACV458804 AMR458785:AMR458804 AWN458785:AWN458804 BGJ458785:BGJ458804 BQF458785:BQF458804 CAB458785:CAB458804 CJX458785:CJX458804 CTT458785:CTT458804 DDP458785:DDP458804 DNL458785:DNL458804 DXH458785:DXH458804 EHD458785:EHD458804 EQZ458785:EQZ458804 FAV458785:FAV458804 FKR458785:FKR458804 FUN458785:FUN458804 GEJ458785:GEJ458804 GOF458785:GOF458804 GYB458785:GYB458804 HHX458785:HHX458804 HRT458785:HRT458804 IBP458785:IBP458804 ILL458785:ILL458804 IVH458785:IVH458804 JFD458785:JFD458804 JOZ458785:JOZ458804 JYV458785:JYV458804 KIR458785:KIR458804 KSN458785:KSN458804 LCJ458785:LCJ458804 LMF458785:LMF458804 LWB458785:LWB458804 MFX458785:MFX458804 MPT458785:MPT458804 MZP458785:MZP458804 NJL458785:NJL458804 NTH458785:NTH458804 ODD458785:ODD458804 OMZ458785:OMZ458804 OWV458785:OWV458804 PGR458785:PGR458804 PQN458785:PQN458804 QAJ458785:QAJ458804 QKF458785:QKF458804 QUB458785:QUB458804 RDX458785:RDX458804 RNT458785:RNT458804 RXP458785:RXP458804 SHL458785:SHL458804 SRH458785:SRH458804 TBD458785:TBD458804 TKZ458785:TKZ458804 TUV458785:TUV458804 UER458785:UER458804 UON458785:UON458804 UYJ458785:UYJ458804 VIF458785:VIF458804 VSB458785:VSB458804 WBX458785:WBX458804 WLT458785:WLT458804 WVP458785:WVP458804 H524321:H524340 JD524321:JD524340 SZ524321:SZ524340 ACV524321:ACV524340 AMR524321:AMR524340 AWN524321:AWN524340 BGJ524321:BGJ524340 BQF524321:BQF524340 CAB524321:CAB524340 CJX524321:CJX524340 CTT524321:CTT524340 DDP524321:DDP524340 DNL524321:DNL524340 DXH524321:DXH524340 EHD524321:EHD524340 EQZ524321:EQZ524340 FAV524321:FAV524340 FKR524321:FKR524340 FUN524321:FUN524340 GEJ524321:GEJ524340 GOF524321:GOF524340 GYB524321:GYB524340 HHX524321:HHX524340 HRT524321:HRT524340 IBP524321:IBP524340 ILL524321:ILL524340 IVH524321:IVH524340 JFD524321:JFD524340 JOZ524321:JOZ524340 JYV524321:JYV524340 KIR524321:KIR524340 KSN524321:KSN524340 LCJ524321:LCJ524340 LMF524321:LMF524340 LWB524321:LWB524340 MFX524321:MFX524340 MPT524321:MPT524340 MZP524321:MZP524340 NJL524321:NJL524340 NTH524321:NTH524340 ODD524321:ODD524340 OMZ524321:OMZ524340 OWV524321:OWV524340 PGR524321:PGR524340 PQN524321:PQN524340 QAJ524321:QAJ524340 QKF524321:QKF524340 QUB524321:QUB524340 RDX524321:RDX524340 RNT524321:RNT524340 RXP524321:RXP524340 SHL524321:SHL524340 SRH524321:SRH524340 TBD524321:TBD524340 TKZ524321:TKZ524340 TUV524321:TUV524340 UER524321:UER524340 UON524321:UON524340 UYJ524321:UYJ524340 VIF524321:VIF524340 VSB524321:VSB524340 WBX524321:WBX524340 WLT524321:WLT524340 WVP524321:WVP524340 H589857:H589876 JD589857:JD589876 SZ589857:SZ589876 ACV589857:ACV589876 AMR589857:AMR589876 AWN589857:AWN589876 BGJ589857:BGJ589876 BQF589857:BQF589876 CAB589857:CAB589876 CJX589857:CJX589876 CTT589857:CTT589876 DDP589857:DDP589876 DNL589857:DNL589876 DXH589857:DXH589876 EHD589857:EHD589876 EQZ589857:EQZ589876 FAV589857:FAV589876 FKR589857:FKR589876 FUN589857:FUN589876 GEJ589857:GEJ589876 GOF589857:GOF589876 GYB589857:GYB589876 HHX589857:HHX589876 HRT589857:HRT589876 IBP589857:IBP589876 ILL589857:ILL589876 IVH589857:IVH589876 JFD589857:JFD589876 JOZ589857:JOZ589876 JYV589857:JYV589876 KIR589857:KIR589876 KSN589857:KSN589876 LCJ589857:LCJ589876 LMF589857:LMF589876 LWB589857:LWB589876 MFX589857:MFX589876 MPT589857:MPT589876 MZP589857:MZP589876 NJL589857:NJL589876 NTH589857:NTH589876 ODD589857:ODD589876 OMZ589857:OMZ589876 OWV589857:OWV589876 PGR589857:PGR589876 PQN589857:PQN589876 QAJ589857:QAJ589876 QKF589857:QKF589876 QUB589857:QUB589876 RDX589857:RDX589876 RNT589857:RNT589876 RXP589857:RXP589876 SHL589857:SHL589876 SRH589857:SRH589876 TBD589857:TBD589876 TKZ589857:TKZ589876 TUV589857:TUV589876 UER589857:UER589876 UON589857:UON589876 UYJ589857:UYJ589876 VIF589857:VIF589876 VSB589857:VSB589876 WBX589857:WBX589876 WLT589857:WLT589876 WVP589857:WVP589876 H655393:H655412 JD655393:JD655412 SZ655393:SZ655412 ACV655393:ACV655412 AMR655393:AMR655412 AWN655393:AWN655412 BGJ655393:BGJ655412 BQF655393:BQF655412 CAB655393:CAB655412 CJX655393:CJX655412 CTT655393:CTT655412 DDP655393:DDP655412 DNL655393:DNL655412 DXH655393:DXH655412 EHD655393:EHD655412 EQZ655393:EQZ655412 FAV655393:FAV655412 FKR655393:FKR655412 FUN655393:FUN655412 GEJ655393:GEJ655412 GOF655393:GOF655412 GYB655393:GYB655412 HHX655393:HHX655412 HRT655393:HRT655412 IBP655393:IBP655412 ILL655393:ILL655412 IVH655393:IVH655412 JFD655393:JFD655412 JOZ655393:JOZ655412 JYV655393:JYV655412 KIR655393:KIR655412 KSN655393:KSN655412 LCJ655393:LCJ655412 LMF655393:LMF655412 LWB655393:LWB655412 MFX655393:MFX655412 MPT655393:MPT655412 MZP655393:MZP655412 NJL655393:NJL655412 NTH655393:NTH655412 ODD655393:ODD655412 OMZ655393:OMZ655412 OWV655393:OWV655412 PGR655393:PGR655412 PQN655393:PQN655412 QAJ655393:QAJ655412 QKF655393:QKF655412 QUB655393:QUB655412 RDX655393:RDX655412 RNT655393:RNT655412 RXP655393:RXP655412 SHL655393:SHL655412 SRH655393:SRH655412 TBD655393:TBD655412 TKZ655393:TKZ655412 TUV655393:TUV655412 UER655393:UER655412 UON655393:UON655412 UYJ655393:UYJ655412 VIF655393:VIF655412 VSB655393:VSB655412 WBX655393:WBX655412 WLT655393:WLT655412 WVP655393:WVP655412 H720929:H720948 JD720929:JD720948 SZ720929:SZ720948 ACV720929:ACV720948 AMR720929:AMR720948 AWN720929:AWN720948 BGJ720929:BGJ720948 BQF720929:BQF720948 CAB720929:CAB720948 CJX720929:CJX720948 CTT720929:CTT720948 DDP720929:DDP720948 DNL720929:DNL720948 DXH720929:DXH720948 EHD720929:EHD720948 EQZ720929:EQZ720948 FAV720929:FAV720948 FKR720929:FKR720948 FUN720929:FUN720948 GEJ720929:GEJ720948 GOF720929:GOF720948 GYB720929:GYB720948 HHX720929:HHX720948 HRT720929:HRT720948 IBP720929:IBP720948 ILL720929:ILL720948 IVH720929:IVH720948 JFD720929:JFD720948 JOZ720929:JOZ720948 JYV720929:JYV720948 KIR720929:KIR720948 KSN720929:KSN720948 LCJ720929:LCJ720948 LMF720929:LMF720948 LWB720929:LWB720948 MFX720929:MFX720948 MPT720929:MPT720948 MZP720929:MZP720948 NJL720929:NJL720948 NTH720929:NTH720948 ODD720929:ODD720948 OMZ720929:OMZ720948 OWV720929:OWV720948 PGR720929:PGR720948 PQN720929:PQN720948 QAJ720929:QAJ720948 QKF720929:QKF720948 QUB720929:QUB720948 RDX720929:RDX720948 RNT720929:RNT720948 RXP720929:RXP720948 SHL720929:SHL720948 SRH720929:SRH720948 TBD720929:TBD720948 TKZ720929:TKZ720948 TUV720929:TUV720948 UER720929:UER720948 UON720929:UON720948 UYJ720929:UYJ720948 VIF720929:VIF720948 VSB720929:VSB720948 WBX720929:WBX720948 WLT720929:WLT720948 WVP720929:WVP720948 H786465:H786484 JD786465:JD786484 SZ786465:SZ786484 ACV786465:ACV786484 AMR786465:AMR786484 AWN786465:AWN786484 BGJ786465:BGJ786484 BQF786465:BQF786484 CAB786465:CAB786484 CJX786465:CJX786484 CTT786465:CTT786484 DDP786465:DDP786484 DNL786465:DNL786484 DXH786465:DXH786484 EHD786465:EHD786484 EQZ786465:EQZ786484 FAV786465:FAV786484 FKR786465:FKR786484 FUN786465:FUN786484 GEJ786465:GEJ786484 GOF786465:GOF786484 GYB786465:GYB786484 HHX786465:HHX786484 HRT786465:HRT786484 IBP786465:IBP786484 ILL786465:ILL786484 IVH786465:IVH786484 JFD786465:JFD786484 JOZ786465:JOZ786484 JYV786465:JYV786484 KIR786465:KIR786484 KSN786465:KSN786484 LCJ786465:LCJ786484 LMF786465:LMF786484 LWB786465:LWB786484 MFX786465:MFX786484 MPT786465:MPT786484 MZP786465:MZP786484 NJL786465:NJL786484 NTH786465:NTH786484 ODD786465:ODD786484 OMZ786465:OMZ786484 OWV786465:OWV786484 PGR786465:PGR786484 PQN786465:PQN786484 QAJ786465:QAJ786484 QKF786465:QKF786484 QUB786465:QUB786484 RDX786465:RDX786484 RNT786465:RNT786484 RXP786465:RXP786484 SHL786465:SHL786484 SRH786465:SRH786484 TBD786465:TBD786484 TKZ786465:TKZ786484 TUV786465:TUV786484 UER786465:UER786484 UON786465:UON786484 UYJ786465:UYJ786484 VIF786465:VIF786484 VSB786465:VSB786484 WBX786465:WBX786484 WLT786465:WLT786484 WVP786465:WVP786484 H852001:H852020 JD852001:JD852020 SZ852001:SZ852020 ACV852001:ACV852020 AMR852001:AMR852020 AWN852001:AWN852020 BGJ852001:BGJ852020 BQF852001:BQF852020 CAB852001:CAB852020 CJX852001:CJX852020 CTT852001:CTT852020 DDP852001:DDP852020 DNL852001:DNL852020 DXH852001:DXH852020 EHD852001:EHD852020 EQZ852001:EQZ852020 FAV852001:FAV852020 FKR852001:FKR852020 FUN852001:FUN852020 GEJ852001:GEJ852020 GOF852001:GOF852020 GYB852001:GYB852020 HHX852001:HHX852020 HRT852001:HRT852020 IBP852001:IBP852020 ILL852001:ILL852020 IVH852001:IVH852020 JFD852001:JFD852020 JOZ852001:JOZ852020 JYV852001:JYV852020 KIR852001:KIR852020 KSN852001:KSN852020 LCJ852001:LCJ852020 LMF852001:LMF852020 LWB852001:LWB852020 MFX852001:MFX852020 MPT852001:MPT852020 MZP852001:MZP852020 NJL852001:NJL852020 NTH852001:NTH852020 ODD852001:ODD852020 OMZ852001:OMZ852020 OWV852001:OWV852020 PGR852001:PGR852020 PQN852001:PQN852020 QAJ852001:QAJ852020 QKF852001:QKF852020 QUB852001:QUB852020 RDX852001:RDX852020 RNT852001:RNT852020 RXP852001:RXP852020 SHL852001:SHL852020 SRH852001:SRH852020 TBD852001:TBD852020 TKZ852001:TKZ852020 TUV852001:TUV852020 UER852001:UER852020 UON852001:UON852020 UYJ852001:UYJ852020 VIF852001:VIF852020 VSB852001:VSB852020 WBX852001:WBX852020 WLT852001:WLT852020 WVP852001:WVP852020 H917537:H917556 JD917537:JD917556 SZ917537:SZ917556 ACV917537:ACV917556 AMR917537:AMR917556 AWN917537:AWN917556 BGJ917537:BGJ917556 BQF917537:BQF917556 CAB917537:CAB917556 CJX917537:CJX917556 CTT917537:CTT917556 DDP917537:DDP917556 DNL917537:DNL917556 DXH917537:DXH917556 EHD917537:EHD917556 EQZ917537:EQZ917556 FAV917537:FAV917556 FKR917537:FKR917556 FUN917537:FUN917556 GEJ917537:GEJ917556 GOF917537:GOF917556 GYB917537:GYB917556 HHX917537:HHX917556 HRT917537:HRT917556 IBP917537:IBP917556 ILL917537:ILL917556 IVH917537:IVH917556 JFD917537:JFD917556 JOZ917537:JOZ917556 JYV917537:JYV917556 KIR917537:KIR917556 KSN917537:KSN917556 LCJ917537:LCJ917556 LMF917537:LMF917556 LWB917537:LWB917556 MFX917537:MFX917556 MPT917537:MPT917556 MZP917537:MZP917556 NJL917537:NJL917556 NTH917537:NTH917556 ODD917537:ODD917556 OMZ917537:OMZ917556 OWV917537:OWV917556 PGR917537:PGR917556 PQN917537:PQN917556 QAJ917537:QAJ917556 QKF917537:QKF917556 QUB917537:QUB917556 RDX917537:RDX917556 RNT917537:RNT917556 RXP917537:RXP917556 SHL917537:SHL917556 SRH917537:SRH917556 TBD917537:TBD917556 TKZ917537:TKZ917556 TUV917537:TUV917556 UER917537:UER917556 UON917537:UON917556 UYJ917537:UYJ917556 VIF917537:VIF917556 VSB917537:VSB917556 WBX917537:WBX917556 WLT917537:WLT917556 WVP917537:WVP917556 H983073:H983092 JD983073:JD983092 SZ983073:SZ983092 ACV983073:ACV983092 AMR983073:AMR983092 AWN983073:AWN983092 BGJ983073:BGJ983092 BQF983073:BQF983092 CAB983073:CAB983092 CJX983073:CJX983092 CTT983073:CTT983092 DDP983073:DDP983092 DNL983073:DNL983092 DXH983073:DXH983092 EHD983073:EHD983092 EQZ983073:EQZ983092 FAV983073:FAV983092 FKR983073:FKR983092 FUN983073:FUN983092 GEJ983073:GEJ983092 GOF983073:GOF983092 GYB983073:GYB983092 HHX983073:HHX983092 HRT983073:HRT983092 IBP983073:IBP983092 ILL983073:ILL983092 IVH983073:IVH983092 JFD983073:JFD983092 JOZ983073:JOZ983092 JYV983073:JYV983092 KIR983073:KIR983092 KSN983073:KSN983092 LCJ983073:LCJ983092 LMF983073:LMF983092 LWB983073:LWB983092 MFX983073:MFX983092 MPT983073:MPT983092 MZP983073:MZP983092 NJL983073:NJL983092 NTH983073:NTH983092 ODD983073:ODD983092 OMZ983073:OMZ983092 OWV983073:OWV983092 PGR983073:PGR983092 PQN983073:PQN983092 QAJ983073:QAJ983092 QKF983073:QKF983092 QUB983073:QUB983092 RDX983073:RDX983092 RNT983073:RNT983092 RXP983073:RXP983092 SHL983073:SHL983092 SRH983073:SRH983092 TBD983073:TBD983092 TKZ983073:TKZ983092 TUV983073:TUV983092 UER983073:UER983092 UON983073:UON983092 UYJ983073:UYJ983092 VIF983073:VIF983092 VSB983073:VSB983092 WBX983073:WBX983092 WLT983073:WLT983092">
      <formula1>$N$53:$N$55</formula1>
    </dataValidation>
  </dataValidations>
  <hyperlinks>
    <hyperlink ref="A1" location="'Table Of Contents'!A1" display="TOC"/>
  </hyperlinks>
  <pageMargins left="0.25" right="0.25" top="0.75" bottom="0.75" header="0.3" footer="0.3"/>
  <pageSetup scale="47" fitToHeight="0" orientation="portrait" r:id="rId1"/>
  <headerFooter alignWithMargins="0"/>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FF00"/>
  </sheetPr>
  <dimension ref="A1:BZ181"/>
  <sheetViews>
    <sheetView showGridLines="0" view="pageBreakPreview" zoomScaleNormal="100" zoomScaleSheetLayoutView="100" zoomScalePageLayoutView="40" workbookViewId="0">
      <selection activeCell="B1" sqref="B1"/>
    </sheetView>
  </sheetViews>
  <sheetFormatPr defaultRowHeight="12.75"/>
  <cols>
    <col min="1" max="1" width="9.140625" style="1439" customWidth="1"/>
    <col min="2" max="2" width="20" style="953" customWidth="1"/>
    <col min="3" max="3" width="9.7109375" style="953" customWidth="1"/>
    <col min="4" max="4" width="14.42578125" style="953" customWidth="1"/>
    <col min="5" max="5" width="12.42578125" style="953" customWidth="1"/>
    <col min="6" max="7" width="11.140625" style="953" customWidth="1"/>
    <col min="8" max="8" width="26.28515625" style="953" customWidth="1"/>
    <col min="9" max="9" width="15.5703125" style="953" customWidth="1"/>
    <col min="10" max="11" width="11" style="953" customWidth="1"/>
    <col min="12" max="12" width="18" style="953" customWidth="1"/>
    <col min="13" max="13" width="18.5703125" style="953" customWidth="1"/>
    <col min="14" max="14" width="18.5703125" style="1439" customWidth="1"/>
    <col min="15" max="15" width="9.140625" style="1439"/>
    <col min="16" max="16" width="9.140625" style="1439" hidden="1" customWidth="1"/>
    <col min="17" max="78" width="9.140625" style="1439"/>
    <col min="79" max="256" width="9.140625" style="953"/>
    <col min="257" max="257" width="9.140625" style="953" customWidth="1"/>
    <col min="258" max="258" width="20" style="953" customWidth="1"/>
    <col min="259" max="259" width="9.7109375" style="953" customWidth="1"/>
    <col min="260" max="260" width="14.42578125" style="953" customWidth="1"/>
    <col min="261" max="261" width="12.42578125" style="953" customWidth="1"/>
    <col min="262" max="263" width="11.140625" style="953" customWidth="1"/>
    <col min="264" max="264" width="26.28515625" style="953" customWidth="1"/>
    <col min="265" max="265" width="15.5703125" style="953" customWidth="1"/>
    <col min="266" max="267" width="11" style="953" customWidth="1"/>
    <col min="268" max="268" width="18" style="953" customWidth="1"/>
    <col min="269" max="270" width="18.5703125" style="953" customWidth="1"/>
    <col min="271" max="271" width="9.140625" style="953"/>
    <col min="272" max="272" width="0" style="953" hidden="1" customWidth="1"/>
    <col min="273" max="512" width="9.140625" style="953"/>
    <col min="513" max="513" width="9.140625" style="953" customWidth="1"/>
    <col min="514" max="514" width="20" style="953" customWidth="1"/>
    <col min="515" max="515" width="9.7109375" style="953" customWidth="1"/>
    <col min="516" max="516" width="14.42578125" style="953" customWidth="1"/>
    <col min="517" max="517" width="12.42578125" style="953" customWidth="1"/>
    <col min="518" max="519" width="11.140625" style="953" customWidth="1"/>
    <col min="520" max="520" width="26.28515625" style="953" customWidth="1"/>
    <col min="521" max="521" width="15.5703125" style="953" customWidth="1"/>
    <col min="522" max="523" width="11" style="953" customWidth="1"/>
    <col min="524" max="524" width="18" style="953" customWidth="1"/>
    <col min="525" max="526" width="18.5703125" style="953" customWidth="1"/>
    <col min="527" max="527" width="9.140625" style="953"/>
    <col min="528" max="528" width="0" style="953" hidden="1" customWidth="1"/>
    <col min="529" max="768" width="9.140625" style="953"/>
    <col min="769" max="769" width="9.140625" style="953" customWidth="1"/>
    <col min="770" max="770" width="20" style="953" customWidth="1"/>
    <col min="771" max="771" width="9.7109375" style="953" customWidth="1"/>
    <col min="772" max="772" width="14.42578125" style="953" customWidth="1"/>
    <col min="773" max="773" width="12.42578125" style="953" customWidth="1"/>
    <col min="774" max="775" width="11.140625" style="953" customWidth="1"/>
    <col min="776" max="776" width="26.28515625" style="953" customWidth="1"/>
    <col min="777" max="777" width="15.5703125" style="953" customWidth="1"/>
    <col min="778" max="779" width="11" style="953" customWidth="1"/>
    <col min="780" max="780" width="18" style="953" customWidth="1"/>
    <col min="781" max="782" width="18.5703125" style="953" customWidth="1"/>
    <col min="783" max="783" width="9.140625" style="953"/>
    <col min="784" max="784" width="0" style="953" hidden="1" customWidth="1"/>
    <col min="785" max="1024" width="9.140625" style="953"/>
    <col min="1025" max="1025" width="9.140625" style="953" customWidth="1"/>
    <col min="1026" max="1026" width="20" style="953" customWidth="1"/>
    <col min="1027" max="1027" width="9.7109375" style="953" customWidth="1"/>
    <col min="1028" max="1028" width="14.42578125" style="953" customWidth="1"/>
    <col min="1029" max="1029" width="12.42578125" style="953" customWidth="1"/>
    <col min="1030" max="1031" width="11.140625" style="953" customWidth="1"/>
    <col min="1032" max="1032" width="26.28515625" style="953" customWidth="1"/>
    <col min="1033" max="1033" width="15.5703125" style="953" customWidth="1"/>
    <col min="1034" max="1035" width="11" style="953" customWidth="1"/>
    <col min="1036" max="1036" width="18" style="953" customWidth="1"/>
    <col min="1037" max="1038" width="18.5703125" style="953" customWidth="1"/>
    <col min="1039" max="1039" width="9.140625" style="953"/>
    <col min="1040" max="1040" width="0" style="953" hidden="1" customWidth="1"/>
    <col min="1041" max="1280" width="9.140625" style="953"/>
    <col min="1281" max="1281" width="9.140625" style="953" customWidth="1"/>
    <col min="1282" max="1282" width="20" style="953" customWidth="1"/>
    <col min="1283" max="1283" width="9.7109375" style="953" customWidth="1"/>
    <col min="1284" max="1284" width="14.42578125" style="953" customWidth="1"/>
    <col min="1285" max="1285" width="12.42578125" style="953" customWidth="1"/>
    <col min="1286" max="1287" width="11.140625" style="953" customWidth="1"/>
    <col min="1288" max="1288" width="26.28515625" style="953" customWidth="1"/>
    <col min="1289" max="1289" width="15.5703125" style="953" customWidth="1"/>
    <col min="1290" max="1291" width="11" style="953" customWidth="1"/>
    <col min="1292" max="1292" width="18" style="953" customWidth="1"/>
    <col min="1293" max="1294" width="18.5703125" style="953" customWidth="1"/>
    <col min="1295" max="1295" width="9.140625" style="953"/>
    <col min="1296" max="1296" width="0" style="953" hidden="1" customWidth="1"/>
    <col min="1297" max="1536" width="9.140625" style="953"/>
    <col min="1537" max="1537" width="9.140625" style="953" customWidth="1"/>
    <col min="1538" max="1538" width="20" style="953" customWidth="1"/>
    <col min="1539" max="1539" width="9.7109375" style="953" customWidth="1"/>
    <col min="1540" max="1540" width="14.42578125" style="953" customWidth="1"/>
    <col min="1541" max="1541" width="12.42578125" style="953" customWidth="1"/>
    <col min="1542" max="1543" width="11.140625" style="953" customWidth="1"/>
    <col min="1544" max="1544" width="26.28515625" style="953" customWidth="1"/>
    <col min="1545" max="1545" width="15.5703125" style="953" customWidth="1"/>
    <col min="1546" max="1547" width="11" style="953" customWidth="1"/>
    <col min="1548" max="1548" width="18" style="953" customWidth="1"/>
    <col min="1549" max="1550" width="18.5703125" style="953" customWidth="1"/>
    <col min="1551" max="1551" width="9.140625" style="953"/>
    <col min="1552" max="1552" width="0" style="953" hidden="1" customWidth="1"/>
    <col min="1553" max="1792" width="9.140625" style="953"/>
    <col min="1793" max="1793" width="9.140625" style="953" customWidth="1"/>
    <col min="1794" max="1794" width="20" style="953" customWidth="1"/>
    <col min="1795" max="1795" width="9.7109375" style="953" customWidth="1"/>
    <col min="1796" max="1796" width="14.42578125" style="953" customWidth="1"/>
    <col min="1797" max="1797" width="12.42578125" style="953" customWidth="1"/>
    <col min="1798" max="1799" width="11.140625" style="953" customWidth="1"/>
    <col min="1800" max="1800" width="26.28515625" style="953" customWidth="1"/>
    <col min="1801" max="1801" width="15.5703125" style="953" customWidth="1"/>
    <col min="1802" max="1803" width="11" style="953" customWidth="1"/>
    <col min="1804" max="1804" width="18" style="953" customWidth="1"/>
    <col min="1805" max="1806" width="18.5703125" style="953" customWidth="1"/>
    <col min="1807" max="1807" width="9.140625" style="953"/>
    <col min="1808" max="1808" width="0" style="953" hidden="1" customWidth="1"/>
    <col min="1809" max="2048" width="9.140625" style="953"/>
    <col min="2049" max="2049" width="9.140625" style="953" customWidth="1"/>
    <col min="2050" max="2050" width="20" style="953" customWidth="1"/>
    <col min="2051" max="2051" width="9.7109375" style="953" customWidth="1"/>
    <col min="2052" max="2052" width="14.42578125" style="953" customWidth="1"/>
    <col min="2053" max="2053" width="12.42578125" style="953" customWidth="1"/>
    <col min="2054" max="2055" width="11.140625" style="953" customWidth="1"/>
    <col min="2056" max="2056" width="26.28515625" style="953" customWidth="1"/>
    <col min="2057" max="2057" width="15.5703125" style="953" customWidth="1"/>
    <col min="2058" max="2059" width="11" style="953" customWidth="1"/>
    <col min="2060" max="2060" width="18" style="953" customWidth="1"/>
    <col min="2061" max="2062" width="18.5703125" style="953" customWidth="1"/>
    <col min="2063" max="2063" width="9.140625" style="953"/>
    <col min="2064" max="2064" width="0" style="953" hidden="1" customWidth="1"/>
    <col min="2065" max="2304" width="9.140625" style="953"/>
    <col min="2305" max="2305" width="9.140625" style="953" customWidth="1"/>
    <col min="2306" max="2306" width="20" style="953" customWidth="1"/>
    <col min="2307" max="2307" width="9.7109375" style="953" customWidth="1"/>
    <col min="2308" max="2308" width="14.42578125" style="953" customWidth="1"/>
    <col min="2309" max="2309" width="12.42578125" style="953" customWidth="1"/>
    <col min="2310" max="2311" width="11.140625" style="953" customWidth="1"/>
    <col min="2312" max="2312" width="26.28515625" style="953" customWidth="1"/>
    <col min="2313" max="2313" width="15.5703125" style="953" customWidth="1"/>
    <col min="2314" max="2315" width="11" style="953" customWidth="1"/>
    <col min="2316" max="2316" width="18" style="953" customWidth="1"/>
    <col min="2317" max="2318" width="18.5703125" style="953" customWidth="1"/>
    <col min="2319" max="2319" width="9.140625" style="953"/>
    <col min="2320" max="2320" width="0" style="953" hidden="1" customWidth="1"/>
    <col min="2321" max="2560" width="9.140625" style="953"/>
    <col min="2561" max="2561" width="9.140625" style="953" customWidth="1"/>
    <col min="2562" max="2562" width="20" style="953" customWidth="1"/>
    <col min="2563" max="2563" width="9.7109375" style="953" customWidth="1"/>
    <col min="2564" max="2564" width="14.42578125" style="953" customWidth="1"/>
    <col min="2565" max="2565" width="12.42578125" style="953" customWidth="1"/>
    <col min="2566" max="2567" width="11.140625" style="953" customWidth="1"/>
    <col min="2568" max="2568" width="26.28515625" style="953" customWidth="1"/>
    <col min="2569" max="2569" width="15.5703125" style="953" customWidth="1"/>
    <col min="2570" max="2571" width="11" style="953" customWidth="1"/>
    <col min="2572" max="2572" width="18" style="953" customWidth="1"/>
    <col min="2573" max="2574" width="18.5703125" style="953" customWidth="1"/>
    <col min="2575" max="2575" width="9.140625" style="953"/>
    <col min="2576" max="2576" width="0" style="953" hidden="1" customWidth="1"/>
    <col min="2577" max="2816" width="9.140625" style="953"/>
    <col min="2817" max="2817" width="9.140625" style="953" customWidth="1"/>
    <col min="2818" max="2818" width="20" style="953" customWidth="1"/>
    <col min="2819" max="2819" width="9.7109375" style="953" customWidth="1"/>
    <col min="2820" max="2820" width="14.42578125" style="953" customWidth="1"/>
    <col min="2821" max="2821" width="12.42578125" style="953" customWidth="1"/>
    <col min="2822" max="2823" width="11.140625" style="953" customWidth="1"/>
    <col min="2824" max="2824" width="26.28515625" style="953" customWidth="1"/>
    <col min="2825" max="2825" width="15.5703125" style="953" customWidth="1"/>
    <col min="2826" max="2827" width="11" style="953" customWidth="1"/>
    <col min="2828" max="2828" width="18" style="953" customWidth="1"/>
    <col min="2829" max="2830" width="18.5703125" style="953" customWidth="1"/>
    <col min="2831" max="2831" width="9.140625" style="953"/>
    <col min="2832" max="2832" width="0" style="953" hidden="1" customWidth="1"/>
    <col min="2833" max="3072" width="9.140625" style="953"/>
    <col min="3073" max="3073" width="9.140625" style="953" customWidth="1"/>
    <col min="3074" max="3074" width="20" style="953" customWidth="1"/>
    <col min="3075" max="3075" width="9.7109375" style="953" customWidth="1"/>
    <col min="3076" max="3076" width="14.42578125" style="953" customWidth="1"/>
    <col min="3077" max="3077" width="12.42578125" style="953" customWidth="1"/>
    <col min="3078" max="3079" width="11.140625" style="953" customWidth="1"/>
    <col min="3080" max="3080" width="26.28515625" style="953" customWidth="1"/>
    <col min="3081" max="3081" width="15.5703125" style="953" customWidth="1"/>
    <col min="3082" max="3083" width="11" style="953" customWidth="1"/>
    <col min="3084" max="3084" width="18" style="953" customWidth="1"/>
    <col min="3085" max="3086" width="18.5703125" style="953" customWidth="1"/>
    <col min="3087" max="3087" width="9.140625" style="953"/>
    <col min="3088" max="3088" width="0" style="953" hidden="1" customWidth="1"/>
    <col min="3089" max="3328" width="9.140625" style="953"/>
    <col min="3329" max="3329" width="9.140625" style="953" customWidth="1"/>
    <col min="3330" max="3330" width="20" style="953" customWidth="1"/>
    <col min="3331" max="3331" width="9.7109375" style="953" customWidth="1"/>
    <col min="3332" max="3332" width="14.42578125" style="953" customWidth="1"/>
    <col min="3333" max="3333" width="12.42578125" style="953" customWidth="1"/>
    <col min="3334" max="3335" width="11.140625" style="953" customWidth="1"/>
    <col min="3336" max="3336" width="26.28515625" style="953" customWidth="1"/>
    <col min="3337" max="3337" width="15.5703125" style="953" customWidth="1"/>
    <col min="3338" max="3339" width="11" style="953" customWidth="1"/>
    <col min="3340" max="3340" width="18" style="953" customWidth="1"/>
    <col min="3341" max="3342" width="18.5703125" style="953" customWidth="1"/>
    <col min="3343" max="3343" width="9.140625" style="953"/>
    <col min="3344" max="3344" width="0" style="953" hidden="1" customWidth="1"/>
    <col min="3345" max="3584" width="9.140625" style="953"/>
    <col min="3585" max="3585" width="9.140625" style="953" customWidth="1"/>
    <col min="3586" max="3586" width="20" style="953" customWidth="1"/>
    <col min="3587" max="3587" width="9.7109375" style="953" customWidth="1"/>
    <col min="3588" max="3588" width="14.42578125" style="953" customWidth="1"/>
    <col min="3589" max="3589" width="12.42578125" style="953" customWidth="1"/>
    <col min="3590" max="3591" width="11.140625" style="953" customWidth="1"/>
    <col min="3592" max="3592" width="26.28515625" style="953" customWidth="1"/>
    <col min="3593" max="3593" width="15.5703125" style="953" customWidth="1"/>
    <col min="3594" max="3595" width="11" style="953" customWidth="1"/>
    <col min="3596" max="3596" width="18" style="953" customWidth="1"/>
    <col min="3597" max="3598" width="18.5703125" style="953" customWidth="1"/>
    <col min="3599" max="3599" width="9.140625" style="953"/>
    <col min="3600" max="3600" width="0" style="953" hidden="1" customWidth="1"/>
    <col min="3601" max="3840" width="9.140625" style="953"/>
    <col min="3841" max="3841" width="9.140625" style="953" customWidth="1"/>
    <col min="3842" max="3842" width="20" style="953" customWidth="1"/>
    <col min="3843" max="3843" width="9.7109375" style="953" customWidth="1"/>
    <col min="3844" max="3844" width="14.42578125" style="953" customWidth="1"/>
    <col min="3845" max="3845" width="12.42578125" style="953" customWidth="1"/>
    <col min="3846" max="3847" width="11.140625" style="953" customWidth="1"/>
    <col min="3848" max="3848" width="26.28515625" style="953" customWidth="1"/>
    <col min="3849" max="3849" width="15.5703125" style="953" customWidth="1"/>
    <col min="3850" max="3851" width="11" style="953" customWidth="1"/>
    <col min="3852" max="3852" width="18" style="953" customWidth="1"/>
    <col min="3853" max="3854" width="18.5703125" style="953" customWidth="1"/>
    <col min="3855" max="3855" width="9.140625" style="953"/>
    <col min="3856" max="3856" width="0" style="953" hidden="1" customWidth="1"/>
    <col min="3857" max="4096" width="9.140625" style="953"/>
    <col min="4097" max="4097" width="9.140625" style="953" customWidth="1"/>
    <col min="4098" max="4098" width="20" style="953" customWidth="1"/>
    <col min="4099" max="4099" width="9.7109375" style="953" customWidth="1"/>
    <col min="4100" max="4100" width="14.42578125" style="953" customWidth="1"/>
    <col min="4101" max="4101" width="12.42578125" style="953" customWidth="1"/>
    <col min="4102" max="4103" width="11.140625" style="953" customWidth="1"/>
    <col min="4104" max="4104" width="26.28515625" style="953" customWidth="1"/>
    <col min="4105" max="4105" width="15.5703125" style="953" customWidth="1"/>
    <col min="4106" max="4107" width="11" style="953" customWidth="1"/>
    <col min="4108" max="4108" width="18" style="953" customWidth="1"/>
    <col min="4109" max="4110" width="18.5703125" style="953" customWidth="1"/>
    <col min="4111" max="4111" width="9.140625" style="953"/>
    <col min="4112" max="4112" width="0" style="953" hidden="1" customWidth="1"/>
    <col min="4113" max="4352" width="9.140625" style="953"/>
    <col min="4353" max="4353" width="9.140625" style="953" customWidth="1"/>
    <col min="4354" max="4354" width="20" style="953" customWidth="1"/>
    <col min="4355" max="4355" width="9.7109375" style="953" customWidth="1"/>
    <col min="4356" max="4356" width="14.42578125" style="953" customWidth="1"/>
    <col min="4357" max="4357" width="12.42578125" style="953" customWidth="1"/>
    <col min="4358" max="4359" width="11.140625" style="953" customWidth="1"/>
    <col min="4360" max="4360" width="26.28515625" style="953" customWidth="1"/>
    <col min="4361" max="4361" width="15.5703125" style="953" customWidth="1"/>
    <col min="4362" max="4363" width="11" style="953" customWidth="1"/>
    <col min="4364" max="4364" width="18" style="953" customWidth="1"/>
    <col min="4365" max="4366" width="18.5703125" style="953" customWidth="1"/>
    <col min="4367" max="4367" width="9.140625" style="953"/>
    <col min="4368" max="4368" width="0" style="953" hidden="1" customWidth="1"/>
    <col min="4369" max="4608" width="9.140625" style="953"/>
    <col min="4609" max="4609" width="9.140625" style="953" customWidth="1"/>
    <col min="4610" max="4610" width="20" style="953" customWidth="1"/>
    <col min="4611" max="4611" width="9.7109375" style="953" customWidth="1"/>
    <col min="4612" max="4612" width="14.42578125" style="953" customWidth="1"/>
    <col min="4613" max="4613" width="12.42578125" style="953" customWidth="1"/>
    <col min="4614" max="4615" width="11.140625" style="953" customWidth="1"/>
    <col min="4616" max="4616" width="26.28515625" style="953" customWidth="1"/>
    <col min="4617" max="4617" width="15.5703125" style="953" customWidth="1"/>
    <col min="4618" max="4619" width="11" style="953" customWidth="1"/>
    <col min="4620" max="4620" width="18" style="953" customWidth="1"/>
    <col min="4621" max="4622" width="18.5703125" style="953" customWidth="1"/>
    <col min="4623" max="4623" width="9.140625" style="953"/>
    <col min="4624" max="4624" width="0" style="953" hidden="1" customWidth="1"/>
    <col min="4625" max="4864" width="9.140625" style="953"/>
    <col min="4865" max="4865" width="9.140625" style="953" customWidth="1"/>
    <col min="4866" max="4866" width="20" style="953" customWidth="1"/>
    <col min="4867" max="4867" width="9.7109375" style="953" customWidth="1"/>
    <col min="4868" max="4868" width="14.42578125" style="953" customWidth="1"/>
    <col min="4869" max="4869" width="12.42578125" style="953" customWidth="1"/>
    <col min="4870" max="4871" width="11.140625" style="953" customWidth="1"/>
    <col min="4872" max="4872" width="26.28515625" style="953" customWidth="1"/>
    <col min="4873" max="4873" width="15.5703125" style="953" customWidth="1"/>
    <col min="4874" max="4875" width="11" style="953" customWidth="1"/>
    <col min="4876" max="4876" width="18" style="953" customWidth="1"/>
    <col min="4877" max="4878" width="18.5703125" style="953" customWidth="1"/>
    <col min="4879" max="4879" width="9.140625" style="953"/>
    <col min="4880" max="4880" width="0" style="953" hidden="1" customWidth="1"/>
    <col min="4881" max="5120" width="9.140625" style="953"/>
    <col min="5121" max="5121" width="9.140625" style="953" customWidth="1"/>
    <col min="5122" max="5122" width="20" style="953" customWidth="1"/>
    <col min="5123" max="5123" width="9.7109375" style="953" customWidth="1"/>
    <col min="5124" max="5124" width="14.42578125" style="953" customWidth="1"/>
    <col min="5125" max="5125" width="12.42578125" style="953" customWidth="1"/>
    <col min="5126" max="5127" width="11.140625" style="953" customWidth="1"/>
    <col min="5128" max="5128" width="26.28515625" style="953" customWidth="1"/>
    <col min="5129" max="5129" width="15.5703125" style="953" customWidth="1"/>
    <col min="5130" max="5131" width="11" style="953" customWidth="1"/>
    <col min="5132" max="5132" width="18" style="953" customWidth="1"/>
    <col min="5133" max="5134" width="18.5703125" style="953" customWidth="1"/>
    <col min="5135" max="5135" width="9.140625" style="953"/>
    <col min="5136" max="5136" width="0" style="953" hidden="1" customWidth="1"/>
    <col min="5137" max="5376" width="9.140625" style="953"/>
    <col min="5377" max="5377" width="9.140625" style="953" customWidth="1"/>
    <col min="5378" max="5378" width="20" style="953" customWidth="1"/>
    <col min="5379" max="5379" width="9.7109375" style="953" customWidth="1"/>
    <col min="5380" max="5380" width="14.42578125" style="953" customWidth="1"/>
    <col min="5381" max="5381" width="12.42578125" style="953" customWidth="1"/>
    <col min="5382" max="5383" width="11.140625" style="953" customWidth="1"/>
    <col min="5384" max="5384" width="26.28515625" style="953" customWidth="1"/>
    <col min="5385" max="5385" width="15.5703125" style="953" customWidth="1"/>
    <col min="5386" max="5387" width="11" style="953" customWidth="1"/>
    <col min="5388" max="5388" width="18" style="953" customWidth="1"/>
    <col min="5389" max="5390" width="18.5703125" style="953" customWidth="1"/>
    <col min="5391" max="5391" width="9.140625" style="953"/>
    <col min="5392" max="5392" width="0" style="953" hidden="1" customWidth="1"/>
    <col min="5393" max="5632" width="9.140625" style="953"/>
    <col min="5633" max="5633" width="9.140625" style="953" customWidth="1"/>
    <col min="5634" max="5634" width="20" style="953" customWidth="1"/>
    <col min="5635" max="5635" width="9.7109375" style="953" customWidth="1"/>
    <col min="5636" max="5636" width="14.42578125" style="953" customWidth="1"/>
    <col min="5637" max="5637" width="12.42578125" style="953" customWidth="1"/>
    <col min="5638" max="5639" width="11.140625" style="953" customWidth="1"/>
    <col min="5640" max="5640" width="26.28515625" style="953" customWidth="1"/>
    <col min="5641" max="5641" width="15.5703125" style="953" customWidth="1"/>
    <col min="5642" max="5643" width="11" style="953" customWidth="1"/>
    <col min="5644" max="5644" width="18" style="953" customWidth="1"/>
    <col min="5645" max="5646" width="18.5703125" style="953" customWidth="1"/>
    <col min="5647" max="5647" width="9.140625" style="953"/>
    <col min="5648" max="5648" width="0" style="953" hidden="1" customWidth="1"/>
    <col min="5649" max="5888" width="9.140625" style="953"/>
    <col min="5889" max="5889" width="9.140625" style="953" customWidth="1"/>
    <col min="5890" max="5890" width="20" style="953" customWidth="1"/>
    <col min="5891" max="5891" width="9.7109375" style="953" customWidth="1"/>
    <col min="5892" max="5892" width="14.42578125" style="953" customWidth="1"/>
    <col min="5893" max="5893" width="12.42578125" style="953" customWidth="1"/>
    <col min="5894" max="5895" width="11.140625" style="953" customWidth="1"/>
    <col min="5896" max="5896" width="26.28515625" style="953" customWidth="1"/>
    <col min="5897" max="5897" width="15.5703125" style="953" customWidth="1"/>
    <col min="5898" max="5899" width="11" style="953" customWidth="1"/>
    <col min="5900" max="5900" width="18" style="953" customWidth="1"/>
    <col min="5901" max="5902" width="18.5703125" style="953" customWidth="1"/>
    <col min="5903" max="5903" width="9.140625" style="953"/>
    <col min="5904" max="5904" width="0" style="953" hidden="1" customWidth="1"/>
    <col min="5905" max="6144" width="9.140625" style="953"/>
    <col min="6145" max="6145" width="9.140625" style="953" customWidth="1"/>
    <col min="6146" max="6146" width="20" style="953" customWidth="1"/>
    <col min="6147" max="6147" width="9.7109375" style="953" customWidth="1"/>
    <col min="6148" max="6148" width="14.42578125" style="953" customWidth="1"/>
    <col min="6149" max="6149" width="12.42578125" style="953" customWidth="1"/>
    <col min="6150" max="6151" width="11.140625" style="953" customWidth="1"/>
    <col min="6152" max="6152" width="26.28515625" style="953" customWidth="1"/>
    <col min="6153" max="6153" width="15.5703125" style="953" customWidth="1"/>
    <col min="6154" max="6155" width="11" style="953" customWidth="1"/>
    <col min="6156" max="6156" width="18" style="953" customWidth="1"/>
    <col min="6157" max="6158" width="18.5703125" style="953" customWidth="1"/>
    <col min="6159" max="6159" width="9.140625" style="953"/>
    <col min="6160" max="6160" width="0" style="953" hidden="1" customWidth="1"/>
    <col min="6161" max="6400" width="9.140625" style="953"/>
    <col min="6401" max="6401" width="9.140625" style="953" customWidth="1"/>
    <col min="6402" max="6402" width="20" style="953" customWidth="1"/>
    <col min="6403" max="6403" width="9.7109375" style="953" customWidth="1"/>
    <col min="6404" max="6404" width="14.42578125" style="953" customWidth="1"/>
    <col min="6405" max="6405" width="12.42578125" style="953" customWidth="1"/>
    <col min="6406" max="6407" width="11.140625" style="953" customWidth="1"/>
    <col min="6408" max="6408" width="26.28515625" style="953" customWidth="1"/>
    <col min="6409" max="6409" width="15.5703125" style="953" customWidth="1"/>
    <col min="6410" max="6411" width="11" style="953" customWidth="1"/>
    <col min="6412" max="6412" width="18" style="953" customWidth="1"/>
    <col min="6413" max="6414" width="18.5703125" style="953" customWidth="1"/>
    <col min="6415" max="6415" width="9.140625" style="953"/>
    <col min="6416" max="6416" width="0" style="953" hidden="1" customWidth="1"/>
    <col min="6417" max="6656" width="9.140625" style="953"/>
    <col min="6657" max="6657" width="9.140625" style="953" customWidth="1"/>
    <col min="6658" max="6658" width="20" style="953" customWidth="1"/>
    <col min="6659" max="6659" width="9.7109375" style="953" customWidth="1"/>
    <col min="6660" max="6660" width="14.42578125" style="953" customWidth="1"/>
    <col min="6661" max="6661" width="12.42578125" style="953" customWidth="1"/>
    <col min="6662" max="6663" width="11.140625" style="953" customWidth="1"/>
    <col min="6664" max="6664" width="26.28515625" style="953" customWidth="1"/>
    <col min="6665" max="6665" width="15.5703125" style="953" customWidth="1"/>
    <col min="6666" max="6667" width="11" style="953" customWidth="1"/>
    <col min="6668" max="6668" width="18" style="953" customWidth="1"/>
    <col min="6669" max="6670" width="18.5703125" style="953" customWidth="1"/>
    <col min="6671" max="6671" width="9.140625" style="953"/>
    <col min="6672" max="6672" width="0" style="953" hidden="1" customWidth="1"/>
    <col min="6673" max="6912" width="9.140625" style="953"/>
    <col min="6913" max="6913" width="9.140625" style="953" customWidth="1"/>
    <col min="6914" max="6914" width="20" style="953" customWidth="1"/>
    <col min="6915" max="6915" width="9.7109375" style="953" customWidth="1"/>
    <col min="6916" max="6916" width="14.42578125" style="953" customWidth="1"/>
    <col min="6917" max="6917" width="12.42578125" style="953" customWidth="1"/>
    <col min="6918" max="6919" width="11.140625" style="953" customWidth="1"/>
    <col min="6920" max="6920" width="26.28515625" style="953" customWidth="1"/>
    <col min="6921" max="6921" width="15.5703125" style="953" customWidth="1"/>
    <col min="6922" max="6923" width="11" style="953" customWidth="1"/>
    <col min="6924" max="6924" width="18" style="953" customWidth="1"/>
    <col min="6925" max="6926" width="18.5703125" style="953" customWidth="1"/>
    <col min="6927" max="6927" width="9.140625" style="953"/>
    <col min="6928" max="6928" width="0" style="953" hidden="1" customWidth="1"/>
    <col min="6929" max="7168" width="9.140625" style="953"/>
    <col min="7169" max="7169" width="9.140625" style="953" customWidth="1"/>
    <col min="7170" max="7170" width="20" style="953" customWidth="1"/>
    <col min="7171" max="7171" width="9.7109375" style="953" customWidth="1"/>
    <col min="7172" max="7172" width="14.42578125" style="953" customWidth="1"/>
    <col min="7173" max="7173" width="12.42578125" style="953" customWidth="1"/>
    <col min="7174" max="7175" width="11.140625" style="953" customWidth="1"/>
    <col min="7176" max="7176" width="26.28515625" style="953" customWidth="1"/>
    <col min="7177" max="7177" width="15.5703125" style="953" customWidth="1"/>
    <col min="7178" max="7179" width="11" style="953" customWidth="1"/>
    <col min="7180" max="7180" width="18" style="953" customWidth="1"/>
    <col min="7181" max="7182" width="18.5703125" style="953" customWidth="1"/>
    <col min="7183" max="7183" width="9.140625" style="953"/>
    <col min="7184" max="7184" width="0" style="953" hidden="1" customWidth="1"/>
    <col min="7185" max="7424" width="9.140625" style="953"/>
    <col min="7425" max="7425" width="9.140625" style="953" customWidth="1"/>
    <col min="7426" max="7426" width="20" style="953" customWidth="1"/>
    <col min="7427" max="7427" width="9.7109375" style="953" customWidth="1"/>
    <col min="7428" max="7428" width="14.42578125" style="953" customWidth="1"/>
    <col min="7429" max="7429" width="12.42578125" style="953" customWidth="1"/>
    <col min="7430" max="7431" width="11.140625" style="953" customWidth="1"/>
    <col min="7432" max="7432" width="26.28515625" style="953" customWidth="1"/>
    <col min="7433" max="7433" width="15.5703125" style="953" customWidth="1"/>
    <col min="7434" max="7435" width="11" style="953" customWidth="1"/>
    <col min="7436" max="7436" width="18" style="953" customWidth="1"/>
    <col min="7437" max="7438" width="18.5703125" style="953" customWidth="1"/>
    <col min="7439" max="7439" width="9.140625" style="953"/>
    <col min="7440" max="7440" width="0" style="953" hidden="1" customWidth="1"/>
    <col min="7441" max="7680" width="9.140625" style="953"/>
    <col min="7681" max="7681" width="9.140625" style="953" customWidth="1"/>
    <col min="7682" max="7682" width="20" style="953" customWidth="1"/>
    <col min="7683" max="7683" width="9.7109375" style="953" customWidth="1"/>
    <col min="7684" max="7684" width="14.42578125" style="953" customWidth="1"/>
    <col min="7685" max="7685" width="12.42578125" style="953" customWidth="1"/>
    <col min="7686" max="7687" width="11.140625" style="953" customWidth="1"/>
    <col min="7688" max="7688" width="26.28515625" style="953" customWidth="1"/>
    <col min="7689" max="7689" width="15.5703125" style="953" customWidth="1"/>
    <col min="7690" max="7691" width="11" style="953" customWidth="1"/>
    <col min="7692" max="7692" width="18" style="953" customWidth="1"/>
    <col min="7693" max="7694" width="18.5703125" style="953" customWidth="1"/>
    <col min="7695" max="7695" width="9.140625" style="953"/>
    <col min="7696" max="7696" width="0" style="953" hidden="1" customWidth="1"/>
    <col min="7697" max="7936" width="9.140625" style="953"/>
    <col min="7937" max="7937" width="9.140625" style="953" customWidth="1"/>
    <col min="7938" max="7938" width="20" style="953" customWidth="1"/>
    <col min="7939" max="7939" width="9.7109375" style="953" customWidth="1"/>
    <col min="7940" max="7940" width="14.42578125" style="953" customWidth="1"/>
    <col min="7941" max="7941" width="12.42578125" style="953" customWidth="1"/>
    <col min="7942" max="7943" width="11.140625" style="953" customWidth="1"/>
    <col min="7944" max="7944" width="26.28515625" style="953" customWidth="1"/>
    <col min="7945" max="7945" width="15.5703125" style="953" customWidth="1"/>
    <col min="7946" max="7947" width="11" style="953" customWidth="1"/>
    <col min="7948" max="7948" width="18" style="953" customWidth="1"/>
    <col min="7949" max="7950" width="18.5703125" style="953" customWidth="1"/>
    <col min="7951" max="7951" width="9.140625" style="953"/>
    <col min="7952" max="7952" width="0" style="953" hidden="1" customWidth="1"/>
    <col min="7953" max="8192" width="9.140625" style="953"/>
    <col min="8193" max="8193" width="9.140625" style="953" customWidth="1"/>
    <col min="8194" max="8194" width="20" style="953" customWidth="1"/>
    <col min="8195" max="8195" width="9.7109375" style="953" customWidth="1"/>
    <col min="8196" max="8196" width="14.42578125" style="953" customWidth="1"/>
    <col min="8197" max="8197" width="12.42578125" style="953" customWidth="1"/>
    <col min="8198" max="8199" width="11.140625" style="953" customWidth="1"/>
    <col min="8200" max="8200" width="26.28515625" style="953" customWidth="1"/>
    <col min="8201" max="8201" width="15.5703125" style="953" customWidth="1"/>
    <col min="8202" max="8203" width="11" style="953" customWidth="1"/>
    <col min="8204" max="8204" width="18" style="953" customWidth="1"/>
    <col min="8205" max="8206" width="18.5703125" style="953" customWidth="1"/>
    <col min="8207" max="8207" width="9.140625" style="953"/>
    <col min="8208" max="8208" width="0" style="953" hidden="1" customWidth="1"/>
    <col min="8209" max="8448" width="9.140625" style="953"/>
    <col min="8449" max="8449" width="9.140625" style="953" customWidth="1"/>
    <col min="8450" max="8450" width="20" style="953" customWidth="1"/>
    <col min="8451" max="8451" width="9.7109375" style="953" customWidth="1"/>
    <col min="8452" max="8452" width="14.42578125" style="953" customWidth="1"/>
    <col min="8453" max="8453" width="12.42578125" style="953" customWidth="1"/>
    <col min="8454" max="8455" width="11.140625" style="953" customWidth="1"/>
    <col min="8456" max="8456" width="26.28515625" style="953" customWidth="1"/>
    <col min="8457" max="8457" width="15.5703125" style="953" customWidth="1"/>
    <col min="8458" max="8459" width="11" style="953" customWidth="1"/>
    <col min="8460" max="8460" width="18" style="953" customWidth="1"/>
    <col min="8461" max="8462" width="18.5703125" style="953" customWidth="1"/>
    <col min="8463" max="8463" width="9.140625" style="953"/>
    <col min="8464" max="8464" width="0" style="953" hidden="1" customWidth="1"/>
    <col min="8465" max="8704" width="9.140625" style="953"/>
    <col min="8705" max="8705" width="9.140625" style="953" customWidth="1"/>
    <col min="8706" max="8706" width="20" style="953" customWidth="1"/>
    <col min="8707" max="8707" width="9.7109375" style="953" customWidth="1"/>
    <col min="8708" max="8708" width="14.42578125" style="953" customWidth="1"/>
    <col min="8709" max="8709" width="12.42578125" style="953" customWidth="1"/>
    <col min="8710" max="8711" width="11.140625" style="953" customWidth="1"/>
    <col min="8712" max="8712" width="26.28515625" style="953" customWidth="1"/>
    <col min="8713" max="8713" width="15.5703125" style="953" customWidth="1"/>
    <col min="8714" max="8715" width="11" style="953" customWidth="1"/>
    <col min="8716" max="8716" width="18" style="953" customWidth="1"/>
    <col min="8717" max="8718" width="18.5703125" style="953" customWidth="1"/>
    <col min="8719" max="8719" width="9.140625" style="953"/>
    <col min="8720" max="8720" width="0" style="953" hidden="1" customWidth="1"/>
    <col min="8721" max="8960" width="9.140625" style="953"/>
    <col min="8961" max="8961" width="9.140625" style="953" customWidth="1"/>
    <col min="8962" max="8962" width="20" style="953" customWidth="1"/>
    <col min="8963" max="8963" width="9.7109375" style="953" customWidth="1"/>
    <col min="8964" max="8964" width="14.42578125" style="953" customWidth="1"/>
    <col min="8965" max="8965" width="12.42578125" style="953" customWidth="1"/>
    <col min="8966" max="8967" width="11.140625" style="953" customWidth="1"/>
    <col min="8968" max="8968" width="26.28515625" style="953" customWidth="1"/>
    <col min="8969" max="8969" width="15.5703125" style="953" customWidth="1"/>
    <col min="8970" max="8971" width="11" style="953" customWidth="1"/>
    <col min="8972" max="8972" width="18" style="953" customWidth="1"/>
    <col min="8973" max="8974" width="18.5703125" style="953" customWidth="1"/>
    <col min="8975" max="8975" width="9.140625" style="953"/>
    <col min="8976" max="8976" width="0" style="953" hidden="1" customWidth="1"/>
    <col min="8977" max="9216" width="9.140625" style="953"/>
    <col min="9217" max="9217" width="9.140625" style="953" customWidth="1"/>
    <col min="9218" max="9218" width="20" style="953" customWidth="1"/>
    <col min="9219" max="9219" width="9.7109375" style="953" customWidth="1"/>
    <col min="9220" max="9220" width="14.42578125" style="953" customWidth="1"/>
    <col min="9221" max="9221" width="12.42578125" style="953" customWidth="1"/>
    <col min="9222" max="9223" width="11.140625" style="953" customWidth="1"/>
    <col min="9224" max="9224" width="26.28515625" style="953" customWidth="1"/>
    <col min="9225" max="9225" width="15.5703125" style="953" customWidth="1"/>
    <col min="9226" max="9227" width="11" style="953" customWidth="1"/>
    <col min="9228" max="9228" width="18" style="953" customWidth="1"/>
    <col min="9229" max="9230" width="18.5703125" style="953" customWidth="1"/>
    <col min="9231" max="9231" width="9.140625" style="953"/>
    <col min="9232" max="9232" width="0" style="953" hidden="1" customWidth="1"/>
    <col min="9233" max="9472" width="9.140625" style="953"/>
    <col min="9473" max="9473" width="9.140625" style="953" customWidth="1"/>
    <col min="9474" max="9474" width="20" style="953" customWidth="1"/>
    <col min="9475" max="9475" width="9.7109375" style="953" customWidth="1"/>
    <col min="9476" max="9476" width="14.42578125" style="953" customWidth="1"/>
    <col min="9477" max="9477" width="12.42578125" style="953" customWidth="1"/>
    <col min="9478" max="9479" width="11.140625" style="953" customWidth="1"/>
    <col min="9480" max="9480" width="26.28515625" style="953" customWidth="1"/>
    <col min="9481" max="9481" width="15.5703125" style="953" customWidth="1"/>
    <col min="9482" max="9483" width="11" style="953" customWidth="1"/>
    <col min="9484" max="9484" width="18" style="953" customWidth="1"/>
    <col min="9485" max="9486" width="18.5703125" style="953" customWidth="1"/>
    <col min="9487" max="9487" width="9.140625" style="953"/>
    <col min="9488" max="9488" width="0" style="953" hidden="1" customWidth="1"/>
    <col min="9489" max="9728" width="9.140625" style="953"/>
    <col min="9729" max="9729" width="9.140625" style="953" customWidth="1"/>
    <col min="9730" max="9730" width="20" style="953" customWidth="1"/>
    <col min="9731" max="9731" width="9.7109375" style="953" customWidth="1"/>
    <col min="9732" max="9732" width="14.42578125" style="953" customWidth="1"/>
    <col min="9733" max="9733" width="12.42578125" style="953" customWidth="1"/>
    <col min="9734" max="9735" width="11.140625" style="953" customWidth="1"/>
    <col min="9736" max="9736" width="26.28515625" style="953" customWidth="1"/>
    <col min="9737" max="9737" width="15.5703125" style="953" customWidth="1"/>
    <col min="9738" max="9739" width="11" style="953" customWidth="1"/>
    <col min="9740" max="9740" width="18" style="953" customWidth="1"/>
    <col min="9741" max="9742" width="18.5703125" style="953" customWidth="1"/>
    <col min="9743" max="9743" width="9.140625" style="953"/>
    <col min="9744" max="9744" width="0" style="953" hidden="1" customWidth="1"/>
    <col min="9745" max="9984" width="9.140625" style="953"/>
    <col min="9985" max="9985" width="9.140625" style="953" customWidth="1"/>
    <col min="9986" max="9986" width="20" style="953" customWidth="1"/>
    <col min="9987" max="9987" width="9.7109375" style="953" customWidth="1"/>
    <col min="9988" max="9988" width="14.42578125" style="953" customWidth="1"/>
    <col min="9989" max="9989" width="12.42578125" style="953" customWidth="1"/>
    <col min="9990" max="9991" width="11.140625" style="953" customWidth="1"/>
    <col min="9992" max="9992" width="26.28515625" style="953" customWidth="1"/>
    <col min="9993" max="9993" width="15.5703125" style="953" customWidth="1"/>
    <col min="9994" max="9995" width="11" style="953" customWidth="1"/>
    <col min="9996" max="9996" width="18" style="953" customWidth="1"/>
    <col min="9997" max="9998" width="18.5703125" style="953" customWidth="1"/>
    <col min="9999" max="9999" width="9.140625" style="953"/>
    <col min="10000" max="10000" width="0" style="953" hidden="1" customWidth="1"/>
    <col min="10001" max="10240" width="9.140625" style="953"/>
    <col min="10241" max="10241" width="9.140625" style="953" customWidth="1"/>
    <col min="10242" max="10242" width="20" style="953" customWidth="1"/>
    <col min="10243" max="10243" width="9.7109375" style="953" customWidth="1"/>
    <col min="10244" max="10244" width="14.42578125" style="953" customWidth="1"/>
    <col min="10245" max="10245" width="12.42578125" style="953" customWidth="1"/>
    <col min="10246" max="10247" width="11.140625" style="953" customWidth="1"/>
    <col min="10248" max="10248" width="26.28515625" style="953" customWidth="1"/>
    <col min="10249" max="10249" width="15.5703125" style="953" customWidth="1"/>
    <col min="10250" max="10251" width="11" style="953" customWidth="1"/>
    <col min="10252" max="10252" width="18" style="953" customWidth="1"/>
    <col min="10253" max="10254" width="18.5703125" style="953" customWidth="1"/>
    <col min="10255" max="10255" width="9.140625" style="953"/>
    <col min="10256" max="10256" width="0" style="953" hidden="1" customWidth="1"/>
    <col min="10257" max="10496" width="9.140625" style="953"/>
    <col min="10497" max="10497" width="9.140625" style="953" customWidth="1"/>
    <col min="10498" max="10498" width="20" style="953" customWidth="1"/>
    <col min="10499" max="10499" width="9.7109375" style="953" customWidth="1"/>
    <col min="10500" max="10500" width="14.42578125" style="953" customWidth="1"/>
    <col min="10501" max="10501" width="12.42578125" style="953" customWidth="1"/>
    <col min="10502" max="10503" width="11.140625" style="953" customWidth="1"/>
    <col min="10504" max="10504" width="26.28515625" style="953" customWidth="1"/>
    <col min="10505" max="10505" width="15.5703125" style="953" customWidth="1"/>
    <col min="10506" max="10507" width="11" style="953" customWidth="1"/>
    <col min="10508" max="10508" width="18" style="953" customWidth="1"/>
    <col min="10509" max="10510" width="18.5703125" style="953" customWidth="1"/>
    <col min="10511" max="10511" width="9.140625" style="953"/>
    <col min="10512" max="10512" width="0" style="953" hidden="1" customWidth="1"/>
    <col min="10513" max="10752" width="9.140625" style="953"/>
    <col min="10753" max="10753" width="9.140625" style="953" customWidth="1"/>
    <col min="10754" max="10754" width="20" style="953" customWidth="1"/>
    <col min="10755" max="10755" width="9.7109375" style="953" customWidth="1"/>
    <col min="10756" max="10756" width="14.42578125" style="953" customWidth="1"/>
    <col min="10757" max="10757" width="12.42578125" style="953" customWidth="1"/>
    <col min="10758" max="10759" width="11.140625" style="953" customWidth="1"/>
    <col min="10760" max="10760" width="26.28515625" style="953" customWidth="1"/>
    <col min="10761" max="10761" width="15.5703125" style="953" customWidth="1"/>
    <col min="10762" max="10763" width="11" style="953" customWidth="1"/>
    <col min="10764" max="10764" width="18" style="953" customWidth="1"/>
    <col min="10765" max="10766" width="18.5703125" style="953" customWidth="1"/>
    <col min="10767" max="10767" width="9.140625" style="953"/>
    <col min="10768" max="10768" width="0" style="953" hidden="1" customWidth="1"/>
    <col min="10769" max="11008" width="9.140625" style="953"/>
    <col min="11009" max="11009" width="9.140625" style="953" customWidth="1"/>
    <col min="11010" max="11010" width="20" style="953" customWidth="1"/>
    <col min="11011" max="11011" width="9.7109375" style="953" customWidth="1"/>
    <col min="11012" max="11012" width="14.42578125" style="953" customWidth="1"/>
    <col min="11013" max="11013" width="12.42578125" style="953" customWidth="1"/>
    <col min="11014" max="11015" width="11.140625" style="953" customWidth="1"/>
    <col min="11016" max="11016" width="26.28515625" style="953" customWidth="1"/>
    <col min="11017" max="11017" width="15.5703125" style="953" customWidth="1"/>
    <col min="11018" max="11019" width="11" style="953" customWidth="1"/>
    <col min="11020" max="11020" width="18" style="953" customWidth="1"/>
    <col min="11021" max="11022" width="18.5703125" style="953" customWidth="1"/>
    <col min="11023" max="11023" width="9.140625" style="953"/>
    <col min="11024" max="11024" width="0" style="953" hidden="1" customWidth="1"/>
    <col min="11025" max="11264" width="9.140625" style="953"/>
    <col min="11265" max="11265" width="9.140625" style="953" customWidth="1"/>
    <col min="11266" max="11266" width="20" style="953" customWidth="1"/>
    <col min="11267" max="11267" width="9.7109375" style="953" customWidth="1"/>
    <col min="11268" max="11268" width="14.42578125" style="953" customWidth="1"/>
    <col min="11269" max="11269" width="12.42578125" style="953" customWidth="1"/>
    <col min="11270" max="11271" width="11.140625" style="953" customWidth="1"/>
    <col min="11272" max="11272" width="26.28515625" style="953" customWidth="1"/>
    <col min="11273" max="11273" width="15.5703125" style="953" customWidth="1"/>
    <col min="11274" max="11275" width="11" style="953" customWidth="1"/>
    <col min="11276" max="11276" width="18" style="953" customWidth="1"/>
    <col min="11277" max="11278" width="18.5703125" style="953" customWidth="1"/>
    <col min="11279" max="11279" width="9.140625" style="953"/>
    <col min="11280" max="11280" width="0" style="953" hidden="1" customWidth="1"/>
    <col min="11281" max="11520" width="9.140625" style="953"/>
    <col min="11521" max="11521" width="9.140625" style="953" customWidth="1"/>
    <col min="11522" max="11522" width="20" style="953" customWidth="1"/>
    <col min="11523" max="11523" width="9.7109375" style="953" customWidth="1"/>
    <col min="11524" max="11524" width="14.42578125" style="953" customWidth="1"/>
    <col min="11525" max="11525" width="12.42578125" style="953" customWidth="1"/>
    <col min="11526" max="11527" width="11.140625" style="953" customWidth="1"/>
    <col min="11528" max="11528" width="26.28515625" style="953" customWidth="1"/>
    <col min="11529" max="11529" width="15.5703125" style="953" customWidth="1"/>
    <col min="11530" max="11531" width="11" style="953" customWidth="1"/>
    <col min="11532" max="11532" width="18" style="953" customWidth="1"/>
    <col min="11533" max="11534" width="18.5703125" style="953" customWidth="1"/>
    <col min="11535" max="11535" width="9.140625" style="953"/>
    <col min="11536" max="11536" width="0" style="953" hidden="1" customWidth="1"/>
    <col min="11537" max="11776" width="9.140625" style="953"/>
    <col min="11777" max="11777" width="9.140625" style="953" customWidth="1"/>
    <col min="11778" max="11778" width="20" style="953" customWidth="1"/>
    <col min="11779" max="11779" width="9.7109375" style="953" customWidth="1"/>
    <col min="11780" max="11780" width="14.42578125" style="953" customWidth="1"/>
    <col min="11781" max="11781" width="12.42578125" style="953" customWidth="1"/>
    <col min="11782" max="11783" width="11.140625" style="953" customWidth="1"/>
    <col min="11784" max="11784" width="26.28515625" style="953" customWidth="1"/>
    <col min="11785" max="11785" width="15.5703125" style="953" customWidth="1"/>
    <col min="11786" max="11787" width="11" style="953" customWidth="1"/>
    <col min="11788" max="11788" width="18" style="953" customWidth="1"/>
    <col min="11789" max="11790" width="18.5703125" style="953" customWidth="1"/>
    <col min="11791" max="11791" width="9.140625" style="953"/>
    <col min="11792" max="11792" width="0" style="953" hidden="1" customWidth="1"/>
    <col min="11793" max="12032" width="9.140625" style="953"/>
    <col min="12033" max="12033" width="9.140625" style="953" customWidth="1"/>
    <col min="12034" max="12034" width="20" style="953" customWidth="1"/>
    <col min="12035" max="12035" width="9.7109375" style="953" customWidth="1"/>
    <col min="12036" max="12036" width="14.42578125" style="953" customWidth="1"/>
    <col min="12037" max="12037" width="12.42578125" style="953" customWidth="1"/>
    <col min="12038" max="12039" width="11.140625" style="953" customWidth="1"/>
    <col min="12040" max="12040" width="26.28515625" style="953" customWidth="1"/>
    <col min="12041" max="12041" width="15.5703125" style="953" customWidth="1"/>
    <col min="12042" max="12043" width="11" style="953" customWidth="1"/>
    <col min="12044" max="12044" width="18" style="953" customWidth="1"/>
    <col min="12045" max="12046" width="18.5703125" style="953" customWidth="1"/>
    <col min="12047" max="12047" width="9.140625" style="953"/>
    <col min="12048" max="12048" width="0" style="953" hidden="1" customWidth="1"/>
    <col min="12049" max="12288" width="9.140625" style="953"/>
    <col min="12289" max="12289" width="9.140625" style="953" customWidth="1"/>
    <col min="12290" max="12290" width="20" style="953" customWidth="1"/>
    <col min="12291" max="12291" width="9.7109375" style="953" customWidth="1"/>
    <col min="12292" max="12292" width="14.42578125" style="953" customWidth="1"/>
    <col min="12293" max="12293" width="12.42578125" style="953" customWidth="1"/>
    <col min="12294" max="12295" width="11.140625" style="953" customWidth="1"/>
    <col min="12296" max="12296" width="26.28515625" style="953" customWidth="1"/>
    <col min="12297" max="12297" width="15.5703125" style="953" customWidth="1"/>
    <col min="12298" max="12299" width="11" style="953" customWidth="1"/>
    <col min="12300" max="12300" width="18" style="953" customWidth="1"/>
    <col min="12301" max="12302" width="18.5703125" style="953" customWidth="1"/>
    <col min="12303" max="12303" width="9.140625" style="953"/>
    <col min="12304" max="12304" width="0" style="953" hidden="1" customWidth="1"/>
    <col min="12305" max="12544" width="9.140625" style="953"/>
    <col min="12545" max="12545" width="9.140625" style="953" customWidth="1"/>
    <col min="12546" max="12546" width="20" style="953" customWidth="1"/>
    <col min="12547" max="12547" width="9.7109375" style="953" customWidth="1"/>
    <col min="12548" max="12548" width="14.42578125" style="953" customWidth="1"/>
    <col min="12549" max="12549" width="12.42578125" style="953" customWidth="1"/>
    <col min="12550" max="12551" width="11.140625" style="953" customWidth="1"/>
    <col min="12552" max="12552" width="26.28515625" style="953" customWidth="1"/>
    <col min="12553" max="12553" width="15.5703125" style="953" customWidth="1"/>
    <col min="12554" max="12555" width="11" style="953" customWidth="1"/>
    <col min="12556" max="12556" width="18" style="953" customWidth="1"/>
    <col min="12557" max="12558" width="18.5703125" style="953" customWidth="1"/>
    <col min="12559" max="12559" width="9.140625" style="953"/>
    <col min="12560" max="12560" width="0" style="953" hidden="1" customWidth="1"/>
    <col min="12561" max="12800" width="9.140625" style="953"/>
    <col min="12801" max="12801" width="9.140625" style="953" customWidth="1"/>
    <col min="12802" max="12802" width="20" style="953" customWidth="1"/>
    <col min="12803" max="12803" width="9.7109375" style="953" customWidth="1"/>
    <col min="12804" max="12804" width="14.42578125" style="953" customWidth="1"/>
    <col min="12805" max="12805" width="12.42578125" style="953" customWidth="1"/>
    <col min="12806" max="12807" width="11.140625" style="953" customWidth="1"/>
    <col min="12808" max="12808" width="26.28515625" style="953" customWidth="1"/>
    <col min="12809" max="12809" width="15.5703125" style="953" customWidth="1"/>
    <col min="12810" max="12811" width="11" style="953" customWidth="1"/>
    <col min="12812" max="12812" width="18" style="953" customWidth="1"/>
    <col min="12813" max="12814" width="18.5703125" style="953" customWidth="1"/>
    <col min="12815" max="12815" width="9.140625" style="953"/>
    <col min="12816" max="12816" width="0" style="953" hidden="1" customWidth="1"/>
    <col min="12817" max="13056" width="9.140625" style="953"/>
    <col min="13057" max="13057" width="9.140625" style="953" customWidth="1"/>
    <col min="13058" max="13058" width="20" style="953" customWidth="1"/>
    <col min="13059" max="13059" width="9.7109375" style="953" customWidth="1"/>
    <col min="13060" max="13060" width="14.42578125" style="953" customWidth="1"/>
    <col min="13061" max="13061" width="12.42578125" style="953" customWidth="1"/>
    <col min="13062" max="13063" width="11.140625" style="953" customWidth="1"/>
    <col min="13064" max="13064" width="26.28515625" style="953" customWidth="1"/>
    <col min="13065" max="13065" width="15.5703125" style="953" customWidth="1"/>
    <col min="13066" max="13067" width="11" style="953" customWidth="1"/>
    <col min="13068" max="13068" width="18" style="953" customWidth="1"/>
    <col min="13069" max="13070" width="18.5703125" style="953" customWidth="1"/>
    <col min="13071" max="13071" width="9.140625" style="953"/>
    <col min="13072" max="13072" width="0" style="953" hidden="1" customWidth="1"/>
    <col min="13073" max="13312" width="9.140625" style="953"/>
    <col min="13313" max="13313" width="9.140625" style="953" customWidth="1"/>
    <col min="13314" max="13314" width="20" style="953" customWidth="1"/>
    <col min="13315" max="13315" width="9.7109375" style="953" customWidth="1"/>
    <col min="13316" max="13316" width="14.42578125" style="953" customWidth="1"/>
    <col min="13317" max="13317" width="12.42578125" style="953" customWidth="1"/>
    <col min="13318" max="13319" width="11.140625" style="953" customWidth="1"/>
    <col min="13320" max="13320" width="26.28515625" style="953" customWidth="1"/>
    <col min="13321" max="13321" width="15.5703125" style="953" customWidth="1"/>
    <col min="13322" max="13323" width="11" style="953" customWidth="1"/>
    <col min="13324" max="13324" width="18" style="953" customWidth="1"/>
    <col min="13325" max="13326" width="18.5703125" style="953" customWidth="1"/>
    <col min="13327" max="13327" width="9.140625" style="953"/>
    <col min="13328" max="13328" width="0" style="953" hidden="1" customWidth="1"/>
    <col min="13329" max="13568" width="9.140625" style="953"/>
    <col min="13569" max="13569" width="9.140625" style="953" customWidth="1"/>
    <col min="13570" max="13570" width="20" style="953" customWidth="1"/>
    <col min="13571" max="13571" width="9.7109375" style="953" customWidth="1"/>
    <col min="13572" max="13572" width="14.42578125" style="953" customWidth="1"/>
    <col min="13573" max="13573" width="12.42578125" style="953" customWidth="1"/>
    <col min="13574" max="13575" width="11.140625" style="953" customWidth="1"/>
    <col min="13576" max="13576" width="26.28515625" style="953" customWidth="1"/>
    <col min="13577" max="13577" width="15.5703125" style="953" customWidth="1"/>
    <col min="13578" max="13579" width="11" style="953" customWidth="1"/>
    <col min="13580" max="13580" width="18" style="953" customWidth="1"/>
    <col min="13581" max="13582" width="18.5703125" style="953" customWidth="1"/>
    <col min="13583" max="13583" width="9.140625" style="953"/>
    <col min="13584" max="13584" width="0" style="953" hidden="1" customWidth="1"/>
    <col min="13585" max="13824" width="9.140625" style="953"/>
    <col min="13825" max="13825" width="9.140625" style="953" customWidth="1"/>
    <col min="13826" max="13826" width="20" style="953" customWidth="1"/>
    <col min="13827" max="13827" width="9.7109375" style="953" customWidth="1"/>
    <col min="13828" max="13828" width="14.42578125" style="953" customWidth="1"/>
    <col min="13829" max="13829" width="12.42578125" style="953" customWidth="1"/>
    <col min="13830" max="13831" width="11.140625" style="953" customWidth="1"/>
    <col min="13832" max="13832" width="26.28515625" style="953" customWidth="1"/>
    <col min="13833" max="13833" width="15.5703125" style="953" customWidth="1"/>
    <col min="13834" max="13835" width="11" style="953" customWidth="1"/>
    <col min="13836" max="13836" width="18" style="953" customWidth="1"/>
    <col min="13837" max="13838" width="18.5703125" style="953" customWidth="1"/>
    <col min="13839" max="13839" width="9.140625" style="953"/>
    <col min="13840" max="13840" width="0" style="953" hidden="1" customWidth="1"/>
    <col min="13841" max="14080" width="9.140625" style="953"/>
    <col min="14081" max="14081" width="9.140625" style="953" customWidth="1"/>
    <col min="14082" max="14082" width="20" style="953" customWidth="1"/>
    <col min="14083" max="14083" width="9.7109375" style="953" customWidth="1"/>
    <col min="14084" max="14084" width="14.42578125" style="953" customWidth="1"/>
    <col min="14085" max="14085" width="12.42578125" style="953" customWidth="1"/>
    <col min="14086" max="14087" width="11.140625" style="953" customWidth="1"/>
    <col min="14088" max="14088" width="26.28515625" style="953" customWidth="1"/>
    <col min="14089" max="14089" width="15.5703125" style="953" customWidth="1"/>
    <col min="14090" max="14091" width="11" style="953" customWidth="1"/>
    <col min="14092" max="14092" width="18" style="953" customWidth="1"/>
    <col min="14093" max="14094" width="18.5703125" style="953" customWidth="1"/>
    <col min="14095" max="14095" width="9.140625" style="953"/>
    <col min="14096" max="14096" width="0" style="953" hidden="1" customWidth="1"/>
    <col min="14097" max="14336" width="9.140625" style="953"/>
    <col min="14337" max="14337" width="9.140625" style="953" customWidth="1"/>
    <col min="14338" max="14338" width="20" style="953" customWidth="1"/>
    <col min="14339" max="14339" width="9.7109375" style="953" customWidth="1"/>
    <col min="14340" max="14340" width="14.42578125" style="953" customWidth="1"/>
    <col min="14341" max="14341" width="12.42578125" style="953" customWidth="1"/>
    <col min="14342" max="14343" width="11.140625" style="953" customWidth="1"/>
    <col min="14344" max="14344" width="26.28515625" style="953" customWidth="1"/>
    <col min="14345" max="14345" width="15.5703125" style="953" customWidth="1"/>
    <col min="14346" max="14347" width="11" style="953" customWidth="1"/>
    <col min="14348" max="14348" width="18" style="953" customWidth="1"/>
    <col min="14349" max="14350" width="18.5703125" style="953" customWidth="1"/>
    <col min="14351" max="14351" width="9.140625" style="953"/>
    <col min="14352" max="14352" width="0" style="953" hidden="1" customWidth="1"/>
    <col min="14353" max="14592" width="9.140625" style="953"/>
    <col min="14593" max="14593" width="9.140625" style="953" customWidth="1"/>
    <col min="14594" max="14594" width="20" style="953" customWidth="1"/>
    <col min="14595" max="14595" width="9.7109375" style="953" customWidth="1"/>
    <col min="14596" max="14596" width="14.42578125" style="953" customWidth="1"/>
    <col min="14597" max="14597" width="12.42578125" style="953" customWidth="1"/>
    <col min="14598" max="14599" width="11.140625" style="953" customWidth="1"/>
    <col min="14600" max="14600" width="26.28515625" style="953" customWidth="1"/>
    <col min="14601" max="14601" width="15.5703125" style="953" customWidth="1"/>
    <col min="14602" max="14603" width="11" style="953" customWidth="1"/>
    <col min="14604" max="14604" width="18" style="953" customWidth="1"/>
    <col min="14605" max="14606" width="18.5703125" style="953" customWidth="1"/>
    <col min="14607" max="14607" width="9.140625" style="953"/>
    <col min="14608" max="14608" width="0" style="953" hidden="1" customWidth="1"/>
    <col min="14609" max="14848" width="9.140625" style="953"/>
    <col min="14849" max="14849" width="9.140625" style="953" customWidth="1"/>
    <col min="14850" max="14850" width="20" style="953" customWidth="1"/>
    <col min="14851" max="14851" width="9.7109375" style="953" customWidth="1"/>
    <col min="14852" max="14852" width="14.42578125" style="953" customWidth="1"/>
    <col min="14853" max="14853" width="12.42578125" style="953" customWidth="1"/>
    <col min="14854" max="14855" width="11.140625" style="953" customWidth="1"/>
    <col min="14856" max="14856" width="26.28515625" style="953" customWidth="1"/>
    <col min="14857" max="14857" width="15.5703125" style="953" customWidth="1"/>
    <col min="14858" max="14859" width="11" style="953" customWidth="1"/>
    <col min="14860" max="14860" width="18" style="953" customWidth="1"/>
    <col min="14861" max="14862" width="18.5703125" style="953" customWidth="1"/>
    <col min="14863" max="14863" width="9.140625" style="953"/>
    <col min="14864" max="14864" width="0" style="953" hidden="1" customWidth="1"/>
    <col min="14865" max="15104" width="9.140625" style="953"/>
    <col min="15105" max="15105" width="9.140625" style="953" customWidth="1"/>
    <col min="15106" max="15106" width="20" style="953" customWidth="1"/>
    <col min="15107" max="15107" width="9.7109375" style="953" customWidth="1"/>
    <col min="15108" max="15108" width="14.42578125" style="953" customWidth="1"/>
    <col min="15109" max="15109" width="12.42578125" style="953" customWidth="1"/>
    <col min="15110" max="15111" width="11.140625" style="953" customWidth="1"/>
    <col min="15112" max="15112" width="26.28515625" style="953" customWidth="1"/>
    <col min="15113" max="15113" width="15.5703125" style="953" customWidth="1"/>
    <col min="15114" max="15115" width="11" style="953" customWidth="1"/>
    <col min="15116" max="15116" width="18" style="953" customWidth="1"/>
    <col min="15117" max="15118" width="18.5703125" style="953" customWidth="1"/>
    <col min="15119" max="15119" width="9.140625" style="953"/>
    <col min="15120" max="15120" width="0" style="953" hidden="1" customWidth="1"/>
    <col min="15121" max="15360" width="9.140625" style="953"/>
    <col min="15361" max="15361" width="9.140625" style="953" customWidth="1"/>
    <col min="15362" max="15362" width="20" style="953" customWidth="1"/>
    <col min="15363" max="15363" width="9.7109375" style="953" customWidth="1"/>
    <col min="15364" max="15364" width="14.42578125" style="953" customWidth="1"/>
    <col min="15365" max="15365" width="12.42578125" style="953" customWidth="1"/>
    <col min="15366" max="15367" width="11.140625" style="953" customWidth="1"/>
    <col min="15368" max="15368" width="26.28515625" style="953" customWidth="1"/>
    <col min="15369" max="15369" width="15.5703125" style="953" customWidth="1"/>
    <col min="15370" max="15371" width="11" style="953" customWidth="1"/>
    <col min="15372" max="15372" width="18" style="953" customWidth="1"/>
    <col min="15373" max="15374" width="18.5703125" style="953" customWidth="1"/>
    <col min="15375" max="15375" width="9.140625" style="953"/>
    <col min="15376" max="15376" width="0" style="953" hidden="1" customWidth="1"/>
    <col min="15377" max="15616" width="9.140625" style="953"/>
    <col min="15617" max="15617" width="9.140625" style="953" customWidth="1"/>
    <col min="15618" max="15618" width="20" style="953" customWidth="1"/>
    <col min="15619" max="15619" width="9.7109375" style="953" customWidth="1"/>
    <col min="15620" max="15620" width="14.42578125" style="953" customWidth="1"/>
    <col min="15621" max="15621" width="12.42578125" style="953" customWidth="1"/>
    <col min="15622" max="15623" width="11.140625" style="953" customWidth="1"/>
    <col min="15624" max="15624" width="26.28515625" style="953" customWidth="1"/>
    <col min="15625" max="15625" width="15.5703125" style="953" customWidth="1"/>
    <col min="15626" max="15627" width="11" style="953" customWidth="1"/>
    <col min="15628" max="15628" width="18" style="953" customWidth="1"/>
    <col min="15629" max="15630" width="18.5703125" style="953" customWidth="1"/>
    <col min="15631" max="15631" width="9.140625" style="953"/>
    <col min="15632" max="15632" width="0" style="953" hidden="1" customWidth="1"/>
    <col min="15633" max="15872" width="9.140625" style="953"/>
    <col min="15873" max="15873" width="9.140625" style="953" customWidth="1"/>
    <col min="15874" max="15874" width="20" style="953" customWidth="1"/>
    <col min="15875" max="15875" width="9.7109375" style="953" customWidth="1"/>
    <col min="15876" max="15876" width="14.42578125" style="953" customWidth="1"/>
    <col min="15877" max="15877" width="12.42578125" style="953" customWidth="1"/>
    <col min="15878" max="15879" width="11.140625" style="953" customWidth="1"/>
    <col min="15880" max="15880" width="26.28515625" style="953" customWidth="1"/>
    <col min="15881" max="15881" width="15.5703125" style="953" customWidth="1"/>
    <col min="15882" max="15883" width="11" style="953" customWidth="1"/>
    <col min="15884" max="15884" width="18" style="953" customWidth="1"/>
    <col min="15885" max="15886" width="18.5703125" style="953" customWidth="1"/>
    <col min="15887" max="15887" width="9.140625" style="953"/>
    <col min="15888" max="15888" width="0" style="953" hidden="1" customWidth="1"/>
    <col min="15889" max="16128" width="9.140625" style="953"/>
    <col min="16129" max="16129" width="9.140625" style="953" customWidth="1"/>
    <col min="16130" max="16130" width="20" style="953" customWidth="1"/>
    <col min="16131" max="16131" width="9.7109375" style="953" customWidth="1"/>
    <col min="16132" max="16132" width="14.42578125" style="953" customWidth="1"/>
    <col min="16133" max="16133" width="12.42578125" style="953" customWidth="1"/>
    <col min="16134" max="16135" width="11.140625" style="953" customWidth="1"/>
    <col min="16136" max="16136" width="26.28515625" style="953" customWidth="1"/>
    <col min="16137" max="16137" width="15.5703125" style="953" customWidth="1"/>
    <col min="16138" max="16139" width="11" style="953" customWidth="1"/>
    <col min="16140" max="16140" width="18" style="953" customWidth="1"/>
    <col min="16141" max="16142" width="18.5703125" style="953" customWidth="1"/>
    <col min="16143" max="16143" width="9.140625" style="953"/>
    <col min="16144" max="16144" width="0" style="953" hidden="1" customWidth="1"/>
    <col min="16145" max="16384" width="9.140625" style="953"/>
  </cols>
  <sheetData>
    <row r="1" spans="1:78" ht="26.25" customHeight="1">
      <c r="A1" s="1437" t="s">
        <v>1597</v>
      </c>
      <c r="B1" s="1438" t="s">
        <v>1598</v>
      </c>
      <c r="C1" s="1439"/>
      <c r="D1" s="1439"/>
      <c r="E1" s="1439"/>
      <c r="F1" s="1439"/>
      <c r="G1" s="1439"/>
      <c r="H1" s="1441"/>
      <c r="I1" s="1439"/>
      <c r="J1" s="1439"/>
      <c r="K1" s="1439"/>
      <c r="L1" s="1439"/>
      <c r="N1" s="953"/>
      <c r="O1" s="953"/>
      <c r="P1" s="953"/>
      <c r="Q1" s="953"/>
      <c r="R1" s="953"/>
      <c r="S1" s="953"/>
      <c r="T1" s="953"/>
      <c r="U1" s="953"/>
      <c r="V1" s="953"/>
      <c r="W1" s="953"/>
      <c r="X1" s="953"/>
      <c r="Y1" s="953"/>
      <c r="Z1" s="953"/>
      <c r="AA1" s="953"/>
      <c r="AB1" s="953"/>
      <c r="AC1" s="953"/>
      <c r="AD1" s="953"/>
      <c r="AE1" s="953"/>
      <c r="AF1" s="953"/>
      <c r="AG1" s="953"/>
      <c r="AH1" s="953"/>
      <c r="AI1" s="953"/>
      <c r="AJ1" s="953"/>
      <c r="AK1" s="953"/>
      <c r="AL1" s="953"/>
      <c r="AM1" s="953"/>
      <c r="AN1" s="953"/>
      <c r="AO1" s="953"/>
      <c r="AP1" s="953"/>
      <c r="AQ1" s="953"/>
      <c r="AR1" s="953"/>
      <c r="AS1" s="953"/>
      <c r="AT1" s="953"/>
      <c r="AU1" s="953"/>
      <c r="AV1" s="953"/>
      <c r="AW1" s="953"/>
      <c r="AX1" s="953"/>
      <c r="AY1" s="953"/>
      <c r="AZ1" s="953"/>
      <c r="BA1" s="953"/>
      <c r="BB1" s="953"/>
      <c r="BC1" s="953"/>
      <c r="BD1" s="953"/>
      <c r="BE1" s="953"/>
      <c r="BF1" s="953"/>
      <c r="BG1" s="953"/>
      <c r="BH1" s="953"/>
      <c r="BI1" s="953"/>
      <c r="BJ1" s="953"/>
      <c r="BK1" s="953"/>
      <c r="BL1" s="953"/>
      <c r="BM1" s="953"/>
      <c r="BN1" s="953"/>
      <c r="BO1" s="953"/>
      <c r="BP1" s="953"/>
      <c r="BQ1" s="953"/>
      <c r="BR1" s="953"/>
      <c r="BS1" s="953"/>
      <c r="BT1" s="953"/>
      <c r="BU1" s="953"/>
      <c r="BV1" s="953"/>
      <c r="BW1" s="953"/>
      <c r="BX1" s="953"/>
      <c r="BY1" s="953"/>
      <c r="BZ1" s="953"/>
    </row>
    <row r="2" spans="1:78" ht="26.25" customHeight="1">
      <c r="A2" s="953"/>
      <c r="B2" s="1438" t="s">
        <v>1599</v>
      </c>
      <c r="C2" s="1439"/>
      <c r="D2" s="1439"/>
      <c r="E2" s="1439"/>
      <c r="F2" s="1439"/>
      <c r="G2" s="1439"/>
      <c r="H2" s="1441"/>
      <c r="I2" s="1439"/>
      <c r="J2" s="1439"/>
      <c r="K2" s="1439"/>
      <c r="L2" s="1439"/>
      <c r="N2" s="953"/>
      <c r="O2" s="953"/>
      <c r="P2" s="953"/>
      <c r="Q2" s="953"/>
      <c r="R2" s="953"/>
      <c r="S2" s="953"/>
      <c r="T2" s="953"/>
      <c r="U2" s="953"/>
      <c r="V2" s="953"/>
      <c r="W2" s="953"/>
      <c r="X2" s="953"/>
      <c r="Y2" s="953"/>
      <c r="Z2" s="953"/>
      <c r="AA2" s="953"/>
      <c r="AB2" s="953"/>
      <c r="AC2" s="953"/>
      <c r="AD2" s="953"/>
      <c r="AE2" s="953"/>
      <c r="AF2" s="953"/>
      <c r="AG2" s="953"/>
      <c r="AH2" s="953"/>
      <c r="AI2" s="953"/>
      <c r="AJ2" s="953"/>
      <c r="AK2" s="953"/>
      <c r="AL2" s="953"/>
      <c r="AM2" s="953"/>
      <c r="AN2" s="953"/>
      <c r="AO2" s="953"/>
      <c r="AP2" s="953"/>
      <c r="AQ2" s="953"/>
      <c r="AR2" s="953"/>
      <c r="AS2" s="953"/>
      <c r="AT2" s="953"/>
      <c r="AU2" s="953"/>
      <c r="AV2" s="953"/>
      <c r="AW2" s="953"/>
      <c r="AX2" s="953"/>
      <c r="AY2" s="953"/>
      <c r="AZ2" s="953"/>
      <c r="BA2" s="953"/>
      <c r="BB2" s="953"/>
      <c r="BC2" s="953"/>
      <c r="BD2" s="953"/>
      <c r="BE2" s="953"/>
      <c r="BF2" s="953"/>
      <c r="BG2" s="953"/>
      <c r="BH2" s="953"/>
      <c r="BI2" s="953"/>
      <c r="BJ2" s="953"/>
      <c r="BK2" s="953"/>
      <c r="BL2" s="953"/>
      <c r="BM2" s="953"/>
      <c r="BN2" s="953"/>
      <c r="BO2" s="953"/>
      <c r="BP2" s="953"/>
      <c r="BQ2" s="953"/>
      <c r="BR2" s="953"/>
      <c r="BS2" s="953"/>
      <c r="BT2" s="953"/>
      <c r="BU2" s="953"/>
      <c r="BV2" s="953"/>
      <c r="BW2" s="953"/>
      <c r="BX2" s="953"/>
      <c r="BY2" s="953"/>
      <c r="BZ2" s="953"/>
    </row>
    <row r="3" spans="1:78" ht="26.25" customHeight="1">
      <c r="A3" s="953"/>
      <c r="B3" s="1440" t="s">
        <v>409</v>
      </c>
      <c r="C3" s="1440">
        <f>'Project Info'!$C$3</f>
        <v>0</v>
      </c>
      <c r="D3" s="1440"/>
      <c r="E3" s="1440"/>
      <c r="F3" s="1440"/>
      <c r="G3" s="1439"/>
      <c r="H3" s="1441"/>
      <c r="I3" s="1439"/>
      <c r="J3" s="1439"/>
      <c r="K3" s="1439"/>
      <c r="L3" s="1439"/>
      <c r="N3" s="953"/>
      <c r="O3" s="953"/>
      <c r="P3" s="953"/>
      <c r="Q3" s="953"/>
      <c r="R3" s="953"/>
      <c r="S3" s="953"/>
      <c r="T3" s="953"/>
      <c r="U3" s="953"/>
      <c r="V3" s="953"/>
      <c r="W3" s="953"/>
      <c r="X3" s="953"/>
      <c r="Y3" s="953"/>
      <c r="Z3" s="953"/>
      <c r="AA3" s="953"/>
      <c r="AB3" s="953"/>
      <c r="AC3" s="953"/>
      <c r="AD3" s="953"/>
      <c r="AE3" s="953"/>
      <c r="AF3" s="953"/>
      <c r="AG3" s="953"/>
      <c r="AH3" s="953"/>
      <c r="AI3" s="953"/>
      <c r="AJ3" s="953"/>
      <c r="AK3" s="953"/>
      <c r="AL3" s="953"/>
      <c r="AM3" s="953"/>
      <c r="AN3" s="953"/>
      <c r="AO3" s="953"/>
      <c r="AP3" s="953"/>
      <c r="AQ3" s="953"/>
      <c r="AR3" s="953"/>
      <c r="AS3" s="953"/>
      <c r="AT3" s="953"/>
      <c r="AU3" s="953"/>
      <c r="AV3" s="953"/>
      <c r="AW3" s="953"/>
      <c r="AX3" s="953"/>
      <c r="AY3" s="953"/>
      <c r="AZ3" s="953"/>
      <c r="BA3" s="953"/>
      <c r="BB3" s="953"/>
      <c r="BC3" s="953"/>
      <c r="BD3" s="953"/>
      <c r="BE3" s="953"/>
      <c r="BF3" s="953"/>
      <c r="BG3" s="953"/>
      <c r="BH3" s="953"/>
      <c r="BI3" s="953"/>
      <c r="BJ3" s="953"/>
      <c r="BK3" s="953"/>
      <c r="BL3" s="953"/>
      <c r="BM3" s="953"/>
      <c r="BN3" s="953"/>
      <c r="BO3" s="953"/>
      <c r="BP3" s="953"/>
      <c r="BQ3" s="953"/>
      <c r="BR3" s="953"/>
      <c r="BS3" s="953"/>
      <c r="BT3" s="953"/>
      <c r="BU3" s="953"/>
      <c r="BV3" s="953"/>
      <c r="BW3" s="953"/>
      <c r="BX3" s="953"/>
      <c r="BY3" s="953"/>
      <c r="BZ3" s="953"/>
    </row>
    <row r="4" spans="1:78" ht="26.25" customHeight="1">
      <c r="B4" s="1439"/>
      <c r="C4" s="1440"/>
      <c r="D4" s="1440"/>
      <c r="E4" s="1440"/>
      <c r="F4" s="1440"/>
      <c r="G4" s="1439"/>
      <c r="H4" s="1441"/>
      <c r="I4" s="1439"/>
      <c r="J4" s="1439"/>
      <c r="K4" s="1439"/>
      <c r="L4" s="1439"/>
      <c r="M4" s="1439"/>
    </row>
    <row r="5" spans="1:78" s="1448" customFormat="1" ht="15.75">
      <c r="A5" s="1475"/>
      <c r="B5" s="1471" t="s">
        <v>2083</v>
      </c>
      <c r="C5" s="1646"/>
      <c r="D5" s="1646"/>
      <c r="E5" s="1646"/>
      <c r="F5" s="1646"/>
      <c r="G5" s="1646"/>
      <c r="H5" s="1617"/>
      <c r="I5" s="1617"/>
      <c r="J5" s="2628" t="s">
        <v>1601</v>
      </c>
      <c r="K5" s="2628"/>
      <c r="L5" s="2626" t="s">
        <v>1602</v>
      </c>
      <c r="M5" s="2627"/>
      <c r="N5" s="1647"/>
      <c r="O5" s="1475"/>
      <c r="P5" s="1475"/>
      <c r="Q5" s="1475"/>
      <c r="R5" s="1475"/>
      <c r="S5" s="1475"/>
      <c r="T5" s="1475"/>
      <c r="U5" s="1475"/>
      <c r="V5" s="1475"/>
      <c r="W5" s="1475"/>
      <c r="X5" s="1475"/>
      <c r="Y5" s="1475"/>
      <c r="Z5" s="1475"/>
      <c r="AA5" s="1475"/>
      <c r="AB5" s="1475"/>
      <c r="AC5" s="1475"/>
      <c r="AD5" s="1475"/>
      <c r="AE5" s="1475"/>
      <c r="AF5" s="1475"/>
      <c r="AG5" s="1475"/>
      <c r="AH5" s="1475"/>
      <c r="AI5" s="1475"/>
      <c r="AJ5" s="1475"/>
      <c r="AK5" s="1475"/>
      <c r="AL5" s="1475"/>
      <c r="AM5" s="1475"/>
      <c r="AN5" s="1475"/>
      <c r="AO5" s="1475"/>
      <c r="AP5" s="1475"/>
      <c r="AQ5" s="1475"/>
      <c r="AR5" s="1475"/>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c r="BO5" s="1475"/>
      <c r="BP5" s="1475"/>
      <c r="BQ5" s="1475"/>
      <c r="BR5" s="1475"/>
      <c r="BS5" s="1475"/>
      <c r="BT5" s="1475"/>
      <c r="BU5" s="1475"/>
      <c r="BV5" s="1475"/>
      <c r="BW5" s="1475"/>
      <c r="BX5" s="1475"/>
      <c r="BY5" s="1475"/>
      <c r="BZ5" s="1475"/>
    </row>
    <row r="6" spans="1:78">
      <c r="A6" s="1449"/>
      <c r="B6" s="1449"/>
      <c r="C6" s="1449"/>
      <c r="D6" s="1449"/>
      <c r="E6" s="1449"/>
      <c r="F6" s="1449"/>
      <c r="G6" s="1449"/>
      <c r="H6" s="1449"/>
      <c r="I6" s="1449"/>
      <c r="J6" s="2770" t="s">
        <v>1603</v>
      </c>
      <c r="K6" s="2771"/>
      <c r="L6" s="2772"/>
      <c r="M6" s="2773"/>
      <c r="N6" s="1449"/>
    </row>
    <row r="7" spans="1:78">
      <c r="A7" s="1449"/>
      <c r="B7" s="1451"/>
      <c r="C7" s="1449"/>
      <c r="D7" s="1449"/>
      <c r="E7" s="1449"/>
      <c r="F7" s="1449"/>
      <c r="G7" s="1449"/>
      <c r="H7" s="1449"/>
      <c r="I7" s="1449"/>
      <c r="J7" s="2771"/>
      <c r="K7" s="2771"/>
      <c r="L7" s="2774"/>
      <c r="M7" s="2773"/>
      <c r="N7" s="1449"/>
    </row>
    <row r="8" spans="1:78">
      <c r="A8" s="1449"/>
      <c r="B8" s="1451" t="s">
        <v>1604</v>
      </c>
      <c r="C8" s="1449"/>
      <c r="D8" s="1449"/>
      <c r="E8" s="1449"/>
      <c r="F8" s="1449"/>
      <c r="G8" s="1449"/>
      <c r="H8" s="1449"/>
      <c r="I8" s="1449"/>
      <c r="J8" s="2771"/>
      <c r="K8" s="2771"/>
      <c r="L8" s="2774"/>
      <c r="M8" s="2773"/>
      <c r="N8" s="1449"/>
    </row>
    <row r="9" spans="1:78" ht="81" customHeight="1">
      <c r="A9" s="1449"/>
      <c r="B9" s="2585" t="s">
        <v>2084</v>
      </c>
      <c r="C9" s="2585"/>
      <c r="D9" s="2585"/>
      <c r="E9" s="2585"/>
      <c r="F9" s="2585"/>
      <c r="G9" s="2585"/>
      <c r="H9" s="2585"/>
      <c r="I9" s="2585"/>
      <c r="J9" s="2775"/>
      <c r="K9" s="2775"/>
      <c r="L9" s="2776"/>
      <c r="M9" s="2776"/>
      <c r="N9" s="1452"/>
    </row>
    <row r="10" spans="1:78" ht="13.5" customHeight="1">
      <c r="A10" s="1449"/>
      <c r="B10" s="2585" t="s">
        <v>2017</v>
      </c>
      <c r="C10" s="2585"/>
      <c r="D10" s="2585"/>
      <c r="E10" s="2585"/>
      <c r="F10" s="2585"/>
      <c r="G10" s="2585"/>
      <c r="H10" s="2585"/>
      <c r="I10" s="2585"/>
      <c r="J10" s="1449"/>
      <c r="K10" s="1449"/>
      <c r="L10" s="1452"/>
      <c r="M10" s="1452"/>
      <c r="N10" s="1452"/>
    </row>
    <row r="11" spans="1:78" ht="13.5" customHeight="1">
      <c r="A11" s="1449"/>
      <c r="B11" s="2585" t="s">
        <v>2018</v>
      </c>
      <c r="C11" s="2585"/>
      <c r="D11" s="2585"/>
      <c r="E11" s="2585"/>
      <c r="F11" s="2585"/>
      <c r="G11" s="2585"/>
      <c r="H11" s="2585"/>
      <c r="I11" s="2585"/>
      <c r="J11" s="1449"/>
      <c r="K11" s="1449"/>
      <c r="L11" s="1452"/>
      <c r="M11" s="1452"/>
      <c r="N11" s="1452"/>
    </row>
    <row r="12" spans="1:78" ht="13.5" customHeight="1">
      <c r="A12" s="1449"/>
      <c r="B12" s="2585" t="s">
        <v>2019</v>
      </c>
      <c r="C12" s="2585"/>
      <c r="D12" s="2585"/>
      <c r="E12" s="2585"/>
      <c r="F12" s="2585"/>
      <c r="G12" s="2585"/>
      <c r="H12" s="2585"/>
      <c r="I12" s="2585"/>
      <c r="J12" s="1449"/>
      <c r="K12" s="1449"/>
      <c r="L12" s="1452"/>
      <c r="M12" s="1452"/>
      <c r="N12" s="1452"/>
    </row>
    <row r="13" spans="1:78" ht="13.5" customHeight="1">
      <c r="A13" s="1449"/>
      <c r="B13" s="2585" t="s">
        <v>2020</v>
      </c>
      <c r="C13" s="2585"/>
      <c r="D13" s="2585"/>
      <c r="E13" s="2585"/>
      <c r="F13" s="2585"/>
      <c r="G13" s="2585"/>
      <c r="H13" s="2585"/>
      <c r="I13" s="2585"/>
      <c r="J13" s="1449"/>
      <c r="K13" s="1449"/>
      <c r="L13" s="1452"/>
      <c r="M13" s="1452"/>
      <c r="N13" s="1452"/>
    </row>
    <row r="14" spans="1:78" ht="13.5" customHeight="1">
      <c r="A14" s="1449"/>
      <c r="B14" s="2585" t="s">
        <v>2021</v>
      </c>
      <c r="C14" s="2585"/>
      <c r="D14" s="2585"/>
      <c r="E14" s="2585"/>
      <c r="F14" s="2585"/>
      <c r="G14" s="2585"/>
      <c r="H14" s="2585"/>
      <c r="I14" s="2585"/>
      <c r="J14" s="1449"/>
      <c r="K14" s="1449"/>
      <c r="L14" s="1452"/>
      <c r="M14" s="1452"/>
      <c r="N14" s="1452"/>
    </row>
    <row r="15" spans="1:78" ht="13.5" customHeight="1">
      <c r="A15" s="1449"/>
      <c r="B15" s="2585" t="s">
        <v>2022</v>
      </c>
      <c r="C15" s="2585"/>
      <c r="D15" s="2585"/>
      <c r="E15" s="2585"/>
      <c r="F15" s="2585"/>
      <c r="G15" s="2585"/>
      <c r="H15" s="2585"/>
      <c r="I15" s="2585"/>
      <c r="J15" s="1449"/>
      <c r="K15" s="1449"/>
      <c r="L15" s="1452"/>
      <c r="M15" s="1452"/>
      <c r="N15" s="1452"/>
    </row>
    <row r="16" spans="1:78">
      <c r="A16" s="1449"/>
      <c r="B16" s="1449"/>
      <c r="C16" s="1449"/>
      <c r="D16" s="1449"/>
      <c r="E16" s="1449"/>
      <c r="F16" s="1449"/>
      <c r="G16" s="1449"/>
      <c r="H16" s="1449"/>
      <c r="I16" s="1449"/>
      <c r="J16" s="1449"/>
      <c r="K16" s="1449"/>
      <c r="L16" s="1452"/>
      <c r="M16" s="1452"/>
      <c r="N16" s="1452"/>
    </row>
    <row r="17" spans="1:14">
      <c r="A17" s="1449"/>
      <c r="B17" s="1451" t="s">
        <v>1607</v>
      </c>
      <c r="C17" s="1449"/>
      <c r="D17" s="1449"/>
      <c r="E17" s="1449"/>
      <c r="F17" s="1449"/>
      <c r="G17" s="1449"/>
      <c r="H17" s="1449"/>
      <c r="I17" s="1449"/>
      <c r="J17" s="1449"/>
      <c r="K17" s="1449"/>
      <c r="L17" s="1452"/>
      <c r="M17" s="1452"/>
      <c r="N17" s="1452"/>
    </row>
    <row r="18" spans="1:14">
      <c r="A18" s="1449"/>
      <c r="B18" s="1449" t="s">
        <v>1608</v>
      </c>
      <c r="C18" s="1449"/>
      <c r="D18" s="1449"/>
      <c r="E18" s="1449"/>
      <c r="F18" s="1449"/>
      <c r="G18" s="1449"/>
      <c r="H18" s="1449"/>
      <c r="I18" s="1449"/>
      <c r="J18" s="1449"/>
      <c r="K18" s="1449"/>
      <c r="L18" s="1452"/>
      <c r="M18" s="1452"/>
      <c r="N18" s="1452"/>
    </row>
    <row r="19" spans="1:14">
      <c r="A19" s="1449"/>
      <c r="B19" s="1455" t="s">
        <v>1674</v>
      </c>
      <c r="C19" s="1449"/>
      <c r="D19" s="1449"/>
      <c r="E19" s="1449"/>
      <c r="F19" s="1449"/>
      <c r="G19" s="1449"/>
      <c r="H19" s="1449"/>
      <c r="I19" s="1449"/>
      <c r="J19" s="1449"/>
      <c r="K19" s="1449"/>
      <c r="L19" s="1452"/>
      <c r="M19" s="1452"/>
      <c r="N19" s="1452"/>
    </row>
    <row r="20" spans="1:14">
      <c r="A20" s="1449"/>
      <c r="B20" s="1449" t="s">
        <v>2085</v>
      </c>
      <c r="C20" s="1449"/>
      <c r="D20" s="1449"/>
      <c r="E20" s="1449"/>
      <c r="F20" s="1449"/>
      <c r="G20" s="1449"/>
      <c r="H20" s="1449"/>
      <c r="I20" s="1449"/>
      <c r="J20" s="1449"/>
      <c r="K20" s="1449"/>
      <c r="L20" s="1452"/>
      <c r="M20" s="1452"/>
      <c r="N20" s="1452"/>
    </row>
    <row r="21" spans="1:14">
      <c r="A21" s="1449"/>
      <c r="B21" s="1449" t="s">
        <v>2086</v>
      </c>
      <c r="C21" s="1449"/>
      <c r="D21" s="1449"/>
      <c r="E21" s="1449"/>
      <c r="F21" s="1449"/>
      <c r="G21" s="1449"/>
      <c r="H21" s="1449"/>
      <c r="I21" s="1449"/>
      <c r="J21" s="1449"/>
      <c r="K21" s="1449"/>
      <c r="L21" s="1452"/>
      <c r="M21" s="1452"/>
      <c r="N21" s="1452"/>
    </row>
    <row r="22" spans="1:14">
      <c r="A22" s="1449"/>
      <c r="B22" s="1449" t="s">
        <v>2087</v>
      </c>
      <c r="C22" s="1449"/>
      <c r="D22" s="1449"/>
      <c r="E22" s="1449"/>
      <c r="F22" s="1449"/>
      <c r="G22" s="1449"/>
      <c r="H22" s="1449"/>
      <c r="I22" s="1449"/>
      <c r="J22" s="1449"/>
      <c r="K22" s="1449"/>
      <c r="L22" s="1449"/>
      <c r="M22" s="1449"/>
      <c r="N22" s="1449"/>
    </row>
    <row r="23" spans="1:14">
      <c r="A23" s="1449"/>
      <c r="B23" s="1449" t="s">
        <v>2088</v>
      </c>
      <c r="C23" s="1449"/>
      <c r="D23" s="1449"/>
      <c r="E23" s="1449"/>
      <c r="F23" s="1449"/>
      <c r="G23" s="1449"/>
      <c r="H23" s="1449"/>
      <c r="I23" s="1449"/>
      <c r="J23" s="1449"/>
      <c r="K23" s="1449"/>
      <c r="L23" s="1449"/>
      <c r="M23" s="1449"/>
      <c r="N23" s="1449"/>
    </row>
    <row r="24" spans="1:14">
      <c r="A24" s="1449"/>
      <c r="B24" s="1449" t="s">
        <v>2089</v>
      </c>
      <c r="C24" s="1449"/>
      <c r="D24" s="1449"/>
      <c r="E24" s="1449"/>
      <c r="F24" s="1449"/>
      <c r="G24" s="1449"/>
      <c r="H24" s="1449"/>
      <c r="I24" s="1449"/>
      <c r="J24" s="1449"/>
      <c r="K24" s="1449"/>
      <c r="L24" s="1449"/>
      <c r="M24" s="1449"/>
      <c r="N24" s="1449"/>
    </row>
    <row r="25" spans="1:14">
      <c r="A25" s="1449"/>
      <c r="B25" s="1449" t="s">
        <v>2090</v>
      </c>
      <c r="C25" s="1449"/>
      <c r="D25" s="1449"/>
      <c r="E25" s="1449"/>
      <c r="F25" s="1449"/>
      <c r="G25" s="1449"/>
      <c r="H25" s="1449"/>
      <c r="I25" s="1449"/>
      <c r="J25" s="1449"/>
      <c r="K25" s="1449"/>
      <c r="L25" s="1449"/>
      <c r="M25" s="1449"/>
      <c r="N25" s="1449"/>
    </row>
    <row r="26" spans="1:14">
      <c r="A26" s="1449"/>
      <c r="B26" s="1449" t="s">
        <v>2091</v>
      </c>
      <c r="C26" s="1449"/>
      <c r="D26" s="1449"/>
      <c r="E26" s="1449"/>
      <c r="F26" s="1449"/>
      <c r="G26" s="1449"/>
      <c r="H26" s="1449"/>
      <c r="I26" s="1449"/>
      <c r="J26" s="1449"/>
      <c r="K26" s="1449"/>
      <c r="L26" s="1449"/>
      <c r="M26" s="1449"/>
      <c r="N26" s="1449"/>
    </row>
    <row r="27" spans="1:14">
      <c r="A27" s="1449"/>
      <c r="B27" s="1449" t="s">
        <v>2092</v>
      </c>
      <c r="C27" s="1449"/>
      <c r="D27" s="1449"/>
      <c r="E27" s="1449"/>
      <c r="F27" s="1449"/>
      <c r="G27" s="1449"/>
      <c r="H27" s="1449"/>
      <c r="I27" s="1449"/>
      <c r="J27" s="1449"/>
      <c r="K27" s="1449"/>
      <c r="L27" s="1449"/>
      <c r="M27" s="1449"/>
      <c r="N27" s="1449"/>
    </row>
    <row r="28" spans="1:14">
      <c r="A28" s="1449"/>
      <c r="B28" s="1455" t="s">
        <v>2093</v>
      </c>
      <c r="C28" s="1449"/>
      <c r="D28" s="1449"/>
      <c r="E28" s="1449"/>
      <c r="F28" s="1449"/>
      <c r="G28" s="1449"/>
      <c r="H28" s="1449"/>
      <c r="I28" s="1449"/>
      <c r="J28" s="1449"/>
      <c r="K28" s="1449"/>
      <c r="L28" s="1449"/>
      <c r="M28" s="1449"/>
      <c r="N28" s="1449"/>
    </row>
    <row r="29" spans="1:14">
      <c r="A29" s="1449"/>
      <c r="B29" s="1449"/>
      <c r="C29" s="1449"/>
      <c r="D29" s="1449"/>
      <c r="E29" s="1449"/>
      <c r="F29" s="1449"/>
      <c r="G29" s="1449"/>
      <c r="H29" s="1449"/>
      <c r="I29" s="1449"/>
      <c r="J29" s="1449"/>
      <c r="K29" s="1449"/>
      <c r="L29" s="1449"/>
      <c r="M29" s="1449"/>
      <c r="N29" s="1449"/>
    </row>
    <row r="30" spans="1:14">
      <c r="A30" s="1449"/>
      <c r="B30" s="1454" t="s">
        <v>1611</v>
      </c>
      <c r="C30" s="1449"/>
      <c r="D30" s="1449"/>
      <c r="E30" s="1449"/>
      <c r="F30" s="1449"/>
      <c r="G30" s="1449"/>
      <c r="H30" s="1582"/>
      <c r="I30" s="1449"/>
      <c r="J30" s="1449"/>
      <c r="K30" s="1449"/>
      <c r="L30" s="1449"/>
      <c r="M30" s="1449"/>
      <c r="N30" s="1449"/>
    </row>
    <row r="31" spans="1:14" ht="53.25" customHeight="1">
      <c r="A31" s="1449"/>
      <c r="B31" s="2585" t="s">
        <v>2071</v>
      </c>
      <c r="C31" s="2585"/>
      <c r="D31" s="2585"/>
      <c r="E31" s="2585"/>
      <c r="F31" s="2585"/>
      <c r="G31" s="2585"/>
      <c r="H31" s="2585"/>
      <c r="I31" s="2585"/>
      <c r="J31" s="2585"/>
      <c r="K31" s="2585"/>
      <c r="L31" s="1449"/>
      <c r="M31" s="1449"/>
      <c r="N31" s="1449"/>
    </row>
    <row r="32" spans="1:14" ht="39.75" customHeight="1">
      <c r="A32" s="1449"/>
      <c r="B32" s="2585" t="s">
        <v>2094</v>
      </c>
      <c r="C32" s="2585"/>
      <c r="D32" s="2585"/>
      <c r="E32" s="2585"/>
      <c r="F32" s="2585"/>
      <c r="G32" s="2585"/>
      <c r="H32" s="2585"/>
      <c r="I32" s="2585"/>
      <c r="J32" s="2585"/>
      <c r="K32" s="2585"/>
      <c r="L32" s="1449"/>
      <c r="M32" s="1449"/>
      <c r="N32" s="1449"/>
    </row>
    <row r="33" spans="1:78" ht="81" customHeight="1">
      <c r="A33" s="1449"/>
      <c r="B33" s="2585" t="s">
        <v>2095</v>
      </c>
      <c r="C33" s="2585"/>
      <c r="D33" s="2585"/>
      <c r="E33" s="2585"/>
      <c r="F33" s="2585"/>
      <c r="G33" s="2585"/>
      <c r="H33" s="2585"/>
      <c r="I33" s="2585"/>
      <c r="J33" s="2585"/>
      <c r="K33" s="2585"/>
      <c r="L33" s="1449"/>
      <c r="M33" s="1449"/>
      <c r="N33" s="1449"/>
    </row>
    <row r="34" spans="1:78" ht="16.5" customHeight="1">
      <c r="A34" s="1449"/>
      <c r="B34" s="2644" t="s">
        <v>1694</v>
      </c>
      <c r="C34" s="2585"/>
      <c r="D34" s="2585"/>
      <c r="E34" s="2585"/>
      <c r="F34" s="2585"/>
      <c r="G34" s="2585"/>
      <c r="H34" s="2585"/>
      <c r="I34" s="2585"/>
      <c r="J34" s="1449"/>
      <c r="K34" s="1449"/>
      <c r="L34" s="1449"/>
      <c r="M34" s="1449"/>
      <c r="N34" s="1449"/>
    </row>
    <row r="35" spans="1:78" ht="17.25" customHeight="1">
      <c r="A35" s="1449"/>
      <c r="B35" s="2585" t="s">
        <v>2074</v>
      </c>
      <c r="C35" s="2585"/>
      <c r="D35" s="2585"/>
      <c r="E35" s="2585"/>
      <c r="F35" s="2585"/>
      <c r="G35" s="2585"/>
      <c r="H35" s="2585"/>
      <c r="I35" s="2585"/>
      <c r="J35" s="2585"/>
      <c r="K35" s="2585"/>
      <c r="L35" s="1449"/>
      <c r="M35" s="1449"/>
      <c r="N35" s="1449"/>
    </row>
    <row r="36" spans="1:78" ht="66.75" customHeight="1">
      <c r="A36" s="1449"/>
      <c r="B36" s="2662" t="s">
        <v>2096</v>
      </c>
      <c r="C36" s="2662"/>
      <c r="D36" s="2662"/>
      <c r="E36" s="2662"/>
      <c r="F36" s="2662"/>
      <c r="G36" s="2662"/>
      <c r="H36" s="2662"/>
      <c r="I36" s="2662"/>
      <c r="J36" s="2662"/>
      <c r="K36" s="2662"/>
      <c r="L36" s="1449"/>
      <c r="M36" s="1449"/>
      <c r="N36" s="1449"/>
    </row>
    <row r="37" spans="1:78" ht="81.75" customHeight="1">
      <c r="A37" s="953"/>
      <c r="B37" s="1590" t="s">
        <v>1617</v>
      </c>
      <c r="C37" s="1463"/>
      <c r="D37" s="1463"/>
      <c r="E37" s="1463"/>
      <c r="F37" s="1463"/>
      <c r="G37" s="1463"/>
      <c r="H37" s="1463" t="s">
        <v>1626</v>
      </c>
      <c r="I37" s="1463" t="s">
        <v>1703</v>
      </c>
      <c r="J37" s="1465" t="s">
        <v>1628</v>
      </c>
      <c r="N37" s="953"/>
      <c r="O37" s="953"/>
      <c r="P37" s="953"/>
      <c r="Q37" s="953"/>
      <c r="R37" s="953"/>
      <c r="S37" s="953"/>
      <c r="T37" s="953"/>
      <c r="U37" s="953"/>
      <c r="V37" s="953"/>
      <c r="W37" s="953"/>
      <c r="X37" s="953"/>
      <c r="Y37" s="953"/>
      <c r="Z37" s="953"/>
      <c r="AA37" s="953"/>
      <c r="AB37" s="953"/>
      <c r="AC37" s="953"/>
      <c r="AD37" s="953"/>
      <c r="AE37" s="953"/>
      <c r="AF37" s="953"/>
      <c r="AG37" s="953"/>
      <c r="AH37" s="953"/>
      <c r="AI37" s="953"/>
      <c r="AJ37" s="953"/>
      <c r="AK37" s="953"/>
      <c r="AL37" s="953"/>
      <c r="AM37" s="953"/>
      <c r="AN37" s="953"/>
      <c r="AO37" s="953"/>
      <c r="AP37" s="953"/>
      <c r="AQ37" s="953"/>
      <c r="AR37" s="953"/>
      <c r="AS37" s="953"/>
      <c r="AT37" s="953"/>
      <c r="AU37" s="953"/>
      <c r="AV37" s="953"/>
      <c r="AW37" s="953"/>
      <c r="AX37" s="953"/>
      <c r="AY37" s="953"/>
      <c r="AZ37" s="953"/>
      <c r="BA37" s="953"/>
      <c r="BB37" s="953"/>
      <c r="BC37" s="953"/>
      <c r="BD37" s="953"/>
      <c r="BE37" s="953"/>
      <c r="BF37" s="953"/>
      <c r="BG37" s="953"/>
      <c r="BH37" s="953"/>
      <c r="BI37" s="953"/>
      <c r="BJ37" s="953"/>
      <c r="BK37" s="953"/>
      <c r="BL37" s="953"/>
      <c r="BM37" s="953"/>
      <c r="BN37" s="953"/>
      <c r="BO37" s="953"/>
      <c r="BP37" s="953"/>
      <c r="BQ37" s="953"/>
      <c r="BR37" s="953"/>
      <c r="BS37" s="953"/>
      <c r="BT37" s="953"/>
      <c r="BU37" s="953"/>
      <c r="BV37" s="953"/>
      <c r="BW37" s="953"/>
      <c r="BX37" s="953"/>
      <c r="BY37" s="953"/>
      <c r="BZ37" s="953"/>
    </row>
    <row r="38" spans="1:78" ht="109.5" customHeight="1">
      <c r="A38" s="953"/>
      <c r="B38" s="2575" t="s">
        <v>2097</v>
      </c>
      <c r="C38" s="2589"/>
      <c r="D38" s="2589"/>
      <c r="E38" s="2589"/>
      <c r="F38" s="2589"/>
      <c r="G38" s="2647"/>
      <c r="H38" s="1267"/>
      <c r="I38" s="1284"/>
      <c r="J38" s="1121"/>
      <c r="N38" s="953"/>
      <c r="O38" s="953"/>
      <c r="P38" s="953"/>
      <c r="Q38" s="953"/>
      <c r="R38" s="953"/>
      <c r="S38" s="953"/>
      <c r="T38" s="953"/>
      <c r="U38" s="953"/>
      <c r="V38" s="953"/>
      <c r="W38" s="953"/>
      <c r="X38" s="953"/>
      <c r="Y38" s="953"/>
      <c r="Z38" s="953"/>
      <c r="AA38" s="953"/>
      <c r="AB38" s="953"/>
      <c r="AC38" s="953"/>
      <c r="AD38" s="953"/>
      <c r="AE38" s="953"/>
      <c r="AF38" s="953"/>
      <c r="AG38" s="953"/>
      <c r="AH38" s="953"/>
      <c r="AI38" s="953"/>
      <c r="AJ38" s="953"/>
      <c r="AK38" s="953"/>
      <c r="AL38" s="953"/>
      <c r="AM38" s="953"/>
      <c r="AN38" s="953"/>
      <c r="AO38" s="953"/>
      <c r="AP38" s="953"/>
      <c r="AQ38" s="953"/>
      <c r="AR38" s="953"/>
      <c r="AS38" s="953"/>
      <c r="AT38" s="953"/>
      <c r="AU38" s="953"/>
      <c r="AV38" s="953"/>
      <c r="AW38" s="953"/>
      <c r="AX38" s="953"/>
      <c r="AY38" s="953"/>
      <c r="AZ38" s="953"/>
      <c r="BA38" s="953"/>
      <c r="BB38" s="953"/>
      <c r="BC38" s="953"/>
      <c r="BD38" s="953"/>
      <c r="BE38" s="953"/>
      <c r="BF38" s="953"/>
      <c r="BG38" s="953"/>
      <c r="BH38" s="953"/>
      <c r="BI38" s="953"/>
      <c r="BJ38" s="953"/>
      <c r="BK38" s="953"/>
      <c r="BL38" s="953"/>
      <c r="BM38" s="953"/>
      <c r="BN38" s="953"/>
      <c r="BO38" s="953"/>
      <c r="BP38" s="953"/>
      <c r="BQ38" s="953"/>
      <c r="BR38" s="953"/>
      <c r="BS38" s="953"/>
      <c r="BT38" s="953"/>
      <c r="BU38" s="953"/>
      <c r="BV38" s="953"/>
      <c r="BW38" s="953"/>
      <c r="BX38" s="953"/>
      <c r="BY38" s="953"/>
      <c r="BZ38" s="953"/>
    </row>
    <row r="39" spans="1:78" s="1520" customFormat="1" ht="15.75" customHeight="1">
      <c r="A39" s="1648"/>
      <c r="B39" s="1538"/>
      <c r="C39" s="1538"/>
      <c r="D39" s="1538"/>
      <c r="E39" s="1538"/>
      <c r="F39" s="1538"/>
      <c r="G39" s="1538"/>
      <c r="H39" s="1539"/>
      <c r="I39" s="1539"/>
      <c r="J39" s="1450"/>
      <c r="K39" s="1450"/>
      <c r="L39" s="1538"/>
      <c r="M39" s="1538"/>
      <c r="N39" s="1538"/>
      <c r="O39" s="1450"/>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c r="AN39" s="1564"/>
      <c r="AO39" s="1564"/>
      <c r="AP39" s="1564"/>
      <c r="AQ39" s="1564"/>
      <c r="AR39" s="1564"/>
      <c r="AS39" s="1564"/>
      <c r="AT39" s="1564"/>
      <c r="AU39" s="1564"/>
      <c r="AV39" s="1564"/>
      <c r="AW39" s="1564"/>
      <c r="AX39" s="1564"/>
      <c r="AY39" s="1564"/>
      <c r="AZ39" s="1564"/>
      <c r="BA39" s="1564"/>
      <c r="BB39" s="1564"/>
      <c r="BC39" s="1564"/>
      <c r="BD39" s="1564"/>
      <c r="BE39" s="1564"/>
      <c r="BF39" s="1564"/>
      <c r="BG39" s="1564"/>
      <c r="BH39" s="1564"/>
      <c r="BI39" s="1564"/>
      <c r="BJ39" s="1564"/>
      <c r="BK39" s="1564"/>
      <c r="BL39" s="1564"/>
      <c r="BM39" s="1564"/>
      <c r="BN39" s="1564"/>
      <c r="BO39" s="1564"/>
      <c r="BP39" s="1564"/>
      <c r="BQ39" s="1564"/>
      <c r="BR39" s="1564"/>
      <c r="BS39" s="1564"/>
      <c r="BT39" s="1564"/>
      <c r="BU39" s="1564"/>
      <c r="BV39" s="1564"/>
      <c r="BW39" s="1564"/>
      <c r="BX39" s="1564"/>
      <c r="BY39" s="1564"/>
      <c r="BZ39" s="1564"/>
    </row>
    <row r="40" spans="1:78" s="1520" customFormat="1" ht="81.75" customHeight="1">
      <c r="A40" s="1450"/>
      <c r="B40" s="1463" t="s">
        <v>1633</v>
      </c>
      <c r="C40" s="2639" t="s">
        <v>1619</v>
      </c>
      <c r="D40" s="2639"/>
      <c r="E40" s="2639"/>
      <c r="F40" s="2639"/>
      <c r="G40" s="2639"/>
      <c r="H40" s="1463" t="s">
        <v>1626</v>
      </c>
      <c r="I40" s="1463" t="s">
        <v>1703</v>
      </c>
      <c r="J40" s="1465" t="s">
        <v>1628</v>
      </c>
      <c r="K40" s="1465" t="s">
        <v>1629</v>
      </c>
      <c r="L40" s="2704" t="s">
        <v>1630</v>
      </c>
      <c r="M40" s="2704"/>
      <c r="N40" s="1463"/>
      <c r="O40" s="1450"/>
      <c r="P40" s="1439"/>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c r="AN40" s="1564"/>
      <c r="AO40" s="1564"/>
      <c r="AP40" s="1564"/>
      <c r="AQ40" s="1564"/>
      <c r="AR40" s="1564"/>
      <c r="AS40" s="1564"/>
      <c r="AT40" s="1564"/>
      <c r="AU40" s="1564"/>
      <c r="AV40" s="1564"/>
      <c r="AW40" s="1564"/>
      <c r="AX40" s="1564"/>
      <c r="AY40" s="1564"/>
      <c r="AZ40" s="1564"/>
      <c r="BA40" s="1564"/>
      <c r="BB40" s="1564"/>
      <c r="BC40" s="1564"/>
      <c r="BD40" s="1564"/>
      <c r="BE40" s="1564"/>
      <c r="BF40" s="1564"/>
      <c r="BG40" s="1564"/>
      <c r="BH40" s="1564"/>
      <c r="BI40" s="1564"/>
      <c r="BJ40" s="1564"/>
      <c r="BK40" s="1564"/>
      <c r="BL40" s="1564"/>
      <c r="BM40" s="1564"/>
      <c r="BN40" s="1564"/>
      <c r="BO40" s="1564"/>
      <c r="BP40" s="1564"/>
      <c r="BQ40" s="1564"/>
      <c r="BR40" s="1564"/>
      <c r="BS40" s="1564"/>
      <c r="BT40" s="1564"/>
      <c r="BU40" s="1564"/>
      <c r="BV40" s="1564"/>
      <c r="BW40" s="1564"/>
      <c r="BX40" s="1564"/>
      <c r="BY40" s="1564"/>
      <c r="BZ40" s="1564"/>
    </row>
    <row r="41" spans="1:78" s="1520" customFormat="1" ht="172.5" customHeight="1">
      <c r="A41" s="1649"/>
      <c r="B41" s="1642" t="s">
        <v>2077</v>
      </c>
      <c r="C41" s="2595" t="str">
        <f>IF('Project Info'!C4='Project Info'!P32,'Mod Prescriptive Path Checklist'!C118&amp;"
Specific apartment air leakage paths to be sealed are listed in the ENERGY STAR Multifamily High Rise T&amp;V Worksheet 8.1-INF_COMPTZN VIS INSPECTION",IF('Project Info'!C4='Project Info'!P33,#REF!&amp;"
Specific apartment air leakage paths to be sealed are listed in the ENERGY STAR Multifamily High Rise T&amp;V Worksheet 8.1-INF_COMPTZN VIS INSPECTION","&lt;Select compliance path on the 'Project Info' tab&gt;"))</f>
        <v>Apartments shall be sealed to reduce air exchange between the apartment and outside as well as the apartment and other adjacent spaces.  A maximum air leakage rate of 0.30 CFM50 per square feet of enclosure is allowed.
Specific apartment air leakage paths to be sealed are listed in the ENERGY STAR Multifamily High Rise T&amp;V Worksheet 8.1-INF_COMPTZN VIS INSPECTION</v>
      </c>
      <c r="D41" s="2597"/>
      <c r="E41" s="2597"/>
      <c r="F41" s="2597"/>
      <c r="G41" s="2638"/>
      <c r="H41" s="1284"/>
      <c r="I41" s="1284"/>
      <c r="J41" s="1121"/>
      <c r="K41" s="1270"/>
      <c r="L41" s="2570"/>
      <c r="M41" s="2769"/>
      <c r="N41" s="1538"/>
      <c r="O41" s="1564"/>
      <c r="P41" s="1439"/>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c r="AN41" s="1564"/>
      <c r="AO41" s="1564"/>
      <c r="AP41" s="1564"/>
      <c r="AQ41" s="1564"/>
      <c r="AR41" s="1564"/>
      <c r="AS41" s="1564"/>
      <c r="AT41" s="1564"/>
      <c r="AU41" s="1564"/>
      <c r="AV41" s="1564"/>
      <c r="AW41" s="1564"/>
      <c r="AX41" s="1564"/>
      <c r="AY41" s="1564"/>
      <c r="AZ41" s="1564"/>
      <c r="BA41" s="1564"/>
      <c r="BB41" s="1564"/>
      <c r="BC41" s="1564"/>
      <c r="BD41" s="1564"/>
      <c r="BE41" s="1564"/>
      <c r="BF41" s="1564"/>
      <c r="BG41" s="1564"/>
      <c r="BH41" s="1564"/>
      <c r="BI41" s="1564"/>
      <c r="BJ41" s="1564"/>
      <c r="BK41" s="1564"/>
      <c r="BL41" s="1564"/>
      <c r="BM41" s="1564"/>
      <c r="BN41" s="1564"/>
      <c r="BO41" s="1564"/>
      <c r="BP41" s="1564"/>
      <c r="BQ41" s="1564"/>
      <c r="BR41" s="1564"/>
      <c r="BS41" s="1564"/>
      <c r="BT41" s="1564"/>
      <c r="BU41" s="1564"/>
      <c r="BV41" s="1564"/>
      <c r="BW41" s="1564"/>
      <c r="BX41" s="1564"/>
      <c r="BY41" s="1564"/>
      <c r="BZ41" s="1564"/>
    </row>
    <row r="42" spans="1:78" ht="208.5" customHeight="1">
      <c r="A42" s="1497"/>
      <c r="B42" s="2588" t="s">
        <v>2098</v>
      </c>
      <c r="C42" s="2589"/>
      <c r="D42" s="2589"/>
      <c r="E42" s="2589"/>
      <c r="F42" s="2589"/>
      <c r="G42" s="2589"/>
      <c r="H42" s="2675"/>
      <c r="I42" s="2675"/>
      <c r="J42" s="2656"/>
      <c r="K42" s="1270"/>
      <c r="L42" s="2570"/>
      <c r="M42" s="2769"/>
      <c r="N42" s="1566"/>
    </row>
    <row r="43" spans="1:78" ht="146.25" customHeight="1">
      <c r="A43" s="1497"/>
      <c r="B43" s="2588" t="s">
        <v>2099</v>
      </c>
      <c r="C43" s="2589"/>
      <c r="D43" s="2589"/>
      <c r="E43" s="2589"/>
      <c r="F43" s="2589"/>
      <c r="G43" s="2589"/>
      <c r="H43" s="2675"/>
      <c r="I43" s="2675"/>
      <c r="J43" s="2656"/>
      <c r="K43" s="1270"/>
      <c r="L43" s="2570"/>
      <c r="M43" s="2769"/>
      <c r="N43" s="1566"/>
    </row>
    <row r="44" spans="1:78" ht="230.25" customHeight="1">
      <c r="A44" s="1497"/>
      <c r="B44" s="2588" t="s">
        <v>2100</v>
      </c>
      <c r="C44" s="2589"/>
      <c r="D44" s="2589"/>
      <c r="E44" s="2589"/>
      <c r="F44" s="2589"/>
      <c r="G44" s="2589"/>
      <c r="H44" s="2675"/>
      <c r="I44" s="2675"/>
      <c r="J44" s="2656"/>
      <c r="K44" s="1270"/>
      <c r="L44" s="2570"/>
      <c r="M44" s="2769"/>
      <c r="N44" s="1566"/>
    </row>
    <row r="45" spans="1:78" s="1460" customFormat="1" ht="15.75" customHeight="1">
      <c r="A45" s="1449"/>
      <c r="B45" s="1650"/>
      <c r="C45" s="1650"/>
      <c r="D45" s="1650"/>
      <c r="E45" s="1650"/>
      <c r="F45" s="1650"/>
      <c r="G45" s="1650"/>
      <c r="H45" s="1650"/>
      <c r="I45" s="1650"/>
      <c r="J45" s="1650"/>
      <c r="K45" s="1650"/>
      <c r="L45" s="1650"/>
      <c r="M45" s="1650"/>
      <c r="N45" s="1651"/>
      <c r="O45" s="1511"/>
      <c r="P45" s="1378"/>
      <c r="Q45" s="1449"/>
      <c r="R45" s="1449"/>
      <c r="S45" s="1449"/>
      <c r="T45" s="1449"/>
      <c r="U45" s="1449"/>
      <c r="V45" s="1449"/>
      <c r="W45" s="1449"/>
      <c r="X45" s="1449"/>
      <c r="Y45" s="1449"/>
      <c r="Z45" s="1449"/>
      <c r="AA45" s="1449"/>
      <c r="AB45" s="1449"/>
      <c r="AC45" s="1449"/>
      <c r="AD45" s="1449"/>
      <c r="AE45" s="1449"/>
      <c r="AF45" s="1449"/>
      <c r="AG45" s="1449"/>
      <c r="AH45" s="1449"/>
      <c r="AI45" s="1449"/>
      <c r="AJ45" s="1449"/>
      <c r="AK45" s="1449"/>
      <c r="AL45" s="1449"/>
      <c r="AM45" s="1449"/>
      <c r="AN45" s="1449"/>
      <c r="AO45" s="1449"/>
      <c r="AP45" s="1449"/>
      <c r="AQ45" s="1449"/>
      <c r="AR45" s="1449"/>
      <c r="AS45" s="1449"/>
      <c r="AT45" s="1449"/>
      <c r="AU45" s="1449"/>
      <c r="AV45" s="1449"/>
      <c r="AW45" s="1449"/>
      <c r="AX45" s="1449"/>
      <c r="AY45" s="1449"/>
      <c r="AZ45" s="1449"/>
      <c r="BA45" s="1449"/>
      <c r="BB45" s="1449"/>
      <c r="BC45" s="1449"/>
      <c r="BD45" s="1449"/>
      <c r="BE45" s="1449"/>
      <c r="BF45" s="1449"/>
      <c r="BG45" s="1449"/>
      <c r="BH45" s="1449"/>
      <c r="BI45" s="1449"/>
      <c r="BJ45" s="1449"/>
      <c r="BK45" s="1449"/>
      <c r="BL45" s="1449"/>
      <c r="BM45" s="1449"/>
      <c r="BN45" s="1449"/>
      <c r="BO45" s="1449"/>
      <c r="BP45" s="1449"/>
      <c r="BQ45" s="1449"/>
      <c r="BR45" s="1449"/>
      <c r="BS45" s="1449"/>
      <c r="BT45" s="1449"/>
      <c r="BU45" s="1449"/>
      <c r="BV45" s="1449"/>
      <c r="BW45" s="1449"/>
      <c r="BX45" s="1449"/>
      <c r="BY45" s="1449"/>
      <c r="BZ45" s="1449"/>
    </row>
    <row r="46" spans="1:78" s="1460" customFormat="1" ht="15.75" customHeight="1">
      <c r="A46" s="1449"/>
      <c r="B46" s="1652" t="s">
        <v>2101</v>
      </c>
      <c r="C46" s="1650"/>
      <c r="D46" s="1650"/>
      <c r="E46" s="1650"/>
      <c r="F46" s="1650"/>
      <c r="G46" s="1650"/>
      <c r="H46" s="1650"/>
      <c r="I46" s="1650"/>
      <c r="J46" s="1650"/>
      <c r="K46" s="1650"/>
      <c r="L46" s="1650"/>
      <c r="M46" s="1650"/>
      <c r="N46" s="1651"/>
      <c r="O46" s="1511"/>
      <c r="P46" s="1378"/>
      <c r="Q46" s="1449"/>
      <c r="R46" s="1449"/>
      <c r="S46" s="1449"/>
      <c r="T46" s="1449"/>
      <c r="U46" s="1449"/>
      <c r="V46" s="1449"/>
      <c r="W46" s="1449"/>
      <c r="X46" s="1449"/>
      <c r="Y46" s="1449"/>
      <c r="Z46" s="1449"/>
      <c r="AA46" s="1449"/>
      <c r="AB46" s="1449"/>
      <c r="AC46" s="1449"/>
      <c r="AD46" s="1449"/>
      <c r="AE46" s="1449"/>
      <c r="AF46" s="1449"/>
      <c r="AG46" s="1449"/>
      <c r="AH46" s="1449"/>
      <c r="AI46" s="1449"/>
      <c r="AJ46" s="1449"/>
      <c r="AK46" s="1449"/>
      <c r="AL46" s="1449"/>
      <c r="AM46" s="1449"/>
      <c r="AN46" s="1449"/>
      <c r="AO46" s="1449"/>
      <c r="AP46" s="1449"/>
      <c r="AQ46" s="1449"/>
      <c r="AR46" s="1449"/>
      <c r="AS46" s="1449"/>
      <c r="AT46" s="1449"/>
      <c r="AU46" s="1449"/>
      <c r="AV46" s="1449"/>
      <c r="AW46" s="1449"/>
      <c r="AX46" s="1449"/>
      <c r="AY46" s="1449"/>
      <c r="AZ46" s="1449"/>
      <c r="BA46" s="1449"/>
      <c r="BB46" s="1449"/>
      <c r="BC46" s="1449"/>
      <c r="BD46" s="1449"/>
      <c r="BE46" s="1449"/>
      <c r="BF46" s="1449"/>
      <c r="BG46" s="1449"/>
      <c r="BH46" s="1449"/>
      <c r="BI46" s="1449"/>
      <c r="BJ46" s="1449"/>
      <c r="BK46" s="1449"/>
      <c r="BL46" s="1449"/>
      <c r="BM46" s="1449"/>
      <c r="BN46" s="1449"/>
      <c r="BO46" s="1449"/>
      <c r="BP46" s="1449"/>
      <c r="BQ46" s="1449"/>
      <c r="BR46" s="1449"/>
      <c r="BS46" s="1449"/>
      <c r="BT46" s="1449"/>
      <c r="BU46" s="1449"/>
      <c r="BV46" s="1449"/>
      <c r="BW46" s="1449"/>
      <c r="BX46" s="1449"/>
      <c r="BY46" s="1449"/>
      <c r="BZ46" s="1449"/>
    </row>
    <row r="47" spans="1:78" s="1460" customFormat="1" ht="15.75" customHeight="1">
      <c r="A47" s="1449"/>
      <c r="B47" s="1653"/>
      <c r="C47" s="1653"/>
      <c r="D47" s="1653"/>
      <c r="E47" s="1653"/>
      <c r="F47" s="1653"/>
      <c r="G47" s="1653"/>
      <c r="H47" s="1653"/>
      <c r="I47" s="1653"/>
      <c r="J47" s="1653"/>
      <c r="K47" s="1653"/>
      <c r="L47" s="1653"/>
      <c r="M47" s="1653"/>
      <c r="N47" s="1651"/>
      <c r="O47" s="1511"/>
      <c r="P47" s="1378"/>
      <c r="Q47" s="1449"/>
      <c r="R47" s="1449"/>
      <c r="S47" s="1449"/>
      <c r="T47" s="1449"/>
      <c r="U47" s="1449"/>
      <c r="V47" s="1449"/>
      <c r="W47" s="1449"/>
      <c r="X47" s="1449"/>
      <c r="Y47" s="1449"/>
      <c r="Z47" s="1449"/>
      <c r="AA47" s="1449"/>
      <c r="AB47" s="1449"/>
      <c r="AC47" s="1449"/>
      <c r="AD47" s="1449"/>
      <c r="AE47" s="1449"/>
      <c r="AF47" s="1449"/>
      <c r="AG47" s="1449"/>
      <c r="AH47" s="1449"/>
      <c r="AI47" s="1449"/>
      <c r="AJ47" s="1449"/>
      <c r="AK47" s="1449"/>
      <c r="AL47" s="1449"/>
      <c r="AM47" s="1449"/>
      <c r="AN47" s="1449"/>
      <c r="AO47" s="1449"/>
      <c r="AP47" s="1449"/>
      <c r="AQ47" s="1449"/>
      <c r="AR47" s="1449"/>
      <c r="AS47" s="1449"/>
      <c r="AT47" s="1449"/>
      <c r="AU47" s="1449"/>
      <c r="AV47" s="1449"/>
      <c r="AW47" s="1449"/>
      <c r="AX47" s="1449"/>
      <c r="AY47" s="1449"/>
      <c r="AZ47" s="1449"/>
      <c r="BA47" s="1449"/>
      <c r="BB47" s="1449"/>
      <c r="BC47" s="1449"/>
      <c r="BD47" s="1449"/>
      <c r="BE47" s="1449"/>
      <c r="BF47" s="1449"/>
      <c r="BG47" s="1449"/>
      <c r="BH47" s="1449"/>
      <c r="BI47" s="1449"/>
      <c r="BJ47" s="1449"/>
      <c r="BK47" s="1449"/>
      <c r="BL47" s="1449"/>
      <c r="BM47" s="1449"/>
      <c r="BN47" s="1449"/>
      <c r="BO47" s="1449"/>
      <c r="BP47" s="1449"/>
      <c r="BQ47" s="1449"/>
      <c r="BR47" s="1449"/>
      <c r="BS47" s="1449"/>
      <c r="BT47" s="1449"/>
      <c r="BU47" s="1449"/>
      <c r="BV47" s="1449"/>
      <c r="BW47" s="1449"/>
      <c r="BX47" s="1449"/>
      <c r="BY47" s="1449"/>
      <c r="BZ47" s="1449"/>
    </row>
    <row r="48" spans="1:78" s="1460" customFormat="1" ht="91.5" customHeight="1">
      <c r="A48" s="1453"/>
      <c r="B48" s="1654" t="s">
        <v>2102</v>
      </c>
      <c r="C48" s="1609" t="s">
        <v>1895</v>
      </c>
      <c r="D48" s="1609" t="s">
        <v>1896</v>
      </c>
      <c r="E48" s="1654" t="s">
        <v>1897</v>
      </c>
      <c r="F48" s="1654" t="s">
        <v>2103</v>
      </c>
      <c r="G48" s="1654" t="s">
        <v>2104</v>
      </c>
      <c r="H48" s="1654" t="s">
        <v>2105</v>
      </c>
      <c r="I48" s="1654" t="s">
        <v>2106</v>
      </c>
      <c r="J48" s="1654" t="s">
        <v>2107</v>
      </c>
      <c r="K48" s="1654" t="s">
        <v>2108</v>
      </c>
      <c r="L48" s="2717" t="s">
        <v>820</v>
      </c>
      <c r="M48" s="2718"/>
      <c r="N48" s="1449"/>
      <c r="O48" s="1511"/>
      <c r="P48" s="1378"/>
      <c r="Q48" s="1449"/>
      <c r="R48" s="1449"/>
      <c r="S48" s="1449"/>
      <c r="T48" s="1449"/>
      <c r="U48" s="1449"/>
      <c r="V48" s="1449"/>
      <c r="W48" s="1449"/>
      <c r="X48" s="1449"/>
      <c r="Y48" s="1449"/>
      <c r="Z48" s="1449"/>
      <c r="AA48" s="1449"/>
      <c r="AB48" s="1449"/>
      <c r="AC48" s="1449"/>
      <c r="AD48" s="1449"/>
      <c r="AE48" s="1449"/>
      <c r="AF48" s="1449"/>
      <c r="AG48" s="1449"/>
      <c r="AH48" s="1449"/>
      <c r="AI48" s="1449"/>
      <c r="AJ48" s="1449"/>
      <c r="AK48" s="1449"/>
      <c r="AL48" s="1449"/>
      <c r="AM48" s="1449"/>
      <c r="AN48" s="1449"/>
      <c r="AO48" s="1449"/>
      <c r="AP48" s="1449"/>
      <c r="AQ48" s="1449"/>
      <c r="AR48" s="1449"/>
      <c r="AS48" s="1449"/>
      <c r="AT48" s="1449"/>
      <c r="AU48" s="1449"/>
      <c r="AV48" s="1449"/>
      <c r="AW48" s="1449"/>
      <c r="AX48" s="1449"/>
      <c r="AY48" s="1449"/>
      <c r="AZ48" s="1449"/>
      <c r="BA48" s="1449"/>
      <c r="BB48" s="1449"/>
      <c r="BC48" s="1449"/>
      <c r="BD48" s="1449"/>
      <c r="BE48" s="1449"/>
      <c r="BF48" s="1449"/>
      <c r="BG48" s="1449"/>
      <c r="BH48" s="1449"/>
      <c r="BI48" s="1449"/>
      <c r="BJ48" s="1449"/>
      <c r="BK48" s="1449"/>
      <c r="BL48" s="1449"/>
      <c r="BM48" s="1449"/>
      <c r="BN48" s="1449"/>
      <c r="BO48" s="1449"/>
      <c r="BP48" s="1449"/>
      <c r="BQ48" s="1449"/>
      <c r="BR48" s="1449"/>
      <c r="BS48" s="1449"/>
      <c r="BT48" s="1449"/>
      <c r="BU48" s="1449"/>
      <c r="BV48" s="1449"/>
      <c r="BW48" s="1449"/>
      <c r="BX48" s="1449"/>
      <c r="BY48" s="1449"/>
    </row>
    <row r="49" spans="1:78" s="1460" customFormat="1" ht="29.25" customHeight="1">
      <c r="A49" s="1449"/>
      <c r="B49" s="1280"/>
      <c r="C49" s="1259"/>
      <c r="D49" s="1280"/>
      <c r="E49" s="1259"/>
      <c r="F49" s="1259"/>
      <c r="G49" s="1272"/>
      <c r="H49" s="1272"/>
      <c r="I49" s="1655">
        <f t="shared" ref="I49:I57" si="0">(2*F49)+(G49*H49)</f>
        <v>0</v>
      </c>
      <c r="J49" s="1171"/>
      <c r="K49" s="1656" t="e">
        <f>J49/I49</f>
        <v>#DIV/0!</v>
      </c>
      <c r="L49" s="2767"/>
      <c r="M49" s="2768"/>
      <c r="N49" s="1449"/>
      <c r="O49" s="1511"/>
      <c r="P49" s="1378"/>
      <c r="Q49" s="1449"/>
      <c r="R49" s="1449"/>
      <c r="S49" s="1449"/>
      <c r="T49" s="1449"/>
      <c r="U49" s="1449"/>
      <c r="V49" s="1449"/>
      <c r="W49" s="1449"/>
      <c r="X49" s="1449"/>
      <c r="Y49" s="1449"/>
      <c r="Z49" s="1449"/>
      <c r="AA49" s="1449"/>
      <c r="AB49" s="1449"/>
      <c r="AC49" s="1449"/>
      <c r="AD49" s="1449"/>
      <c r="AE49" s="1449"/>
      <c r="AF49" s="1449"/>
      <c r="AG49" s="1449"/>
      <c r="AH49" s="1449"/>
      <c r="AI49" s="1449"/>
      <c r="AJ49" s="1449"/>
      <c r="AK49" s="1449"/>
      <c r="AL49" s="1449"/>
      <c r="AM49" s="1449"/>
      <c r="AN49" s="1449"/>
      <c r="AO49" s="1449"/>
      <c r="AP49" s="1449"/>
      <c r="AQ49" s="1449"/>
      <c r="AR49" s="1449"/>
      <c r="AS49" s="1449"/>
      <c r="AT49" s="1449"/>
      <c r="AU49" s="1449"/>
      <c r="AV49" s="1449"/>
      <c r="AW49" s="1449"/>
      <c r="AX49" s="1449"/>
      <c r="AY49" s="1449"/>
      <c r="AZ49" s="1449"/>
      <c r="BA49" s="1449"/>
      <c r="BB49" s="1449"/>
      <c r="BC49" s="1449"/>
      <c r="BD49" s="1449"/>
      <c r="BE49" s="1449"/>
      <c r="BF49" s="1449"/>
      <c r="BG49" s="1449"/>
      <c r="BH49" s="1449"/>
      <c r="BI49" s="1449"/>
      <c r="BJ49" s="1449"/>
      <c r="BK49" s="1449"/>
      <c r="BL49" s="1449"/>
      <c r="BM49" s="1449"/>
      <c r="BN49" s="1449"/>
      <c r="BO49" s="1449"/>
      <c r="BP49" s="1449"/>
      <c r="BQ49" s="1449"/>
      <c r="BR49" s="1449"/>
      <c r="BS49" s="1449"/>
      <c r="BT49" s="1449"/>
      <c r="BU49" s="1449"/>
      <c r="BV49" s="1449"/>
      <c r="BW49" s="1449"/>
      <c r="BX49" s="1449"/>
      <c r="BY49" s="1449"/>
    </row>
    <row r="50" spans="1:78" s="1460" customFormat="1" ht="29.25" customHeight="1">
      <c r="A50" s="1449"/>
      <c r="B50" s="1280"/>
      <c r="C50" s="1259"/>
      <c r="D50" s="1280"/>
      <c r="E50" s="1259"/>
      <c r="F50" s="1259"/>
      <c r="G50" s="1272"/>
      <c r="H50" s="1272"/>
      <c r="I50" s="1655">
        <f t="shared" si="0"/>
        <v>0</v>
      </c>
      <c r="J50" s="1171"/>
      <c r="K50" s="1656" t="e">
        <f t="shared" ref="K50:K57" si="1">J50/I50</f>
        <v>#DIV/0!</v>
      </c>
      <c r="L50" s="2767"/>
      <c r="M50" s="2768"/>
      <c r="N50" s="1449"/>
      <c r="O50" s="1511"/>
      <c r="P50" s="1378"/>
      <c r="Q50" s="1449"/>
      <c r="R50" s="1449"/>
      <c r="S50" s="1449"/>
      <c r="T50" s="1449"/>
      <c r="U50" s="1449"/>
      <c r="V50" s="1449"/>
      <c r="W50" s="1449"/>
      <c r="X50" s="1449"/>
      <c r="Y50" s="1449"/>
      <c r="Z50" s="1449"/>
      <c r="AA50" s="1449"/>
      <c r="AB50" s="1449"/>
      <c r="AC50" s="1449"/>
      <c r="AD50" s="1449"/>
      <c r="AE50" s="1449"/>
      <c r="AF50" s="1449"/>
      <c r="AG50" s="1449"/>
      <c r="AH50" s="1449"/>
      <c r="AI50" s="1449"/>
      <c r="AJ50" s="1449"/>
      <c r="AK50" s="1449"/>
      <c r="AL50" s="1449"/>
      <c r="AM50" s="1449"/>
      <c r="AN50" s="1449"/>
      <c r="AO50" s="1449"/>
      <c r="AP50" s="1449"/>
      <c r="AQ50" s="1449"/>
      <c r="AR50" s="1449"/>
      <c r="AS50" s="1449"/>
      <c r="AT50" s="1449"/>
      <c r="AU50" s="1449"/>
      <c r="AV50" s="1449"/>
      <c r="AW50" s="1449"/>
      <c r="AX50" s="1449"/>
      <c r="AY50" s="1449"/>
      <c r="AZ50" s="1449"/>
      <c r="BA50" s="1449"/>
      <c r="BB50" s="1449"/>
      <c r="BC50" s="1449"/>
      <c r="BD50" s="1449"/>
      <c r="BE50" s="1449"/>
      <c r="BF50" s="1449"/>
      <c r="BG50" s="1449"/>
      <c r="BH50" s="1449"/>
      <c r="BI50" s="1449"/>
      <c r="BJ50" s="1449"/>
      <c r="BK50" s="1449"/>
      <c r="BL50" s="1449"/>
      <c r="BM50" s="1449"/>
      <c r="BN50" s="1449"/>
      <c r="BO50" s="1449"/>
      <c r="BP50" s="1449"/>
      <c r="BQ50" s="1449"/>
      <c r="BR50" s="1449"/>
      <c r="BS50" s="1449"/>
      <c r="BT50" s="1449"/>
      <c r="BU50" s="1449"/>
      <c r="BV50" s="1449"/>
      <c r="BW50" s="1449"/>
      <c r="BX50" s="1449"/>
      <c r="BY50" s="1449"/>
    </row>
    <row r="51" spans="1:78" s="1460" customFormat="1" ht="29.25" customHeight="1">
      <c r="A51" s="1449"/>
      <c r="B51" s="1280"/>
      <c r="C51" s="1259"/>
      <c r="D51" s="1280"/>
      <c r="E51" s="1259"/>
      <c r="F51" s="1259"/>
      <c r="G51" s="1272"/>
      <c r="H51" s="1272"/>
      <c r="I51" s="1655">
        <f t="shared" si="0"/>
        <v>0</v>
      </c>
      <c r="J51" s="1171"/>
      <c r="K51" s="1656" t="e">
        <f t="shared" si="1"/>
        <v>#DIV/0!</v>
      </c>
      <c r="L51" s="2767"/>
      <c r="M51" s="2768"/>
      <c r="N51" s="1449"/>
      <c r="O51" s="1511"/>
      <c r="P51" s="1378"/>
      <c r="Q51" s="1449"/>
      <c r="R51" s="1449"/>
      <c r="S51" s="1449"/>
      <c r="T51" s="1449"/>
      <c r="U51" s="1449"/>
      <c r="V51" s="1449"/>
      <c r="W51" s="1449"/>
      <c r="X51" s="1449"/>
      <c r="Y51" s="1449"/>
      <c r="Z51" s="1449"/>
      <c r="AA51" s="1449"/>
      <c r="AB51" s="1449"/>
      <c r="AC51" s="1449"/>
      <c r="AD51" s="1449"/>
      <c r="AE51" s="1449"/>
      <c r="AF51" s="1449"/>
      <c r="AG51" s="1449"/>
      <c r="AH51" s="1449"/>
      <c r="AI51" s="1449"/>
      <c r="AJ51" s="1449"/>
      <c r="AK51" s="1449"/>
      <c r="AL51" s="1449"/>
      <c r="AM51" s="1449"/>
      <c r="AN51" s="1449"/>
      <c r="AO51" s="1449"/>
      <c r="AP51" s="1449"/>
      <c r="AQ51" s="1449"/>
      <c r="AR51" s="1449"/>
      <c r="AS51" s="1449"/>
      <c r="AT51" s="1449"/>
      <c r="AU51" s="1449"/>
      <c r="AV51" s="1449"/>
      <c r="AW51" s="1449"/>
      <c r="AX51" s="1449"/>
      <c r="AY51" s="1449"/>
      <c r="AZ51" s="1449"/>
      <c r="BA51" s="1449"/>
      <c r="BB51" s="1449"/>
      <c r="BC51" s="1449"/>
      <c r="BD51" s="1449"/>
      <c r="BE51" s="1449"/>
      <c r="BF51" s="1449"/>
      <c r="BG51" s="1449"/>
      <c r="BH51" s="1449"/>
      <c r="BI51" s="1449"/>
      <c r="BJ51" s="1449"/>
      <c r="BK51" s="1449"/>
      <c r="BL51" s="1449"/>
      <c r="BM51" s="1449"/>
      <c r="BN51" s="1449"/>
      <c r="BO51" s="1449"/>
      <c r="BP51" s="1449"/>
      <c r="BQ51" s="1449"/>
      <c r="BR51" s="1449"/>
      <c r="BS51" s="1449"/>
      <c r="BT51" s="1449"/>
      <c r="BU51" s="1449"/>
      <c r="BV51" s="1449"/>
      <c r="BW51" s="1449"/>
      <c r="BX51" s="1449"/>
      <c r="BY51" s="1449"/>
    </row>
    <row r="52" spans="1:78" s="1612" customFormat="1" ht="29.25" customHeight="1">
      <c r="A52" s="1475"/>
      <c r="B52" s="1280"/>
      <c r="C52" s="1259"/>
      <c r="D52" s="1280"/>
      <c r="E52" s="1259"/>
      <c r="F52" s="1259"/>
      <c r="G52" s="1272"/>
      <c r="H52" s="1272"/>
      <c r="I52" s="1655">
        <f t="shared" si="0"/>
        <v>0</v>
      </c>
      <c r="J52" s="1171"/>
      <c r="K52" s="1656" t="e">
        <f t="shared" si="1"/>
        <v>#DIV/0!</v>
      </c>
      <c r="L52" s="2767"/>
      <c r="M52" s="2768"/>
      <c r="N52" s="1475"/>
      <c r="O52" s="1475"/>
      <c r="P52" s="1657"/>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1475"/>
      <c r="AM52" s="1475"/>
      <c r="AN52" s="1475"/>
      <c r="AO52" s="1475"/>
      <c r="AP52" s="1475"/>
      <c r="AQ52" s="1475"/>
      <c r="AR52" s="1475"/>
      <c r="AS52" s="1475"/>
      <c r="AT52" s="1475"/>
      <c r="AU52" s="1475"/>
      <c r="AV52" s="1475"/>
      <c r="AW52" s="1475"/>
      <c r="AX52" s="1475"/>
      <c r="AY52" s="1475"/>
      <c r="AZ52" s="1475"/>
      <c r="BA52" s="1475"/>
      <c r="BB52" s="1475"/>
      <c r="BC52" s="1475"/>
      <c r="BD52" s="1475"/>
      <c r="BE52" s="1475"/>
      <c r="BF52" s="1475"/>
      <c r="BG52" s="1475"/>
      <c r="BH52" s="1475"/>
      <c r="BI52" s="1475"/>
      <c r="BJ52" s="1475"/>
      <c r="BK52" s="1475"/>
      <c r="BL52" s="1475"/>
      <c r="BM52" s="1475"/>
      <c r="BN52" s="1475"/>
      <c r="BO52" s="1475"/>
      <c r="BP52" s="1475"/>
      <c r="BQ52" s="1475"/>
      <c r="BR52" s="1475"/>
      <c r="BS52" s="1475"/>
      <c r="BT52" s="1475"/>
      <c r="BU52" s="1475"/>
      <c r="BV52" s="1475"/>
      <c r="BW52" s="1475"/>
      <c r="BX52" s="1475"/>
      <c r="BY52" s="1475"/>
    </row>
    <row r="53" spans="1:78" ht="29.25" customHeight="1">
      <c r="B53" s="1172"/>
      <c r="C53" s="1173"/>
      <c r="D53" s="1280"/>
      <c r="E53" s="1173"/>
      <c r="F53" s="1259"/>
      <c r="G53" s="1272"/>
      <c r="H53" s="1272"/>
      <c r="I53" s="1655">
        <f t="shared" si="0"/>
        <v>0</v>
      </c>
      <c r="J53" s="1171"/>
      <c r="K53" s="1656" t="e">
        <f t="shared" si="1"/>
        <v>#DIV/0!</v>
      </c>
      <c r="L53" s="2767"/>
      <c r="M53" s="2768"/>
      <c r="P53" s="1657"/>
      <c r="BZ53" s="953"/>
    </row>
    <row r="54" spans="1:78" ht="29.25" customHeight="1">
      <c r="B54" s="1172"/>
      <c r="C54" s="1173"/>
      <c r="D54" s="1280"/>
      <c r="E54" s="1173"/>
      <c r="F54" s="1259"/>
      <c r="G54" s="1272"/>
      <c r="H54" s="1272"/>
      <c r="I54" s="1655">
        <f t="shared" si="0"/>
        <v>0</v>
      </c>
      <c r="J54" s="1171"/>
      <c r="K54" s="1656" t="e">
        <f t="shared" si="1"/>
        <v>#DIV/0!</v>
      </c>
      <c r="L54" s="2767"/>
      <c r="M54" s="2768"/>
      <c r="P54" s="1657"/>
      <c r="BZ54" s="953"/>
    </row>
    <row r="55" spans="1:78" ht="29.25" customHeight="1">
      <c r="B55" s="1172"/>
      <c r="C55" s="1173"/>
      <c r="D55" s="1280"/>
      <c r="E55" s="1173"/>
      <c r="F55" s="1259"/>
      <c r="G55" s="1272"/>
      <c r="H55" s="1272"/>
      <c r="I55" s="1655">
        <f t="shared" si="0"/>
        <v>0</v>
      </c>
      <c r="J55" s="1171"/>
      <c r="K55" s="1656" t="e">
        <f t="shared" si="1"/>
        <v>#DIV/0!</v>
      </c>
      <c r="L55" s="2767"/>
      <c r="M55" s="2768"/>
      <c r="P55" s="1657"/>
      <c r="BZ55" s="953"/>
    </row>
    <row r="56" spans="1:78" ht="29.25" customHeight="1">
      <c r="B56" s="1173"/>
      <c r="C56" s="1173"/>
      <c r="D56" s="1173"/>
      <c r="E56" s="1173"/>
      <c r="F56" s="1173"/>
      <c r="G56" s="1174"/>
      <c r="H56" s="1174"/>
      <c r="I56" s="1655">
        <f t="shared" si="0"/>
        <v>0</v>
      </c>
      <c r="J56" s="1171"/>
      <c r="K56" s="1656" t="e">
        <f t="shared" si="1"/>
        <v>#DIV/0!</v>
      </c>
      <c r="L56" s="2767"/>
      <c r="M56" s="2768"/>
      <c r="BZ56" s="953"/>
    </row>
    <row r="57" spans="1:78" ht="29.25" customHeight="1">
      <c r="B57" s="1173"/>
      <c r="C57" s="1173"/>
      <c r="D57" s="1173"/>
      <c r="E57" s="1173"/>
      <c r="F57" s="1173"/>
      <c r="G57" s="1174"/>
      <c r="H57" s="1174"/>
      <c r="I57" s="1655">
        <f t="shared" si="0"/>
        <v>0</v>
      </c>
      <c r="J57" s="1171"/>
      <c r="K57" s="1656" t="e">
        <f t="shared" si="1"/>
        <v>#DIV/0!</v>
      </c>
      <c r="L57" s="2767"/>
      <c r="M57" s="2768"/>
      <c r="BZ57" s="953"/>
    </row>
    <row r="58" spans="1:78">
      <c r="B58" s="1538"/>
    </row>
    <row r="59" spans="1:78">
      <c r="B59" s="1538"/>
    </row>
    <row r="60" spans="1:78">
      <c r="B60" s="1538"/>
      <c r="C60" s="1538"/>
      <c r="D60" s="1538"/>
      <c r="E60" s="1538"/>
      <c r="F60" s="1538"/>
      <c r="G60" s="1538"/>
      <c r="H60" s="1538"/>
      <c r="I60" s="1538"/>
      <c r="J60" s="1538"/>
      <c r="K60" s="1538"/>
      <c r="L60" s="1538"/>
      <c r="M60" s="1538"/>
      <c r="N60" s="1538"/>
    </row>
    <row r="61" spans="1:78">
      <c r="B61" s="1538"/>
      <c r="C61" s="1538"/>
      <c r="D61" s="1538"/>
      <c r="E61" s="1538"/>
      <c r="F61" s="1538"/>
      <c r="G61" s="1538"/>
      <c r="H61" s="1538"/>
      <c r="I61" s="1538"/>
      <c r="J61" s="1538"/>
      <c r="K61" s="1538"/>
      <c r="L61" s="1538"/>
      <c r="M61" s="1538"/>
      <c r="N61" s="1538"/>
      <c r="P61" s="1658" t="s">
        <v>403</v>
      </c>
    </row>
    <row r="62" spans="1:78">
      <c r="P62" s="1658" t="s">
        <v>405</v>
      </c>
    </row>
    <row r="63" spans="1:78" ht="25.5">
      <c r="C63" s="1468"/>
      <c r="P63" s="1658" t="s">
        <v>404</v>
      </c>
    </row>
    <row r="64" spans="1:78" ht="25.5">
      <c r="C64" s="1468"/>
      <c r="P64" s="1659"/>
    </row>
    <row r="65" spans="1:78" ht="25.5">
      <c r="C65" s="1468"/>
    </row>
    <row r="67" spans="1:78" ht="25.5" customHeight="1"/>
    <row r="68" spans="1:78" ht="27" customHeight="1"/>
    <row r="71" spans="1:78" s="1660" customFormat="1" ht="25.5" customHeight="1">
      <c r="A71" s="1657"/>
      <c r="B71" s="953"/>
      <c r="C71" s="953"/>
      <c r="D71" s="953"/>
      <c r="E71" s="953"/>
      <c r="F71" s="953"/>
      <c r="G71" s="953"/>
      <c r="H71" s="953"/>
      <c r="I71" s="953"/>
      <c r="J71" s="953"/>
      <c r="K71" s="953"/>
      <c r="L71" s="953"/>
      <c r="M71" s="953"/>
      <c r="N71" s="1439"/>
      <c r="O71" s="1657"/>
      <c r="P71" s="1657"/>
      <c r="Q71" s="1657"/>
      <c r="R71" s="1657"/>
      <c r="S71" s="1657"/>
      <c r="T71" s="1657"/>
      <c r="U71" s="1657"/>
      <c r="V71" s="1657"/>
      <c r="W71" s="1657"/>
      <c r="X71" s="1657"/>
      <c r="Y71" s="1657"/>
      <c r="Z71" s="1657"/>
      <c r="AA71" s="1657"/>
      <c r="AB71" s="1657"/>
      <c r="AC71" s="1657"/>
      <c r="AD71" s="1657"/>
      <c r="AE71" s="1657"/>
      <c r="AF71" s="1657"/>
      <c r="AG71" s="1657"/>
      <c r="AH71" s="1657"/>
      <c r="AI71" s="1657"/>
      <c r="AJ71" s="1657"/>
      <c r="AK71" s="1657"/>
      <c r="AL71" s="1657"/>
      <c r="AM71" s="1657"/>
      <c r="AN71" s="1657"/>
      <c r="AO71" s="1657"/>
      <c r="AP71" s="1657"/>
      <c r="AQ71" s="1657"/>
      <c r="AR71" s="1657"/>
      <c r="AS71" s="1657"/>
      <c r="AT71" s="1657"/>
      <c r="AU71" s="1657"/>
      <c r="AV71" s="1657"/>
      <c r="AW71" s="1657"/>
      <c r="AX71" s="1657"/>
      <c r="AY71" s="1657"/>
      <c r="AZ71" s="1657"/>
      <c r="BA71" s="1657"/>
      <c r="BB71" s="1657"/>
      <c r="BC71" s="1657"/>
      <c r="BD71" s="1657"/>
      <c r="BE71" s="1657"/>
      <c r="BF71" s="1657"/>
      <c r="BG71" s="1657"/>
      <c r="BH71" s="1657"/>
      <c r="BI71" s="1657"/>
      <c r="BJ71" s="1657"/>
      <c r="BK71" s="1657"/>
      <c r="BL71" s="1657"/>
      <c r="BM71" s="1657"/>
      <c r="BN71" s="1657"/>
      <c r="BO71" s="1657"/>
      <c r="BP71" s="1657"/>
      <c r="BQ71" s="1657"/>
      <c r="BR71" s="1657"/>
      <c r="BS71" s="1657"/>
      <c r="BT71" s="1657"/>
      <c r="BU71" s="1657"/>
      <c r="BV71" s="1657"/>
      <c r="BW71" s="1657"/>
      <c r="BX71" s="1657"/>
      <c r="BY71" s="1657"/>
      <c r="BZ71" s="1657"/>
    </row>
    <row r="72" spans="1:78" ht="26.1" customHeight="1"/>
    <row r="73" spans="1:78" ht="26.1" customHeight="1"/>
    <row r="74" spans="1:78" s="1317" customFormat="1" ht="26.1" customHeight="1">
      <c r="A74" s="1661"/>
      <c r="B74" s="953"/>
      <c r="C74" s="953"/>
      <c r="D74" s="953"/>
      <c r="E74" s="953"/>
      <c r="F74" s="953"/>
      <c r="G74" s="953"/>
      <c r="H74" s="953"/>
      <c r="I74" s="953"/>
      <c r="J74" s="953"/>
      <c r="K74" s="953"/>
      <c r="L74" s="953"/>
      <c r="M74" s="953"/>
      <c r="N74" s="1439"/>
      <c r="O74" s="1661"/>
      <c r="P74" s="1661"/>
      <c r="Q74" s="1661"/>
      <c r="R74" s="1661"/>
      <c r="S74" s="1661"/>
      <c r="T74" s="1661"/>
      <c r="U74" s="1661"/>
      <c r="V74" s="1661"/>
      <c r="W74" s="1661"/>
      <c r="X74" s="1661"/>
      <c r="Y74" s="1661"/>
      <c r="Z74" s="1661"/>
      <c r="AA74" s="1661"/>
      <c r="AB74" s="1661"/>
      <c r="AC74" s="1661"/>
      <c r="AD74" s="1661"/>
      <c r="AE74" s="1661"/>
      <c r="AF74" s="1661"/>
      <c r="AG74" s="1661"/>
      <c r="AH74" s="1661"/>
      <c r="AI74" s="1661"/>
      <c r="AJ74" s="1661"/>
      <c r="AK74" s="1661"/>
      <c r="AL74" s="1661"/>
      <c r="AM74" s="1661"/>
      <c r="AN74" s="1661"/>
      <c r="AO74" s="1661"/>
      <c r="AP74" s="1661"/>
      <c r="AQ74" s="1661"/>
      <c r="AR74" s="1661"/>
      <c r="AS74" s="1661"/>
      <c r="AT74" s="1661"/>
      <c r="AU74" s="1661"/>
      <c r="AV74" s="1661"/>
      <c r="AW74" s="1661"/>
      <c r="AX74" s="1661"/>
      <c r="AY74" s="1661"/>
      <c r="AZ74" s="1661"/>
      <c r="BA74" s="1661"/>
      <c r="BB74" s="1661"/>
      <c r="BC74" s="1661"/>
      <c r="BD74" s="1661"/>
      <c r="BE74" s="1661"/>
      <c r="BF74" s="1661"/>
      <c r="BG74" s="1661"/>
      <c r="BH74" s="1661"/>
      <c r="BI74" s="1661"/>
      <c r="BJ74" s="1661"/>
      <c r="BK74" s="1661"/>
      <c r="BL74" s="1661"/>
      <c r="BM74" s="1661"/>
      <c r="BN74" s="1661"/>
      <c r="BO74" s="1661"/>
      <c r="BP74" s="1661"/>
      <c r="BQ74" s="1661"/>
      <c r="BR74" s="1661"/>
      <c r="BS74" s="1661"/>
      <c r="BT74" s="1661"/>
      <c r="BU74" s="1661"/>
      <c r="BV74" s="1661"/>
      <c r="BW74" s="1661"/>
      <c r="BX74" s="1661"/>
      <c r="BY74" s="1661"/>
      <c r="BZ74" s="1661"/>
    </row>
    <row r="75" spans="1:78" ht="26.1" customHeight="1"/>
    <row r="76" spans="1:78" ht="26.1" customHeight="1"/>
    <row r="77" spans="1:78" ht="26.1" customHeight="1"/>
    <row r="78" spans="1:78" ht="26.1" customHeight="1"/>
    <row r="79" spans="1:78" ht="26.1" customHeight="1"/>
    <row r="80" spans="1:78" ht="24" customHeight="1"/>
    <row r="81" ht="24" customHeight="1"/>
    <row r="181" spans="2:2" ht="18">
      <c r="B181" s="1323"/>
    </row>
  </sheetData>
  <sheetProtection sheet="1" objects="1" scenarios="1" formatCells="0" formatColumns="0" formatRows="0" insertColumns="0" insertRows="0"/>
  <mergeCells count="44">
    <mergeCell ref="B10:I10"/>
    <mergeCell ref="J5:K5"/>
    <mergeCell ref="L5:M5"/>
    <mergeCell ref="J6:K6"/>
    <mergeCell ref="L6:M6"/>
    <mergeCell ref="J7:K7"/>
    <mergeCell ref="L7:M7"/>
    <mergeCell ref="J8:K8"/>
    <mergeCell ref="L8:M8"/>
    <mergeCell ref="B9:I9"/>
    <mergeCell ref="J9:K9"/>
    <mergeCell ref="L9:M9"/>
    <mergeCell ref="B38:G38"/>
    <mergeCell ref="B11:I11"/>
    <mergeCell ref="B12:I12"/>
    <mergeCell ref="B13:I13"/>
    <mergeCell ref="B14:I14"/>
    <mergeCell ref="B15:I15"/>
    <mergeCell ref="B31:K31"/>
    <mergeCell ref="B32:K32"/>
    <mergeCell ref="B33:K33"/>
    <mergeCell ref="B34:I34"/>
    <mergeCell ref="B35:K35"/>
    <mergeCell ref="B36:K36"/>
    <mergeCell ref="L49:M49"/>
    <mergeCell ref="C40:G40"/>
    <mergeCell ref="L40:M40"/>
    <mergeCell ref="C41:G41"/>
    <mergeCell ref="L41:M41"/>
    <mergeCell ref="B42:J42"/>
    <mergeCell ref="L42:M42"/>
    <mergeCell ref="B43:J43"/>
    <mergeCell ref="L43:M43"/>
    <mergeCell ref="B44:J44"/>
    <mergeCell ref="L44:M44"/>
    <mergeCell ref="L48:M48"/>
    <mergeCell ref="L56:M56"/>
    <mergeCell ref="L57:M57"/>
    <mergeCell ref="L50:M50"/>
    <mergeCell ref="L51:M51"/>
    <mergeCell ref="L52:M52"/>
    <mergeCell ref="L53:M53"/>
    <mergeCell ref="L54:M54"/>
    <mergeCell ref="L55:M55"/>
  </mergeCells>
  <conditionalFormatting sqref="K49:K57">
    <cfRule type="cellIs" dxfId="13" priority="2" stopIfTrue="1" operator="greaterThan">
      <formula>0.3</formula>
    </cfRule>
  </conditionalFormatting>
  <dataValidations count="1">
    <dataValidation type="list" allowBlank="1" showInputMessage="1" showErrorMessage="1" sqref="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41:K41 JF41:JG41 TB41:TC41 ACX41:ACY41 AMT41:AMU41 AWP41:AWQ41 BGL41:BGM41 BQH41:BQI41 CAD41:CAE41 CJZ41:CKA41 CTV41:CTW41 DDR41:DDS41 DNN41:DNO41 DXJ41:DXK41 EHF41:EHG41 ERB41:ERC41 FAX41:FAY41 FKT41:FKU41 FUP41:FUQ41 GEL41:GEM41 GOH41:GOI41 GYD41:GYE41 HHZ41:HIA41 HRV41:HRW41 IBR41:IBS41 ILN41:ILO41 IVJ41:IVK41 JFF41:JFG41 JPB41:JPC41 JYX41:JYY41 KIT41:KIU41 KSP41:KSQ41 LCL41:LCM41 LMH41:LMI41 LWD41:LWE41 MFZ41:MGA41 MPV41:MPW41 MZR41:MZS41 NJN41:NJO41 NTJ41:NTK41 ODF41:ODG41 ONB41:ONC41 OWX41:OWY41 PGT41:PGU41 PQP41:PQQ41 QAL41:QAM41 QKH41:QKI41 QUD41:QUE41 RDZ41:REA41 RNV41:RNW41 RXR41:RXS41 SHN41:SHO41 SRJ41:SRK41 TBF41:TBG41 TLB41:TLC41 TUX41:TUY41 UET41:UEU41 UOP41:UOQ41 UYL41:UYM41 VIH41:VII41 VSD41:VSE41 WBZ41:WCA41 WLV41:WLW41 WVR41:WVS41 J65577:K65577 JF65577:JG65577 TB65577:TC65577 ACX65577:ACY65577 AMT65577:AMU65577 AWP65577:AWQ65577 BGL65577:BGM65577 BQH65577:BQI65577 CAD65577:CAE65577 CJZ65577:CKA65577 CTV65577:CTW65577 DDR65577:DDS65577 DNN65577:DNO65577 DXJ65577:DXK65577 EHF65577:EHG65577 ERB65577:ERC65577 FAX65577:FAY65577 FKT65577:FKU65577 FUP65577:FUQ65577 GEL65577:GEM65577 GOH65577:GOI65577 GYD65577:GYE65577 HHZ65577:HIA65577 HRV65577:HRW65577 IBR65577:IBS65577 ILN65577:ILO65577 IVJ65577:IVK65577 JFF65577:JFG65577 JPB65577:JPC65577 JYX65577:JYY65577 KIT65577:KIU65577 KSP65577:KSQ65577 LCL65577:LCM65577 LMH65577:LMI65577 LWD65577:LWE65577 MFZ65577:MGA65577 MPV65577:MPW65577 MZR65577:MZS65577 NJN65577:NJO65577 NTJ65577:NTK65577 ODF65577:ODG65577 ONB65577:ONC65577 OWX65577:OWY65577 PGT65577:PGU65577 PQP65577:PQQ65577 QAL65577:QAM65577 QKH65577:QKI65577 QUD65577:QUE65577 RDZ65577:REA65577 RNV65577:RNW65577 RXR65577:RXS65577 SHN65577:SHO65577 SRJ65577:SRK65577 TBF65577:TBG65577 TLB65577:TLC65577 TUX65577:TUY65577 UET65577:UEU65577 UOP65577:UOQ65577 UYL65577:UYM65577 VIH65577:VII65577 VSD65577:VSE65577 WBZ65577:WCA65577 WLV65577:WLW65577 WVR65577:WVS65577 J131113:K131113 JF131113:JG131113 TB131113:TC131113 ACX131113:ACY131113 AMT131113:AMU131113 AWP131113:AWQ131113 BGL131113:BGM131113 BQH131113:BQI131113 CAD131113:CAE131113 CJZ131113:CKA131113 CTV131113:CTW131113 DDR131113:DDS131113 DNN131113:DNO131113 DXJ131113:DXK131113 EHF131113:EHG131113 ERB131113:ERC131113 FAX131113:FAY131113 FKT131113:FKU131113 FUP131113:FUQ131113 GEL131113:GEM131113 GOH131113:GOI131113 GYD131113:GYE131113 HHZ131113:HIA131113 HRV131113:HRW131113 IBR131113:IBS131113 ILN131113:ILO131113 IVJ131113:IVK131113 JFF131113:JFG131113 JPB131113:JPC131113 JYX131113:JYY131113 KIT131113:KIU131113 KSP131113:KSQ131113 LCL131113:LCM131113 LMH131113:LMI131113 LWD131113:LWE131113 MFZ131113:MGA131113 MPV131113:MPW131113 MZR131113:MZS131113 NJN131113:NJO131113 NTJ131113:NTK131113 ODF131113:ODG131113 ONB131113:ONC131113 OWX131113:OWY131113 PGT131113:PGU131113 PQP131113:PQQ131113 QAL131113:QAM131113 QKH131113:QKI131113 QUD131113:QUE131113 RDZ131113:REA131113 RNV131113:RNW131113 RXR131113:RXS131113 SHN131113:SHO131113 SRJ131113:SRK131113 TBF131113:TBG131113 TLB131113:TLC131113 TUX131113:TUY131113 UET131113:UEU131113 UOP131113:UOQ131113 UYL131113:UYM131113 VIH131113:VII131113 VSD131113:VSE131113 WBZ131113:WCA131113 WLV131113:WLW131113 WVR131113:WVS131113 J196649:K196649 JF196649:JG196649 TB196649:TC196649 ACX196649:ACY196649 AMT196649:AMU196649 AWP196649:AWQ196649 BGL196649:BGM196649 BQH196649:BQI196649 CAD196649:CAE196649 CJZ196649:CKA196649 CTV196649:CTW196649 DDR196649:DDS196649 DNN196649:DNO196649 DXJ196649:DXK196649 EHF196649:EHG196649 ERB196649:ERC196649 FAX196649:FAY196649 FKT196649:FKU196649 FUP196649:FUQ196649 GEL196649:GEM196649 GOH196649:GOI196649 GYD196649:GYE196649 HHZ196649:HIA196649 HRV196649:HRW196649 IBR196649:IBS196649 ILN196649:ILO196649 IVJ196649:IVK196649 JFF196649:JFG196649 JPB196649:JPC196649 JYX196649:JYY196649 KIT196649:KIU196649 KSP196649:KSQ196649 LCL196649:LCM196649 LMH196649:LMI196649 LWD196649:LWE196649 MFZ196649:MGA196649 MPV196649:MPW196649 MZR196649:MZS196649 NJN196649:NJO196649 NTJ196649:NTK196649 ODF196649:ODG196649 ONB196649:ONC196649 OWX196649:OWY196649 PGT196649:PGU196649 PQP196649:PQQ196649 QAL196649:QAM196649 QKH196649:QKI196649 QUD196649:QUE196649 RDZ196649:REA196649 RNV196649:RNW196649 RXR196649:RXS196649 SHN196649:SHO196649 SRJ196649:SRK196649 TBF196649:TBG196649 TLB196649:TLC196649 TUX196649:TUY196649 UET196649:UEU196649 UOP196649:UOQ196649 UYL196649:UYM196649 VIH196649:VII196649 VSD196649:VSE196649 WBZ196649:WCA196649 WLV196649:WLW196649 WVR196649:WVS196649 J262185:K262185 JF262185:JG262185 TB262185:TC262185 ACX262185:ACY262185 AMT262185:AMU262185 AWP262185:AWQ262185 BGL262185:BGM262185 BQH262185:BQI262185 CAD262185:CAE262185 CJZ262185:CKA262185 CTV262185:CTW262185 DDR262185:DDS262185 DNN262185:DNO262185 DXJ262185:DXK262185 EHF262185:EHG262185 ERB262185:ERC262185 FAX262185:FAY262185 FKT262185:FKU262185 FUP262185:FUQ262185 GEL262185:GEM262185 GOH262185:GOI262185 GYD262185:GYE262185 HHZ262185:HIA262185 HRV262185:HRW262185 IBR262185:IBS262185 ILN262185:ILO262185 IVJ262185:IVK262185 JFF262185:JFG262185 JPB262185:JPC262185 JYX262185:JYY262185 KIT262185:KIU262185 KSP262185:KSQ262185 LCL262185:LCM262185 LMH262185:LMI262185 LWD262185:LWE262185 MFZ262185:MGA262185 MPV262185:MPW262185 MZR262185:MZS262185 NJN262185:NJO262185 NTJ262185:NTK262185 ODF262185:ODG262185 ONB262185:ONC262185 OWX262185:OWY262185 PGT262185:PGU262185 PQP262185:PQQ262185 QAL262185:QAM262185 QKH262185:QKI262185 QUD262185:QUE262185 RDZ262185:REA262185 RNV262185:RNW262185 RXR262185:RXS262185 SHN262185:SHO262185 SRJ262185:SRK262185 TBF262185:TBG262185 TLB262185:TLC262185 TUX262185:TUY262185 UET262185:UEU262185 UOP262185:UOQ262185 UYL262185:UYM262185 VIH262185:VII262185 VSD262185:VSE262185 WBZ262185:WCA262185 WLV262185:WLW262185 WVR262185:WVS262185 J327721:K327721 JF327721:JG327721 TB327721:TC327721 ACX327721:ACY327721 AMT327721:AMU327721 AWP327721:AWQ327721 BGL327721:BGM327721 BQH327721:BQI327721 CAD327721:CAE327721 CJZ327721:CKA327721 CTV327721:CTW327721 DDR327721:DDS327721 DNN327721:DNO327721 DXJ327721:DXK327721 EHF327721:EHG327721 ERB327721:ERC327721 FAX327721:FAY327721 FKT327721:FKU327721 FUP327721:FUQ327721 GEL327721:GEM327721 GOH327721:GOI327721 GYD327721:GYE327721 HHZ327721:HIA327721 HRV327721:HRW327721 IBR327721:IBS327721 ILN327721:ILO327721 IVJ327721:IVK327721 JFF327721:JFG327721 JPB327721:JPC327721 JYX327721:JYY327721 KIT327721:KIU327721 KSP327721:KSQ327721 LCL327721:LCM327721 LMH327721:LMI327721 LWD327721:LWE327721 MFZ327721:MGA327721 MPV327721:MPW327721 MZR327721:MZS327721 NJN327721:NJO327721 NTJ327721:NTK327721 ODF327721:ODG327721 ONB327721:ONC327721 OWX327721:OWY327721 PGT327721:PGU327721 PQP327721:PQQ327721 QAL327721:QAM327721 QKH327721:QKI327721 QUD327721:QUE327721 RDZ327721:REA327721 RNV327721:RNW327721 RXR327721:RXS327721 SHN327721:SHO327721 SRJ327721:SRK327721 TBF327721:TBG327721 TLB327721:TLC327721 TUX327721:TUY327721 UET327721:UEU327721 UOP327721:UOQ327721 UYL327721:UYM327721 VIH327721:VII327721 VSD327721:VSE327721 WBZ327721:WCA327721 WLV327721:WLW327721 WVR327721:WVS327721 J393257:K393257 JF393257:JG393257 TB393257:TC393257 ACX393257:ACY393257 AMT393257:AMU393257 AWP393257:AWQ393257 BGL393257:BGM393257 BQH393257:BQI393257 CAD393257:CAE393257 CJZ393257:CKA393257 CTV393257:CTW393257 DDR393257:DDS393257 DNN393257:DNO393257 DXJ393257:DXK393257 EHF393257:EHG393257 ERB393257:ERC393257 FAX393257:FAY393257 FKT393257:FKU393257 FUP393257:FUQ393257 GEL393257:GEM393257 GOH393257:GOI393257 GYD393257:GYE393257 HHZ393257:HIA393257 HRV393257:HRW393257 IBR393257:IBS393257 ILN393257:ILO393257 IVJ393257:IVK393257 JFF393257:JFG393257 JPB393257:JPC393257 JYX393257:JYY393257 KIT393257:KIU393257 KSP393257:KSQ393257 LCL393257:LCM393257 LMH393257:LMI393257 LWD393257:LWE393257 MFZ393257:MGA393257 MPV393257:MPW393257 MZR393257:MZS393257 NJN393257:NJO393257 NTJ393257:NTK393257 ODF393257:ODG393257 ONB393257:ONC393257 OWX393257:OWY393257 PGT393257:PGU393257 PQP393257:PQQ393257 QAL393257:QAM393257 QKH393257:QKI393257 QUD393257:QUE393257 RDZ393257:REA393257 RNV393257:RNW393257 RXR393257:RXS393257 SHN393257:SHO393257 SRJ393257:SRK393257 TBF393257:TBG393257 TLB393257:TLC393257 TUX393257:TUY393257 UET393257:UEU393257 UOP393257:UOQ393257 UYL393257:UYM393257 VIH393257:VII393257 VSD393257:VSE393257 WBZ393257:WCA393257 WLV393257:WLW393257 WVR393257:WVS393257 J458793:K458793 JF458793:JG458793 TB458793:TC458793 ACX458793:ACY458793 AMT458793:AMU458793 AWP458793:AWQ458793 BGL458793:BGM458793 BQH458793:BQI458793 CAD458793:CAE458793 CJZ458793:CKA458793 CTV458793:CTW458793 DDR458793:DDS458793 DNN458793:DNO458793 DXJ458793:DXK458793 EHF458793:EHG458793 ERB458793:ERC458793 FAX458793:FAY458793 FKT458793:FKU458793 FUP458793:FUQ458793 GEL458793:GEM458793 GOH458793:GOI458793 GYD458793:GYE458793 HHZ458793:HIA458793 HRV458793:HRW458793 IBR458793:IBS458793 ILN458793:ILO458793 IVJ458793:IVK458793 JFF458793:JFG458793 JPB458793:JPC458793 JYX458793:JYY458793 KIT458793:KIU458793 KSP458793:KSQ458793 LCL458793:LCM458793 LMH458793:LMI458793 LWD458793:LWE458793 MFZ458793:MGA458793 MPV458793:MPW458793 MZR458793:MZS458793 NJN458793:NJO458793 NTJ458793:NTK458793 ODF458793:ODG458793 ONB458793:ONC458793 OWX458793:OWY458793 PGT458793:PGU458793 PQP458793:PQQ458793 QAL458793:QAM458793 QKH458793:QKI458793 QUD458793:QUE458793 RDZ458793:REA458793 RNV458793:RNW458793 RXR458793:RXS458793 SHN458793:SHO458793 SRJ458793:SRK458793 TBF458793:TBG458793 TLB458793:TLC458793 TUX458793:TUY458793 UET458793:UEU458793 UOP458793:UOQ458793 UYL458793:UYM458793 VIH458793:VII458793 VSD458793:VSE458793 WBZ458793:WCA458793 WLV458793:WLW458793 WVR458793:WVS458793 J524329:K524329 JF524329:JG524329 TB524329:TC524329 ACX524329:ACY524329 AMT524329:AMU524329 AWP524329:AWQ524329 BGL524329:BGM524329 BQH524329:BQI524329 CAD524329:CAE524329 CJZ524329:CKA524329 CTV524329:CTW524329 DDR524329:DDS524329 DNN524329:DNO524329 DXJ524329:DXK524329 EHF524329:EHG524329 ERB524329:ERC524329 FAX524329:FAY524329 FKT524329:FKU524329 FUP524329:FUQ524329 GEL524329:GEM524329 GOH524329:GOI524329 GYD524329:GYE524329 HHZ524329:HIA524329 HRV524329:HRW524329 IBR524329:IBS524329 ILN524329:ILO524329 IVJ524329:IVK524329 JFF524329:JFG524329 JPB524329:JPC524329 JYX524329:JYY524329 KIT524329:KIU524329 KSP524329:KSQ524329 LCL524329:LCM524329 LMH524329:LMI524329 LWD524329:LWE524329 MFZ524329:MGA524329 MPV524329:MPW524329 MZR524329:MZS524329 NJN524329:NJO524329 NTJ524329:NTK524329 ODF524329:ODG524329 ONB524329:ONC524329 OWX524329:OWY524329 PGT524329:PGU524329 PQP524329:PQQ524329 QAL524329:QAM524329 QKH524329:QKI524329 QUD524329:QUE524329 RDZ524329:REA524329 RNV524329:RNW524329 RXR524329:RXS524329 SHN524329:SHO524329 SRJ524329:SRK524329 TBF524329:TBG524329 TLB524329:TLC524329 TUX524329:TUY524329 UET524329:UEU524329 UOP524329:UOQ524329 UYL524329:UYM524329 VIH524329:VII524329 VSD524329:VSE524329 WBZ524329:WCA524329 WLV524329:WLW524329 WVR524329:WVS524329 J589865:K589865 JF589865:JG589865 TB589865:TC589865 ACX589865:ACY589865 AMT589865:AMU589865 AWP589865:AWQ589865 BGL589865:BGM589865 BQH589865:BQI589865 CAD589865:CAE589865 CJZ589865:CKA589865 CTV589865:CTW589865 DDR589865:DDS589865 DNN589865:DNO589865 DXJ589865:DXK589865 EHF589865:EHG589865 ERB589865:ERC589865 FAX589865:FAY589865 FKT589865:FKU589865 FUP589865:FUQ589865 GEL589865:GEM589865 GOH589865:GOI589865 GYD589865:GYE589865 HHZ589865:HIA589865 HRV589865:HRW589865 IBR589865:IBS589865 ILN589865:ILO589865 IVJ589865:IVK589865 JFF589865:JFG589865 JPB589865:JPC589865 JYX589865:JYY589865 KIT589865:KIU589865 KSP589865:KSQ589865 LCL589865:LCM589865 LMH589865:LMI589865 LWD589865:LWE589865 MFZ589865:MGA589865 MPV589865:MPW589865 MZR589865:MZS589865 NJN589865:NJO589865 NTJ589865:NTK589865 ODF589865:ODG589865 ONB589865:ONC589865 OWX589865:OWY589865 PGT589865:PGU589865 PQP589865:PQQ589865 QAL589865:QAM589865 QKH589865:QKI589865 QUD589865:QUE589865 RDZ589865:REA589865 RNV589865:RNW589865 RXR589865:RXS589865 SHN589865:SHO589865 SRJ589865:SRK589865 TBF589865:TBG589865 TLB589865:TLC589865 TUX589865:TUY589865 UET589865:UEU589865 UOP589865:UOQ589865 UYL589865:UYM589865 VIH589865:VII589865 VSD589865:VSE589865 WBZ589865:WCA589865 WLV589865:WLW589865 WVR589865:WVS589865 J655401:K655401 JF655401:JG655401 TB655401:TC655401 ACX655401:ACY655401 AMT655401:AMU655401 AWP655401:AWQ655401 BGL655401:BGM655401 BQH655401:BQI655401 CAD655401:CAE655401 CJZ655401:CKA655401 CTV655401:CTW655401 DDR655401:DDS655401 DNN655401:DNO655401 DXJ655401:DXK655401 EHF655401:EHG655401 ERB655401:ERC655401 FAX655401:FAY655401 FKT655401:FKU655401 FUP655401:FUQ655401 GEL655401:GEM655401 GOH655401:GOI655401 GYD655401:GYE655401 HHZ655401:HIA655401 HRV655401:HRW655401 IBR655401:IBS655401 ILN655401:ILO655401 IVJ655401:IVK655401 JFF655401:JFG655401 JPB655401:JPC655401 JYX655401:JYY655401 KIT655401:KIU655401 KSP655401:KSQ655401 LCL655401:LCM655401 LMH655401:LMI655401 LWD655401:LWE655401 MFZ655401:MGA655401 MPV655401:MPW655401 MZR655401:MZS655401 NJN655401:NJO655401 NTJ655401:NTK655401 ODF655401:ODG655401 ONB655401:ONC655401 OWX655401:OWY655401 PGT655401:PGU655401 PQP655401:PQQ655401 QAL655401:QAM655401 QKH655401:QKI655401 QUD655401:QUE655401 RDZ655401:REA655401 RNV655401:RNW655401 RXR655401:RXS655401 SHN655401:SHO655401 SRJ655401:SRK655401 TBF655401:TBG655401 TLB655401:TLC655401 TUX655401:TUY655401 UET655401:UEU655401 UOP655401:UOQ655401 UYL655401:UYM655401 VIH655401:VII655401 VSD655401:VSE655401 WBZ655401:WCA655401 WLV655401:WLW655401 WVR655401:WVS655401 J720937:K720937 JF720937:JG720937 TB720937:TC720937 ACX720937:ACY720937 AMT720937:AMU720937 AWP720937:AWQ720937 BGL720937:BGM720937 BQH720937:BQI720937 CAD720937:CAE720937 CJZ720937:CKA720937 CTV720937:CTW720937 DDR720937:DDS720937 DNN720937:DNO720937 DXJ720937:DXK720937 EHF720937:EHG720937 ERB720937:ERC720937 FAX720937:FAY720937 FKT720937:FKU720937 FUP720937:FUQ720937 GEL720937:GEM720937 GOH720937:GOI720937 GYD720937:GYE720937 HHZ720937:HIA720937 HRV720937:HRW720937 IBR720937:IBS720937 ILN720937:ILO720937 IVJ720937:IVK720937 JFF720937:JFG720937 JPB720937:JPC720937 JYX720937:JYY720937 KIT720937:KIU720937 KSP720937:KSQ720937 LCL720937:LCM720937 LMH720937:LMI720937 LWD720937:LWE720937 MFZ720937:MGA720937 MPV720937:MPW720937 MZR720937:MZS720937 NJN720937:NJO720937 NTJ720937:NTK720937 ODF720937:ODG720937 ONB720937:ONC720937 OWX720937:OWY720937 PGT720937:PGU720937 PQP720937:PQQ720937 QAL720937:QAM720937 QKH720937:QKI720937 QUD720937:QUE720937 RDZ720937:REA720937 RNV720937:RNW720937 RXR720937:RXS720937 SHN720937:SHO720937 SRJ720937:SRK720937 TBF720937:TBG720937 TLB720937:TLC720937 TUX720937:TUY720937 UET720937:UEU720937 UOP720937:UOQ720937 UYL720937:UYM720937 VIH720937:VII720937 VSD720937:VSE720937 WBZ720937:WCA720937 WLV720937:WLW720937 WVR720937:WVS720937 J786473:K786473 JF786473:JG786473 TB786473:TC786473 ACX786473:ACY786473 AMT786473:AMU786473 AWP786473:AWQ786473 BGL786473:BGM786473 BQH786473:BQI786473 CAD786473:CAE786473 CJZ786473:CKA786473 CTV786473:CTW786473 DDR786473:DDS786473 DNN786473:DNO786473 DXJ786473:DXK786473 EHF786473:EHG786473 ERB786473:ERC786473 FAX786473:FAY786473 FKT786473:FKU786473 FUP786473:FUQ786473 GEL786473:GEM786473 GOH786473:GOI786473 GYD786473:GYE786473 HHZ786473:HIA786473 HRV786473:HRW786473 IBR786473:IBS786473 ILN786473:ILO786473 IVJ786473:IVK786473 JFF786473:JFG786473 JPB786473:JPC786473 JYX786473:JYY786473 KIT786473:KIU786473 KSP786473:KSQ786473 LCL786473:LCM786473 LMH786473:LMI786473 LWD786473:LWE786473 MFZ786473:MGA786473 MPV786473:MPW786473 MZR786473:MZS786473 NJN786473:NJO786473 NTJ786473:NTK786473 ODF786473:ODG786473 ONB786473:ONC786473 OWX786473:OWY786473 PGT786473:PGU786473 PQP786473:PQQ786473 QAL786473:QAM786473 QKH786473:QKI786473 QUD786473:QUE786473 RDZ786473:REA786473 RNV786473:RNW786473 RXR786473:RXS786473 SHN786473:SHO786473 SRJ786473:SRK786473 TBF786473:TBG786473 TLB786473:TLC786473 TUX786473:TUY786473 UET786473:UEU786473 UOP786473:UOQ786473 UYL786473:UYM786473 VIH786473:VII786473 VSD786473:VSE786473 WBZ786473:WCA786473 WLV786473:WLW786473 WVR786473:WVS786473 J852009:K852009 JF852009:JG852009 TB852009:TC852009 ACX852009:ACY852009 AMT852009:AMU852009 AWP852009:AWQ852009 BGL852009:BGM852009 BQH852009:BQI852009 CAD852009:CAE852009 CJZ852009:CKA852009 CTV852009:CTW852009 DDR852009:DDS852009 DNN852009:DNO852009 DXJ852009:DXK852009 EHF852009:EHG852009 ERB852009:ERC852009 FAX852009:FAY852009 FKT852009:FKU852009 FUP852009:FUQ852009 GEL852009:GEM852009 GOH852009:GOI852009 GYD852009:GYE852009 HHZ852009:HIA852009 HRV852009:HRW852009 IBR852009:IBS852009 ILN852009:ILO852009 IVJ852009:IVK852009 JFF852009:JFG852009 JPB852009:JPC852009 JYX852009:JYY852009 KIT852009:KIU852009 KSP852009:KSQ852009 LCL852009:LCM852009 LMH852009:LMI852009 LWD852009:LWE852009 MFZ852009:MGA852009 MPV852009:MPW852009 MZR852009:MZS852009 NJN852009:NJO852009 NTJ852009:NTK852009 ODF852009:ODG852009 ONB852009:ONC852009 OWX852009:OWY852009 PGT852009:PGU852009 PQP852009:PQQ852009 QAL852009:QAM852009 QKH852009:QKI852009 QUD852009:QUE852009 RDZ852009:REA852009 RNV852009:RNW852009 RXR852009:RXS852009 SHN852009:SHO852009 SRJ852009:SRK852009 TBF852009:TBG852009 TLB852009:TLC852009 TUX852009:TUY852009 UET852009:UEU852009 UOP852009:UOQ852009 UYL852009:UYM852009 VIH852009:VII852009 VSD852009:VSE852009 WBZ852009:WCA852009 WLV852009:WLW852009 WVR852009:WVS852009 J917545:K917545 JF917545:JG917545 TB917545:TC917545 ACX917545:ACY917545 AMT917545:AMU917545 AWP917545:AWQ917545 BGL917545:BGM917545 BQH917545:BQI917545 CAD917545:CAE917545 CJZ917545:CKA917545 CTV917545:CTW917545 DDR917545:DDS917545 DNN917545:DNO917545 DXJ917545:DXK917545 EHF917545:EHG917545 ERB917545:ERC917545 FAX917545:FAY917545 FKT917545:FKU917545 FUP917545:FUQ917545 GEL917545:GEM917545 GOH917545:GOI917545 GYD917545:GYE917545 HHZ917545:HIA917545 HRV917545:HRW917545 IBR917545:IBS917545 ILN917545:ILO917545 IVJ917545:IVK917545 JFF917545:JFG917545 JPB917545:JPC917545 JYX917545:JYY917545 KIT917545:KIU917545 KSP917545:KSQ917545 LCL917545:LCM917545 LMH917545:LMI917545 LWD917545:LWE917545 MFZ917545:MGA917545 MPV917545:MPW917545 MZR917545:MZS917545 NJN917545:NJO917545 NTJ917545:NTK917545 ODF917545:ODG917545 ONB917545:ONC917545 OWX917545:OWY917545 PGT917545:PGU917545 PQP917545:PQQ917545 QAL917545:QAM917545 QKH917545:QKI917545 QUD917545:QUE917545 RDZ917545:REA917545 RNV917545:RNW917545 RXR917545:RXS917545 SHN917545:SHO917545 SRJ917545:SRK917545 TBF917545:TBG917545 TLB917545:TLC917545 TUX917545:TUY917545 UET917545:UEU917545 UOP917545:UOQ917545 UYL917545:UYM917545 VIH917545:VII917545 VSD917545:VSE917545 WBZ917545:WCA917545 WLV917545:WLW917545 WVR917545:WVS917545 J983081:K983081 JF983081:JG983081 TB983081:TC983081 ACX983081:ACY983081 AMT983081:AMU983081 AWP983081:AWQ983081 BGL983081:BGM983081 BQH983081:BQI983081 CAD983081:CAE983081 CJZ983081:CKA983081 CTV983081:CTW983081 DDR983081:DDS983081 DNN983081:DNO983081 DXJ983081:DXK983081 EHF983081:EHG983081 ERB983081:ERC983081 FAX983081:FAY983081 FKT983081:FKU983081 FUP983081:FUQ983081 GEL983081:GEM983081 GOH983081:GOI983081 GYD983081:GYE983081 HHZ983081:HIA983081 HRV983081:HRW983081 IBR983081:IBS983081 ILN983081:ILO983081 IVJ983081:IVK983081 JFF983081:JFG983081 JPB983081:JPC983081 JYX983081:JYY983081 KIT983081:KIU983081 KSP983081:KSQ983081 LCL983081:LCM983081 LMH983081:LMI983081 LWD983081:LWE983081 MFZ983081:MGA983081 MPV983081:MPW983081 MZR983081:MZS983081 NJN983081:NJO983081 NTJ983081:NTK983081 ODF983081:ODG983081 ONB983081:ONC983081 OWX983081:OWY983081 PGT983081:PGU983081 PQP983081:PQQ983081 QAL983081:QAM983081 QKH983081:QKI983081 QUD983081:QUE983081 RDZ983081:REA983081 RNV983081:RNW983081 RXR983081:RXS983081 SHN983081:SHO983081 SRJ983081:SRK983081 TBF983081:TBG983081 TLB983081:TLC983081 TUX983081:TUY983081 UET983081:UEU983081 UOP983081:UOQ983081 UYL983081:UYM983081 VIH983081:VII983081 VSD983081:VSE983081 WBZ983081:WCA983081 WLV983081:WLW983081 WVR983081:WVS983081 K42:K44 JG42:JG44 TC42:TC44 ACY42:ACY44 AMU42:AMU44 AWQ42:AWQ44 BGM42:BGM44 BQI42:BQI44 CAE42:CAE44 CKA42:CKA44 CTW42:CTW44 DDS42:DDS44 DNO42:DNO44 DXK42:DXK44 EHG42:EHG44 ERC42:ERC44 FAY42:FAY44 FKU42:FKU44 FUQ42:FUQ44 GEM42:GEM44 GOI42:GOI44 GYE42:GYE44 HIA42:HIA44 HRW42:HRW44 IBS42:IBS44 ILO42:ILO44 IVK42:IVK44 JFG42:JFG44 JPC42:JPC44 JYY42:JYY44 KIU42:KIU44 KSQ42:KSQ44 LCM42:LCM44 LMI42:LMI44 LWE42:LWE44 MGA42:MGA44 MPW42:MPW44 MZS42:MZS44 NJO42:NJO44 NTK42:NTK44 ODG42:ODG44 ONC42:ONC44 OWY42:OWY44 PGU42:PGU44 PQQ42:PQQ44 QAM42:QAM44 QKI42:QKI44 QUE42:QUE44 REA42:REA44 RNW42:RNW44 RXS42:RXS44 SHO42:SHO44 SRK42:SRK44 TBG42:TBG44 TLC42:TLC44 TUY42:TUY44 UEU42:UEU44 UOQ42:UOQ44 UYM42:UYM44 VII42:VII44 VSE42:VSE44 WCA42:WCA44 WLW42:WLW44 WVS42:WVS44 K65578:K65580 JG65578:JG65580 TC65578:TC65580 ACY65578:ACY65580 AMU65578:AMU65580 AWQ65578:AWQ65580 BGM65578:BGM65580 BQI65578:BQI65580 CAE65578:CAE65580 CKA65578:CKA65580 CTW65578:CTW65580 DDS65578:DDS65580 DNO65578:DNO65580 DXK65578:DXK65580 EHG65578:EHG65580 ERC65578:ERC65580 FAY65578:FAY65580 FKU65578:FKU65580 FUQ65578:FUQ65580 GEM65578:GEM65580 GOI65578:GOI65580 GYE65578:GYE65580 HIA65578:HIA65580 HRW65578:HRW65580 IBS65578:IBS65580 ILO65578:ILO65580 IVK65578:IVK65580 JFG65578:JFG65580 JPC65578:JPC65580 JYY65578:JYY65580 KIU65578:KIU65580 KSQ65578:KSQ65580 LCM65578:LCM65580 LMI65578:LMI65580 LWE65578:LWE65580 MGA65578:MGA65580 MPW65578:MPW65580 MZS65578:MZS65580 NJO65578:NJO65580 NTK65578:NTK65580 ODG65578:ODG65580 ONC65578:ONC65580 OWY65578:OWY65580 PGU65578:PGU65580 PQQ65578:PQQ65580 QAM65578:QAM65580 QKI65578:QKI65580 QUE65578:QUE65580 REA65578:REA65580 RNW65578:RNW65580 RXS65578:RXS65580 SHO65578:SHO65580 SRK65578:SRK65580 TBG65578:TBG65580 TLC65578:TLC65580 TUY65578:TUY65580 UEU65578:UEU65580 UOQ65578:UOQ65580 UYM65578:UYM65580 VII65578:VII65580 VSE65578:VSE65580 WCA65578:WCA65580 WLW65578:WLW65580 WVS65578:WVS65580 K131114:K131116 JG131114:JG131116 TC131114:TC131116 ACY131114:ACY131116 AMU131114:AMU131116 AWQ131114:AWQ131116 BGM131114:BGM131116 BQI131114:BQI131116 CAE131114:CAE131116 CKA131114:CKA131116 CTW131114:CTW131116 DDS131114:DDS131116 DNO131114:DNO131116 DXK131114:DXK131116 EHG131114:EHG131116 ERC131114:ERC131116 FAY131114:FAY131116 FKU131114:FKU131116 FUQ131114:FUQ131116 GEM131114:GEM131116 GOI131114:GOI131116 GYE131114:GYE131116 HIA131114:HIA131116 HRW131114:HRW131116 IBS131114:IBS131116 ILO131114:ILO131116 IVK131114:IVK131116 JFG131114:JFG131116 JPC131114:JPC131116 JYY131114:JYY131116 KIU131114:KIU131116 KSQ131114:KSQ131116 LCM131114:LCM131116 LMI131114:LMI131116 LWE131114:LWE131116 MGA131114:MGA131116 MPW131114:MPW131116 MZS131114:MZS131116 NJO131114:NJO131116 NTK131114:NTK131116 ODG131114:ODG131116 ONC131114:ONC131116 OWY131114:OWY131116 PGU131114:PGU131116 PQQ131114:PQQ131116 QAM131114:QAM131116 QKI131114:QKI131116 QUE131114:QUE131116 REA131114:REA131116 RNW131114:RNW131116 RXS131114:RXS131116 SHO131114:SHO131116 SRK131114:SRK131116 TBG131114:TBG131116 TLC131114:TLC131116 TUY131114:TUY131116 UEU131114:UEU131116 UOQ131114:UOQ131116 UYM131114:UYM131116 VII131114:VII131116 VSE131114:VSE131116 WCA131114:WCA131116 WLW131114:WLW131116 WVS131114:WVS131116 K196650:K196652 JG196650:JG196652 TC196650:TC196652 ACY196650:ACY196652 AMU196650:AMU196652 AWQ196650:AWQ196652 BGM196650:BGM196652 BQI196650:BQI196652 CAE196650:CAE196652 CKA196650:CKA196652 CTW196650:CTW196652 DDS196650:DDS196652 DNO196650:DNO196652 DXK196650:DXK196652 EHG196650:EHG196652 ERC196650:ERC196652 FAY196650:FAY196652 FKU196650:FKU196652 FUQ196650:FUQ196652 GEM196650:GEM196652 GOI196650:GOI196652 GYE196650:GYE196652 HIA196650:HIA196652 HRW196650:HRW196652 IBS196650:IBS196652 ILO196650:ILO196652 IVK196650:IVK196652 JFG196650:JFG196652 JPC196650:JPC196652 JYY196650:JYY196652 KIU196650:KIU196652 KSQ196650:KSQ196652 LCM196650:LCM196652 LMI196650:LMI196652 LWE196650:LWE196652 MGA196650:MGA196652 MPW196650:MPW196652 MZS196650:MZS196652 NJO196650:NJO196652 NTK196650:NTK196652 ODG196650:ODG196652 ONC196650:ONC196652 OWY196650:OWY196652 PGU196650:PGU196652 PQQ196650:PQQ196652 QAM196650:QAM196652 QKI196650:QKI196652 QUE196650:QUE196652 REA196650:REA196652 RNW196650:RNW196652 RXS196650:RXS196652 SHO196650:SHO196652 SRK196650:SRK196652 TBG196650:TBG196652 TLC196650:TLC196652 TUY196650:TUY196652 UEU196650:UEU196652 UOQ196650:UOQ196652 UYM196650:UYM196652 VII196650:VII196652 VSE196650:VSE196652 WCA196650:WCA196652 WLW196650:WLW196652 WVS196650:WVS196652 K262186:K262188 JG262186:JG262188 TC262186:TC262188 ACY262186:ACY262188 AMU262186:AMU262188 AWQ262186:AWQ262188 BGM262186:BGM262188 BQI262186:BQI262188 CAE262186:CAE262188 CKA262186:CKA262188 CTW262186:CTW262188 DDS262186:DDS262188 DNO262186:DNO262188 DXK262186:DXK262188 EHG262186:EHG262188 ERC262186:ERC262188 FAY262186:FAY262188 FKU262186:FKU262188 FUQ262186:FUQ262188 GEM262186:GEM262188 GOI262186:GOI262188 GYE262186:GYE262188 HIA262186:HIA262188 HRW262186:HRW262188 IBS262186:IBS262188 ILO262186:ILO262188 IVK262186:IVK262188 JFG262186:JFG262188 JPC262186:JPC262188 JYY262186:JYY262188 KIU262186:KIU262188 KSQ262186:KSQ262188 LCM262186:LCM262188 LMI262186:LMI262188 LWE262186:LWE262188 MGA262186:MGA262188 MPW262186:MPW262188 MZS262186:MZS262188 NJO262186:NJO262188 NTK262186:NTK262188 ODG262186:ODG262188 ONC262186:ONC262188 OWY262186:OWY262188 PGU262186:PGU262188 PQQ262186:PQQ262188 QAM262186:QAM262188 QKI262186:QKI262188 QUE262186:QUE262188 REA262186:REA262188 RNW262186:RNW262188 RXS262186:RXS262188 SHO262186:SHO262188 SRK262186:SRK262188 TBG262186:TBG262188 TLC262186:TLC262188 TUY262186:TUY262188 UEU262186:UEU262188 UOQ262186:UOQ262188 UYM262186:UYM262188 VII262186:VII262188 VSE262186:VSE262188 WCA262186:WCA262188 WLW262186:WLW262188 WVS262186:WVS262188 K327722:K327724 JG327722:JG327724 TC327722:TC327724 ACY327722:ACY327724 AMU327722:AMU327724 AWQ327722:AWQ327724 BGM327722:BGM327724 BQI327722:BQI327724 CAE327722:CAE327724 CKA327722:CKA327724 CTW327722:CTW327724 DDS327722:DDS327724 DNO327722:DNO327724 DXK327722:DXK327724 EHG327722:EHG327724 ERC327722:ERC327724 FAY327722:FAY327724 FKU327722:FKU327724 FUQ327722:FUQ327724 GEM327722:GEM327724 GOI327722:GOI327724 GYE327722:GYE327724 HIA327722:HIA327724 HRW327722:HRW327724 IBS327722:IBS327724 ILO327722:ILO327724 IVK327722:IVK327724 JFG327722:JFG327724 JPC327722:JPC327724 JYY327722:JYY327724 KIU327722:KIU327724 KSQ327722:KSQ327724 LCM327722:LCM327724 LMI327722:LMI327724 LWE327722:LWE327724 MGA327722:MGA327724 MPW327722:MPW327724 MZS327722:MZS327724 NJO327722:NJO327724 NTK327722:NTK327724 ODG327722:ODG327724 ONC327722:ONC327724 OWY327722:OWY327724 PGU327722:PGU327724 PQQ327722:PQQ327724 QAM327722:QAM327724 QKI327722:QKI327724 QUE327722:QUE327724 REA327722:REA327724 RNW327722:RNW327724 RXS327722:RXS327724 SHO327722:SHO327724 SRK327722:SRK327724 TBG327722:TBG327724 TLC327722:TLC327724 TUY327722:TUY327724 UEU327722:UEU327724 UOQ327722:UOQ327724 UYM327722:UYM327724 VII327722:VII327724 VSE327722:VSE327724 WCA327722:WCA327724 WLW327722:WLW327724 WVS327722:WVS327724 K393258:K393260 JG393258:JG393260 TC393258:TC393260 ACY393258:ACY393260 AMU393258:AMU393260 AWQ393258:AWQ393260 BGM393258:BGM393260 BQI393258:BQI393260 CAE393258:CAE393260 CKA393258:CKA393260 CTW393258:CTW393260 DDS393258:DDS393260 DNO393258:DNO393260 DXK393258:DXK393260 EHG393258:EHG393260 ERC393258:ERC393260 FAY393258:FAY393260 FKU393258:FKU393260 FUQ393258:FUQ393260 GEM393258:GEM393260 GOI393258:GOI393260 GYE393258:GYE393260 HIA393258:HIA393260 HRW393258:HRW393260 IBS393258:IBS393260 ILO393258:ILO393260 IVK393258:IVK393260 JFG393258:JFG393260 JPC393258:JPC393260 JYY393258:JYY393260 KIU393258:KIU393260 KSQ393258:KSQ393260 LCM393258:LCM393260 LMI393258:LMI393260 LWE393258:LWE393260 MGA393258:MGA393260 MPW393258:MPW393260 MZS393258:MZS393260 NJO393258:NJO393260 NTK393258:NTK393260 ODG393258:ODG393260 ONC393258:ONC393260 OWY393258:OWY393260 PGU393258:PGU393260 PQQ393258:PQQ393260 QAM393258:QAM393260 QKI393258:QKI393260 QUE393258:QUE393260 REA393258:REA393260 RNW393258:RNW393260 RXS393258:RXS393260 SHO393258:SHO393260 SRK393258:SRK393260 TBG393258:TBG393260 TLC393258:TLC393260 TUY393258:TUY393260 UEU393258:UEU393260 UOQ393258:UOQ393260 UYM393258:UYM393260 VII393258:VII393260 VSE393258:VSE393260 WCA393258:WCA393260 WLW393258:WLW393260 WVS393258:WVS393260 K458794:K458796 JG458794:JG458796 TC458794:TC458796 ACY458794:ACY458796 AMU458794:AMU458796 AWQ458794:AWQ458796 BGM458794:BGM458796 BQI458794:BQI458796 CAE458794:CAE458796 CKA458794:CKA458796 CTW458794:CTW458796 DDS458794:DDS458796 DNO458794:DNO458796 DXK458794:DXK458796 EHG458794:EHG458796 ERC458794:ERC458796 FAY458794:FAY458796 FKU458794:FKU458796 FUQ458794:FUQ458796 GEM458794:GEM458796 GOI458794:GOI458796 GYE458794:GYE458796 HIA458794:HIA458796 HRW458794:HRW458796 IBS458794:IBS458796 ILO458794:ILO458796 IVK458794:IVK458796 JFG458794:JFG458796 JPC458794:JPC458796 JYY458794:JYY458796 KIU458794:KIU458796 KSQ458794:KSQ458796 LCM458794:LCM458796 LMI458794:LMI458796 LWE458794:LWE458796 MGA458794:MGA458796 MPW458794:MPW458796 MZS458794:MZS458796 NJO458794:NJO458796 NTK458794:NTK458796 ODG458794:ODG458796 ONC458794:ONC458796 OWY458794:OWY458796 PGU458794:PGU458796 PQQ458794:PQQ458796 QAM458794:QAM458796 QKI458794:QKI458796 QUE458794:QUE458796 REA458794:REA458796 RNW458794:RNW458796 RXS458794:RXS458796 SHO458794:SHO458796 SRK458794:SRK458796 TBG458794:TBG458796 TLC458794:TLC458796 TUY458794:TUY458796 UEU458794:UEU458796 UOQ458794:UOQ458796 UYM458794:UYM458796 VII458794:VII458796 VSE458794:VSE458796 WCA458794:WCA458796 WLW458794:WLW458796 WVS458794:WVS458796 K524330:K524332 JG524330:JG524332 TC524330:TC524332 ACY524330:ACY524332 AMU524330:AMU524332 AWQ524330:AWQ524332 BGM524330:BGM524332 BQI524330:BQI524332 CAE524330:CAE524332 CKA524330:CKA524332 CTW524330:CTW524332 DDS524330:DDS524332 DNO524330:DNO524332 DXK524330:DXK524332 EHG524330:EHG524332 ERC524330:ERC524332 FAY524330:FAY524332 FKU524330:FKU524332 FUQ524330:FUQ524332 GEM524330:GEM524332 GOI524330:GOI524332 GYE524330:GYE524332 HIA524330:HIA524332 HRW524330:HRW524332 IBS524330:IBS524332 ILO524330:ILO524332 IVK524330:IVK524332 JFG524330:JFG524332 JPC524330:JPC524332 JYY524330:JYY524332 KIU524330:KIU524332 KSQ524330:KSQ524332 LCM524330:LCM524332 LMI524330:LMI524332 LWE524330:LWE524332 MGA524330:MGA524332 MPW524330:MPW524332 MZS524330:MZS524332 NJO524330:NJO524332 NTK524330:NTK524332 ODG524330:ODG524332 ONC524330:ONC524332 OWY524330:OWY524332 PGU524330:PGU524332 PQQ524330:PQQ524332 QAM524330:QAM524332 QKI524330:QKI524332 QUE524330:QUE524332 REA524330:REA524332 RNW524330:RNW524332 RXS524330:RXS524332 SHO524330:SHO524332 SRK524330:SRK524332 TBG524330:TBG524332 TLC524330:TLC524332 TUY524330:TUY524332 UEU524330:UEU524332 UOQ524330:UOQ524332 UYM524330:UYM524332 VII524330:VII524332 VSE524330:VSE524332 WCA524330:WCA524332 WLW524330:WLW524332 WVS524330:WVS524332 K589866:K589868 JG589866:JG589868 TC589866:TC589868 ACY589866:ACY589868 AMU589866:AMU589868 AWQ589866:AWQ589868 BGM589866:BGM589868 BQI589866:BQI589868 CAE589866:CAE589868 CKA589866:CKA589868 CTW589866:CTW589868 DDS589866:DDS589868 DNO589866:DNO589868 DXK589866:DXK589868 EHG589866:EHG589868 ERC589866:ERC589868 FAY589866:FAY589868 FKU589866:FKU589868 FUQ589866:FUQ589868 GEM589866:GEM589868 GOI589866:GOI589868 GYE589866:GYE589868 HIA589866:HIA589868 HRW589866:HRW589868 IBS589866:IBS589868 ILO589866:ILO589868 IVK589866:IVK589868 JFG589866:JFG589868 JPC589866:JPC589868 JYY589866:JYY589868 KIU589866:KIU589868 KSQ589866:KSQ589868 LCM589866:LCM589868 LMI589866:LMI589868 LWE589866:LWE589868 MGA589866:MGA589868 MPW589866:MPW589868 MZS589866:MZS589868 NJO589866:NJO589868 NTK589866:NTK589868 ODG589866:ODG589868 ONC589866:ONC589868 OWY589866:OWY589868 PGU589866:PGU589868 PQQ589866:PQQ589868 QAM589866:QAM589868 QKI589866:QKI589868 QUE589866:QUE589868 REA589866:REA589868 RNW589866:RNW589868 RXS589866:RXS589868 SHO589866:SHO589868 SRK589866:SRK589868 TBG589866:TBG589868 TLC589866:TLC589868 TUY589866:TUY589868 UEU589866:UEU589868 UOQ589866:UOQ589868 UYM589866:UYM589868 VII589866:VII589868 VSE589866:VSE589868 WCA589866:WCA589868 WLW589866:WLW589868 WVS589866:WVS589868 K655402:K655404 JG655402:JG655404 TC655402:TC655404 ACY655402:ACY655404 AMU655402:AMU655404 AWQ655402:AWQ655404 BGM655402:BGM655404 BQI655402:BQI655404 CAE655402:CAE655404 CKA655402:CKA655404 CTW655402:CTW655404 DDS655402:DDS655404 DNO655402:DNO655404 DXK655402:DXK655404 EHG655402:EHG655404 ERC655402:ERC655404 FAY655402:FAY655404 FKU655402:FKU655404 FUQ655402:FUQ655404 GEM655402:GEM655404 GOI655402:GOI655404 GYE655402:GYE655404 HIA655402:HIA655404 HRW655402:HRW655404 IBS655402:IBS655404 ILO655402:ILO655404 IVK655402:IVK655404 JFG655402:JFG655404 JPC655402:JPC655404 JYY655402:JYY655404 KIU655402:KIU655404 KSQ655402:KSQ655404 LCM655402:LCM655404 LMI655402:LMI655404 LWE655402:LWE655404 MGA655402:MGA655404 MPW655402:MPW655404 MZS655402:MZS655404 NJO655402:NJO655404 NTK655402:NTK655404 ODG655402:ODG655404 ONC655402:ONC655404 OWY655402:OWY655404 PGU655402:PGU655404 PQQ655402:PQQ655404 QAM655402:QAM655404 QKI655402:QKI655404 QUE655402:QUE655404 REA655402:REA655404 RNW655402:RNW655404 RXS655402:RXS655404 SHO655402:SHO655404 SRK655402:SRK655404 TBG655402:TBG655404 TLC655402:TLC655404 TUY655402:TUY655404 UEU655402:UEU655404 UOQ655402:UOQ655404 UYM655402:UYM655404 VII655402:VII655404 VSE655402:VSE655404 WCA655402:WCA655404 WLW655402:WLW655404 WVS655402:WVS655404 K720938:K720940 JG720938:JG720940 TC720938:TC720940 ACY720938:ACY720940 AMU720938:AMU720940 AWQ720938:AWQ720940 BGM720938:BGM720940 BQI720938:BQI720940 CAE720938:CAE720940 CKA720938:CKA720940 CTW720938:CTW720940 DDS720938:DDS720940 DNO720938:DNO720940 DXK720938:DXK720940 EHG720938:EHG720940 ERC720938:ERC720940 FAY720938:FAY720940 FKU720938:FKU720940 FUQ720938:FUQ720940 GEM720938:GEM720940 GOI720938:GOI720940 GYE720938:GYE720940 HIA720938:HIA720940 HRW720938:HRW720940 IBS720938:IBS720940 ILO720938:ILO720940 IVK720938:IVK720940 JFG720938:JFG720940 JPC720938:JPC720940 JYY720938:JYY720940 KIU720938:KIU720940 KSQ720938:KSQ720940 LCM720938:LCM720940 LMI720938:LMI720940 LWE720938:LWE720940 MGA720938:MGA720940 MPW720938:MPW720940 MZS720938:MZS720940 NJO720938:NJO720940 NTK720938:NTK720940 ODG720938:ODG720940 ONC720938:ONC720940 OWY720938:OWY720940 PGU720938:PGU720940 PQQ720938:PQQ720940 QAM720938:QAM720940 QKI720938:QKI720940 QUE720938:QUE720940 REA720938:REA720940 RNW720938:RNW720940 RXS720938:RXS720940 SHO720938:SHO720940 SRK720938:SRK720940 TBG720938:TBG720940 TLC720938:TLC720940 TUY720938:TUY720940 UEU720938:UEU720940 UOQ720938:UOQ720940 UYM720938:UYM720940 VII720938:VII720940 VSE720938:VSE720940 WCA720938:WCA720940 WLW720938:WLW720940 WVS720938:WVS720940 K786474:K786476 JG786474:JG786476 TC786474:TC786476 ACY786474:ACY786476 AMU786474:AMU786476 AWQ786474:AWQ786476 BGM786474:BGM786476 BQI786474:BQI786476 CAE786474:CAE786476 CKA786474:CKA786476 CTW786474:CTW786476 DDS786474:DDS786476 DNO786474:DNO786476 DXK786474:DXK786476 EHG786474:EHG786476 ERC786474:ERC786476 FAY786474:FAY786476 FKU786474:FKU786476 FUQ786474:FUQ786476 GEM786474:GEM786476 GOI786474:GOI786476 GYE786474:GYE786476 HIA786474:HIA786476 HRW786474:HRW786476 IBS786474:IBS786476 ILO786474:ILO786476 IVK786474:IVK786476 JFG786474:JFG786476 JPC786474:JPC786476 JYY786474:JYY786476 KIU786474:KIU786476 KSQ786474:KSQ786476 LCM786474:LCM786476 LMI786474:LMI786476 LWE786474:LWE786476 MGA786474:MGA786476 MPW786474:MPW786476 MZS786474:MZS786476 NJO786474:NJO786476 NTK786474:NTK786476 ODG786474:ODG786476 ONC786474:ONC786476 OWY786474:OWY786476 PGU786474:PGU786476 PQQ786474:PQQ786476 QAM786474:QAM786476 QKI786474:QKI786476 QUE786474:QUE786476 REA786474:REA786476 RNW786474:RNW786476 RXS786474:RXS786476 SHO786474:SHO786476 SRK786474:SRK786476 TBG786474:TBG786476 TLC786474:TLC786476 TUY786474:TUY786476 UEU786474:UEU786476 UOQ786474:UOQ786476 UYM786474:UYM786476 VII786474:VII786476 VSE786474:VSE786476 WCA786474:WCA786476 WLW786474:WLW786476 WVS786474:WVS786476 K852010:K852012 JG852010:JG852012 TC852010:TC852012 ACY852010:ACY852012 AMU852010:AMU852012 AWQ852010:AWQ852012 BGM852010:BGM852012 BQI852010:BQI852012 CAE852010:CAE852012 CKA852010:CKA852012 CTW852010:CTW852012 DDS852010:DDS852012 DNO852010:DNO852012 DXK852010:DXK852012 EHG852010:EHG852012 ERC852010:ERC852012 FAY852010:FAY852012 FKU852010:FKU852012 FUQ852010:FUQ852012 GEM852010:GEM852012 GOI852010:GOI852012 GYE852010:GYE852012 HIA852010:HIA852012 HRW852010:HRW852012 IBS852010:IBS852012 ILO852010:ILO852012 IVK852010:IVK852012 JFG852010:JFG852012 JPC852010:JPC852012 JYY852010:JYY852012 KIU852010:KIU852012 KSQ852010:KSQ852012 LCM852010:LCM852012 LMI852010:LMI852012 LWE852010:LWE852012 MGA852010:MGA852012 MPW852010:MPW852012 MZS852010:MZS852012 NJO852010:NJO852012 NTK852010:NTK852012 ODG852010:ODG852012 ONC852010:ONC852012 OWY852010:OWY852012 PGU852010:PGU852012 PQQ852010:PQQ852012 QAM852010:QAM852012 QKI852010:QKI852012 QUE852010:QUE852012 REA852010:REA852012 RNW852010:RNW852012 RXS852010:RXS852012 SHO852010:SHO852012 SRK852010:SRK852012 TBG852010:TBG852012 TLC852010:TLC852012 TUY852010:TUY852012 UEU852010:UEU852012 UOQ852010:UOQ852012 UYM852010:UYM852012 VII852010:VII852012 VSE852010:VSE852012 WCA852010:WCA852012 WLW852010:WLW852012 WVS852010:WVS852012 K917546:K917548 JG917546:JG917548 TC917546:TC917548 ACY917546:ACY917548 AMU917546:AMU917548 AWQ917546:AWQ917548 BGM917546:BGM917548 BQI917546:BQI917548 CAE917546:CAE917548 CKA917546:CKA917548 CTW917546:CTW917548 DDS917546:DDS917548 DNO917546:DNO917548 DXK917546:DXK917548 EHG917546:EHG917548 ERC917546:ERC917548 FAY917546:FAY917548 FKU917546:FKU917548 FUQ917546:FUQ917548 GEM917546:GEM917548 GOI917546:GOI917548 GYE917546:GYE917548 HIA917546:HIA917548 HRW917546:HRW917548 IBS917546:IBS917548 ILO917546:ILO917548 IVK917546:IVK917548 JFG917546:JFG917548 JPC917546:JPC917548 JYY917546:JYY917548 KIU917546:KIU917548 KSQ917546:KSQ917548 LCM917546:LCM917548 LMI917546:LMI917548 LWE917546:LWE917548 MGA917546:MGA917548 MPW917546:MPW917548 MZS917546:MZS917548 NJO917546:NJO917548 NTK917546:NTK917548 ODG917546:ODG917548 ONC917546:ONC917548 OWY917546:OWY917548 PGU917546:PGU917548 PQQ917546:PQQ917548 QAM917546:QAM917548 QKI917546:QKI917548 QUE917546:QUE917548 REA917546:REA917548 RNW917546:RNW917548 RXS917546:RXS917548 SHO917546:SHO917548 SRK917546:SRK917548 TBG917546:TBG917548 TLC917546:TLC917548 TUY917546:TUY917548 UEU917546:UEU917548 UOQ917546:UOQ917548 UYM917546:UYM917548 VII917546:VII917548 VSE917546:VSE917548 WCA917546:WCA917548 WLW917546:WLW917548 WVS917546:WVS917548 K983082:K983084 JG983082:JG983084 TC983082:TC983084 ACY983082:ACY983084 AMU983082:AMU983084 AWQ983082:AWQ983084 BGM983082:BGM983084 BQI983082:BQI983084 CAE983082:CAE983084 CKA983082:CKA983084 CTW983082:CTW983084 DDS983082:DDS983084 DNO983082:DNO983084 DXK983082:DXK983084 EHG983082:EHG983084 ERC983082:ERC983084 FAY983082:FAY983084 FKU983082:FKU983084 FUQ983082:FUQ983084 GEM983082:GEM983084 GOI983082:GOI983084 GYE983082:GYE983084 HIA983082:HIA983084 HRW983082:HRW983084 IBS983082:IBS983084 ILO983082:ILO983084 IVK983082:IVK983084 JFG983082:JFG983084 JPC983082:JPC983084 JYY983082:JYY983084 KIU983082:KIU983084 KSQ983082:KSQ983084 LCM983082:LCM983084 LMI983082:LMI983084 LWE983082:LWE983084 MGA983082:MGA983084 MPW983082:MPW983084 MZS983082:MZS983084 NJO983082:NJO983084 NTK983082:NTK983084 ODG983082:ODG983084 ONC983082:ONC983084 OWY983082:OWY983084 PGU983082:PGU983084 PQQ983082:PQQ983084 QAM983082:QAM983084 QKI983082:QKI983084 QUE983082:QUE983084 REA983082:REA983084 RNW983082:RNW983084 RXS983082:RXS983084 SHO983082:SHO983084 SRK983082:SRK983084 TBG983082:TBG983084 TLC983082:TLC983084 TUY983082:TUY983084 UEU983082:UEU983084 UOQ983082:UOQ983084 UYM983082:UYM983084 VII983082:VII983084 VSE983082:VSE983084 WCA983082:WCA983084 WLW983082:WLW983084 WVS983082:WVS983084">
      <formula1>"Yes,No,NA"</formula1>
    </dataValidation>
  </dataValidations>
  <hyperlinks>
    <hyperlink ref="A1" location="'Table Of Contents'!A1" display="TOC"/>
  </hyperlinks>
  <pageMargins left="0.25" right="0.25" top="0.75" bottom="0.75" header="0.3" footer="0.3"/>
  <pageSetup scale="47" orientation="portrait" r:id="rId1"/>
  <headerFooter alignWithMargins="0"/>
  <rowBreaks count="2" manualBreakCount="2">
    <brk id="42" min="1" max="10" man="1"/>
    <brk id="44" min="1" max="10"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66FF33"/>
  </sheetPr>
  <dimension ref="A1:BP240"/>
  <sheetViews>
    <sheetView showGridLines="0" view="pageBreakPreview" zoomScaleNormal="75" zoomScaleSheetLayoutView="100" workbookViewId="0">
      <selection activeCell="B1" sqref="B1"/>
    </sheetView>
  </sheetViews>
  <sheetFormatPr defaultRowHeight="12.75"/>
  <cols>
    <col min="1" max="1" width="13.42578125" style="953" customWidth="1"/>
    <col min="2" max="2" width="20" style="953" customWidth="1"/>
    <col min="3" max="4" width="14.140625" style="953" customWidth="1"/>
    <col min="5" max="5" width="15.85546875" style="953" customWidth="1"/>
    <col min="6" max="6" width="16.28515625" style="953" customWidth="1"/>
    <col min="7" max="7" width="13.85546875" style="953" customWidth="1"/>
    <col min="8" max="8" width="14.140625" style="953" customWidth="1"/>
    <col min="9" max="9" width="8" style="953" customWidth="1"/>
    <col min="10" max="10" width="7.5703125" style="953" customWidth="1"/>
    <col min="11" max="11" width="10.42578125" style="953" customWidth="1"/>
    <col min="12" max="12" width="8.140625" style="953" customWidth="1"/>
    <col min="13" max="13" width="8.85546875" style="953" customWidth="1"/>
    <col min="14" max="14" width="10.140625" style="953" customWidth="1"/>
    <col min="15" max="15" width="12.42578125" style="953" customWidth="1"/>
    <col min="16" max="17" width="8.28515625" style="953" customWidth="1"/>
    <col min="18" max="19" width="14.140625" style="953" customWidth="1"/>
    <col min="20" max="23" width="9.140625" style="953"/>
    <col min="24" max="24" width="9.140625" style="953" hidden="1" customWidth="1"/>
    <col min="25" max="256" width="9.140625" style="953"/>
    <col min="257" max="257" width="13.42578125" style="953" customWidth="1"/>
    <col min="258" max="258" width="20" style="953" customWidth="1"/>
    <col min="259" max="260" width="14.140625" style="953" customWidth="1"/>
    <col min="261" max="261" width="15.85546875" style="953" customWidth="1"/>
    <col min="262" max="262" width="16.28515625" style="953" customWidth="1"/>
    <col min="263" max="263" width="13.85546875" style="953" customWidth="1"/>
    <col min="264" max="264" width="14.140625" style="953" customWidth="1"/>
    <col min="265" max="265" width="8" style="953" customWidth="1"/>
    <col min="266" max="266" width="7.5703125" style="953" customWidth="1"/>
    <col min="267" max="267" width="10.42578125" style="953" customWidth="1"/>
    <col min="268" max="268" width="8.140625" style="953" customWidth="1"/>
    <col min="269" max="269" width="8.85546875" style="953" customWidth="1"/>
    <col min="270" max="270" width="10.140625" style="953" customWidth="1"/>
    <col min="271" max="271" width="12.42578125" style="953" customWidth="1"/>
    <col min="272" max="273" width="8.28515625" style="953" customWidth="1"/>
    <col min="274" max="275" width="14.140625" style="953" customWidth="1"/>
    <col min="276" max="279" width="9.140625" style="953"/>
    <col min="280" max="280" width="0" style="953" hidden="1" customWidth="1"/>
    <col min="281" max="512" width="9.140625" style="953"/>
    <col min="513" max="513" width="13.42578125" style="953" customWidth="1"/>
    <col min="514" max="514" width="20" style="953" customWidth="1"/>
    <col min="515" max="516" width="14.140625" style="953" customWidth="1"/>
    <col min="517" max="517" width="15.85546875" style="953" customWidth="1"/>
    <col min="518" max="518" width="16.28515625" style="953" customWidth="1"/>
    <col min="519" max="519" width="13.85546875" style="953" customWidth="1"/>
    <col min="520" max="520" width="14.140625" style="953" customWidth="1"/>
    <col min="521" max="521" width="8" style="953" customWidth="1"/>
    <col min="522" max="522" width="7.5703125" style="953" customWidth="1"/>
    <col min="523" max="523" width="10.42578125" style="953" customWidth="1"/>
    <col min="524" max="524" width="8.140625" style="953" customWidth="1"/>
    <col min="525" max="525" width="8.85546875" style="953" customWidth="1"/>
    <col min="526" max="526" width="10.140625" style="953" customWidth="1"/>
    <col min="527" max="527" width="12.42578125" style="953" customWidth="1"/>
    <col min="528" max="529" width="8.28515625" style="953" customWidth="1"/>
    <col min="530" max="531" width="14.140625" style="953" customWidth="1"/>
    <col min="532" max="535" width="9.140625" style="953"/>
    <col min="536" max="536" width="0" style="953" hidden="1" customWidth="1"/>
    <col min="537" max="768" width="9.140625" style="953"/>
    <col min="769" max="769" width="13.42578125" style="953" customWidth="1"/>
    <col min="770" max="770" width="20" style="953" customWidth="1"/>
    <col min="771" max="772" width="14.140625" style="953" customWidth="1"/>
    <col min="773" max="773" width="15.85546875" style="953" customWidth="1"/>
    <col min="774" max="774" width="16.28515625" style="953" customWidth="1"/>
    <col min="775" max="775" width="13.85546875" style="953" customWidth="1"/>
    <col min="776" max="776" width="14.140625" style="953" customWidth="1"/>
    <col min="777" max="777" width="8" style="953" customWidth="1"/>
    <col min="778" max="778" width="7.5703125" style="953" customWidth="1"/>
    <col min="779" max="779" width="10.42578125" style="953" customWidth="1"/>
    <col min="780" max="780" width="8.140625" style="953" customWidth="1"/>
    <col min="781" max="781" width="8.85546875" style="953" customWidth="1"/>
    <col min="782" max="782" width="10.140625" style="953" customWidth="1"/>
    <col min="783" max="783" width="12.42578125" style="953" customWidth="1"/>
    <col min="784" max="785" width="8.28515625" style="953" customWidth="1"/>
    <col min="786" max="787" width="14.140625" style="953" customWidth="1"/>
    <col min="788" max="791" width="9.140625" style="953"/>
    <col min="792" max="792" width="0" style="953" hidden="1" customWidth="1"/>
    <col min="793" max="1024" width="9.140625" style="953"/>
    <col min="1025" max="1025" width="13.42578125" style="953" customWidth="1"/>
    <col min="1026" max="1026" width="20" style="953" customWidth="1"/>
    <col min="1027" max="1028" width="14.140625" style="953" customWidth="1"/>
    <col min="1029" max="1029" width="15.85546875" style="953" customWidth="1"/>
    <col min="1030" max="1030" width="16.28515625" style="953" customWidth="1"/>
    <col min="1031" max="1031" width="13.85546875" style="953" customWidth="1"/>
    <col min="1032" max="1032" width="14.140625" style="953" customWidth="1"/>
    <col min="1033" max="1033" width="8" style="953" customWidth="1"/>
    <col min="1034" max="1034" width="7.5703125" style="953" customWidth="1"/>
    <col min="1035" max="1035" width="10.42578125" style="953" customWidth="1"/>
    <col min="1036" max="1036" width="8.140625" style="953" customWidth="1"/>
    <col min="1037" max="1037" width="8.85546875" style="953" customWidth="1"/>
    <col min="1038" max="1038" width="10.140625" style="953" customWidth="1"/>
    <col min="1039" max="1039" width="12.42578125" style="953" customWidth="1"/>
    <col min="1040" max="1041" width="8.28515625" style="953" customWidth="1"/>
    <col min="1042" max="1043" width="14.140625" style="953" customWidth="1"/>
    <col min="1044" max="1047" width="9.140625" style="953"/>
    <col min="1048" max="1048" width="0" style="953" hidden="1" customWidth="1"/>
    <col min="1049" max="1280" width="9.140625" style="953"/>
    <col min="1281" max="1281" width="13.42578125" style="953" customWidth="1"/>
    <col min="1282" max="1282" width="20" style="953" customWidth="1"/>
    <col min="1283" max="1284" width="14.140625" style="953" customWidth="1"/>
    <col min="1285" max="1285" width="15.85546875" style="953" customWidth="1"/>
    <col min="1286" max="1286" width="16.28515625" style="953" customWidth="1"/>
    <col min="1287" max="1287" width="13.85546875" style="953" customWidth="1"/>
    <col min="1288" max="1288" width="14.140625" style="953" customWidth="1"/>
    <col min="1289" max="1289" width="8" style="953" customWidth="1"/>
    <col min="1290" max="1290" width="7.5703125" style="953" customWidth="1"/>
    <col min="1291" max="1291" width="10.42578125" style="953" customWidth="1"/>
    <col min="1292" max="1292" width="8.140625" style="953" customWidth="1"/>
    <col min="1293" max="1293" width="8.85546875" style="953" customWidth="1"/>
    <col min="1294" max="1294" width="10.140625" style="953" customWidth="1"/>
    <col min="1295" max="1295" width="12.42578125" style="953" customWidth="1"/>
    <col min="1296" max="1297" width="8.28515625" style="953" customWidth="1"/>
    <col min="1298" max="1299" width="14.140625" style="953" customWidth="1"/>
    <col min="1300" max="1303" width="9.140625" style="953"/>
    <col min="1304" max="1304" width="0" style="953" hidden="1" customWidth="1"/>
    <col min="1305" max="1536" width="9.140625" style="953"/>
    <col min="1537" max="1537" width="13.42578125" style="953" customWidth="1"/>
    <col min="1538" max="1538" width="20" style="953" customWidth="1"/>
    <col min="1539" max="1540" width="14.140625" style="953" customWidth="1"/>
    <col min="1541" max="1541" width="15.85546875" style="953" customWidth="1"/>
    <col min="1542" max="1542" width="16.28515625" style="953" customWidth="1"/>
    <col min="1543" max="1543" width="13.85546875" style="953" customWidth="1"/>
    <col min="1544" max="1544" width="14.140625" style="953" customWidth="1"/>
    <col min="1545" max="1545" width="8" style="953" customWidth="1"/>
    <col min="1546" max="1546" width="7.5703125" style="953" customWidth="1"/>
    <col min="1547" max="1547" width="10.42578125" style="953" customWidth="1"/>
    <col min="1548" max="1548" width="8.140625" style="953" customWidth="1"/>
    <col min="1549" max="1549" width="8.85546875" style="953" customWidth="1"/>
    <col min="1550" max="1550" width="10.140625" style="953" customWidth="1"/>
    <col min="1551" max="1551" width="12.42578125" style="953" customWidth="1"/>
    <col min="1552" max="1553" width="8.28515625" style="953" customWidth="1"/>
    <col min="1554" max="1555" width="14.140625" style="953" customWidth="1"/>
    <col min="1556" max="1559" width="9.140625" style="953"/>
    <col min="1560" max="1560" width="0" style="953" hidden="1" customWidth="1"/>
    <col min="1561" max="1792" width="9.140625" style="953"/>
    <col min="1793" max="1793" width="13.42578125" style="953" customWidth="1"/>
    <col min="1794" max="1794" width="20" style="953" customWidth="1"/>
    <col min="1795" max="1796" width="14.140625" style="953" customWidth="1"/>
    <col min="1797" max="1797" width="15.85546875" style="953" customWidth="1"/>
    <col min="1798" max="1798" width="16.28515625" style="953" customWidth="1"/>
    <col min="1799" max="1799" width="13.85546875" style="953" customWidth="1"/>
    <col min="1800" max="1800" width="14.140625" style="953" customWidth="1"/>
    <col min="1801" max="1801" width="8" style="953" customWidth="1"/>
    <col min="1802" max="1802" width="7.5703125" style="953" customWidth="1"/>
    <col min="1803" max="1803" width="10.42578125" style="953" customWidth="1"/>
    <col min="1804" max="1804" width="8.140625" style="953" customWidth="1"/>
    <col min="1805" max="1805" width="8.85546875" style="953" customWidth="1"/>
    <col min="1806" max="1806" width="10.140625" style="953" customWidth="1"/>
    <col min="1807" max="1807" width="12.42578125" style="953" customWidth="1"/>
    <col min="1808" max="1809" width="8.28515625" style="953" customWidth="1"/>
    <col min="1810" max="1811" width="14.140625" style="953" customWidth="1"/>
    <col min="1812" max="1815" width="9.140625" style="953"/>
    <col min="1816" max="1816" width="0" style="953" hidden="1" customWidth="1"/>
    <col min="1817" max="2048" width="9.140625" style="953"/>
    <col min="2049" max="2049" width="13.42578125" style="953" customWidth="1"/>
    <col min="2050" max="2050" width="20" style="953" customWidth="1"/>
    <col min="2051" max="2052" width="14.140625" style="953" customWidth="1"/>
    <col min="2053" max="2053" width="15.85546875" style="953" customWidth="1"/>
    <col min="2054" max="2054" width="16.28515625" style="953" customWidth="1"/>
    <col min="2055" max="2055" width="13.85546875" style="953" customWidth="1"/>
    <col min="2056" max="2056" width="14.140625" style="953" customWidth="1"/>
    <col min="2057" max="2057" width="8" style="953" customWidth="1"/>
    <col min="2058" max="2058" width="7.5703125" style="953" customWidth="1"/>
    <col min="2059" max="2059" width="10.42578125" style="953" customWidth="1"/>
    <col min="2060" max="2060" width="8.140625" style="953" customWidth="1"/>
    <col min="2061" max="2061" width="8.85546875" style="953" customWidth="1"/>
    <col min="2062" max="2062" width="10.140625" style="953" customWidth="1"/>
    <col min="2063" max="2063" width="12.42578125" style="953" customWidth="1"/>
    <col min="2064" max="2065" width="8.28515625" style="953" customWidth="1"/>
    <col min="2066" max="2067" width="14.140625" style="953" customWidth="1"/>
    <col min="2068" max="2071" width="9.140625" style="953"/>
    <col min="2072" max="2072" width="0" style="953" hidden="1" customWidth="1"/>
    <col min="2073" max="2304" width="9.140625" style="953"/>
    <col min="2305" max="2305" width="13.42578125" style="953" customWidth="1"/>
    <col min="2306" max="2306" width="20" style="953" customWidth="1"/>
    <col min="2307" max="2308" width="14.140625" style="953" customWidth="1"/>
    <col min="2309" max="2309" width="15.85546875" style="953" customWidth="1"/>
    <col min="2310" max="2310" width="16.28515625" style="953" customWidth="1"/>
    <col min="2311" max="2311" width="13.85546875" style="953" customWidth="1"/>
    <col min="2312" max="2312" width="14.140625" style="953" customWidth="1"/>
    <col min="2313" max="2313" width="8" style="953" customWidth="1"/>
    <col min="2314" max="2314" width="7.5703125" style="953" customWidth="1"/>
    <col min="2315" max="2315" width="10.42578125" style="953" customWidth="1"/>
    <col min="2316" max="2316" width="8.140625" style="953" customWidth="1"/>
    <col min="2317" max="2317" width="8.85546875" style="953" customWidth="1"/>
    <col min="2318" max="2318" width="10.140625" style="953" customWidth="1"/>
    <col min="2319" max="2319" width="12.42578125" style="953" customWidth="1"/>
    <col min="2320" max="2321" width="8.28515625" style="953" customWidth="1"/>
    <col min="2322" max="2323" width="14.140625" style="953" customWidth="1"/>
    <col min="2324" max="2327" width="9.140625" style="953"/>
    <col min="2328" max="2328" width="0" style="953" hidden="1" customWidth="1"/>
    <col min="2329" max="2560" width="9.140625" style="953"/>
    <col min="2561" max="2561" width="13.42578125" style="953" customWidth="1"/>
    <col min="2562" max="2562" width="20" style="953" customWidth="1"/>
    <col min="2563" max="2564" width="14.140625" style="953" customWidth="1"/>
    <col min="2565" max="2565" width="15.85546875" style="953" customWidth="1"/>
    <col min="2566" max="2566" width="16.28515625" style="953" customWidth="1"/>
    <col min="2567" max="2567" width="13.85546875" style="953" customWidth="1"/>
    <col min="2568" max="2568" width="14.140625" style="953" customWidth="1"/>
    <col min="2569" max="2569" width="8" style="953" customWidth="1"/>
    <col min="2570" max="2570" width="7.5703125" style="953" customWidth="1"/>
    <col min="2571" max="2571" width="10.42578125" style="953" customWidth="1"/>
    <col min="2572" max="2572" width="8.140625" style="953" customWidth="1"/>
    <col min="2573" max="2573" width="8.85546875" style="953" customWidth="1"/>
    <col min="2574" max="2574" width="10.140625" style="953" customWidth="1"/>
    <col min="2575" max="2575" width="12.42578125" style="953" customWidth="1"/>
    <col min="2576" max="2577" width="8.28515625" style="953" customWidth="1"/>
    <col min="2578" max="2579" width="14.140625" style="953" customWidth="1"/>
    <col min="2580" max="2583" width="9.140625" style="953"/>
    <col min="2584" max="2584" width="0" style="953" hidden="1" customWidth="1"/>
    <col min="2585" max="2816" width="9.140625" style="953"/>
    <col min="2817" max="2817" width="13.42578125" style="953" customWidth="1"/>
    <col min="2818" max="2818" width="20" style="953" customWidth="1"/>
    <col min="2819" max="2820" width="14.140625" style="953" customWidth="1"/>
    <col min="2821" max="2821" width="15.85546875" style="953" customWidth="1"/>
    <col min="2822" max="2822" width="16.28515625" style="953" customWidth="1"/>
    <col min="2823" max="2823" width="13.85546875" style="953" customWidth="1"/>
    <col min="2824" max="2824" width="14.140625" style="953" customWidth="1"/>
    <col min="2825" max="2825" width="8" style="953" customWidth="1"/>
    <col min="2826" max="2826" width="7.5703125" style="953" customWidth="1"/>
    <col min="2827" max="2827" width="10.42578125" style="953" customWidth="1"/>
    <col min="2828" max="2828" width="8.140625" style="953" customWidth="1"/>
    <col min="2829" max="2829" width="8.85546875" style="953" customWidth="1"/>
    <col min="2830" max="2830" width="10.140625" style="953" customWidth="1"/>
    <col min="2831" max="2831" width="12.42578125" style="953" customWidth="1"/>
    <col min="2832" max="2833" width="8.28515625" style="953" customWidth="1"/>
    <col min="2834" max="2835" width="14.140625" style="953" customWidth="1"/>
    <col min="2836" max="2839" width="9.140625" style="953"/>
    <col min="2840" max="2840" width="0" style="953" hidden="1" customWidth="1"/>
    <col min="2841" max="3072" width="9.140625" style="953"/>
    <col min="3073" max="3073" width="13.42578125" style="953" customWidth="1"/>
    <col min="3074" max="3074" width="20" style="953" customWidth="1"/>
    <col min="3075" max="3076" width="14.140625" style="953" customWidth="1"/>
    <col min="3077" max="3077" width="15.85546875" style="953" customWidth="1"/>
    <col min="3078" max="3078" width="16.28515625" style="953" customWidth="1"/>
    <col min="3079" max="3079" width="13.85546875" style="953" customWidth="1"/>
    <col min="3080" max="3080" width="14.140625" style="953" customWidth="1"/>
    <col min="3081" max="3081" width="8" style="953" customWidth="1"/>
    <col min="3082" max="3082" width="7.5703125" style="953" customWidth="1"/>
    <col min="3083" max="3083" width="10.42578125" style="953" customWidth="1"/>
    <col min="3084" max="3084" width="8.140625" style="953" customWidth="1"/>
    <col min="3085" max="3085" width="8.85546875" style="953" customWidth="1"/>
    <col min="3086" max="3086" width="10.140625" style="953" customWidth="1"/>
    <col min="3087" max="3087" width="12.42578125" style="953" customWidth="1"/>
    <col min="3088" max="3089" width="8.28515625" style="953" customWidth="1"/>
    <col min="3090" max="3091" width="14.140625" style="953" customWidth="1"/>
    <col min="3092" max="3095" width="9.140625" style="953"/>
    <col min="3096" max="3096" width="0" style="953" hidden="1" customWidth="1"/>
    <col min="3097" max="3328" width="9.140625" style="953"/>
    <col min="3329" max="3329" width="13.42578125" style="953" customWidth="1"/>
    <col min="3330" max="3330" width="20" style="953" customWidth="1"/>
    <col min="3331" max="3332" width="14.140625" style="953" customWidth="1"/>
    <col min="3333" max="3333" width="15.85546875" style="953" customWidth="1"/>
    <col min="3334" max="3334" width="16.28515625" style="953" customWidth="1"/>
    <col min="3335" max="3335" width="13.85546875" style="953" customWidth="1"/>
    <col min="3336" max="3336" width="14.140625" style="953" customWidth="1"/>
    <col min="3337" max="3337" width="8" style="953" customWidth="1"/>
    <col min="3338" max="3338" width="7.5703125" style="953" customWidth="1"/>
    <col min="3339" max="3339" width="10.42578125" style="953" customWidth="1"/>
    <col min="3340" max="3340" width="8.140625" style="953" customWidth="1"/>
    <col min="3341" max="3341" width="8.85546875" style="953" customWidth="1"/>
    <col min="3342" max="3342" width="10.140625" style="953" customWidth="1"/>
    <col min="3343" max="3343" width="12.42578125" style="953" customWidth="1"/>
    <col min="3344" max="3345" width="8.28515625" style="953" customWidth="1"/>
    <col min="3346" max="3347" width="14.140625" style="953" customWidth="1"/>
    <col min="3348" max="3351" width="9.140625" style="953"/>
    <col min="3352" max="3352" width="0" style="953" hidden="1" customWidth="1"/>
    <col min="3353" max="3584" width="9.140625" style="953"/>
    <col min="3585" max="3585" width="13.42578125" style="953" customWidth="1"/>
    <col min="3586" max="3586" width="20" style="953" customWidth="1"/>
    <col min="3587" max="3588" width="14.140625" style="953" customWidth="1"/>
    <col min="3589" max="3589" width="15.85546875" style="953" customWidth="1"/>
    <col min="3590" max="3590" width="16.28515625" style="953" customWidth="1"/>
    <col min="3591" max="3591" width="13.85546875" style="953" customWidth="1"/>
    <col min="3592" max="3592" width="14.140625" style="953" customWidth="1"/>
    <col min="3593" max="3593" width="8" style="953" customWidth="1"/>
    <col min="3594" max="3594" width="7.5703125" style="953" customWidth="1"/>
    <col min="3595" max="3595" width="10.42578125" style="953" customWidth="1"/>
    <col min="3596" max="3596" width="8.140625" style="953" customWidth="1"/>
    <col min="3597" max="3597" width="8.85546875" style="953" customWidth="1"/>
    <col min="3598" max="3598" width="10.140625" style="953" customWidth="1"/>
    <col min="3599" max="3599" width="12.42578125" style="953" customWidth="1"/>
    <col min="3600" max="3601" width="8.28515625" style="953" customWidth="1"/>
    <col min="3602" max="3603" width="14.140625" style="953" customWidth="1"/>
    <col min="3604" max="3607" width="9.140625" style="953"/>
    <col min="3608" max="3608" width="0" style="953" hidden="1" customWidth="1"/>
    <col min="3609" max="3840" width="9.140625" style="953"/>
    <col min="3841" max="3841" width="13.42578125" style="953" customWidth="1"/>
    <col min="3842" max="3842" width="20" style="953" customWidth="1"/>
    <col min="3843" max="3844" width="14.140625" style="953" customWidth="1"/>
    <col min="3845" max="3845" width="15.85546875" style="953" customWidth="1"/>
    <col min="3846" max="3846" width="16.28515625" style="953" customWidth="1"/>
    <col min="3847" max="3847" width="13.85546875" style="953" customWidth="1"/>
    <col min="3848" max="3848" width="14.140625" style="953" customWidth="1"/>
    <col min="3849" max="3849" width="8" style="953" customWidth="1"/>
    <col min="3850" max="3850" width="7.5703125" style="953" customWidth="1"/>
    <col min="3851" max="3851" width="10.42578125" style="953" customWidth="1"/>
    <col min="3852" max="3852" width="8.140625" style="953" customWidth="1"/>
    <col min="3853" max="3853" width="8.85546875" style="953" customWidth="1"/>
    <col min="3854" max="3854" width="10.140625" style="953" customWidth="1"/>
    <col min="3855" max="3855" width="12.42578125" style="953" customWidth="1"/>
    <col min="3856" max="3857" width="8.28515625" style="953" customWidth="1"/>
    <col min="3858" max="3859" width="14.140625" style="953" customWidth="1"/>
    <col min="3860" max="3863" width="9.140625" style="953"/>
    <col min="3864" max="3864" width="0" style="953" hidden="1" customWidth="1"/>
    <col min="3865" max="4096" width="9.140625" style="953"/>
    <col min="4097" max="4097" width="13.42578125" style="953" customWidth="1"/>
    <col min="4098" max="4098" width="20" style="953" customWidth="1"/>
    <col min="4099" max="4100" width="14.140625" style="953" customWidth="1"/>
    <col min="4101" max="4101" width="15.85546875" style="953" customWidth="1"/>
    <col min="4102" max="4102" width="16.28515625" style="953" customWidth="1"/>
    <col min="4103" max="4103" width="13.85546875" style="953" customWidth="1"/>
    <col min="4104" max="4104" width="14.140625" style="953" customWidth="1"/>
    <col min="4105" max="4105" width="8" style="953" customWidth="1"/>
    <col min="4106" max="4106" width="7.5703125" style="953" customWidth="1"/>
    <col min="4107" max="4107" width="10.42578125" style="953" customWidth="1"/>
    <col min="4108" max="4108" width="8.140625" style="953" customWidth="1"/>
    <col min="4109" max="4109" width="8.85546875" style="953" customWidth="1"/>
    <col min="4110" max="4110" width="10.140625" style="953" customWidth="1"/>
    <col min="4111" max="4111" width="12.42578125" style="953" customWidth="1"/>
    <col min="4112" max="4113" width="8.28515625" style="953" customWidth="1"/>
    <col min="4114" max="4115" width="14.140625" style="953" customWidth="1"/>
    <col min="4116" max="4119" width="9.140625" style="953"/>
    <col min="4120" max="4120" width="0" style="953" hidden="1" customWidth="1"/>
    <col min="4121" max="4352" width="9.140625" style="953"/>
    <col min="4353" max="4353" width="13.42578125" style="953" customWidth="1"/>
    <col min="4354" max="4354" width="20" style="953" customWidth="1"/>
    <col min="4355" max="4356" width="14.140625" style="953" customWidth="1"/>
    <col min="4357" max="4357" width="15.85546875" style="953" customWidth="1"/>
    <col min="4358" max="4358" width="16.28515625" style="953" customWidth="1"/>
    <col min="4359" max="4359" width="13.85546875" style="953" customWidth="1"/>
    <col min="4360" max="4360" width="14.140625" style="953" customWidth="1"/>
    <col min="4361" max="4361" width="8" style="953" customWidth="1"/>
    <col min="4362" max="4362" width="7.5703125" style="953" customWidth="1"/>
    <col min="4363" max="4363" width="10.42578125" style="953" customWidth="1"/>
    <col min="4364" max="4364" width="8.140625" style="953" customWidth="1"/>
    <col min="4365" max="4365" width="8.85546875" style="953" customWidth="1"/>
    <col min="4366" max="4366" width="10.140625" style="953" customWidth="1"/>
    <col min="4367" max="4367" width="12.42578125" style="953" customWidth="1"/>
    <col min="4368" max="4369" width="8.28515625" style="953" customWidth="1"/>
    <col min="4370" max="4371" width="14.140625" style="953" customWidth="1"/>
    <col min="4372" max="4375" width="9.140625" style="953"/>
    <col min="4376" max="4376" width="0" style="953" hidden="1" customWidth="1"/>
    <col min="4377" max="4608" width="9.140625" style="953"/>
    <col min="4609" max="4609" width="13.42578125" style="953" customWidth="1"/>
    <col min="4610" max="4610" width="20" style="953" customWidth="1"/>
    <col min="4611" max="4612" width="14.140625" style="953" customWidth="1"/>
    <col min="4613" max="4613" width="15.85546875" style="953" customWidth="1"/>
    <col min="4614" max="4614" width="16.28515625" style="953" customWidth="1"/>
    <col min="4615" max="4615" width="13.85546875" style="953" customWidth="1"/>
    <col min="4616" max="4616" width="14.140625" style="953" customWidth="1"/>
    <col min="4617" max="4617" width="8" style="953" customWidth="1"/>
    <col min="4618" max="4618" width="7.5703125" style="953" customWidth="1"/>
    <col min="4619" max="4619" width="10.42578125" style="953" customWidth="1"/>
    <col min="4620" max="4620" width="8.140625" style="953" customWidth="1"/>
    <col min="4621" max="4621" width="8.85546875" style="953" customWidth="1"/>
    <col min="4622" max="4622" width="10.140625" style="953" customWidth="1"/>
    <col min="4623" max="4623" width="12.42578125" style="953" customWidth="1"/>
    <col min="4624" max="4625" width="8.28515625" style="953" customWidth="1"/>
    <col min="4626" max="4627" width="14.140625" style="953" customWidth="1"/>
    <col min="4628" max="4631" width="9.140625" style="953"/>
    <col min="4632" max="4632" width="0" style="953" hidden="1" customWidth="1"/>
    <col min="4633" max="4864" width="9.140625" style="953"/>
    <col min="4865" max="4865" width="13.42578125" style="953" customWidth="1"/>
    <col min="4866" max="4866" width="20" style="953" customWidth="1"/>
    <col min="4867" max="4868" width="14.140625" style="953" customWidth="1"/>
    <col min="4869" max="4869" width="15.85546875" style="953" customWidth="1"/>
    <col min="4870" max="4870" width="16.28515625" style="953" customWidth="1"/>
    <col min="4871" max="4871" width="13.85546875" style="953" customWidth="1"/>
    <col min="4872" max="4872" width="14.140625" style="953" customWidth="1"/>
    <col min="4873" max="4873" width="8" style="953" customWidth="1"/>
    <col min="4874" max="4874" width="7.5703125" style="953" customWidth="1"/>
    <col min="4875" max="4875" width="10.42578125" style="953" customWidth="1"/>
    <col min="4876" max="4876" width="8.140625" style="953" customWidth="1"/>
    <col min="4877" max="4877" width="8.85546875" style="953" customWidth="1"/>
    <col min="4878" max="4878" width="10.140625" style="953" customWidth="1"/>
    <col min="4879" max="4879" width="12.42578125" style="953" customWidth="1"/>
    <col min="4880" max="4881" width="8.28515625" style="953" customWidth="1"/>
    <col min="4882" max="4883" width="14.140625" style="953" customWidth="1"/>
    <col min="4884" max="4887" width="9.140625" style="953"/>
    <col min="4888" max="4888" width="0" style="953" hidden="1" customWidth="1"/>
    <col min="4889" max="5120" width="9.140625" style="953"/>
    <col min="5121" max="5121" width="13.42578125" style="953" customWidth="1"/>
    <col min="5122" max="5122" width="20" style="953" customWidth="1"/>
    <col min="5123" max="5124" width="14.140625" style="953" customWidth="1"/>
    <col min="5125" max="5125" width="15.85546875" style="953" customWidth="1"/>
    <col min="5126" max="5126" width="16.28515625" style="953" customWidth="1"/>
    <col min="5127" max="5127" width="13.85546875" style="953" customWidth="1"/>
    <col min="5128" max="5128" width="14.140625" style="953" customWidth="1"/>
    <col min="5129" max="5129" width="8" style="953" customWidth="1"/>
    <col min="5130" max="5130" width="7.5703125" style="953" customWidth="1"/>
    <col min="5131" max="5131" width="10.42578125" style="953" customWidth="1"/>
    <col min="5132" max="5132" width="8.140625" style="953" customWidth="1"/>
    <col min="5133" max="5133" width="8.85546875" style="953" customWidth="1"/>
    <col min="5134" max="5134" width="10.140625" style="953" customWidth="1"/>
    <col min="5135" max="5135" width="12.42578125" style="953" customWidth="1"/>
    <col min="5136" max="5137" width="8.28515625" style="953" customWidth="1"/>
    <col min="5138" max="5139" width="14.140625" style="953" customWidth="1"/>
    <col min="5140" max="5143" width="9.140625" style="953"/>
    <col min="5144" max="5144" width="0" style="953" hidden="1" customWidth="1"/>
    <col min="5145" max="5376" width="9.140625" style="953"/>
    <col min="5377" max="5377" width="13.42578125" style="953" customWidth="1"/>
    <col min="5378" max="5378" width="20" style="953" customWidth="1"/>
    <col min="5379" max="5380" width="14.140625" style="953" customWidth="1"/>
    <col min="5381" max="5381" width="15.85546875" style="953" customWidth="1"/>
    <col min="5382" max="5382" width="16.28515625" style="953" customWidth="1"/>
    <col min="5383" max="5383" width="13.85546875" style="953" customWidth="1"/>
    <col min="5384" max="5384" width="14.140625" style="953" customWidth="1"/>
    <col min="5385" max="5385" width="8" style="953" customWidth="1"/>
    <col min="5386" max="5386" width="7.5703125" style="953" customWidth="1"/>
    <col min="5387" max="5387" width="10.42578125" style="953" customWidth="1"/>
    <col min="5388" max="5388" width="8.140625" style="953" customWidth="1"/>
    <col min="5389" max="5389" width="8.85546875" style="953" customWidth="1"/>
    <col min="5390" max="5390" width="10.140625" style="953" customWidth="1"/>
    <col min="5391" max="5391" width="12.42578125" style="953" customWidth="1"/>
    <col min="5392" max="5393" width="8.28515625" style="953" customWidth="1"/>
    <col min="5394" max="5395" width="14.140625" style="953" customWidth="1"/>
    <col min="5396" max="5399" width="9.140625" style="953"/>
    <col min="5400" max="5400" width="0" style="953" hidden="1" customWidth="1"/>
    <col min="5401" max="5632" width="9.140625" style="953"/>
    <col min="5633" max="5633" width="13.42578125" style="953" customWidth="1"/>
    <col min="5634" max="5634" width="20" style="953" customWidth="1"/>
    <col min="5635" max="5636" width="14.140625" style="953" customWidth="1"/>
    <col min="5637" max="5637" width="15.85546875" style="953" customWidth="1"/>
    <col min="5638" max="5638" width="16.28515625" style="953" customWidth="1"/>
    <col min="5639" max="5639" width="13.85546875" style="953" customWidth="1"/>
    <col min="5640" max="5640" width="14.140625" style="953" customWidth="1"/>
    <col min="5641" max="5641" width="8" style="953" customWidth="1"/>
    <col min="5642" max="5642" width="7.5703125" style="953" customWidth="1"/>
    <col min="5643" max="5643" width="10.42578125" style="953" customWidth="1"/>
    <col min="5644" max="5644" width="8.140625" style="953" customWidth="1"/>
    <col min="5645" max="5645" width="8.85546875" style="953" customWidth="1"/>
    <col min="5646" max="5646" width="10.140625" style="953" customWidth="1"/>
    <col min="5647" max="5647" width="12.42578125" style="953" customWidth="1"/>
    <col min="5648" max="5649" width="8.28515625" style="953" customWidth="1"/>
    <col min="5650" max="5651" width="14.140625" style="953" customWidth="1"/>
    <col min="5652" max="5655" width="9.140625" style="953"/>
    <col min="5656" max="5656" width="0" style="953" hidden="1" customWidth="1"/>
    <col min="5657" max="5888" width="9.140625" style="953"/>
    <col min="5889" max="5889" width="13.42578125" style="953" customWidth="1"/>
    <col min="5890" max="5890" width="20" style="953" customWidth="1"/>
    <col min="5891" max="5892" width="14.140625" style="953" customWidth="1"/>
    <col min="5893" max="5893" width="15.85546875" style="953" customWidth="1"/>
    <col min="5894" max="5894" width="16.28515625" style="953" customWidth="1"/>
    <col min="5895" max="5895" width="13.85546875" style="953" customWidth="1"/>
    <col min="5896" max="5896" width="14.140625" style="953" customWidth="1"/>
    <col min="5897" max="5897" width="8" style="953" customWidth="1"/>
    <col min="5898" max="5898" width="7.5703125" style="953" customWidth="1"/>
    <col min="5899" max="5899" width="10.42578125" style="953" customWidth="1"/>
    <col min="5900" max="5900" width="8.140625" style="953" customWidth="1"/>
    <col min="5901" max="5901" width="8.85546875" style="953" customWidth="1"/>
    <col min="5902" max="5902" width="10.140625" style="953" customWidth="1"/>
    <col min="5903" max="5903" width="12.42578125" style="953" customWidth="1"/>
    <col min="5904" max="5905" width="8.28515625" style="953" customWidth="1"/>
    <col min="5906" max="5907" width="14.140625" style="953" customWidth="1"/>
    <col min="5908" max="5911" width="9.140625" style="953"/>
    <col min="5912" max="5912" width="0" style="953" hidden="1" customWidth="1"/>
    <col min="5913" max="6144" width="9.140625" style="953"/>
    <col min="6145" max="6145" width="13.42578125" style="953" customWidth="1"/>
    <col min="6146" max="6146" width="20" style="953" customWidth="1"/>
    <col min="6147" max="6148" width="14.140625" style="953" customWidth="1"/>
    <col min="6149" max="6149" width="15.85546875" style="953" customWidth="1"/>
    <col min="6150" max="6150" width="16.28515625" style="953" customWidth="1"/>
    <col min="6151" max="6151" width="13.85546875" style="953" customWidth="1"/>
    <col min="6152" max="6152" width="14.140625" style="953" customWidth="1"/>
    <col min="6153" max="6153" width="8" style="953" customWidth="1"/>
    <col min="6154" max="6154" width="7.5703125" style="953" customWidth="1"/>
    <col min="6155" max="6155" width="10.42578125" style="953" customWidth="1"/>
    <col min="6156" max="6156" width="8.140625" style="953" customWidth="1"/>
    <col min="6157" max="6157" width="8.85546875" style="953" customWidth="1"/>
    <col min="6158" max="6158" width="10.140625" style="953" customWidth="1"/>
    <col min="6159" max="6159" width="12.42578125" style="953" customWidth="1"/>
    <col min="6160" max="6161" width="8.28515625" style="953" customWidth="1"/>
    <col min="6162" max="6163" width="14.140625" style="953" customWidth="1"/>
    <col min="6164" max="6167" width="9.140625" style="953"/>
    <col min="6168" max="6168" width="0" style="953" hidden="1" customWidth="1"/>
    <col min="6169" max="6400" width="9.140625" style="953"/>
    <col min="6401" max="6401" width="13.42578125" style="953" customWidth="1"/>
    <col min="6402" max="6402" width="20" style="953" customWidth="1"/>
    <col min="6403" max="6404" width="14.140625" style="953" customWidth="1"/>
    <col min="6405" max="6405" width="15.85546875" style="953" customWidth="1"/>
    <col min="6406" max="6406" width="16.28515625" style="953" customWidth="1"/>
    <col min="6407" max="6407" width="13.85546875" style="953" customWidth="1"/>
    <col min="6408" max="6408" width="14.140625" style="953" customWidth="1"/>
    <col min="6409" max="6409" width="8" style="953" customWidth="1"/>
    <col min="6410" max="6410" width="7.5703125" style="953" customWidth="1"/>
    <col min="6411" max="6411" width="10.42578125" style="953" customWidth="1"/>
    <col min="6412" max="6412" width="8.140625" style="953" customWidth="1"/>
    <col min="6413" max="6413" width="8.85546875" style="953" customWidth="1"/>
    <col min="6414" max="6414" width="10.140625" style="953" customWidth="1"/>
    <col min="6415" max="6415" width="12.42578125" style="953" customWidth="1"/>
    <col min="6416" max="6417" width="8.28515625" style="953" customWidth="1"/>
    <col min="6418" max="6419" width="14.140625" style="953" customWidth="1"/>
    <col min="6420" max="6423" width="9.140625" style="953"/>
    <col min="6424" max="6424" width="0" style="953" hidden="1" customWidth="1"/>
    <col min="6425" max="6656" width="9.140625" style="953"/>
    <col min="6657" max="6657" width="13.42578125" style="953" customWidth="1"/>
    <col min="6658" max="6658" width="20" style="953" customWidth="1"/>
    <col min="6659" max="6660" width="14.140625" style="953" customWidth="1"/>
    <col min="6661" max="6661" width="15.85546875" style="953" customWidth="1"/>
    <col min="6662" max="6662" width="16.28515625" style="953" customWidth="1"/>
    <col min="6663" max="6663" width="13.85546875" style="953" customWidth="1"/>
    <col min="6664" max="6664" width="14.140625" style="953" customWidth="1"/>
    <col min="6665" max="6665" width="8" style="953" customWidth="1"/>
    <col min="6666" max="6666" width="7.5703125" style="953" customWidth="1"/>
    <col min="6667" max="6667" width="10.42578125" style="953" customWidth="1"/>
    <col min="6668" max="6668" width="8.140625" style="953" customWidth="1"/>
    <col min="6669" max="6669" width="8.85546875" style="953" customWidth="1"/>
    <col min="6670" max="6670" width="10.140625" style="953" customWidth="1"/>
    <col min="6671" max="6671" width="12.42578125" style="953" customWidth="1"/>
    <col min="6672" max="6673" width="8.28515625" style="953" customWidth="1"/>
    <col min="6674" max="6675" width="14.140625" style="953" customWidth="1"/>
    <col min="6676" max="6679" width="9.140625" style="953"/>
    <col min="6680" max="6680" width="0" style="953" hidden="1" customWidth="1"/>
    <col min="6681" max="6912" width="9.140625" style="953"/>
    <col min="6913" max="6913" width="13.42578125" style="953" customWidth="1"/>
    <col min="6914" max="6914" width="20" style="953" customWidth="1"/>
    <col min="6915" max="6916" width="14.140625" style="953" customWidth="1"/>
    <col min="6917" max="6917" width="15.85546875" style="953" customWidth="1"/>
    <col min="6918" max="6918" width="16.28515625" style="953" customWidth="1"/>
    <col min="6919" max="6919" width="13.85546875" style="953" customWidth="1"/>
    <col min="6920" max="6920" width="14.140625" style="953" customWidth="1"/>
    <col min="6921" max="6921" width="8" style="953" customWidth="1"/>
    <col min="6922" max="6922" width="7.5703125" style="953" customWidth="1"/>
    <col min="6923" max="6923" width="10.42578125" style="953" customWidth="1"/>
    <col min="6924" max="6924" width="8.140625" style="953" customWidth="1"/>
    <col min="6925" max="6925" width="8.85546875" style="953" customWidth="1"/>
    <col min="6926" max="6926" width="10.140625" style="953" customWidth="1"/>
    <col min="6927" max="6927" width="12.42578125" style="953" customWidth="1"/>
    <col min="6928" max="6929" width="8.28515625" style="953" customWidth="1"/>
    <col min="6930" max="6931" width="14.140625" style="953" customWidth="1"/>
    <col min="6932" max="6935" width="9.140625" style="953"/>
    <col min="6936" max="6936" width="0" style="953" hidden="1" customWidth="1"/>
    <col min="6937" max="7168" width="9.140625" style="953"/>
    <col min="7169" max="7169" width="13.42578125" style="953" customWidth="1"/>
    <col min="7170" max="7170" width="20" style="953" customWidth="1"/>
    <col min="7171" max="7172" width="14.140625" style="953" customWidth="1"/>
    <col min="7173" max="7173" width="15.85546875" style="953" customWidth="1"/>
    <col min="7174" max="7174" width="16.28515625" style="953" customWidth="1"/>
    <col min="7175" max="7175" width="13.85546875" style="953" customWidth="1"/>
    <col min="7176" max="7176" width="14.140625" style="953" customWidth="1"/>
    <col min="7177" max="7177" width="8" style="953" customWidth="1"/>
    <col min="7178" max="7178" width="7.5703125" style="953" customWidth="1"/>
    <col min="7179" max="7179" width="10.42578125" style="953" customWidth="1"/>
    <col min="7180" max="7180" width="8.140625" style="953" customWidth="1"/>
    <col min="7181" max="7181" width="8.85546875" style="953" customWidth="1"/>
    <col min="7182" max="7182" width="10.140625" style="953" customWidth="1"/>
    <col min="7183" max="7183" width="12.42578125" style="953" customWidth="1"/>
    <col min="7184" max="7185" width="8.28515625" style="953" customWidth="1"/>
    <col min="7186" max="7187" width="14.140625" style="953" customWidth="1"/>
    <col min="7188" max="7191" width="9.140625" style="953"/>
    <col min="7192" max="7192" width="0" style="953" hidden="1" customWidth="1"/>
    <col min="7193" max="7424" width="9.140625" style="953"/>
    <col min="7425" max="7425" width="13.42578125" style="953" customWidth="1"/>
    <col min="7426" max="7426" width="20" style="953" customWidth="1"/>
    <col min="7427" max="7428" width="14.140625" style="953" customWidth="1"/>
    <col min="7429" max="7429" width="15.85546875" style="953" customWidth="1"/>
    <col min="7430" max="7430" width="16.28515625" style="953" customWidth="1"/>
    <col min="7431" max="7431" width="13.85546875" style="953" customWidth="1"/>
    <col min="7432" max="7432" width="14.140625" style="953" customWidth="1"/>
    <col min="7433" max="7433" width="8" style="953" customWidth="1"/>
    <col min="7434" max="7434" width="7.5703125" style="953" customWidth="1"/>
    <col min="7435" max="7435" width="10.42578125" style="953" customWidth="1"/>
    <col min="7436" max="7436" width="8.140625" style="953" customWidth="1"/>
    <col min="7437" max="7437" width="8.85546875" style="953" customWidth="1"/>
    <col min="7438" max="7438" width="10.140625" style="953" customWidth="1"/>
    <col min="7439" max="7439" width="12.42578125" style="953" customWidth="1"/>
    <col min="7440" max="7441" width="8.28515625" style="953" customWidth="1"/>
    <col min="7442" max="7443" width="14.140625" style="953" customWidth="1"/>
    <col min="7444" max="7447" width="9.140625" style="953"/>
    <col min="7448" max="7448" width="0" style="953" hidden="1" customWidth="1"/>
    <col min="7449" max="7680" width="9.140625" style="953"/>
    <col min="7681" max="7681" width="13.42578125" style="953" customWidth="1"/>
    <col min="7682" max="7682" width="20" style="953" customWidth="1"/>
    <col min="7683" max="7684" width="14.140625" style="953" customWidth="1"/>
    <col min="7685" max="7685" width="15.85546875" style="953" customWidth="1"/>
    <col min="7686" max="7686" width="16.28515625" style="953" customWidth="1"/>
    <col min="7687" max="7687" width="13.85546875" style="953" customWidth="1"/>
    <col min="7688" max="7688" width="14.140625" style="953" customWidth="1"/>
    <col min="7689" max="7689" width="8" style="953" customWidth="1"/>
    <col min="7690" max="7690" width="7.5703125" style="953" customWidth="1"/>
    <col min="7691" max="7691" width="10.42578125" style="953" customWidth="1"/>
    <col min="7692" max="7692" width="8.140625" style="953" customWidth="1"/>
    <col min="7693" max="7693" width="8.85546875" style="953" customWidth="1"/>
    <col min="7694" max="7694" width="10.140625" style="953" customWidth="1"/>
    <col min="7695" max="7695" width="12.42578125" style="953" customWidth="1"/>
    <col min="7696" max="7697" width="8.28515625" style="953" customWidth="1"/>
    <col min="7698" max="7699" width="14.140625" style="953" customWidth="1"/>
    <col min="7700" max="7703" width="9.140625" style="953"/>
    <col min="7704" max="7704" width="0" style="953" hidden="1" customWidth="1"/>
    <col min="7705" max="7936" width="9.140625" style="953"/>
    <col min="7937" max="7937" width="13.42578125" style="953" customWidth="1"/>
    <col min="7938" max="7938" width="20" style="953" customWidth="1"/>
    <col min="7939" max="7940" width="14.140625" style="953" customWidth="1"/>
    <col min="7941" max="7941" width="15.85546875" style="953" customWidth="1"/>
    <col min="7942" max="7942" width="16.28515625" style="953" customWidth="1"/>
    <col min="7943" max="7943" width="13.85546875" style="953" customWidth="1"/>
    <col min="7944" max="7944" width="14.140625" style="953" customWidth="1"/>
    <col min="7945" max="7945" width="8" style="953" customWidth="1"/>
    <col min="7946" max="7946" width="7.5703125" style="953" customWidth="1"/>
    <col min="7947" max="7947" width="10.42578125" style="953" customWidth="1"/>
    <col min="7948" max="7948" width="8.140625" style="953" customWidth="1"/>
    <col min="7949" max="7949" width="8.85546875" style="953" customWidth="1"/>
    <col min="7950" max="7950" width="10.140625" style="953" customWidth="1"/>
    <col min="7951" max="7951" width="12.42578125" style="953" customWidth="1"/>
    <col min="7952" max="7953" width="8.28515625" style="953" customWidth="1"/>
    <col min="7954" max="7955" width="14.140625" style="953" customWidth="1"/>
    <col min="7956" max="7959" width="9.140625" style="953"/>
    <col min="7960" max="7960" width="0" style="953" hidden="1" customWidth="1"/>
    <col min="7961" max="8192" width="9.140625" style="953"/>
    <col min="8193" max="8193" width="13.42578125" style="953" customWidth="1"/>
    <col min="8194" max="8194" width="20" style="953" customWidth="1"/>
    <col min="8195" max="8196" width="14.140625" style="953" customWidth="1"/>
    <col min="8197" max="8197" width="15.85546875" style="953" customWidth="1"/>
    <col min="8198" max="8198" width="16.28515625" style="953" customWidth="1"/>
    <col min="8199" max="8199" width="13.85546875" style="953" customWidth="1"/>
    <col min="8200" max="8200" width="14.140625" style="953" customWidth="1"/>
    <col min="8201" max="8201" width="8" style="953" customWidth="1"/>
    <col min="8202" max="8202" width="7.5703125" style="953" customWidth="1"/>
    <col min="8203" max="8203" width="10.42578125" style="953" customWidth="1"/>
    <col min="8204" max="8204" width="8.140625" style="953" customWidth="1"/>
    <col min="8205" max="8205" width="8.85546875" style="953" customWidth="1"/>
    <col min="8206" max="8206" width="10.140625" style="953" customWidth="1"/>
    <col min="8207" max="8207" width="12.42578125" style="953" customWidth="1"/>
    <col min="8208" max="8209" width="8.28515625" style="953" customWidth="1"/>
    <col min="8210" max="8211" width="14.140625" style="953" customWidth="1"/>
    <col min="8212" max="8215" width="9.140625" style="953"/>
    <col min="8216" max="8216" width="0" style="953" hidden="1" customWidth="1"/>
    <col min="8217" max="8448" width="9.140625" style="953"/>
    <col min="8449" max="8449" width="13.42578125" style="953" customWidth="1"/>
    <col min="8450" max="8450" width="20" style="953" customWidth="1"/>
    <col min="8451" max="8452" width="14.140625" style="953" customWidth="1"/>
    <col min="8453" max="8453" width="15.85546875" style="953" customWidth="1"/>
    <col min="8454" max="8454" width="16.28515625" style="953" customWidth="1"/>
    <col min="8455" max="8455" width="13.85546875" style="953" customWidth="1"/>
    <col min="8456" max="8456" width="14.140625" style="953" customWidth="1"/>
    <col min="8457" max="8457" width="8" style="953" customWidth="1"/>
    <col min="8458" max="8458" width="7.5703125" style="953" customWidth="1"/>
    <col min="8459" max="8459" width="10.42578125" style="953" customWidth="1"/>
    <col min="8460" max="8460" width="8.140625" style="953" customWidth="1"/>
    <col min="8461" max="8461" width="8.85546875" style="953" customWidth="1"/>
    <col min="8462" max="8462" width="10.140625" style="953" customWidth="1"/>
    <col min="8463" max="8463" width="12.42578125" style="953" customWidth="1"/>
    <col min="8464" max="8465" width="8.28515625" style="953" customWidth="1"/>
    <col min="8466" max="8467" width="14.140625" style="953" customWidth="1"/>
    <col min="8468" max="8471" width="9.140625" style="953"/>
    <col min="8472" max="8472" width="0" style="953" hidden="1" customWidth="1"/>
    <col min="8473" max="8704" width="9.140625" style="953"/>
    <col min="8705" max="8705" width="13.42578125" style="953" customWidth="1"/>
    <col min="8706" max="8706" width="20" style="953" customWidth="1"/>
    <col min="8707" max="8708" width="14.140625" style="953" customWidth="1"/>
    <col min="8709" max="8709" width="15.85546875" style="953" customWidth="1"/>
    <col min="8710" max="8710" width="16.28515625" style="953" customWidth="1"/>
    <col min="8711" max="8711" width="13.85546875" style="953" customWidth="1"/>
    <col min="8712" max="8712" width="14.140625" style="953" customWidth="1"/>
    <col min="8713" max="8713" width="8" style="953" customWidth="1"/>
    <col min="8714" max="8714" width="7.5703125" style="953" customWidth="1"/>
    <col min="8715" max="8715" width="10.42578125" style="953" customWidth="1"/>
    <col min="8716" max="8716" width="8.140625" style="953" customWidth="1"/>
    <col min="8717" max="8717" width="8.85546875" style="953" customWidth="1"/>
    <col min="8718" max="8718" width="10.140625" style="953" customWidth="1"/>
    <col min="8719" max="8719" width="12.42578125" style="953" customWidth="1"/>
    <col min="8720" max="8721" width="8.28515625" style="953" customWidth="1"/>
    <col min="8722" max="8723" width="14.140625" style="953" customWidth="1"/>
    <col min="8724" max="8727" width="9.140625" style="953"/>
    <col min="8728" max="8728" width="0" style="953" hidden="1" customWidth="1"/>
    <col min="8729" max="8960" width="9.140625" style="953"/>
    <col min="8961" max="8961" width="13.42578125" style="953" customWidth="1"/>
    <col min="8962" max="8962" width="20" style="953" customWidth="1"/>
    <col min="8963" max="8964" width="14.140625" style="953" customWidth="1"/>
    <col min="8965" max="8965" width="15.85546875" style="953" customWidth="1"/>
    <col min="8966" max="8966" width="16.28515625" style="953" customWidth="1"/>
    <col min="8967" max="8967" width="13.85546875" style="953" customWidth="1"/>
    <col min="8968" max="8968" width="14.140625" style="953" customWidth="1"/>
    <col min="8969" max="8969" width="8" style="953" customWidth="1"/>
    <col min="8970" max="8970" width="7.5703125" style="953" customWidth="1"/>
    <col min="8971" max="8971" width="10.42578125" style="953" customWidth="1"/>
    <col min="8972" max="8972" width="8.140625" style="953" customWidth="1"/>
    <col min="8973" max="8973" width="8.85546875" style="953" customWidth="1"/>
    <col min="8974" max="8974" width="10.140625" style="953" customWidth="1"/>
    <col min="8975" max="8975" width="12.42578125" style="953" customWidth="1"/>
    <col min="8976" max="8977" width="8.28515625" style="953" customWidth="1"/>
    <col min="8978" max="8979" width="14.140625" style="953" customWidth="1"/>
    <col min="8980" max="8983" width="9.140625" style="953"/>
    <col min="8984" max="8984" width="0" style="953" hidden="1" customWidth="1"/>
    <col min="8985" max="9216" width="9.140625" style="953"/>
    <col min="9217" max="9217" width="13.42578125" style="953" customWidth="1"/>
    <col min="9218" max="9218" width="20" style="953" customWidth="1"/>
    <col min="9219" max="9220" width="14.140625" style="953" customWidth="1"/>
    <col min="9221" max="9221" width="15.85546875" style="953" customWidth="1"/>
    <col min="9222" max="9222" width="16.28515625" style="953" customWidth="1"/>
    <col min="9223" max="9223" width="13.85546875" style="953" customWidth="1"/>
    <col min="9224" max="9224" width="14.140625" style="953" customWidth="1"/>
    <col min="9225" max="9225" width="8" style="953" customWidth="1"/>
    <col min="9226" max="9226" width="7.5703125" style="953" customWidth="1"/>
    <col min="9227" max="9227" width="10.42578125" style="953" customWidth="1"/>
    <col min="9228" max="9228" width="8.140625" style="953" customWidth="1"/>
    <col min="9229" max="9229" width="8.85546875" style="953" customWidth="1"/>
    <col min="9230" max="9230" width="10.140625" style="953" customWidth="1"/>
    <col min="9231" max="9231" width="12.42578125" style="953" customWidth="1"/>
    <col min="9232" max="9233" width="8.28515625" style="953" customWidth="1"/>
    <col min="9234" max="9235" width="14.140625" style="953" customWidth="1"/>
    <col min="9236" max="9239" width="9.140625" style="953"/>
    <col min="9240" max="9240" width="0" style="953" hidden="1" customWidth="1"/>
    <col min="9241" max="9472" width="9.140625" style="953"/>
    <col min="9473" max="9473" width="13.42578125" style="953" customWidth="1"/>
    <col min="9474" max="9474" width="20" style="953" customWidth="1"/>
    <col min="9475" max="9476" width="14.140625" style="953" customWidth="1"/>
    <col min="9477" max="9477" width="15.85546875" style="953" customWidth="1"/>
    <col min="9478" max="9478" width="16.28515625" style="953" customWidth="1"/>
    <col min="9479" max="9479" width="13.85546875" style="953" customWidth="1"/>
    <col min="9480" max="9480" width="14.140625" style="953" customWidth="1"/>
    <col min="9481" max="9481" width="8" style="953" customWidth="1"/>
    <col min="9482" max="9482" width="7.5703125" style="953" customWidth="1"/>
    <col min="9483" max="9483" width="10.42578125" style="953" customWidth="1"/>
    <col min="9484" max="9484" width="8.140625" style="953" customWidth="1"/>
    <col min="9485" max="9485" width="8.85546875" style="953" customWidth="1"/>
    <col min="9486" max="9486" width="10.140625" style="953" customWidth="1"/>
    <col min="9487" max="9487" width="12.42578125" style="953" customWidth="1"/>
    <col min="9488" max="9489" width="8.28515625" style="953" customWidth="1"/>
    <col min="9490" max="9491" width="14.140625" style="953" customWidth="1"/>
    <col min="9492" max="9495" width="9.140625" style="953"/>
    <col min="9496" max="9496" width="0" style="953" hidden="1" customWidth="1"/>
    <col min="9497" max="9728" width="9.140625" style="953"/>
    <col min="9729" max="9729" width="13.42578125" style="953" customWidth="1"/>
    <col min="9730" max="9730" width="20" style="953" customWidth="1"/>
    <col min="9731" max="9732" width="14.140625" style="953" customWidth="1"/>
    <col min="9733" max="9733" width="15.85546875" style="953" customWidth="1"/>
    <col min="9734" max="9734" width="16.28515625" style="953" customWidth="1"/>
    <col min="9735" max="9735" width="13.85546875" style="953" customWidth="1"/>
    <col min="9736" max="9736" width="14.140625" style="953" customWidth="1"/>
    <col min="9737" max="9737" width="8" style="953" customWidth="1"/>
    <col min="9738" max="9738" width="7.5703125" style="953" customWidth="1"/>
    <col min="9739" max="9739" width="10.42578125" style="953" customWidth="1"/>
    <col min="9740" max="9740" width="8.140625" style="953" customWidth="1"/>
    <col min="9741" max="9741" width="8.85546875" style="953" customWidth="1"/>
    <col min="9742" max="9742" width="10.140625" style="953" customWidth="1"/>
    <col min="9743" max="9743" width="12.42578125" style="953" customWidth="1"/>
    <col min="9744" max="9745" width="8.28515625" style="953" customWidth="1"/>
    <col min="9746" max="9747" width="14.140625" style="953" customWidth="1"/>
    <col min="9748" max="9751" width="9.140625" style="953"/>
    <col min="9752" max="9752" width="0" style="953" hidden="1" customWidth="1"/>
    <col min="9753" max="9984" width="9.140625" style="953"/>
    <col min="9985" max="9985" width="13.42578125" style="953" customWidth="1"/>
    <col min="9986" max="9986" width="20" style="953" customWidth="1"/>
    <col min="9987" max="9988" width="14.140625" style="953" customWidth="1"/>
    <col min="9989" max="9989" width="15.85546875" style="953" customWidth="1"/>
    <col min="9990" max="9990" width="16.28515625" style="953" customWidth="1"/>
    <col min="9991" max="9991" width="13.85546875" style="953" customWidth="1"/>
    <col min="9992" max="9992" width="14.140625" style="953" customWidth="1"/>
    <col min="9993" max="9993" width="8" style="953" customWidth="1"/>
    <col min="9994" max="9994" width="7.5703125" style="953" customWidth="1"/>
    <col min="9995" max="9995" width="10.42578125" style="953" customWidth="1"/>
    <col min="9996" max="9996" width="8.140625" style="953" customWidth="1"/>
    <col min="9997" max="9997" width="8.85546875" style="953" customWidth="1"/>
    <col min="9998" max="9998" width="10.140625" style="953" customWidth="1"/>
    <col min="9999" max="9999" width="12.42578125" style="953" customWidth="1"/>
    <col min="10000" max="10001" width="8.28515625" style="953" customWidth="1"/>
    <col min="10002" max="10003" width="14.140625" style="953" customWidth="1"/>
    <col min="10004" max="10007" width="9.140625" style="953"/>
    <col min="10008" max="10008" width="0" style="953" hidden="1" customWidth="1"/>
    <col min="10009" max="10240" width="9.140625" style="953"/>
    <col min="10241" max="10241" width="13.42578125" style="953" customWidth="1"/>
    <col min="10242" max="10242" width="20" style="953" customWidth="1"/>
    <col min="10243" max="10244" width="14.140625" style="953" customWidth="1"/>
    <col min="10245" max="10245" width="15.85546875" style="953" customWidth="1"/>
    <col min="10246" max="10246" width="16.28515625" style="953" customWidth="1"/>
    <col min="10247" max="10247" width="13.85546875" style="953" customWidth="1"/>
    <col min="10248" max="10248" width="14.140625" style="953" customWidth="1"/>
    <col min="10249" max="10249" width="8" style="953" customWidth="1"/>
    <col min="10250" max="10250" width="7.5703125" style="953" customWidth="1"/>
    <col min="10251" max="10251" width="10.42578125" style="953" customWidth="1"/>
    <col min="10252" max="10252" width="8.140625" style="953" customWidth="1"/>
    <col min="10253" max="10253" width="8.85546875" style="953" customWidth="1"/>
    <col min="10254" max="10254" width="10.140625" style="953" customWidth="1"/>
    <col min="10255" max="10255" width="12.42578125" style="953" customWidth="1"/>
    <col min="10256" max="10257" width="8.28515625" style="953" customWidth="1"/>
    <col min="10258" max="10259" width="14.140625" style="953" customWidth="1"/>
    <col min="10260" max="10263" width="9.140625" style="953"/>
    <col min="10264" max="10264" width="0" style="953" hidden="1" customWidth="1"/>
    <col min="10265" max="10496" width="9.140625" style="953"/>
    <col min="10497" max="10497" width="13.42578125" style="953" customWidth="1"/>
    <col min="10498" max="10498" width="20" style="953" customWidth="1"/>
    <col min="10499" max="10500" width="14.140625" style="953" customWidth="1"/>
    <col min="10501" max="10501" width="15.85546875" style="953" customWidth="1"/>
    <col min="10502" max="10502" width="16.28515625" style="953" customWidth="1"/>
    <col min="10503" max="10503" width="13.85546875" style="953" customWidth="1"/>
    <col min="10504" max="10504" width="14.140625" style="953" customWidth="1"/>
    <col min="10505" max="10505" width="8" style="953" customWidth="1"/>
    <col min="10506" max="10506" width="7.5703125" style="953" customWidth="1"/>
    <col min="10507" max="10507" width="10.42578125" style="953" customWidth="1"/>
    <col min="10508" max="10508" width="8.140625" style="953" customWidth="1"/>
    <col min="10509" max="10509" width="8.85546875" style="953" customWidth="1"/>
    <col min="10510" max="10510" width="10.140625" style="953" customWidth="1"/>
    <col min="10511" max="10511" width="12.42578125" style="953" customWidth="1"/>
    <col min="10512" max="10513" width="8.28515625" style="953" customWidth="1"/>
    <col min="10514" max="10515" width="14.140625" style="953" customWidth="1"/>
    <col min="10516" max="10519" width="9.140625" style="953"/>
    <col min="10520" max="10520" width="0" style="953" hidden="1" customWidth="1"/>
    <col min="10521" max="10752" width="9.140625" style="953"/>
    <col min="10753" max="10753" width="13.42578125" style="953" customWidth="1"/>
    <col min="10754" max="10754" width="20" style="953" customWidth="1"/>
    <col min="10755" max="10756" width="14.140625" style="953" customWidth="1"/>
    <col min="10757" max="10757" width="15.85546875" style="953" customWidth="1"/>
    <col min="10758" max="10758" width="16.28515625" style="953" customWidth="1"/>
    <col min="10759" max="10759" width="13.85546875" style="953" customWidth="1"/>
    <col min="10760" max="10760" width="14.140625" style="953" customWidth="1"/>
    <col min="10761" max="10761" width="8" style="953" customWidth="1"/>
    <col min="10762" max="10762" width="7.5703125" style="953" customWidth="1"/>
    <col min="10763" max="10763" width="10.42578125" style="953" customWidth="1"/>
    <col min="10764" max="10764" width="8.140625" style="953" customWidth="1"/>
    <col min="10765" max="10765" width="8.85546875" style="953" customWidth="1"/>
    <col min="10766" max="10766" width="10.140625" style="953" customWidth="1"/>
    <col min="10767" max="10767" width="12.42578125" style="953" customWidth="1"/>
    <col min="10768" max="10769" width="8.28515625" style="953" customWidth="1"/>
    <col min="10770" max="10771" width="14.140625" style="953" customWidth="1"/>
    <col min="10772" max="10775" width="9.140625" style="953"/>
    <col min="10776" max="10776" width="0" style="953" hidden="1" customWidth="1"/>
    <col min="10777" max="11008" width="9.140625" style="953"/>
    <col min="11009" max="11009" width="13.42578125" style="953" customWidth="1"/>
    <col min="11010" max="11010" width="20" style="953" customWidth="1"/>
    <col min="11011" max="11012" width="14.140625" style="953" customWidth="1"/>
    <col min="11013" max="11013" width="15.85546875" style="953" customWidth="1"/>
    <col min="11014" max="11014" width="16.28515625" style="953" customWidth="1"/>
    <col min="11015" max="11015" width="13.85546875" style="953" customWidth="1"/>
    <col min="11016" max="11016" width="14.140625" style="953" customWidth="1"/>
    <col min="11017" max="11017" width="8" style="953" customWidth="1"/>
    <col min="11018" max="11018" width="7.5703125" style="953" customWidth="1"/>
    <col min="11019" max="11019" width="10.42578125" style="953" customWidth="1"/>
    <col min="11020" max="11020" width="8.140625" style="953" customWidth="1"/>
    <col min="11021" max="11021" width="8.85546875" style="953" customWidth="1"/>
    <col min="11022" max="11022" width="10.140625" style="953" customWidth="1"/>
    <col min="11023" max="11023" width="12.42578125" style="953" customWidth="1"/>
    <col min="11024" max="11025" width="8.28515625" style="953" customWidth="1"/>
    <col min="11026" max="11027" width="14.140625" style="953" customWidth="1"/>
    <col min="11028" max="11031" width="9.140625" style="953"/>
    <col min="11032" max="11032" width="0" style="953" hidden="1" customWidth="1"/>
    <col min="11033" max="11264" width="9.140625" style="953"/>
    <col min="11265" max="11265" width="13.42578125" style="953" customWidth="1"/>
    <col min="11266" max="11266" width="20" style="953" customWidth="1"/>
    <col min="11267" max="11268" width="14.140625" style="953" customWidth="1"/>
    <col min="11269" max="11269" width="15.85546875" style="953" customWidth="1"/>
    <col min="11270" max="11270" width="16.28515625" style="953" customWidth="1"/>
    <col min="11271" max="11271" width="13.85546875" style="953" customWidth="1"/>
    <col min="11272" max="11272" width="14.140625" style="953" customWidth="1"/>
    <col min="11273" max="11273" width="8" style="953" customWidth="1"/>
    <col min="11274" max="11274" width="7.5703125" style="953" customWidth="1"/>
    <col min="11275" max="11275" width="10.42578125" style="953" customWidth="1"/>
    <col min="11276" max="11276" width="8.140625" style="953" customWidth="1"/>
    <col min="11277" max="11277" width="8.85546875" style="953" customWidth="1"/>
    <col min="11278" max="11278" width="10.140625" style="953" customWidth="1"/>
    <col min="11279" max="11279" width="12.42578125" style="953" customWidth="1"/>
    <col min="11280" max="11281" width="8.28515625" style="953" customWidth="1"/>
    <col min="11282" max="11283" width="14.140625" style="953" customWidth="1"/>
    <col min="11284" max="11287" width="9.140625" style="953"/>
    <col min="11288" max="11288" width="0" style="953" hidden="1" customWidth="1"/>
    <col min="11289" max="11520" width="9.140625" style="953"/>
    <col min="11521" max="11521" width="13.42578125" style="953" customWidth="1"/>
    <col min="11522" max="11522" width="20" style="953" customWidth="1"/>
    <col min="11523" max="11524" width="14.140625" style="953" customWidth="1"/>
    <col min="11525" max="11525" width="15.85546875" style="953" customWidth="1"/>
    <col min="11526" max="11526" width="16.28515625" style="953" customWidth="1"/>
    <col min="11527" max="11527" width="13.85546875" style="953" customWidth="1"/>
    <col min="11528" max="11528" width="14.140625" style="953" customWidth="1"/>
    <col min="11529" max="11529" width="8" style="953" customWidth="1"/>
    <col min="11530" max="11530" width="7.5703125" style="953" customWidth="1"/>
    <col min="11531" max="11531" width="10.42578125" style="953" customWidth="1"/>
    <col min="11532" max="11532" width="8.140625" style="953" customWidth="1"/>
    <col min="11533" max="11533" width="8.85546875" style="953" customWidth="1"/>
    <col min="11534" max="11534" width="10.140625" style="953" customWidth="1"/>
    <col min="11535" max="11535" width="12.42578125" style="953" customWidth="1"/>
    <col min="11536" max="11537" width="8.28515625" style="953" customWidth="1"/>
    <col min="11538" max="11539" width="14.140625" style="953" customWidth="1"/>
    <col min="11540" max="11543" width="9.140625" style="953"/>
    <col min="11544" max="11544" width="0" style="953" hidden="1" customWidth="1"/>
    <col min="11545" max="11776" width="9.140625" style="953"/>
    <col min="11777" max="11777" width="13.42578125" style="953" customWidth="1"/>
    <col min="11778" max="11778" width="20" style="953" customWidth="1"/>
    <col min="11779" max="11780" width="14.140625" style="953" customWidth="1"/>
    <col min="11781" max="11781" width="15.85546875" style="953" customWidth="1"/>
    <col min="11782" max="11782" width="16.28515625" style="953" customWidth="1"/>
    <col min="11783" max="11783" width="13.85546875" style="953" customWidth="1"/>
    <col min="11784" max="11784" width="14.140625" style="953" customWidth="1"/>
    <col min="11785" max="11785" width="8" style="953" customWidth="1"/>
    <col min="11786" max="11786" width="7.5703125" style="953" customWidth="1"/>
    <col min="11787" max="11787" width="10.42578125" style="953" customWidth="1"/>
    <col min="11788" max="11788" width="8.140625" style="953" customWidth="1"/>
    <col min="11789" max="11789" width="8.85546875" style="953" customWidth="1"/>
    <col min="11790" max="11790" width="10.140625" style="953" customWidth="1"/>
    <col min="11791" max="11791" width="12.42578125" style="953" customWidth="1"/>
    <col min="11792" max="11793" width="8.28515625" style="953" customWidth="1"/>
    <col min="11794" max="11795" width="14.140625" style="953" customWidth="1"/>
    <col min="11796" max="11799" width="9.140625" style="953"/>
    <col min="11800" max="11800" width="0" style="953" hidden="1" customWidth="1"/>
    <col min="11801" max="12032" width="9.140625" style="953"/>
    <col min="12033" max="12033" width="13.42578125" style="953" customWidth="1"/>
    <col min="12034" max="12034" width="20" style="953" customWidth="1"/>
    <col min="12035" max="12036" width="14.140625" style="953" customWidth="1"/>
    <col min="12037" max="12037" width="15.85546875" style="953" customWidth="1"/>
    <col min="12038" max="12038" width="16.28515625" style="953" customWidth="1"/>
    <col min="12039" max="12039" width="13.85546875" style="953" customWidth="1"/>
    <col min="12040" max="12040" width="14.140625" style="953" customWidth="1"/>
    <col min="12041" max="12041" width="8" style="953" customWidth="1"/>
    <col min="12042" max="12042" width="7.5703125" style="953" customWidth="1"/>
    <col min="12043" max="12043" width="10.42578125" style="953" customWidth="1"/>
    <col min="12044" max="12044" width="8.140625" style="953" customWidth="1"/>
    <col min="12045" max="12045" width="8.85546875" style="953" customWidth="1"/>
    <col min="12046" max="12046" width="10.140625" style="953" customWidth="1"/>
    <col min="12047" max="12047" width="12.42578125" style="953" customWidth="1"/>
    <col min="12048" max="12049" width="8.28515625" style="953" customWidth="1"/>
    <col min="12050" max="12051" width="14.140625" style="953" customWidth="1"/>
    <col min="12052" max="12055" width="9.140625" style="953"/>
    <col min="12056" max="12056" width="0" style="953" hidden="1" customWidth="1"/>
    <col min="12057" max="12288" width="9.140625" style="953"/>
    <col min="12289" max="12289" width="13.42578125" style="953" customWidth="1"/>
    <col min="12290" max="12290" width="20" style="953" customWidth="1"/>
    <col min="12291" max="12292" width="14.140625" style="953" customWidth="1"/>
    <col min="12293" max="12293" width="15.85546875" style="953" customWidth="1"/>
    <col min="12294" max="12294" width="16.28515625" style="953" customWidth="1"/>
    <col min="12295" max="12295" width="13.85546875" style="953" customWidth="1"/>
    <col min="12296" max="12296" width="14.140625" style="953" customWidth="1"/>
    <col min="12297" max="12297" width="8" style="953" customWidth="1"/>
    <col min="12298" max="12298" width="7.5703125" style="953" customWidth="1"/>
    <col min="12299" max="12299" width="10.42578125" style="953" customWidth="1"/>
    <col min="12300" max="12300" width="8.140625" style="953" customWidth="1"/>
    <col min="12301" max="12301" width="8.85546875" style="953" customWidth="1"/>
    <col min="12302" max="12302" width="10.140625" style="953" customWidth="1"/>
    <col min="12303" max="12303" width="12.42578125" style="953" customWidth="1"/>
    <col min="12304" max="12305" width="8.28515625" style="953" customWidth="1"/>
    <col min="12306" max="12307" width="14.140625" style="953" customWidth="1"/>
    <col min="12308" max="12311" width="9.140625" style="953"/>
    <col min="12312" max="12312" width="0" style="953" hidden="1" customWidth="1"/>
    <col min="12313" max="12544" width="9.140625" style="953"/>
    <col min="12545" max="12545" width="13.42578125" style="953" customWidth="1"/>
    <col min="12546" max="12546" width="20" style="953" customWidth="1"/>
    <col min="12547" max="12548" width="14.140625" style="953" customWidth="1"/>
    <col min="12549" max="12549" width="15.85546875" style="953" customWidth="1"/>
    <col min="12550" max="12550" width="16.28515625" style="953" customWidth="1"/>
    <col min="12551" max="12551" width="13.85546875" style="953" customWidth="1"/>
    <col min="12552" max="12552" width="14.140625" style="953" customWidth="1"/>
    <col min="12553" max="12553" width="8" style="953" customWidth="1"/>
    <col min="12554" max="12554" width="7.5703125" style="953" customWidth="1"/>
    <col min="12555" max="12555" width="10.42578125" style="953" customWidth="1"/>
    <col min="12556" max="12556" width="8.140625" style="953" customWidth="1"/>
    <col min="12557" max="12557" width="8.85546875" style="953" customWidth="1"/>
    <col min="12558" max="12558" width="10.140625" style="953" customWidth="1"/>
    <col min="12559" max="12559" width="12.42578125" style="953" customWidth="1"/>
    <col min="12560" max="12561" width="8.28515625" style="953" customWidth="1"/>
    <col min="12562" max="12563" width="14.140625" style="953" customWidth="1"/>
    <col min="12564" max="12567" width="9.140625" style="953"/>
    <col min="12568" max="12568" width="0" style="953" hidden="1" customWidth="1"/>
    <col min="12569" max="12800" width="9.140625" style="953"/>
    <col min="12801" max="12801" width="13.42578125" style="953" customWidth="1"/>
    <col min="12802" max="12802" width="20" style="953" customWidth="1"/>
    <col min="12803" max="12804" width="14.140625" style="953" customWidth="1"/>
    <col min="12805" max="12805" width="15.85546875" style="953" customWidth="1"/>
    <col min="12806" max="12806" width="16.28515625" style="953" customWidth="1"/>
    <col min="12807" max="12807" width="13.85546875" style="953" customWidth="1"/>
    <col min="12808" max="12808" width="14.140625" style="953" customWidth="1"/>
    <col min="12809" max="12809" width="8" style="953" customWidth="1"/>
    <col min="12810" max="12810" width="7.5703125" style="953" customWidth="1"/>
    <col min="12811" max="12811" width="10.42578125" style="953" customWidth="1"/>
    <col min="12812" max="12812" width="8.140625" style="953" customWidth="1"/>
    <col min="12813" max="12813" width="8.85546875" style="953" customWidth="1"/>
    <col min="12814" max="12814" width="10.140625" style="953" customWidth="1"/>
    <col min="12815" max="12815" width="12.42578125" style="953" customWidth="1"/>
    <col min="12816" max="12817" width="8.28515625" style="953" customWidth="1"/>
    <col min="12818" max="12819" width="14.140625" style="953" customWidth="1"/>
    <col min="12820" max="12823" width="9.140625" style="953"/>
    <col min="12824" max="12824" width="0" style="953" hidden="1" customWidth="1"/>
    <col min="12825" max="13056" width="9.140625" style="953"/>
    <col min="13057" max="13057" width="13.42578125" style="953" customWidth="1"/>
    <col min="13058" max="13058" width="20" style="953" customWidth="1"/>
    <col min="13059" max="13060" width="14.140625" style="953" customWidth="1"/>
    <col min="13061" max="13061" width="15.85546875" style="953" customWidth="1"/>
    <col min="13062" max="13062" width="16.28515625" style="953" customWidth="1"/>
    <col min="13063" max="13063" width="13.85546875" style="953" customWidth="1"/>
    <col min="13064" max="13064" width="14.140625" style="953" customWidth="1"/>
    <col min="13065" max="13065" width="8" style="953" customWidth="1"/>
    <col min="13066" max="13066" width="7.5703125" style="953" customWidth="1"/>
    <col min="13067" max="13067" width="10.42578125" style="953" customWidth="1"/>
    <col min="13068" max="13068" width="8.140625" style="953" customWidth="1"/>
    <col min="13069" max="13069" width="8.85546875" style="953" customWidth="1"/>
    <col min="13070" max="13070" width="10.140625" style="953" customWidth="1"/>
    <col min="13071" max="13071" width="12.42578125" style="953" customWidth="1"/>
    <col min="13072" max="13073" width="8.28515625" style="953" customWidth="1"/>
    <col min="13074" max="13075" width="14.140625" style="953" customWidth="1"/>
    <col min="13076" max="13079" width="9.140625" style="953"/>
    <col min="13080" max="13080" width="0" style="953" hidden="1" customWidth="1"/>
    <col min="13081" max="13312" width="9.140625" style="953"/>
    <col min="13313" max="13313" width="13.42578125" style="953" customWidth="1"/>
    <col min="13314" max="13314" width="20" style="953" customWidth="1"/>
    <col min="13315" max="13316" width="14.140625" style="953" customWidth="1"/>
    <col min="13317" max="13317" width="15.85546875" style="953" customWidth="1"/>
    <col min="13318" max="13318" width="16.28515625" style="953" customWidth="1"/>
    <col min="13319" max="13319" width="13.85546875" style="953" customWidth="1"/>
    <col min="13320" max="13320" width="14.140625" style="953" customWidth="1"/>
    <col min="13321" max="13321" width="8" style="953" customWidth="1"/>
    <col min="13322" max="13322" width="7.5703125" style="953" customWidth="1"/>
    <col min="13323" max="13323" width="10.42578125" style="953" customWidth="1"/>
    <col min="13324" max="13324" width="8.140625" style="953" customWidth="1"/>
    <col min="13325" max="13325" width="8.85546875" style="953" customWidth="1"/>
    <col min="13326" max="13326" width="10.140625" style="953" customWidth="1"/>
    <col min="13327" max="13327" width="12.42578125" style="953" customWidth="1"/>
    <col min="13328" max="13329" width="8.28515625" style="953" customWidth="1"/>
    <col min="13330" max="13331" width="14.140625" style="953" customWidth="1"/>
    <col min="13332" max="13335" width="9.140625" style="953"/>
    <col min="13336" max="13336" width="0" style="953" hidden="1" customWidth="1"/>
    <col min="13337" max="13568" width="9.140625" style="953"/>
    <col min="13569" max="13569" width="13.42578125" style="953" customWidth="1"/>
    <col min="13570" max="13570" width="20" style="953" customWidth="1"/>
    <col min="13571" max="13572" width="14.140625" style="953" customWidth="1"/>
    <col min="13573" max="13573" width="15.85546875" style="953" customWidth="1"/>
    <col min="13574" max="13574" width="16.28515625" style="953" customWidth="1"/>
    <col min="13575" max="13575" width="13.85546875" style="953" customWidth="1"/>
    <col min="13576" max="13576" width="14.140625" style="953" customWidth="1"/>
    <col min="13577" max="13577" width="8" style="953" customWidth="1"/>
    <col min="13578" max="13578" width="7.5703125" style="953" customWidth="1"/>
    <col min="13579" max="13579" width="10.42578125" style="953" customWidth="1"/>
    <col min="13580" max="13580" width="8.140625" style="953" customWidth="1"/>
    <col min="13581" max="13581" width="8.85546875" style="953" customWidth="1"/>
    <col min="13582" max="13582" width="10.140625" style="953" customWidth="1"/>
    <col min="13583" max="13583" width="12.42578125" style="953" customWidth="1"/>
    <col min="13584" max="13585" width="8.28515625" style="953" customWidth="1"/>
    <col min="13586" max="13587" width="14.140625" style="953" customWidth="1"/>
    <col min="13588" max="13591" width="9.140625" style="953"/>
    <col min="13592" max="13592" width="0" style="953" hidden="1" customWidth="1"/>
    <col min="13593" max="13824" width="9.140625" style="953"/>
    <col min="13825" max="13825" width="13.42578125" style="953" customWidth="1"/>
    <col min="13826" max="13826" width="20" style="953" customWidth="1"/>
    <col min="13827" max="13828" width="14.140625" style="953" customWidth="1"/>
    <col min="13829" max="13829" width="15.85546875" style="953" customWidth="1"/>
    <col min="13830" max="13830" width="16.28515625" style="953" customWidth="1"/>
    <col min="13831" max="13831" width="13.85546875" style="953" customWidth="1"/>
    <col min="13832" max="13832" width="14.140625" style="953" customWidth="1"/>
    <col min="13833" max="13833" width="8" style="953" customWidth="1"/>
    <col min="13834" max="13834" width="7.5703125" style="953" customWidth="1"/>
    <col min="13835" max="13835" width="10.42578125" style="953" customWidth="1"/>
    <col min="13836" max="13836" width="8.140625" style="953" customWidth="1"/>
    <col min="13837" max="13837" width="8.85546875" style="953" customWidth="1"/>
    <col min="13838" max="13838" width="10.140625" style="953" customWidth="1"/>
    <col min="13839" max="13839" width="12.42578125" style="953" customWidth="1"/>
    <col min="13840" max="13841" width="8.28515625" style="953" customWidth="1"/>
    <col min="13842" max="13843" width="14.140625" style="953" customWidth="1"/>
    <col min="13844" max="13847" width="9.140625" style="953"/>
    <col min="13848" max="13848" width="0" style="953" hidden="1" customWidth="1"/>
    <col min="13849" max="14080" width="9.140625" style="953"/>
    <col min="14081" max="14081" width="13.42578125" style="953" customWidth="1"/>
    <col min="14082" max="14082" width="20" style="953" customWidth="1"/>
    <col min="14083" max="14084" width="14.140625" style="953" customWidth="1"/>
    <col min="14085" max="14085" width="15.85546875" style="953" customWidth="1"/>
    <col min="14086" max="14086" width="16.28515625" style="953" customWidth="1"/>
    <col min="14087" max="14087" width="13.85546875" style="953" customWidth="1"/>
    <col min="14088" max="14088" width="14.140625" style="953" customWidth="1"/>
    <col min="14089" max="14089" width="8" style="953" customWidth="1"/>
    <col min="14090" max="14090" width="7.5703125" style="953" customWidth="1"/>
    <col min="14091" max="14091" width="10.42578125" style="953" customWidth="1"/>
    <col min="14092" max="14092" width="8.140625" style="953" customWidth="1"/>
    <col min="14093" max="14093" width="8.85546875" style="953" customWidth="1"/>
    <col min="14094" max="14094" width="10.140625" style="953" customWidth="1"/>
    <col min="14095" max="14095" width="12.42578125" style="953" customWidth="1"/>
    <col min="14096" max="14097" width="8.28515625" style="953" customWidth="1"/>
    <col min="14098" max="14099" width="14.140625" style="953" customWidth="1"/>
    <col min="14100" max="14103" width="9.140625" style="953"/>
    <col min="14104" max="14104" width="0" style="953" hidden="1" customWidth="1"/>
    <col min="14105" max="14336" width="9.140625" style="953"/>
    <col min="14337" max="14337" width="13.42578125" style="953" customWidth="1"/>
    <col min="14338" max="14338" width="20" style="953" customWidth="1"/>
    <col min="14339" max="14340" width="14.140625" style="953" customWidth="1"/>
    <col min="14341" max="14341" width="15.85546875" style="953" customWidth="1"/>
    <col min="14342" max="14342" width="16.28515625" style="953" customWidth="1"/>
    <col min="14343" max="14343" width="13.85546875" style="953" customWidth="1"/>
    <col min="14344" max="14344" width="14.140625" style="953" customWidth="1"/>
    <col min="14345" max="14345" width="8" style="953" customWidth="1"/>
    <col min="14346" max="14346" width="7.5703125" style="953" customWidth="1"/>
    <col min="14347" max="14347" width="10.42578125" style="953" customWidth="1"/>
    <col min="14348" max="14348" width="8.140625" style="953" customWidth="1"/>
    <col min="14349" max="14349" width="8.85546875" style="953" customWidth="1"/>
    <col min="14350" max="14350" width="10.140625" style="953" customWidth="1"/>
    <col min="14351" max="14351" width="12.42578125" style="953" customWidth="1"/>
    <col min="14352" max="14353" width="8.28515625" style="953" customWidth="1"/>
    <col min="14354" max="14355" width="14.140625" style="953" customWidth="1"/>
    <col min="14356" max="14359" width="9.140625" style="953"/>
    <col min="14360" max="14360" width="0" style="953" hidden="1" customWidth="1"/>
    <col min="14361" max="14592" width="9.140625" style="953"/>
    <col min="14593" max="14593" width="13.42578125" style="953" customWidth="1"/>
    <col min="14594" max="14594" width="20" style="953" customWidth="1"/>
    <col min="14595" max="14596" width="14.140625" style="953" customWidth="1"/>
    <col min="14597" max="14597" width="15.85546875" style="953" customWidth="1"/>
    <col min="14598" max="14598" width="16.28515625" style="953" customWidth="1"/>
    <col min="14599" max="14599" width="13.85546875" style="953" customWidth="1"/>
    <col min="14600" max="14600" width="14.140625" style="953" customWidth="1"/>
    <col min="14601" max="14601" width="8" style="953" customWidth="1"/>
    <col min="14602" max="14602" width="7.5703125" style="953" customWidth="1"/>
    <col min="14603" max="14603" width="10.42578125" style="953" customWidth="1"/>
    <col min="14604" max="14604" width="8.140625" style="953" customWidth="1"/>
    <col min="14605" max="14605" width="8.85546875" style="953" customWidth="1"/>
    <col min="14606" max="14606" width="10.140625" style="953" customWidth="1"/>
    <col min="14607" max="14607" width="12.42578125" style="953" customWidth="1"/>
    <col min="14608" max="14609" width="8.28515625" style="953" customWidth="1"/>
    <col min="14610" max="14611" width="14.140625" style="953" customWidth="1"/>
    <col min="14612" max="14615" width="9.140625" style="953"/>
    <col min="14616" max="14616" width="0" style="953" hidden="1" customWidth="1"/>
    <col min="14617" max="14848" width="9.140625" style="953"/>
    <col min="14849" max="14849" width="13.42578125" style="953" customWidth="1"/>
    <col min="14850" max="14850" width="20" style="953" customWidth="1"/>
    <col min="14851" max="14852" width="14.140625" style="953" customWidth="1"/>
    <col min="14853" max="14853" width="15.85546875" style="953" customWidth="1"/>
    <col min="14854" max="14854" width="16.28515625" style="953" customWidth="1"/>
    <col min="14855" max="14855" width="13.85546875" style="953" customWidth="1"/>
    <col min="14856" max="14856" width="14.140625" style="953" customWidth="1"/>
    <col min="14857" max="14857" width="8" style="953" customWidth="1"/>
    <col min="14858" max="14858" width="7.5703125" style="953" customWidth="1"/>
    <col min="14859" max="14859" width="10.42578125" style="953" customWidth="1"/>
    <col min="14860" max="14860" width="8.140625" style="953" customWidth="1"/>
    <col min="14861" max="14861" width="8.85546875" style="953" customWidth="1"/>
    <col min="14862" max="14862" width="10.140625" style="953" customWidth="1"/>
    <col min="14863" max="14863" width="12.42578125" style="953" customWidth="1"/>
    <col min="14864" max="14865" width="8.28515625" style="953" customWidth="1"/>
    <col min="14866" max="14867" width="14.140625" style="953" customWidth="1"/>
    <col min="14868" max="14871" width="9.140625" style="953"/>
    <col min="14872" max="14872" width="0" style="953" hidden="1" customWidth="1"/>
    <col min="14873" max="15104" width="9.140625" style="953"/>
    <col min="15105" max="15105" width="13.42578125" style="953" customWidth="1"/>
    <col min="15106" max="15106" width="20" style="953" customWidth="1"/>
    <col min="15107" max="15108" width="14.140625" style="953" customWidth="1"/>
    <col min="15109" max="15109" width="15.85546875" style="953" customWidth="1"/>
    <col min="15110" max="15110" width="16.28515625" style="953" customWidth="1"/>
    <col min="15111" max="15111" width="13.85546875" style="953" customWidth="1"/>
    <col min="15112" max="15112" width="14.140625" style="953" customWidth="1"/>
    <col min="15113" max="15113" width="8" style="953" customWidth="1"/>
    <col min="15114" max="15114" width="7.5703125" style="953" customWidth="1"/>
    <col min="15115" max="15115" width="10.42578125" style="953" customWidth="1"/>
    <col min="15116" max="15116" width="8.140625" style="953" customWidth="1"/>
    <col min="15117" max="15117" width="8.85546875" style="953" customWidth="1"/>
    <col min="15118" max="15118" width="10.140625" style="953" customWidth="1"/>
    <col min="15119" max="15119" width="12.42578125" style="953" customWidth="1"/>
    <col min="15120" max="15121" width="8.28515625" style="953" customWidth="1"/>
    <col min="15122" max="15123" width="14.140625" style="953" customWidth="1"/>
    <col min="15124" max="15127" width="9.140625" style="953"/>
    <col min="15128" max="15128" width="0" style="953" hidden="1" customWidth="1"/>
    <col min="15129" max="15360" width="9.140625" style="953"/>
    <col min="15361" max="15361" width="13.42578125" style="953" customWidth="1"/>
    <col min="15362" max="15362" width="20" style="953" customWidth="1"/>
    <col min="15363" max="15364" width="14.140625" style="953" customWidth="1"/>
    <col min="15365" max="15365" width="15.85546875" style="953" customWidth="1"/>
    <col min="15366" max="15366" width="16.28515625" style="953" customWidth="1"/>
    <col min="15367" max="15367" width="13.85546875" style="953" customWidth="1"/>
    <col min="15368" max="15368" width="14.140625" style="953" customWidth="1"/>
    <col min="15369" max="15369" width="8" style="953" customWidth="1"/>
    <col min="15370" max="15370" width="7.5703125" style="953" customWidth="1"/>
    <col min="15371" max="15371" width="10.42578125" style="953" customWidth="1"/>
    <col min="15372" max="15372" width="8.140625" style="953" customWidth="1"/>
    <col min="15373" max="15373" width="8.85546875" style="953" customWidth="1"/>
    <col min="15374" max="15374" width="10.140625" style="953" customWidth="1"/>
    <col min="15375" max="15375" width="12.42578125" style="953" customWidth="1"/>
    <col min="15376" max="15377" width="8.28515625" style="953" customWidth="1"/>
    <col min="15378" max="15379" width="14.140625" style="953" customWidth="1"/>
    <col min="15380" max="15383" width="9.140625" style="953"/>
    <col min="15384" max="15384" width="0" style="953" hidden="1" customWidth="1"/>
    <col min="15385" max="15616" width="9.140625" style="953"/>
    <col min="15617" max="15617" width="13.42578125" style="953" customWidth="1"/>
    <col min="15618" max="15618" width="20" style="953" customWidth="1"/>
    <col min="15619" max="15620" width="14.140625" style="953" customWidth="1"/>
    <col min="15621" max="15621" width="15.85546875" style="953" customWidth="1"/>
    <col min="15622" max="15622" width="16.28515625" style="953" customWidth="1"/>
    <col min="15623" max="15623" width="13.85546875" style="953" customWidth="1"/>
    <col min="15624" max="15624" width="14.140625" style="953" customWidth="1"/>
    <col min="15625" max="15625" width="8" style="953" customWidth="1"/>
    <col min="15626" max="15626" width="7.5703125" style="953" customWidth="1"/>
    <col min="15627" max="15627" width="10.42578125" style="953" customWidth="1"/>
    <col min="15628" max="15628" width="8.140625" style="953" customWidth="1"/>
    <col min="15629" max="15629" width="8.85546875" style="953" customWidth="1"/>
    <col min="15630" max="15630" width="10.140625" style="953" customWidth="1"/>
    <col min="15631" max="15631" width="12.42578125" style="953" customWidth="1"/>
    <col min="15632" max="15633" width="8.28515625" style="953" customWidth="1"/>
    <col min="15634" max="15635" width="14.140625" style="953" customWidth="1"/>
    <col min="15636" max="15639" width="9.140625" style="953"/>
    <col min="15640" max="15640" width="0" style="953" hidden="1" customWidth="1"/>
    <col min="15641" max="15872" width="9.140625" style="953"/>
    <col min="15873" max="15873" width="13.42578125" style="953" customWidth="1"/>
    <col min="15874" max="15874" width="20" style="953" customWidth="1"/>
    <col min="15875" max="15876" width="14.140625" style="953" customWidth="1"/>
    <col min="15877" max="15877" width="15.85546875" style="953" customWidth="1"/>
    <col min="15878" max="15878" width="16.28515625" style="953" customWidth="1"/>
    <col min="15879" max="15879" width="13.85546875" style="953" customWidth="1"/>
    <col min="15880" max="15880" width="14.140625" style="953" customWidth="1"/>
    <col min="15881" max="15881" width="8" style="953" customWidth="1"/>
    <col min="15882" max="15882" width="7.5703125" style="953" customWidth="1"/>
    <col min="15883" max="15883" width="10.42578125" style="953" customWidth="1"/>
    <col min="15884" max="15884" width="8.140625" style="953" customWidth="1"/>
    <col min="15885" max="15885" width="8.85546875" style="953" customWidth="1"/>
    <col min="15886" max="15886" width="10.140625" style="953" customWidth="1"/>
    <col min="15887" max="15887" width="12.42578125" style="953" customWidth="1"/>
    <col min="15888" max="15889" width="8.28515625" style="953" customWidth="1"/>
    <col min="15890" max="15891" width="14.140625" style="953" customWidth="1"/>
    <col min="15892" max="15895" width="9.140625" style="953"/>
    <col min="15896" max="15896" width="0" style="953" hidden="1" customWidth="1"/>
    <col min="15897" max="16128" width="9.140625" style="953"/>
    <col min="16129" max="16129" width="13.42578125" style="953" customWidth="1"/>
    <col min="16130" max="16130" width="20" style="953" customWidth="1"/>
    <col min="16131" max="16132" width="14.140625" style="953" customWidth="1"/>
    <col min="16133" max="16133" width="15.85546875" style="953" customWidth="1"/>
    <col min="16134" max="16134" width="16.28515625" style="953" customWidth="1"/>
    <col min="16135" max="16135" width="13.85546875" style="953" customWidth="1"/>
    <col min="16136" max="16136" width="14.140625" style="953" customWidth="1"/>
    <col min="16137" max="16137" width="8" style="953" customWidth="1"/>
    <col min="16138" max="16138" width="7.5703125" style="953" customWidth="1"/>
    <col min="16139" max="16139" width="10.42578125" style="953" customWidth="1"/>
    <col min="16140" max="16140" width="8.140625" style="953" customWidth="1"/>
    <col min="16141" max="16141" width="8.85546875" style="953" customWidth="1"/>
    <col min="16142" max="16142" width="10.140625" style="953" customWidth="1"/>
    <col min="16143" max="16143" width="12.42578125" style="953" customWidth="1"/>
    <col min="16144" max="16145" width="8.28515625" style="953" customWidth="1"/>
    <col min="16146" max="16147" width="14.140625" style="953" customWidth="1"/>
    <col min="16148" max="16151" width="9.140625" style="953"/>
    <col min="16152" max="16152" width="0" style="953" hidden="1" customWidth="1"/>
    <col min="16153" max="16384" width="9.140625" style="953"/>
  </cols>
  <sheetData>
    <row r="1" spans="1:21" ht="26.25" customHeight="1">
      <c r="A1" s="1437" t="s">
        <v>1597</v>
      </c>
      <c r="B1" s="1438" t="s">
        <v>1598</v>
      </c>
      <c r="C1" s="1439"/>
      <c r="D1" s="1439"/>
      <c r="E1" s="1439"/>
      <c r="F1" s="1441"/>
      <c r="G1" s="1439"/>
      <c r="H1" s="1439"/>
      <c r="I1" s="1439"/>
      <c r="J1" s="1439"/>
      <c r="K1" s="1439"/>
      <c r="L1" s="1439"/>
      <c r="M1" s="1439"/>
      <c r="T1" s="2803"/>
    </row>
    <row r="2" spans="1:21" ht="26.25" customHeight="1">
      <c r="B2" s="1438" t="s">
        <v>1599</v>
      </c>
      <c r="C2" s="1439"/>
      <c r="D2" s="1439"/>
      <c r="E2" s="1439"/>
      <c r="F2" s="1441"/>
      <c r="G2" s="1439"/>
      <c r="H2" s="1439"/>
      <c r="I2" s="1439"/>
      <c r="J2" s="1439"/>
      <c r="K2" s="1439"/>
      <c r="L2" s="1439"/>
      <c r="M2" s="1439"/>
      <c r="T2" s="2803"/>
    </row>
    <row r="3" spans="1:21" ht="26.25" customHeight="1">
      <c r="B3" s="1440" t="s">
        <v>409</v>
      </c>
      <c r="C3" s="1440">
        <f>'Project Info'!$C$3</f>
        <v>0</v>
      </c>
      <c r="D3" s="1440"/>
      <c r="E3" s="1439"/>
      <c r="F3" s="1441"/>
      <c r="G3" s="1439"/>
      <c r="H3" s="1439"/>
      <c r="I3" s="1439"/>
      <c r="J3" s="1439"/>
      <c r="K3" s="1439"/>
      <c r="L3" s="1439"/>
      <c r="M3" s="1439"/>
      <c r="T3" s="2803"/>
    </row>
    <row r="4" spans="1:21" ht="26.25" customHeight="1">
      <c r="B4" s="1439"/>
      <c r="C4" s="1440"/>
      <c r="D4" s="1440"/>
      <c r="E4" s="1439"/>
      <c r="F4" s="1439"/>
      <c r="G4" s="1441"/>
      <c r="H4" s="1441"/>
      <c r="I4" s="1441"/>
      <c r="J4" s="1441"/>
      <c r="K4" s="1441"/>
      <c r="L4" s="1441"/>
      <c r="M4" s="1441"/>
      <c r="N4" s="1441"/>
      <c r="O4" s="1439"/>
      <c r="P4" s="1439"/>
      <c r="Q4" s="1439"/>
      <c r="R4" s="1439"/>
      <c r="S4" s="1439"/>
      <c r="T4" s="2803"/>
      <c r="U4" s="1317"/>
    </row>
    <row r="5" spans="1:21" ht="15.75">
      <c r="A5" s="1577"/>
      <c r="B5" s="1471" t="s">
        <v>2109</v>
      </c>
      <c r="C5" s="1646"/>
      <c r="D5" s="1646"/>
      <c r="E5" s="1662"/>
      <c r="F5" s="1646"/>
      <c r="G5" s="1617"/>
      <c r="H5" s="1617"/>
      <c r="I5" s="1617"/>
      <c r="J5" s="1617"/>
      <c r="K5" s="1617"/>
      <c r="L5" s="1617"/>
      <c r="M5" s="1617"/>
      <c r="N5" s="1617"/>
      <c r="O5" s="1617"/>
      <c r="P5" s="1617"/>
      <c r="Q5" s="1447" t="s">
        <v>1601</v>
      </c>
      <c r="R5" s="2628" t="s">
        <v>1602</v>
      </c>
      <c r="S5" s="2628"/>
      <c r="T5" s="2803"/>
      <c r="U5" s="1317"/>
    </row>
    <row r="6" spans="1:21">
      <c r="B6" s="1449"/>
      <c r="C6" s="1449"/>
      <c r="D6" s="1449"/>
      <c r="E6" s="1449"/>
      <c r="F6" s="1449"/>
      <c r="G6" s="1449"/>
      <c r="H6" s="1449"/>
      <c r="I6" s="1449"/>
      <c r="J6" s="1449"/>
      <c r="K6" s="1449"/>
      <c r="L6" s="1449"/>
      <c r="M6" s="1449"/>
      <c r="N6" s="1449"/>
      <c r="O6" s="1449"/>
      <c r="P6" s="1449"/>
      <c r="Q6" s="1281" t="s">
        <v>1603</v>
      </c>
      <c r="R6" s="2634"/>
      <c r="S6" s="2635"/>
      <c r="T6" s="2803"/>
      <c r="U6" s="1317"/>
    </row>
    <row r="7" spans="1:21">
      <c r="B7" s="1451" t="s">
        <v>1604</v>
      </c>
      <c r="C7" s="1451"/>
      <c r="D7" s="1449"/>
      <c r="E7" s="1449"/>
      <c r="F7" s="1449"/>
      <c r="G7" s="1449"/>
      <c r="H7" s="1449"/>
      <c r="I7" s="1449"/>
      <c r="J7" s="1449"/>
      <c r="K7" s="1449"/>
      <c r="L7" s="1449"/>
      <c r="M7" s="1449"/>
      <c r="N7" s="1449"/>
      <c r="O7" s="1449"/>
      <c r="P7" s="1449"/>
      <c r="Q7" s="1282"/>
      <c r="R7" s="2635"/>
      <c r="S7" s="2635"/>
      <c r="T7" s="2803"/>
      <c r="U7" s="1317"/>
    </row>
    <row r="8" spans="1:21" ht="28.5" customHeight="1">
      <c r="B8" s="2804" t="s">
        <v>2110</v>
      </c>
      <c r="C8" s="2804"/>
      <c r="D8" s="2804"/>
      <c r="E8" s="2804"/>
      <c r="F8" s="2804"/>
      <c r="G8" s="2804"/>
      <c r="H8" s="2804"/>
      <c r="I8" s="2804"/>
      <c r="J8" s="2804"/>
      <c r="K8" s="2804"/>
      <c r="L8" s="2804"/>
      <c r="M8" s="2804"/>
      <c r="N8" s="2804"/>
      <c r="O8" s="1449"/>
      <c r="P8" s="1449"/>
      <c r="Q8" s="1282"/>
      <c r="R8" s="2635"/>
      <c r="S8" s="2635"/>
    </row>
    <row r="9" spans="1:21" ht="27.75" customHeight="1">
      <c r="B9" s="2584" t="s">
        <v>2111</v>
      </c>
      <c r="C9" s="2584"/>
      <c r="D9" s="2584"/>
      <c r="E9" s="2584"/>
      <c r="F9" s="2584"/>
      <c r="G9" s="2584"/>
      <c r="H9" s="2584"/>
      <c r="I9" s="2584"/>
      <c r="J9" s="2584"/>
      <c r="K9" s="2584"/>
      <c r="L9" s="2584"/>
      <c r="M9" s="2584"/>
      <c r="N9" s="2584"/>
      <c r="O9" s="1449"/>
      <c r="P9" s="1449"/>
      <c r="Q9" s="1663"/>
      <c r="R9" s="2618"/>
      <c r="S9" s="2618"/>
    </row>
    <row r="10" spans="1:21" ht="13.5" customHeight="1">
      <c r="B10" s="2584" t="s">
        <v>2112</v>
      </c>
      <c r="C10" s="2584"/>
      <c r="D10" s="2584"/>
      <c r="E10" s="2584"/>
      <c r="F10" s="2584"/>
      <c r="G10" s="2584"/>
      <c r="H10" s="2584"/>
      <c r="I10" s="2584"/>
      <c r="J10" s="2584"/>
      <c r="K10" s="2584"/>
      <c r="L10" s="2584"/>
      <c r="M10" s="2584"/>
      <c r="N10" s="2584"/>
      <c r="O10" s="1449"/>
      <c r="P10" s="1449"/>
      <c r="Q10" s="1663"/>
      <c r="R10" s="2618"/>
      <c r="S10" s="2618"/>
    </row>
    <row r="11" spans="1:21" ht="13.5" customHeight="1">
      <c r="B11" s="1541"/>
      <c r="C11" s="1541"/>
      <c r="D11" s="1541"/>
      <c r="E11" s="1541"/>
      <c r="F11" s="1541"/>
      <c r="G11" s="1541"/>
      <c r="H11" s="1541"/>
      <c r="I11" s="1541"/>
      <c r="J11" s="1541"/>
      <c r="K11" s="1541"/>
      <c r="L11" s="1541"/>
      <c r="M11" s="1541"/>
      <c r="N11" s="1541"/>
      <c r="O11" s="1449"/>
      <c r="P11" s="1449"/>
      <c r="Q11" s="1449"/>
      <c r="R11" s="1452"/>
      <c r="S11" s="1449"/>
    </row>
    <row r="12" spans="1:21" ht="26.25" customHeight="1">
      <c r="B12" s="1451" t="s">
        <v>2113</v>
      </c>
      <c r="C12" s="1451"/>
      <c r="D12" s="1449"/>
      <c r="E12" s="1449"/>
      <c r="F12" s="1449"/>
      <c r="G12" s="1449"/>
      <c r="H12" s="1449"/>
      <c r="I12" s="1449"/>
      <c r="J12" s="1449"/>
      <c r="K12" s="1449"/>
      <c r="L12" s="1449"/>
      <c r="M12" s="1449"/>
      <c r="N12" s="1449"/>
      <c r="O12" s="1449"/>
      <c r="P12" s="1449"/>
      <c r="Q12" s="1449"/>
      <c r="R12" s="1452"/>
      <c r="S12" s="1449"/>
    </row>
    <row r="13" spans="1:21" ht="15.75" customHeight="1">
      <c r="B13" s="1449" t="s">
        <v>1608</v>
      </c>
      <c r="C13" s="1449"/>
      <c r="D13" s="1449"/>
      <c r="E13" s="1449"/>
      <c r="F13" s="1449"/>
      <c r="G13" s="1449"/>
      <c r="H13" s="1449"/>
      <c r="I13" s="1449"/>
      <c r="J13" s="1449"/>
      <c r="K13" s="1449"/>
      <c r="L13" s="1449"/>
      <c r="M13" s="1449"/>
      <c r="N13" s="1449"/>
      <c r="O13" s="1449"/>
      <c r="P13" s="1449"/>
      <c r="Q13" s="1449"/>
      <c r="R13" s="1452"/>
      <c r="S13" s="1449"/>
    </row>
    <row r="14" spans="1:21">
      <c r="B14" s="1455" t="s">
        <v>1674</v>
      </c>
      <c r="C14" s="1449"/>
      <c r="D14" s="1449"/>
      <c r="E14" s="1449"/>
      <c r="F14" s="1449"/>
      <c r="G14" s="1449"/>
      <c r="H14" s="1449"/>
      <c r="I14" s="1449"/>
      <c r="J14" s="1449"/>
      <c r="K14" s="1449"/>
      <c r="L14" s="1449"/>
      <c r="M14" s="1449"/>
      <c r="N14" s="1449"/>
      <c r="O14" s="1449"/>
      <c r="P14" s="1449"/>
      <c r="Q14" s="1449"/>
      <c r="R14" s="1452"/>
      <c r="S14" s="1449"/>
    </row>
    <row r="15" spans="1:21">
      <c r="B15" s="1449" t="s">
        <v>2114</v>
      </c>
      <c r="C15" s="1449"/>
      <c r="D15" s="1449"/>
      <c r="E15" s="1449"/>
      <c r="F15" s="1449"/>
      <c r="G15" s="1449"/>
      <c r="H15" s="1449"/>
      <c r="I15" s="1449"/>
      <c r="J15" s="1449"/>
      <c r="K15" s="1449"/>
      <c r="L15" s="1449"/>
      <c r="M15" s="1449"/>
      <c r="N15" s="1449"/>
      <c r="O15" s="1449"/>
      <c r="P15" s="1449"/>
      <c r="Q15" s="1449"/>
      <c r="R15" s="1452"/>
      <c r="S15" s="1449"/>
    </row>
    <row r="16" spans="1:21">
      <c r="B16" s="1449" t="s">
        <v>2115</v>
      </c>
      <c r="C16" s="1449"/>
      <c r="D16" s="1449"/>
      <c r="E16" s="1449"/>
      <c r="F16" s="1449"/>
      <c r="G16" s="1449"/>
      <c r="H16" s="1449"/>
      <c r="I16" s="1449"/>
      <c r="J16" s="1449"/>
      <c r="K16" s="1449"/>
      <c r="L16" s="1449"/>
      <c r="M16" s="1449"/>
      <c r="N16" s="1449"/>
      <c r="O16" s="1449"/>
      <c r="P16" s="1449"/>
      <c r="Q16" s="1449"/>
      <c r="R16" s="1452"/>
      <c r="S16" s="1449"/>
    </row>
    <row r="17" spans="1:39">
      <c r="B17" s="1449" t="s">
        <v>2116</v>
      </c>
      <c r="C17" s="1449"/>
      <c r="D17" s="1449"/>
      <c r="E17" s="1449"/>
      <c r="F17" s="1449"/>
      <c r="G17" s="1449"/>
      <c r="H17" s="1449"/>
      <c r="I17" s="1449"/>
      <c r="J17" s="1449"/>
      <c r="K17" s="1449"/>
      <c r="L17" s="1449"/>
      <c r="M17" s="1449"/>
      <c r="N17" s="1449"/>
      <c r="O17" s="1449"/>
      <c r="P17" s="1449"/>
      <c r="Q17" s="1449"/>
      <c r="R17" s="1452"/>
      <c r="S17" s="1449"/>
    </row>
    <row r="18" spans="1:39">
      <c r="B18" s="1449" t="s">
        <v>2117</v>
      </c>
      <c r="C18" s="1449"/>
      <c r="D18" s="1449"/>
      <c r="E18" s="1449"/>
      <c r="F18" s="1449"/>
      <c r="G18" s="1449"/>
      <c r="H18" s="1449"/>
      <c r="I18" s="1449"/>
      <c r="J18" s="1449"/>
      <c r="K18" s="1449"/>
      <c r="L18" s="1449"/>
      <c r="M18" s="1449"/>
      <c r="N18" s="1449"/>
      <c r="O18" s="1449"/>
      <c r="P18" s="1449"/>
      <c r="Q18" s="1449"/>
      <c r="R18" s="1452"/>
      <c r="S18" s="1449"/>
    </row>
    <row r="19" spans="1:39">
      <c r="A19" s="1460"/>
      <c r="B19" s="1455" t="s">
        <v>2118</v>
      </c>
      <c r="C19" s="1449"/>
      <c r="D19" s="1449"/>
      <c r="E19" s="1449"/>
      <c r="F19" s="1449"/>
      <c r="G19" s="1449"/>
      <c r="H19" s="1449"/>
      <c r="I19" s="1449"/>
      <c r="J19" s="1449"/>
      <c r="K19" s="1449"/>
      <c r="L19" s="1449"/>
      <c r="M19" s="1449"/>
      <c r="N19" s="1449"/>
      <c r="O19" s="1439"/>
      <c r="P19" s="1439"/>
      <c r="Q19" s="1439"/>
      <c r="R19" s="1439"/>
      <c r="S19" s="1439"/>
      <c r="T19" s="1439"/>
      <c r="U19" s="1439"/>
      <c r="V19" s="1439"/>
      <c r="W19" s="1439"/>
      <c r="X19" s="1439"/>
      <c r="Y19" s="1439"/>
      <c r="Z19" s="1439"/>
      <c r="AA19" s="1439"/>
      <c r="AB19" s="1439"/>
      <c r="AC19" s="1439"/>
      <c r="AD19" s="1439"/>
      <c r="AE19" s="1439"/>
      <c r="AF19" s="1439"/>
      <c r="AG19" s="1439"/>
      <c r="AH19" s="1439"/>
      <c r="AI19" s="1439"/>
      <c r="AJ19" s="1439"/>
      <c r="AK19" s="1439"/>
      <c r="AL19" s="1439"/>
      <c r="AM19" s="1439"/>
    </row>
    <row r="20" spans="1:39">
      <c r="B20" s="1455" t="s">
        <v>2119</v>
      </c>
      <c r="C20" s="1449"/>
      <c r="D20" s="1449"/>
      <c r="E20" s="1449"/>
      <c r="F20" s="1449"/>
      <c r="G20" s="1449"/>
      <c r="H20" s="1449"/>
      <c r="I20" s="1449"/>
      <c r="J20" s="1449"/>
      <c r="K20" s="1449"/>
      <c r="L20" s="1449"/>
      <c r="M20" s="1449"/>
      <c r="N20" s="1449"/>
      <c r="O20" s="1449"/>
      <c r="P20" s="1449"/>
      <c r="Q20" s="1449"/>
      <c r="R20" s="1449"/>
      <c r="S20" s="1449"/>
    </row>
    <row r="21" spans="1:39">
      <c r="B21" s="1455" t="s">
        <v>2120</v>
      </c>
      <c r="C21" s="1449"/>
      <c r="D21" s="1449"/>
      <c r="E21" s="1449"/>
      <c r="F21" s="1449"/>
      <c r="G21" s="1449"/>
      <c r="H21" s="1449"/>
      <c r="I21" s="1449"/>
      <c r="J21" s="1449"/>
      <c r="K21" s="1449"/>
      <c r="L21" s="1449"/>
      <c r="M21" s="1449"/>
      <c r="N21" s="1449"/>
      <c r="O21" s="1449"/>
      <c r="P21" s="1449"/>
      <c r="Q21" s="1449"/>
      <c r="R21" s="1449"/>
      <c r="S21" s="1449"/>
    </row>
    <row r="22" spans="1:39">
      <c r="A22" s="1460"/>
      <c r="B22" s="1455" t="s">
        <v>2121</v>
      </c>
      <c r="C22" s="1449"/>
      <c r="D22" s="1449"/>
      <c r="E22" s="1449"/>
      <c r="F22" s="1449"/>
      <c r="G22" s="1449"/>
      <c r="H22" s="1449"/>
      <c r="I22" s="1449"/>
      <c r="J22" s="1449"/>
      <c r="K22" s="1449"/>
      <c r="L22" s="1449"/>
      <c r="M22" s="1449"/>
      <c r="N22" s="1449"/>
      <c r="O22" s="1439"/>
      <c r="P22" s="1439"/>
      <c r="Q22" s="1439"/>
      <c r="R22" s="1439"/>
      <c r="S22" s="1439"/>
      <c r="T22" s="1439"/>
      <c r="U22" s="1439"/>
      <c r="V22" s="1439"/>
      <c r="W22" s="1439"/>
      <c r="X22" s="1439"/>
      <c r="Y22" s="1439"/>
      <c r="Z22" s="1439"/>
      <c r="AA22" s="1439"/>
      <c r="AB22" s="1439"/>
      <c r="AC22" s="1439"/>
      <c r="AD22" s="1439"/>
      <c r="AE22" s="1439"/>
      <c r="AF22" s="1439"/>
      <c r="AG22" s="1439"/>
      <c r="AH22" s="1439"/>
      <c r="AI22" s="1439"/>
      <c r="AJ22" s="1439"/>
      <c r="AK22" s="1439"/>
      <c r="AL22" s="1439"/>
      <c r="AM22" s="1439"/>
    </row>
    <row r="23" spans="1:39">
      <c r="B23" s="1449"/>
      <c r="C23" s="1449"/>
      <c r="D23" s="1449"/>
      <c r="E23" s="1449"/>
      <c r="F23" s="1449"/>
      <c r="G23" s="1449"/>
      <c r="H23" s="1449"/>
      <c r="I23" s="1449"/>
      <c r="J23" s="1449"/>
      <c r="K23" s="1449"/>
      <c r="L23" s="1449"/>
      <c r="M23" s="1449"/>
      <c r="N23" s="1449"/>
      <c r="O23" s="1449"/>
      <c r="P23" s="1449"/>
      <c r="Q23" s="1449"/>
      <c r="R23" s="1449"/>
      <c r="S23" s="1449"/>
    </row>
    <row r="24" spans="1:39" ht="13.5" customHeight="1">
      <c r="B24" s="1449"/>
      <c r="C24" s="1449"/>
      <c r="D24" s="1449"/>
      <c r="E24" s="1449"/>
      <c r="F24" s="1449"/>
      <c r="G24" s="1449"/>
      <c r="H24" s="1449"/>
      <c r="I24" s="1449"/>
      <c r="J24" s="1449"/>
      <c r="K24" s="1449"/>
      <c r="L24" s="1449"/>
      <c r="M24" s="1449"/>
      <c r="N24" s="1449"/>
      <c r="O24" s="1449"/>
      <c r="P24" s="1449"/>
      <c r="Q24" s="1449"/>
      <c r="R24" s="1449"/>
      <c r="S24" s="1449"/>
    </row>
    <row r="25" spans="1:39" ht="12.75" customHeight="1">
      <c r="B25" s="1454" t="s">
        <v>1611</v>
      </c>
      <c r="C25" s="1451"/>
      <c r="D25" s="1449"/>
      <c r="E25" s="1449"/>
      <c r="F25" s="1449"/>
      <c r="G25" s="1449"/>
      <c r="H25" s="1449"/>
      <c r="I25" s="1449"/>
      <c r="J25" s="1449"/>
      <c r="K25" s="1449"/>
      <c r="L25" s="1449"/>
      <c r="M25" s="1449"/>
      <c r="N25" s="1449"/>
      <c r="O25" s="1449"/>
      <c r="P25" s="1449"/>
      <c r="Q25" s="1449"/>
      <c r="R25" s="1449"/>
      <c r="S25" s="1449"/>
    </row>
    <row r="26" spans="1:39" ht="26.25" customHeight="1">
      <c r="B26" s="2584" t="s">
        <v>2122</v>
      </c>
      <c r="C26" s="2584"/>
      <c r="D26" s="2584"/>
      <c r="E26" s="2584"/>
      <c r="F26" s="2584"/>
      <c r="G26" s="2584"/>
      <c r="H26" s="2584"/>
      <c r="I26" s="2584"/>
      <c r="J26" s="2584"/>
      <c r="K26" s="2584"/>
      <c r="L26" s="2584"/>
      <c r="M26" s="2584"/>
      <c r="N26" s="2584"/>
      <c r="O26" s="1449"/>
      <c r="P26" s="1449"/>
      <c r="Q26" s="1449"/>
      <c r="R26" s="1449"/>
      <c r="S26" s="1449"/>
    </row>
    <row r="27" spans="1:39" ht="38.25" customHeight="1">
      <c r="B27" s="2584" t="s">
        <v>2123</v>
      </c>
      <c r="C27" s="2584"/>
      <c r="D27" s="2584"/>
      <c r="E27" s="2584"/>
      <c r="F27" s="2584"/>
      <c r="G27" s="2584"/>
      <c r="H27" s="2584"/>
      <c r="I27" s="2584"/>
      <c r="J27" s="2584"/>
      <c r="K27" s="2584"/>
      <c r="L27" s="2584"/>
      <c r="M27" s="2584"/>
      <c r="N27" s="2584"/>
      <c r="O27" s="1449"/>
      <c r="P27" s="1449"/>
      <c r="Q27" s="1449"/>
      <c r="R27" s="1449"/>
      <c r="S27" s="1449"/>
    </row>
    <row r="28" spans="1:39" ht="13.5" customHeight="1">
      <c r="B28" s="2572" t="s">
        <v>1614</v>
      </c>
      <c r="C28" s="2572"/>
      <c r="D28" s="2572"/>
      <c r="E28" s="2572"/>
      <c r="F28" s="2572"/>
      <c r="G28" s="2572"/>
      <c r="H28" s="2572"/>
      <c r="I28" s="2572"/>
      <c r="J28" s="2572"/>
      <c r="K28" s="2572"/>
      <c r="L28" s="2572"/>
      <c r="M28" s="2572"/>
      <c r="N28" s="2572"/>
      <c r="O28" s="1449"/>
      <c r="P28" s="1449"/>
      <c r="Q28" s="1449"/>
      <c r="R28" s="1449"/>
      <c r="S28" s="1449"/>
    </row>
    <row r="29" spans="1:39" ht="43.5" customHeight="1">
      <c r="B29" s="2694" t="s">
        <v>2124</v>
      </c>
      <c r="C29" s="2802"/>
      <c r="D29" s="2802"/>
      <c r="E29" s="2802"/>
      <c r="F29" s="2802"/>
      <c r="G29" s="2802"/>
      <c r="H29" s="2802"/>
      <c r="I29" s="2802"/>
      <c r="J29" s="2802"/>
      <c r="K29" s="2802"/>
      <c r="L29" s="2802"/>
      <c r="M29" s="2802"/>
      <c r="N29" s="2802"/>
      <c r="O29" s="1449"/>
      <c r="P29" s="1449"/>
      <c r="Q29" s="1449"/>
      <c r="R29" s="1449"/>
      <c r="S29" s="1449"/>
    </row>
    <row r="30" spans="1:39">
      <c r="B30" s="1449"/>
      <c r="C30" s="1449"/>
      <c r="D30" s="1449"/>
      <c r="E30" s="1449"/>
      <c r="F30" s="1449"/>
      <c r="G30" s="1449"/>
      <c r="H30" s="1449"/>
      <c r="I30" s="1449"/>
      <c r="J30" s="1449"/>
      <c r="K30" s="1449"/>
      <c r="L30" s="1449"/>
      <c r="M30" s="1449"/>
      <c r="N30" s="1449"/>
      <c r="O30" s="1459"/>
      <c r="P30" s="1465"/>
      <c r="Q30" s="1465"/>
      <c r="R30" s="2572"/>
      <c r="S30" s="2799"/>
    </row>
    <row r="31" spans="1:39" ht="78" customHeight="1">
      <c r="B31" s="1590" t="s">
        <v>1617</v>
      </c>
      <c r="C31" s="1616"/>
      <c r="D31" s="1616"/>
      <c r="E31" s="1463"/>
      <c r="F31" s="1463"/>
      <c r="G31" s="1463"/>
      <c r="H31" s="2798" t="s">
        <v>1626</v>
      </c>
      <c r="I31" s="2798"/>
      <c r="J31" s="2798"/>
      <c r="K31" s="2798"/>
      <c r="L31" s="2798"/>
      <c r="M31" s="2798"/>
      <c r="N31" s="2798"/>
      <c r="O31" s="1463" t="s">
        <v>1703</v>
      </c>
      <c r="P31" s="1465" t="s">
        <v>1628</v>
      </c>
    </row>
    <row r="32" spans="1:39" ht="50.25" customHeight="1">
      <c r="A32" s="1491"/>
      <c r="B32" s="2575" t="s">
        <v>2125</v>
      </c>
      <c r="C32" s="2576"/>
      <c r="D32" s="2576"/>
      <c r="E32" s="2576"/>
      <c r="F32" s="2576"/>
      <c r="G32" s="2801"/>
      <c r="H32" s="2794"/>
      <c r="I32" s="2794"/>
      <c r="J32" s="2794"/>
      <c r="K32" s="2794"/>
      <c r="L32" s="2794"/>
      <c r="M32" s="2794"/>
      <c r="N32" s="2794"/>
      <c r="O32" s="1284"/>
      <c r="P32" s="1284"/>
    </row>
    <row r="33" spans="1:68" ht="162.75" customHeight="1">
      <c r="A33" s="1491"/>
      <c r="B33" s="2575" t="s">
        <v>2126</v>
      </c>
      <c r="C33" s="2576"/>
      <c r="D33" s="2576"/>
      <c r="E33" s="2576"/>
      <c r="F33" s="2576"/>
      <c r="G33" s="2801"/>
      <c r="H33" s="2794"/>
      <c r="I33" s="2794"/>
      <c r="J33" s="2794"/>
      <c r="K33" s="2794"/>
      <c r="L33" s="2794"/>
      <c r="M33" s="2794"/>
      <c r="N33" s="2794"/>
      <c r="O33" s="1284"/>
      <c r="P33" s="1284"/>
    </row>
    <row r="34" spans="1:68" ht="113.25" customHeight="1">
      <c r="A34" s="1491"/>
      <c r="B34" s="2575" t="s">
        <v>2127</v>
      </c>
      <c r="C34" s="2576"/>
      <c r="D34" s="2576"/>
      <c r="E34" s="2576"/>
      <c r="F34" s="2576"/>
      <c r="G34" s="2801"/>
      <c r="H34" s="2794"/>
      <c r="I34" s="2794"/>
      <c r="J34" s="2794"/>
      <c r="K34" s="2794"/>
      <c r="L34" s="2794"/>
      <c r="M34" s="2794"/>
      <c r="N34" s="2794"/>
      <c r="O34" s="1284"/>
      <c r="P34" s="1284"/>
    </row>
    <row r="35" spans="1:68" ht="79.5" customHeight="1">
      <c r="B35" s="1664" t="s">
        <v>1651</v>
      </c>
      <c r="C35" s="1664" t="s">
        <v>1652</v>
      </c>
      <c r="D35" s="1664" t="s">
        <v>1624</v>
      </c>
      <c r="E35" s="1664" t="s">
        <v>1623</v>
      </c>
      <c r="F35" s="1479" t="s">
        <v>1621</v>
      </c>
      <c r="G35" s="1479" t="s">
        <v>1622</v>
      </c>
      <c r="H35" s="1463" t="s">
        <v>2128</v>
      </c>
      <c r="I35" s="1463" t="s">
        <v>2129</v>
      </c>
      <c r="J35" s="1463" t="s">
        <v>1656</v>
      </c>
      <c r="K35" s="1479" t="s">
        <v>2130</v>
      </c>
      <c r="L35" s="1463" t="s">
        <v>2131</v>
      </c>
      <c r="M35" s="1463" t="s">
        <v>2132</v>
      </c>
      <c r="N35" s="1479" t="s">
        <v>2133</v>
      </c>
      <c r="O35" s="1463" t="s">
        <v>1703</v>
      </c>
      <c r="P35" s="1465" t="s">
        <v>1628</v>
      </c>
      <c r="Q35" s="1465" t="s">
        <v>1629</v>
      </c>
      <c r="R35" s="2573" t="s">
        <v>2134</v>
      </c>
      <c r="S35" s="2799"/>
    </row>
    <row r="36" spans="1:68">
      <c r="B36" s="1113"/>
      <c r="C36" s="1113"/>
      <c r="D36" s="1113"/>
      <c r="E36" s="1113"/>
      <c r="F36" s="1113"/>
      <c r="G36" s="1113"/>
      <c r="H36" s="1175"/>
      <c r="I36" s="1175"/>
      <c r="J36" s="1176"/>
      <c r="K36" s="1113"/>
      <c r="L36" s="1176"/>
      <c r="M36" s="1176"/>
      <c r="N36" s="1113"/>
      <c r="O36" s="1113"/>
      <c r="P36" s="1274"/>
      <c r="Q36" s="1251"/>
      <c r="R36" s="2797"/>
      <c r="S36" s="2797"/>
    </row>
    <row r="37" spans="1:68">
      <c r="B37" s="1113"/>
      <c r="C37" s="1113"/>
      <c r="D37" s="1113"/>
      <c r="E37" s="1113"/>
      <c r="F37" s="1113"/>
      <c r="G37" s="1113"/>
      <c r="H37" s="1175"/>
      <c r="I37" s="1175"/>
      <c r="J37" s="1159"/>
      <c r="K37" s="1113"/>
      <c r="L37" s="1159"/>
      <c r="M37" s="1159"/>
      <c r="N37" s="1113"/>
      <c r="O37" s="1113"/>
      <c r="P37" s="1274"/>
      <c r="Q37" s="1251"/>
      <c r="R37" s="2797"/>
      <c r="S37" s="2797"/>
    </row>
    <row r="38" spans="1:68">
      <c r="B38" s="1113"/>
      <c r="C38" s="1113"/>
      <c r="D38" s="1113"/>
      <c r="E38" s="1113"/>
      <c r="F38" s="1113"/>
      <c r="G38" s="1113"/>
      <c r="H38" s="1175"/>
      <c r="I38" s="1175"/>
      <c r="J38" s="1159"/>
      <c r="K38" s="1113"/>
      <c r="L38" s="1159"/>
      <c r="M38" s="1159"/>
      <c r="N38" s="1113"/>
      <c r="O38" s="1113"/>
      <c r="P38" s="1274"/>
      <c r="Q38" s="1251"/>
      <c r="R38" s="2797"/>
      <c r="S38" s="2797"/>
    </row>
    <row r="39" spans="1:68">
      <c r="B39" s="1113"/>
      <c r="C39" s="1113"/>
      <c r="D39" s="1113"/>
      <c r="E39" s="1113"/>
      <c r="F39" s="1113"/>
      <c r="G39" s="1113"/>
      <c r="H39" s="1175"/>
      <c r="I39" s="1175"/>
      <c r="J39" s="1159"/>
      <c r="K39" s="1159"/>
      <c r="L39" s="1159"/>
      <c r="M39" s="1159"/>
      <c r="N39" s="1113"/>
      <c r="O39" s="1113"/>
      <c r="P39" s="1274"/>
      <c r="Q39" s="1251"/>
      <c r="R39" s="2797"/>
      <c r="S39" s="2797"/>
    </row>
    <row r="40" spans="1:68">
      <c r="B40" s="1113"/>
      <c r="C40" s="1113"/>
      <c r="D40" s="1113"/>
      <c r="E40" s="1113"/>
      <c r="F40" s="1113"/>
      <c r="G40" s="1113"/>
      <c r="H40" s="1175"/>
      <c r="I40" s="1175"/>
      <c r="J40" s="1159"/>
      <c r="K40" s="1159"/>
      <c r="L40" s="1159"/>
      <c r="M40" s="1159"/>
      <c r="N40" s="1113"/>
      <c r="O40" s="1113"/>
      <c r="P40" s="1274"/>
      <c r="Q40" s="1251"/>
      <c r="R40" s="2797"/>
      <c r="S40" s="2797"/>
    </row>
    <row r="41" spans="1:68">
      <c r="B41" s="1113"/>
      <c r="C41" s="1113"/>
      <c r="D41" s="1113"/>
      <c r="E41" s="1113"/>
      <c r="F41" s="1113"/>
      <c r="G41" s="1113"/>
      <c r="H41" s="1175"/>
      <c r="I41" s="1175"/>
      <c r="J41" s="1159"/>
      <c r="K41" s="1159"/>
      <c r="L41" s="1159"/>
      <c r="M41" s="1159"/>
      <c r="N41" s="1113"/>
      <c r="O41" s="1113"/>
      <c r="P41" s="1274"/>
      <c r="Q41" s="1251"/>
      <c r="R41" s="2797"/>
      <c r="S41" s="2797"/>
    </row>
    <row r="42" spans="1:68">
      <c r="B42" s="1113"/>
      <c r="C42" s="1113"/>
      <c r="D42" s="1113"/>
      <c r="E42" s="1113"/>
      <c r="F42" s="1113"/>
      <c r="G42" s="1113"/>
      <c r="H42" s="1175"/>
      <c r="I42" s="1175"/>
      <c r="J42" s="1159"/>
      <c r="K42" s="1159"/>
      <c r="L42" s="1159"/>
      <c r="M42" s="1159"/>
      <c r="N42" s="1113"/>
      <c r="O42" s="1113"/>
      <c r="P42" s="1274"/>
      <c r="Q42" s="1251"/>
      <c r="R42" s="2797"/>
      <c r="S42" s="2797"/>
    </row>
    <row r="43" spans="1:68">
      <c r="B43" s="1113"/>
      <c r="C43" s="1113"/>
      <c r="D43" s="1113"/>
      <c r="E43" s="1113"/>
      <c r="F43" s="1113"/>
      <c r="G43" s="1113"/>
      <c r="H43" s="1175"/>
      <c r="I43" s="1175"/>
      <c r="J43" s="1159"/>
      <c r="K43" s="1159"/>
      <c r="L43" s="1159"/>
      <c r="M43" s="1159"/>
      <c r="N43" s="1113"/>
      <c r="O43" s="1113"/>
      <c r="P43" s="1274"/>
      <c r="Q43" s="1251"/>
      <c r="R43" s="2797"/>
      <c r="S43" s="2797"/>
    </row>
    <row r="44" spans="1:68">
      <c r="B44" s="1113"/>
      <c r="C44" s="1113"/>
      <c r="D44" s="1113"/>
      <c r="E44" s="1113"/>
      <c r="F44" s="1113"/>
      <c r="G44" s="1113"/>
      <c r="H44" s="1175"/>
      <c r="I44" s="1175"/>
      <c r="J44" s="1159"/>
      <c r="K44" s="1159"/>
      <c r="L44" s="1159"/>
      <c r="M44" s="1159"/>
      <c r="N44" s="1113"/>
      <c r="O44" s="1113"/>
      <c r="P44" s="1274"/>
      <c r="Q44" s="1251"/>
      <c r="R44" s="2797"/>
      <c r="S44" s="2797"/>
    </row>
    <row r="45" spans="1:68">
      <c r="B45" s="1449"/>
      <c r="C45" s="1449"/>
      <c r="D45" s="1449"/>
      <c r="E45" s="1449"/>
      <c r="F45" s="1449"/>
      <c r="G45" s="1449"/>
      <c r="H45" s="1449"/>
      <c r="I45" s="1449"/>
      <c r="J45" s="1449"/>
      <c r="K45" s="1449"/>
      <c r="L45" s="1449"/>
      <c r="M45" s="1449"/>
      <c r="N45" s="1449"/>
      <c r="O45" s="1449"/>
      <c r="P45" s="1449"/>
      <c r="Q45" s="1449"/>
      <c r="R45" s="1449"/>
      <c r="S45" s="1449"/>
    </row>
    <row r="46" spans="1:68">
      <c r="B46" s="1449"/>
      <c r="C46" s="1449"/>
      <c r="D46" s="1449"/>
      <c r="E46" s="1449"/>
      <c r="F46" s="1449"/>
      <c r="G46" s="1449"/>
      <c r="H46" s="1449"/>
      <c r="I46" s="1449"/>
      <c r="J46" s="1449"/>
      <c r="K46" s="1449"/>
      <c r="L46" s="1449"/>
      <c r="M46" s="1449"/>
      <c r="N46" s="1449"/>
      <c r="O46" s="1449"/>
      <c r="P46" s="1449"/>
      <c r="Q46" s="1449"/>
      <c r="R46" s="1449"/>
      <c r="S46" s="1449"/>
    </row>
    <row r="47" spans="1:68" ht="82.5" customHeight="1">
      <c r="A47" s="1466"/>
      <c r="B47" s="1463" t="s">
        <v>1633</v>
      </c>
      <c r="C47" s="1616"/>
      <c r="D47" s="1616"/>
      <c r="E47" s="1459" t="s">
        <v>1619</v>
      </c>
      <c r="G47" s="1629" t="s">
        <v>1714</v>
      </c>
      <c r="H47" s="2798" t="s">
        <v>1626</v>
      </c>
      <c r="I47" s="2798"/>
      <c r="J47" s="2798"/>
      <c r="K47" s="2798"/>
      <c r="L47" s="2798"/>
      <c r="M47" s="2798"/>
      <c r="N47" s="2798"/>
      <c r="O47" s="1463" t="s">
        <v>1703</v>
      </c>
      <c r="P47" s="1465" t="s">
        <v>1628</v>
      </c>
      <c r="Q47" s="1465" t="s">
        <v>1629</v>
      </c>
      <c r="R47" s="2573" t="s">
        <v>2134</v>
      </c>
      <c r="S47" s="2799"/>
    </row>
    <row r="48" spans="1:68" s="1476" customFormat="1" ht="15.75">
      <c r="A48" s="1475"/>
      <c r="B48" s="2599" t="s">
        <v>1519</v>
      </c>
      <c r="C48" s="2600"/>
      <c r="D48" s="2600"/>
      <c r="E48" s="2600"/>
      <c r="F48" s="2600"/>
      <c r="G48" s="2600"/>
      <c r="H48" s="2721"/>
      <c r="I48" s="2721"/>
      <c r="J48" s="2721"/>
      <c r="K48" s="2721"/>
      <c r="L48" s="2721"/>
      <c r="M48" s="2721"/>
      <c r="N48" s="2721"/>
      <c r="O48" s="2721"/>
      <c r="P48" s="2721"/>
      <c r="Q48" s="2721"/>
      <c r="R48" s="2721"/>
      <c r="S48" s="2722"/>
      <c r="T48" s="1475"/>
      <c r="U48" s="1475"/>
      <c r="V48" s="1475"/>
      <c r="W48" s="1475"/>
      <c r="X48" s="1475"/>
      <c r="Y48" s="1475"/>
      <c r="Z48" s="1475"/>
      <c r="AA48" s="1475"/>
      <c r="AB48" s="1475"/>
      <c r="AC48" s="1475"/>
      <c r="AD48" s="1475"/>
      <c r="AE48" s="1475"/>
      <c r="AF48" s="1475"/>
      <c r="AG48" s="1475"/>
      <c r="AH48" s="1475"/>
      <c r="AI48" s="1475"/>
      <c r="AJ48" s="1475"/>
      <c r="AK48" s="1475"/>
      <c r="AL48" s="1475"/>
      <c r="AM48" s="1475"/>
      <c r="AN48" s="1475"/>
      <c r="AO48" s="1475"/>
      <c r="AP48" s="1475"/>
      <c r="AQ48" s="1475"/>
      <c r="AR48" s="1475"/>
      <c r="AS48" s="1475"/>
      <c r="AT48" s="1475"/>
      <c r="AU48" s="1475"/>
      <c r="AV48" s="1475"/>
      <c r="AW48" s="1475"/>
      <c r="AX48" s="1475"/>
      <c r="AY48" s="1475"/>
      <c r="AZ48" s="1475"/>
      <c r="BA48" s="1475"/>
      <c r="BB48" s="1475"/>
      <c r="BC48" s="1475"/>
      <c r="BD48" s="1475"/>
      <c r="BE48" s="1475"/>
      <c r="BF48" s="1475"/>
      <c r="BG48" s="1475"/>
      <c r="BH48" s="1475"/>
      <c r="BI48" s="1475"/>
      <c r="BJ48" s="1475"/>
      <c r="BK48" s="1475"/>
      <c r="BL48" s="1475"/>
      <c r="BM48" s="1475"/>
      <c r="BN48" s="1475"/>
      <c r="BO48" s="1475"/>
      <c r="BP48" s="1475"/>
    </row>
    <row r="49" spans="1:68" ht="54" customHeight="1">
      <c r="A49" s="1665"/>
      <c r="B49" s="2588" t="s">
        <v>2135</v>
      </c>
      <c r="C49" s="2589"/>
      <c r="D49" s="2589"/>
      <c r="E49" s="2589"/>
      <c r="F49" s="2589"/>
      <c r="G49" s="2800"/>
      <c r="H49" s="2794"/>
      <c r="I49" s="2794"/>
      <c r="J49" s="2794"/>
      <c r="K49" s="2794"/>
      <c r="L49" s="2794"/>
      <c r="M49" s="2794"/>
      <c r="N49" s="2794"/>
      <c r="O49" s="1284"/>
      <c r="P49" s="1284"/>
      <c r="Q49" s="1270"/>
      <c r="R49" s="2570"/>
      <c r="S49" s="2769"/>
    </row>
    <row r="50" spans="1:68" s="1476" customFormat="1" ht="15.75">
      <c r="A50" s="1475"/>
      <c r="B50" s="2599" t="s">
        <v>2136</v>
      </c>
      <c r="C50" s="2600"/>
      <c r="D50" s="2600"/>
      <c r="E50" s="2600"/>
      <c r="F50" s="2600"/>
      <c r="G50" s="2600"/>
      <c r="H50" s="2601"/>
      <c r="I50" s="2601"/>
      <c r="J50" s="2601"/>
      <c r="K50" s="2601"/>
      <c r="L50" s="2601"/>
      <c r="M50" s="2601"/>
      <c r="N50" s="2601"/>
      <c r="O50" s="2601"/>
      <c r="P50" s="2601"/>
      <c r="Q50" s="2601"/>
      <c r="R50" s="2601"/>
      <c r="S50" s="2602"/>
      <c r="T50" s="1475"/>
      <c r="U50" s="1475"/>
      <c r="V50" s="1475"/>
      <c r="W50" s="1475"/>
      <c r="X50" s="1475"/>
      <c r="Y50" s="1475"/>
      <c r="Z50" s="1475"/>
      <c r="AA50" s="1475"/>
      <c r="AB50" s="1475"/>
      <c r="AC50" s="1475"/>
      <c r="AD50" s="1475"/>
      <c r="AE50" s="1475"/>
      <c r="AF50" s="1475"/>
      <c r="AG50" s="1475"/>
      <c r="AH50" s="1475"/>
      <c r="AI50" s="1475"/>
      <c r="AJ50" s="1475"/>
      <c r="AK50" s="1475"/>
      <c r="AL50" s="1475"/>
      <c r="AM50" s="1475"/>
      <c r="AN50" s="1475"/>
      <c r="AO50" s="1475"/>
      <c r="AP50" s="1475"/>
      <c r="AQ50" s="1475"/>
      <c r="AR50" s="1475"/>
      <c r="AS50" s="1475"/>
      <c r="AT50" s="1475"/>
      <c r="AU50" s="1475"/>
      <c r="AV50" s="1475"/>
      <c r="AW50" s="1475"/>
      <c r="AX50" s="1475"/>
      <c r="AY50" s="1475"/>
      <c r="AZ50" s="1475"/>
      <c r="BA50" s="1475"/>
      <c r="BB50" s="1475"/>
      <c r="BC50" s="1475"/>
      <c r="BD50" s="1475"/>
      <c r="BE50" s="1475"/>
      <c r="BF50" s="1475"/>
      <c r="BG50" s="1475"/>
      <c r="BH50" s="1475"/>
      <c r="BI50" s="1475"/>
      <c r="BJ50" s="1475"/>
      <c r="BK50" s="1475"/>
      <c r="BL50" s="1475"/>
      <c r="BM50" s="1475"/>
      <c r="BN50" s="1475"/>
      <c r="BO50" s="1475"/>
      <c r="BP50" s="1475"/>
    </row>
    <row r="51" spans="1:68" ht="158.25" customHeight="1">
      <c r="A51" s="1665"/>
      <c r="B51" s="2588" t="s">
        <v>2137</v>
      </c>
      <c r="C51" s="2589"/>
      <c r="D51" s="2598"/>
      <c r="E51" s="2595" t="str">
        <f>IF('Project Info'!C4='Project Info'!P32,'Mod Prescriptive Path Checklist'!C120,IF('Project Info'!C4='Project Info'!P33,"NA","&lt;Select compliance path on the 'Project Info' tab&gt;"))</f>
        <v>Central exhaust fans 1/16 HP and less must be direct-drive and have variable speed controllers.
Central exhaust fans greater than 1/16 HP and less than 1 HP must be direct-drive with ECM motors and variable speed controllers.
Central exhaust fans 1 HP and larger must have NEMA Premium efficient motors.</v>
      </c>
      <c r="F51" s="2596"/>
      <c r="G51" s="1262">
        <f>ERMs!C59</f>
        <v>0</v>
      </c>
      <c r="H51" s="2794"/>
      <c r="I51" s="2794"/>
      <c r="J51" s="2794"/>
      <c r="K51" s="2794"/>
      <c r="L51" s="2794"/>
      <c r="M51" s="2794"/>
      <c r="N51" s="2794"/>
      <c r="O51" s="1284"/>
      <c r="P51" s="1284"/>
      <c r="Q51" s="1270"/>
      <c r="R51" s="2570"/>
      <c r="S51" s="2769"/>
    </row>
    <row r="52" spans="1:68" ht="162" customHeight="1">
      <c r="A52" s="1494"/>
      <c r="B52" s="2588" t="s">
        <v>2138</v>
      </c>
      <c r="C52" s="2589"/>
      <c r="D52" s="2598"/>
      <c r="E52" s="2659" t="str">
        <f>IF('Project Info'!C4='Project Info'!P32,'Mod Prescriptive Path Checklist'!C124,IF('Project Info'!C4='Project Info'!P33,"NA","&lt;Select compliance path on the 'Project Info' tab&gt;"))</f>
        <v>Central exhaust fans 1/16 HP and less must be direct-drive and have variable speed controllers.
Central exhaust fans greater than 1/16 HP and less than 1 HP must be direct-drive with ECM motors and variable speed controllers.
Central exhaust fans 1 HP and larger must have NEMA Premium efficient motors.</v>
      </c>
      <c r="F52" s="2795"/>
      <c r="G52" s="1262">
        <f>ERMs!C57</f>
        <v>0</v>
      </c>
      <c r="H52" s="2794"/>
      <c r="I52" s="2794"/>
      <c r="J52" s="2794"/>
      <c r="K52" s="2794"/>
      <c r="L52" s="2794"/>
      <c r="M52" s="2794"/>
      <c r="N52" s="2794"/>
      <c r="O52" s="1284"/>
      <c r="P52" s="1284"/>
      <c r="Q52" s="1270"/>
      <c r="R52" s="2570"/>
      <c r="S52" s="2769"/>
    </row>
    <row r="53" spans="1:68" ht="47.25" customHeight="1">
      <c r="A53" s="1494"/>
      <c r="B53" s="2588" t="s">
        <v>2139</v>
      </c>
      <c r="C53" s="2589"/>
      <c r="D53" s="2598"/>
      <c r="E53" s="2595" t="str">
        <f>IF('Project Info'!C4='Project Info'!P32,'Mod Prescriptive Path Checklist'!C125,IF('Project Info'!C4='Project Info'!P33,#REF!,"&lt;Select compliance path on the 'Project Info' tab&gt;"))</f>
        <v>Apartment in-line and ceiling exhaust fans must be ENERGY STAR qualified.</v>
      </c>
      <c r="F53" s="2596"/>
      <c r="G53" s="1262">
        <f>ERMs!C58</f>
        <v>0</v>
      </c>
      <c r="H53" s="2794"/>
      <c r="I53" s="2794"/>
      <c r="J53" s="2794"/>
      <c r="K53" s="2794"/>
      <c r="L53" s="2794"/>
      <c r="M53" s="2794"/>
      <c r="N53" s="2794"/>
      <c r="O53" s="1284"/>
      <c r="P53" s="1284"/>
      <c r="Q53" s="1270"/>
      <c r="R53" s="2570"/>
      <c r="S53" s="2769"/>
    </row>
    <row r="54" spans="1:68" ht="337.5" customHeight="1">
      <c r="A54" s="1491"/>
      <c r="B54" s="2575" t="s">
        <v>2140</v>
      </c>
      <c r="C54" s="2576"/>
      <c r="D54" s="2796"/>
      <c r="E54" s="2659" t="str">
        <f>IF('Project Info'!C4='Project Info'!P32,'Mod Prescriptive Path Checklist'!C119&amp;"
"&amp;'Mod Prescriptive Path Checklist'!C122,IF('Project Info'!C4='Project Info'!P33,#REF!&amp;"
"&amp;#REF!,"&lt;Select compliance path on the 'Project Info' tab&gt;"))</f>
        <v>Common area ventilation systems shall be designed and tested to satisfy minimum requirements of ASHRAE 62.1-2007, without exceeding the minimum ventilation rates by more than 50%.
Apartment ventilation systems shall be designed and tested to satisfy minimum requirements of ASHRAE 62.2-2007 based upon the anticipated occupancy, without reliance on natural ventilation and without exceeding the minimum ventilation rates by more than 50%. 
Outdoor air must be provided to each unit directly from the outdoors.  Projects using exhaust ventilation systems must specify how outside air is delivered at the flow rate required by ASHRAE 62.2-2007.  Systems that rely on transfer air from pressurized hallways or corridors, adjacent to dwelling units, attics, etc., are prohibited.</v>
      </c>
      <c r="F54" s="2795"/>
      <c r="G54" s="1262">
        <f>ERMs!C53</f>
        <v>0</v>
      </c>
      <c r="H54" s="2794"/>
      <c r="I54" s="2794"/>
      <c r="J54" s="2794"/>
      <c r="K54" s="2794"/>
      <c r="L54" s="2794"/>
      <c r="M54" s="2794"/>
      <c r="N54" s="2794"/>
      <c r="O54" s="1284"/>
      <c r="P54" s="1284"/>
      <c r="Q54" s="1270"/>
      <c r="R54" s="2570"/>
      <c r="S54" s="2769"/>
    </row>
    <row r="55" spans="1:68" ht="233.25" customHeight="1">
      <c r="A55" s="1491"/>
      <c r="B55" s="2588" t="s">
        <v>2141</v>
      </c>
      <c r="C55" s="2589"/>
      <c r="D55" s="2598"/>
      <c r="E55" s="2659" t="str">
        <f>IF('Project Info'!C4='Project Info'!P32,'Mod Prescriptive Path Checklist'!C121,IF('Project Info'!C4='Project Info'!P33,"NA","&lt;Select compliance path on the 'Project Info' tab&gt;"))</f>
        <v xml:space="preserve">Powered common laundry ventilation must be installed with automatic demand control to turn off ventilation fans when no dryers are operating.  </v>
      </c>
      <c r="F55" s="2795"/>
      <c r="G55" s="1262">
        <f>ERMs!C60</f>
        <v>0</v>
      </c>
      <c r="H55" s="2794"/>
      <c r="I55" s="2794"/>
      <c r="J55" s="2794"/>
      <c r="K55" s="2794"/>
      <c r="L55" s="2794"/>
      <c r="M55" s="2794"/>
      <c r="N55" s="2794"/>
      <c r="O55" s="1284"/>
      <c r="P55" s="1284"/>
      <c r="Q55" s="1270"/>
      <c r="R55" s="2570"/>
      <c r="S55" s="2769"/>
    </row>
    <row r="56" spans="1:68" ht="51.75" customHeight="1">
      <c r="A56" s="1489"/>
      <c r="B56" s="2588" t="s">
        <v>2142</v>
      </c>
      <c r="C56" s="2589"/>
      <c r="D56" s="2598"/>
      <c r="E56" s="2659" t="s">
        <v>1119</v>
      </c>
      <c r="F56" s="2795"/>
      <c r="G56" s="1262">
        <f>ERMs!C54</f>
        <v>0</v>
      </c>
      <c r="H56" s="2794"/>
      <c r="I56" s="2794"/>
      <c r="J56" s="2794"/>
      <c r="K56" s="2794"/>
      <c r="L56" s="2794"/>
      <c r="M56" s="2794"/>
      <c r="N56" s="2794"/>
      <c r="O56" s="1284"/>
      <c r="P56" s="1284"/>
      <c r="Q56" s="1270"/>
      <c r="R56" s="2570"/>
      <c r="S56" s="2769"/>
    </row>
    <row r="57" spans="1:68" ht="56.25" customHeight="1">
      <c r="A57" s="1491"/>
      <c r="B57" s="2575" t="s">
        <v>2143</v>
      </c>
      <c r="C57" s="2576"/>
      <c r="D57" s="2576"/>
      <c r="E57" s="2659" t="s">
        <v>1119</v>
      </c>
      <c r="F57" s="2795"/>
      <c r="G57" s="1262">
        <f>ERMs!C55</f>
        <v>0</v>
      </c>
      <c r="H57" s="2794"/>
      <c r="I57" s="2794"/>
      <c r="J57" s="2794"/>
      <c r="K57" s="2794"/>
      <c r="L57" s="2794"/>
      <c r="M57" s="2794"/>
      <c r="N57" s="2794"/>
      <c r="O57" s="1284"/>
      <c r="P57" s="1284"/>
      <c r="Q57" s="1270"/>
      <c r="R57" s="2570"/>
      <c r="S57" s="2769"/>
    </row>
    <row r="58" spans="1:68" s="1476" customFormat="1" ht="15.75">
      <c r="A58" s="1608"/>
      <c r="B58" s="2599" t="s">
        <v>1536</v>
      </c>
      <c r="C58" s="2600"/>
      <c r="D58" s="2600"/>
      <c r="E58" s="2600"/>
      <c r="F58" s="2600"/>
      <c r="G58" s="2600"/>
      <c r="H58" s="2601"/>
      <c r="I58" s="2601"/>
      <c r="J58" s="2601"/>
      <c r="K58" s="2601"/>
      <c r="L58" s="2601"/>
      <c r="M58" s="2601"/>
      <c r="N58" s="2601"/>
      <c r="O58" s="2601"/>
      <c r="P58" s="2601"/>
      <c r="Q58" s="2601"/>
      <c r="R58" s="2601"/>
      <c r="S58" s="2602"/>
      <c r="T58" s="1475"/>
      <c r="U58" s="1475"/>
      <c r="V58" s="1475"/>
      <c r="W58" s="1475"/>
      <c r="X58" s="1475"/>
      <c r="Y58" s="1475"/>
      <c r="Z58" s="1475"/>
      <c r="AA58" s="1475"/>
      <c r="AB58" s="1475"/>
      <c r="AC58" s="1475"/>
      <c r="AD58" s="1475"/>
      <c r="AE58" s="1475"/>
      <c r="AF58" s="1475"/>
      <c r="AG58" s="1475"/>
      <c r="AH58" s="1475"/>
      <c r="AI58" s="1475"/>
      <c r="AJ58" s="1475"/>
      <c r="AK58" s="1475"/>
      <c r="AL58" s="1475"/>
      <c r="AM58" s="1475"/>
      <c r="AN58" s="1475"/>
      <c r="AO58" s="1475"/>
      <c r="AP58" s="1475"/>
      <c r="AQ58" s="1475"/>
      <c r="AR58" s="1475"/>
      <c r="AS58" s="1475"/>
      <c r="AT58" s="1475"/>
      <c r="AU58" s="1475"/>
      <c r="AV58" s="1475"/>
      <c r="AW58" s="1475"/>
      <c r="AX58" s="1475"/>
      <c r="AY58" s="1475"/>
      <c r="AZ58" s="1475"/>
      <c r="BA58" s="1475"/>
      <c r="BB58" s="1475"/>
      <c r="BC58" s="1475"/>
      <c r="BD58" s="1475"/>
      <c r="BE58" s="1475"/>
      <c r="BF58" s="1475"/>
      <c r="BG58" s="1475"/>
      <c r="BH58" s="1475"/>
      <c r="BI58" s="1475"/>
      <c r="BJ58" s="1475"/>
      <c r="BK58" s="1475"/>
      <c r="BL58" s="1475"/>
      <c r="BM58" s="1475"/>
      <c r="BN58" s="1475"/>
      <c r="BO58" s="1475"/>
      <c r="BP58" s="1475"/>
    </row>
    <row r="59" spans="1:68" ht="110.25" customHeight="1">
      <c r="A59" s="1494"/>
      <c r="B59" s="2575" t="s">
        <v>2144</v>
      </c>
      <c r="C59" s="2576"/>
      <c r="D59" s="2576"/>
      <c r="E59" s="1256" t="s">
        <v>1119</v>
      </c>
      <c r="F59" s="2613">
        <f>ERMs!C61</f>
        <v>0</v>
      </c>
      <c r="G59" s="2690"/>
      <c r="H59" s="2794"/>
      <c r="I59" s="2794"/>
      <c r="J59" s="2794"/>
      <c r="K59" s="2794"/>
      <c r="L59" s="2794"/>
      <c r="M59" s="2794"/>
      <c r="N59" s="2794"/>
      <c r="O59" s="1284"/>
      <c r="P59" s="1284"/>
      <c r="Q59" s="1270"/>
      <c r="R59" s="2570"/>
      <c r="S59" s="2769"/>
    </row>
    <row r="60" spans="1:68" ht="123" customHeight="1">
      <c r="A60" s="1497"/>
      <c r="B60" s="2575" t="s">
        <v>2145</v>
      </c>
      <c r="C60" s="2576"/>
      <c r="D60" s="2576"/>
      <c r="E60" s="2576"/>
      <c r="F60" s="2576"/>
      <c r="G60" s="2576"/>
      <c r="H60" s="2794"/>
      <c r="I60" s="2794"/>
      <c r="J60" s="2794"/>
      <c r="K60" s="2794"/>
      <c r="L60" s="2794"/>
      <c r="M60" s="2794"/>
      <c r="N60" s="2794"/>
      <c r="O60" s="1284"/>
      <c r="P60" s="1284"/>
      <c r="Q60" s="1270"/>
      <c r="R60" s="2570"/>
      <c r="S60" s="2769"/>
    </row>
    <row r="61" spans="1:68" ht="30.75" customHeight="1">
      <c r="A61" s="1666"/>
      <c r="B61" s="2575" t="s">
        <v>2146</v>
      </c>
      <c r="C61" s="2576"/>
      <c r="D61" s="2576"/>
      <c r="E61" s="2576"/>
      <c r="F61" s="2576"/>
      <c r="G61" s="2576"/>
      <c r="H61" s="2794"/>
      <c r="I61" s="2794"/>
      <c r="J61" s="2794"/>
      <c r="K61" s="2794"/>
      <c r="L61" s="2794"/>
      <c r="M61" s="2794"/>
      <c r="N61" s="2794"/>
      <c r="O61" s="1284"/>
      <c r="P61" s="1284"/>
      <c r="Q61" s="1270"/>
      <c r="R61" s="2570"/>
      <c r="S61" s="2769"/>
    </row>
    <row r="62" spans="1:68" ht="33" customHeight="1">
      <c r="A62" s="1497"/>
      <c r="B62" s="2586" t="s">
        <v>2147</v>
      </c>
      <c r="C62" s="2586"/>
      <c r="D62" s="2586"/>
      <c r="E62" s="2586"/>
      <c r="F62" s="2586"/>
      <c r="G62" s="2575"/>
      <c r="H62" s="2794"/>
      <c r="I62" s="2794"/>
      <c r="J62" s="2794"/>
      <c r="K62" s="2794"/>
      <c r="L62" s="2794"/>
      <c r="M62" s="2794"/>
      <c r="N62" s="2794"/>
      <c r="O62" s="1284"/>
      <c r="P62" s="1284"/>
      <c r="Q62" s="1270"/>
      <c r="R62" s="2570"/>
      <c r="S62" s="2769"/>
    </row>
    <row r="63" spans="1:68" s="1476" customFormat="1" ht="15.75">
      <c r="A63" s="1608"/>
      <c r="B63" s="2599" t="s">
        <v>1545</v>
      </c>
      <c r="C63" s="2600"/>
      <c r="D63" s="2600"/>
      <c r="E63" s="2600"/>
      <c r="F63" s="2600"/>
      <c r="G63" s="2600"/>
      <c r="H63" s="2601"/>
      <c r="I63" s="2601"/>
      <c r="J63" s="2601"/>
      <c r="K63" s="2601"/>
      <c r="L63" s="2601"/>
      <c r="M63" s="2601"/>
      <c r="N63" s="2601"/>
      <c r="O63" s="2601"/>
      <c r="P63" s="2601"/>
      <c r="Q63" s="2601"/>
      <c r="R63" s="2601"/>
      <c r="S63" s="2602"/>
      <c r="T63" s="1475"/>
      <c r="U63" s="1475"/>
      <c r="V63" s="1475"/>
      <c r="W63" s="1475"/>
      <c r="X63" s="1475"/>
      <c r="Y63" s="1475"/>
      <c r="Z63" s="1475"/>
      <c r="AA63" s="1475"/>
      <c r="AB63" s="1475"/>
      <c r="AC63" s="1475"/>
      <c r="AD63" s="1475"/>
      <c r="AE63" s="1475"/>
      <c r="AF63" s="1475"/>
      <c r="AG63" s="1475"/>
      <c r="AH63" s="1475"/>
      <c r="AI63" s="1475"/>
      <c r="AJ63" s="1475"/>
      <c r="AK63" s="1475"/>
      <c r="AL63" s="1475"/>
      <c r="AM63" s="1475"/>
      <c r="AN63" s="1475"/>
      <c r="AO63" s="1475"/>
      <c r="AP63" s="1475"/>
      <c r="AQ63" s="1475"/>
      <c r="AR63" s="1475"/>
      <c r="AS63" s="1475"/>
      <c r="AT63" s="1475"/>
      <c r="AU63" s="1475"/>
      <c r="AV63" s="1475"/>
      <c r="AW63" s="1475"/>
      <c r="AX63" s="1475"/>
      <c r="AY63" s="1475"/>
      <c r="AZ63" s="1475"/>
      <c r="BA63" s="1475"/>
      <c r="BB63" s="1475"/>
      <c r="BC63" s="1475"/>
      <c r="BD63" s="1475"/>
      <c r="BE63" s="1475"/>
      <c r="BF63" s="1475"/>
      <c r="BG63" s="1475"/>
      <c r="BH63" s="1475"/>
      <c r="BI63" s="1475"/>
      <c r="BJ63" s="1475"/>
      <c r="BK63" s="1475"/>
      <c r="BL63" s="1475"/>
      <c r="BM63" s="1475"/>
      <c r="BN63" s="1475"/>
      <c r="BO63" s="1475"/>
      <c r="BP63" s="1475"/>
    </row>
    <row r="64" spans="1:68" ht="171" customHeight="1">
      <c r="A64" s="1321"/>
      <c r="B64" s="2575" t="s">
        <v>2148</v>
      </c>
      <c r="C64" s="2576"/>
      <c r="D64" s="2576"/>
      <c r="E64" s="2576"/>
      <c r="F64" s="2576"/>
      <c r="G64" s="2576"/>
      <c r="H64" s="2794"/>
      <c r="I64" s="2794"/>
      <c r="J64" s="2794"/>
      <c r="K64" s="2794"/>
      <c r="L64" s="2794"/>
      <c r="M64" s="2794"/>
      <c r="N64" s="2794"/>
      <c r="O64" s="1284"/>
      <c r="P64" s="1284"/>
      <c r="Q64" s="1270"/>
      <c r="R64" s="2570"/>
      <c r="S64" s="2769"/>
    </row>
    <row r="65" spans="1:20" ht="40.5" customHeight="1">
      <c r="A65" s="1321"/>
      <c r="B65" s="2588" t="s">
        <v>2149</v>
      </c>
      <c r="C65" s="2589"/>
      <c r="D65" s="2589"/>
      <c r="E65" s="2589"/>
      <c r="F65" s="2589"/>
      <c r="G65" s="2589"/>
      <c r="H65" s="2794"/>
      <c r="I65" s="2794"/>
      <c r="J65" s="2794"/>
      <c r="K65" s="2794"/>
      <c r="L65" s="2794"/>
      <c r="M65" s="2794"/>
      <c r="N65" s="2794"/>
      <c r="O65" s="1284"/>
      <c r="P65" s="1284"/>
      <c r="Q65" s="1270"/>
      <c r="R65" s="2570"/>
      <c r="S65" s="2769"/>
    </row>
    <row r="66" spans="1:20" ht="42.75" customHeight="1">
      <c r="A66" s="1489"/>
      <c r="B66" s="2588" t="s">
        <v>2150</v>
      </c>
      <c r="C66" s="2589"/>
      <c r="D66" s="2589"/>
      <c r="E66" s="2589"/>
      <c r="F66" s="2589"/>
      <c r="G66" s="2589"/>
      <c r="H66" s="2794"/>
      <c r="I66" s="2794"/>
      <c r="J66" s="2794"/>
      <c r="K66" s="2794"/>
      <c r="L66" s="2794"/>
      <c r="M66" s="2794"/>
      <c r="N66" s="2794"/>
      <c r="O66" s="1284"/>
      <c r="P66" s="1284"/>
      <c r="Q66" s="1270"/>
      <c r="R66" s="2570"/>
      <c r="S66" s="2769"/>
    </row>
    <row r="67" spans="1:20" ht="57" customHeight="1">
      <c r="A67" s="1321"/>
      <c r="B67" s="2677" t="s">
        <v>2151</v>
      </c>
      <c r="C67" s="2678"/>
      <c r="D67" s="2678"/>
      <c r="E67" s="2678"/>
      <c r="F67" s="2678"/>
      <c r="G67" s="2678"/>
      <c r="H67" s="2794"/>
      <c r="I67" s="2794"/>
      <c r="J67" s="2794"/>
      <c r="K67" s="2794"/>
      <c r="L67" s="2794"/>
      <c r="M67" s="2794"/>
      <c r="N67" s="2794"/>
      <c r="O67" s="1284"/>
      <c r="P67" s="1284"/>
      <c r="Q67" s="1270"/>
      <c r="R67" s="2570"/>
      <c r="S67" s="2769"/>
    </row>
    <row r="68" spans="1:20" ht="42" customHeight="1">
      <c r="A68" s="1494"/>
      <c r="B68" s="2587" t="s">
        <v>2152</v>
      </c>
      <c r="C68" s="2587"/>
      <c r="D68" s="2587"/>
      <c r="E68" s="2587"/>
      <c r="F68" s="2587"/>
      <c r="G68" s="2588"/>
      <c r="H68" s="2794"/>
      <c r="I68" s="2794"/>
      <c r="J68" s="2794"/>
      <c r="K68" s="2794"/>
      <c r="L68" s="2794"/>
      <c r="M68" s="2794"/>
      <c r="N68" s="2794"/>
      <c r="O68" s="1284"/>
      <c r="P68" s="1284"/>
      <c r="Q68" s="1270"/>
      <c r="R68" s="2570"/>
      <c r="S68" s="2769"/>
    </row>
    <row r="69" spans="1:20" ht="55.5" customHeight="1">
      <c r="A69" s="1321"/>
      <c r="B69" s="2587" t="s">
        <v>2153</v>
      </c>
      <c r="C69" s="2587"/>
      <c r="D69" s="2587"/>
      <c r="E69" s="2587"/>
      <c r="F69" s="2587"/>
      <c r="G69" s="2587"/>
      <c r="H69" s="2641"/>
      <c r="I69" s="2641"/>
      <c r="J69" s="2641"/>
      <c r="K69" s="2641"/>
      <c r="L69" s="2641"/>
      <c r="M69" s="2641"/>
      <c r="N69" s="2641"/>
      <c r="O69" s="2641"/>
      <c r="P69" s="2655"/>
      <c r="Q69" s="1270"/>
      <c r="R69" s="2570"/>
      <c r="S69" s="2769"/>
    </row>
    <row r="70" spans="1:20" ht="27.75" customHeight="1">
      <c r="A70" s="1489"/>
      <c r="B70" s="2586" t="s">
        <v>2154</v>
      </c>
      <c r="C70" s="2586"/>
      <c r="D70" s="2586"/>
      <c r="E70" s="2586"/>
      <c r="F70" s="2586"/>
      <c r="G70" s="2586"/>
      <c r="H70" s="2586"/>
      <c r="I70" s="2586"/>
      <c r="J70" s="2586"/>
      <c r="K70" s="2586"/>
      <c r="L70" s="2586"/>
      <c r="M70" s="2586"/>
      <c r="N70" s="2586"/>
      <c r="O70" s="2586"/>
      <c r="P70" s="2575"/>
      <c r="Q70" s="1270"/>
      <c r="R70" s="2570"/>
      <c r="S70" s="2769"/>
    </row>
    <row r="71" spans="1:20" ht="42.75" customHeight="1">
      <c r="A71" s="1489"/>
      <c r="B71" s="2587" t="s">
        <v>2155</v>
      </c>
      <c r="C71" s="2587"/>
      <c r="D71" s="2587"/>
      <c r="E71" s="2587"/>
      <c r="F71" s="2587"/>
      <c r="G71" s="2587"/>
      <c r="H71" s="2587"/>
      <c r="I71" s="2587"/>
      <c r="J71" s="2587"/>
      <c r="K71" s="2587"/>
      <c r="L71" s="2587"/>
      <c r="M71" s="2587"/>
      <c r="N71" s="2587"/>
      <c r="O71" s="2587"/>
      <c r="P71" s="2588"/>
      <c r="Q71" s="1270"/>
      <c r="R71" s="2570"/>
      <c r="S71" s="2769"/>
    </row>
    <row r="72" spans="1:20" ht="42.75" customHeight="1">
      <c r="A72" s="1489"/>
      <c r="B72" s="2587" t="s">
        <v>2156</v>
      </c>
      <c r="C72" s="2587"/>
      <c r="D72" s="2587"/>
      <c r="E72" s="2587"/>
      <c r="F72" s="2587"/>
      <c r="G72" s="2587"/>
      <c r="H72" s="2587"/>
      <c r="I72" s="2587"/>
      <c r="J72" s="2587"/>
      <c r="K72" s="2587"/>
      <c r="L72" s="2587"/>
      <c r="M72" s="2587"/>
      <c r="N72" s="2587"/>
      <c r="O72" s="2587"/>
      <c r="P72" s="2588"/>
      <c r="Q72" s="1270"/>
      <c r="R72" s="2570"/>
      <c r="S72" s="2769"/>
    </row>
    <row r="73" spans="1:20">
      <c r="B73" s="1439"/>
      <c r="C73" s="1439"/>
      <c r="D73" s="1439"/>
      <c r="E73" s="1439"/>
      <c r="F73" s="1439"/>
      <c r="G73" s="1439"/>
      <c r="H73" s="1439"/>
      <c r="I73" s="1439"/>
      <c r="J73" s="1439"/>
      <c r="K73" s="1439"/>
      <c r="L73" s="1439"/>
      <c r="M73" s="1439"/>
      <c r="N73" s="1439"/>
      <c r="O73" s="1439"/>
      <c r="P73" s="1439"/>
      <c r="Q73" s="1439"/>
      <c r="R73" s="1439"/>
      <c r="S73" s="1439"/>
      <c r="T73" s="1439"/>
    </row>
    <row r="74" spans="1:20" ht="25.5" customHeight="1">
      <c r="B74" s="1582"/>
      <c r="C74" s="1449"/>
      <c r="D74" s="1449"/>
      <c r="E74" s="1449"/>
      <c r="F74" s="1449"/>
      <c r="G74" s="1449"/>
      <c r="H74" s="1449"/>
      <c r="I74" s="1449"/>
      <c r="J74" s="1449"/>
      <c r="K74" s="1449"/>
      <c r="L74" s="1449"/>
      <c r="M74" s="1449"/>
      <c r="N74" s="1449"/>
      <c r="O74" s="1449"/>
      <c r="P74" s="1449"/>
      <c r="Q74" s="1449"/>
      <c r="R74" s="1449"/>
      <c r="S74" s="1449"/>
    </row>
    <row r="75" spans="1:20" ht="25.5" customHeight="1">
      <c r="A75" s="1321"/>
      <c r="B75" s="1667" t="s">
        <v>2157</v>
      </c>
      <c r="C75" s="2790"/>
      <c r="D75" s="2790"/>
      <c r="E75" s="2790"/>
      <c r="F75" s="2790"/>
      <c r="G75" s="2790"/>
      <c r="H75" s="2790"/>
      <c r="I75" s="2791"/>
      <c r="J75" s="2792"/>
      <c r="K75" s="2792"/>
      <c r="L75" s="2793"/>
      <c r="M75" s="2787"/>
      <c r="N75" s="2788"/>
      <c r="O75" s="2789"/>
      <c r="P75" s="2790"/>
      <c r="Q75" s="2790"/>
      <c r="R75" s="2790"/>
      <c r="S75" s="2790"/>
    </row>
    <row r="76" spans="1:20" ht="25.5" customHeight="1">
      <c r="B76" s="1668" t="s">
        <v>2158</v>
      </c>
      <c r="C76" s="2779"/>
      <c r="D76" s="2779"/>
      <c r="E76" s="2779"/>
      <c r="F76" s="2779"/>
      <c r="G76" s="2779"/>
      <c r="H76" s="2779"/>
      <c r="I76" s="2787"/>
      <c r="J76" s="2788"/>
      <c r="K76" s="2788"/>
      <c r="L76" s="2789"/>
      <c r="M76" s="2787"/>
      <c r="N76" s="2788"/>
      <c r="O76" s="2789"/>
      <c r="P76" s="2779"/>
      <c r="Q76" s="2779"/>
      <c r="R76" s="2779"/>
      <c r="S76" s="2779"/>
    </row>
    <row r="77" spans="1:20" ht="25.5" customHeight="1">
      <c r="B77" s="1669" t="s">
        <v>2159</v>
      </c>
      <c r="C77" s="1374" t="s">
        <v>2102</v>
      </c>
      <c r="D77" s="1374" t="s">
        <v>228</v>
      </c>
      <c r="E77" s="1374" t="s">
        <v>2102</v>
      </c>
      <c r="F77" s="1374" t="s">
        <v>228</v>
      </c>
      <c r="G77" s="1374" t="s">
        <v>2102</v>
      </c>
      <c r="H77" s="1374" t="s">
        <v>228</v>
      </c>
      <c r="I77" s="2785" t="s">
        <v>2102</v>
      </c>
      <c r="J77" s="2786"/>
      <c r="K77" s="2785" t="s">
        <v>228</v>
      </c>
      <c r="L77" s="2786"/>
      <c r="M77" s="2785" t="s">
        <v>2102</v>
      </c>
      <c r="N77" s="2786"/>
      <c r="O77" s="1374" t="s">
        <v>228</v>
      </c>
      <c r="P77" s="1374" t="s">
        <v>2102</v>
      </c>
      <c r="Q77" s="1374" t="s">
        <v>228</v>
      </c>
      <c r="R77" s="1374" t="s">
        <v>2102</v>
      </c>
      <c r="S77" s="1374" t="s">
        <v>228</v>
      </c>
    </row>
    <row r="78" spans="1:20" ht="40.5" customHeight="1">
      <c r="B78" s="1177"/>
      <c r="C78" s="1138"/>
      <c r="D78" s="1178"/>
      <c r="E78" s="1138"/>
      <c r="F78" s="1178"/>
      <c r="G78" s="1138"/>
      <c r="H78" s="1178"/>
      <c r="I78" s="2777"/>
      <c r="J78" s="2778"/>
      <c r="K78" s="2780"/>
      <c r="L78" s="2781"/>
      <c r="M78" s="2780"/>
      <c r="N78" s="2781"/>
      <c r="O78" s="1179"/>
      <c r="P78" s="1180"/>
      <c r="Q78" s="1179"/>
      <c r="R78" s="1180"/>
      <c r="S78" s="1179"/>
    </row>
    <row r="79" spans="1:20" ht="40.5" customHeight="1">
      <c r="B79" s="1177"/>
      <c r="C79" s="1138"/>
      <c r="D79" s="1178"/>
      <c r="E79" s="1138"/>
      <c r="F79" s="1178"/>
      <c r="G79" s="1138"/>
      <c r="H79" s="1178"/>
      <c r="I79" s="2777"/>
      <c r="J79" s="2778"/>
      <c r="K79" s="2780"/>
      <c r="L79" s="2781"/>
      <c r="M79" s="2780"/>
      <c r="N79" s="2781"/>
      <c r="O79" s="1179"/>
      <c r="P79" s="1180"/>
      <c r="Q79" s="1179"/>
      <c r="R79" s="1180"/>
      <c r="S79" s="1179"/>
    </row>
    <row r="80" spans="1:20" ht="24" customHeight="1">
      <c r="B80" s="1177"/>
      <c r="C80" s="1138"/>
      <c r="D80" s="1178"/>
      <c r="E80" s="1138"/>
      <c r="F80" s="1178"/>
      <c r="G80" s="1138"/>
      <c r="H80" s="1178"/>
      <c r="I80" s="2777"/>
      <c r="J80" s="2778"/>
      <c r="K80" s="2780"/>
      <c r="L80" s="2781"/>
      <c r="M80" s="2780"/>
      <c r="N80" s="2781"/>
      <c r="O80" s="1178"/>
      <c r="P80" s="1180"/>
      <c r="Q80" s="1178"/>
      <c r="R80" s="1180"/>
      <c r="S80" s="1178"/>
    </row>
    <row r="81" spans="2:24" ht="24" customHeight="1">
      <c r="B81" s="1177"/>
      <c r="C81" s="1138"/>
      <c r="D81" s="1178"/>
      <c r="E81" s="1138"/>
      <c r="F81" s="1178"/>
      <c r="G81" s="1138"/>
      <c r="H81" s="1178"/>
      <c r="I81" s="2777"/>
      <c r="J81" s="2778"/>
      <c r="K81" s="2780"/>
      <c r="L81" s="2781"/>
      <c r="M81" s="2780"/>
      <c r="N81" s="2781"/>
      <c r="O81" s="1179"/>
      <c r="P81" s="1180"/>
      <c r="Q81" s="1179"/>
      <c r="R81" s="1180"/>
      <c r="S81" s="1179"/>
    </row>
    <row r="82" spans="2:24" ht="24" customHeight="1">
      <c r="B82" s="1177"/>
      <c r="C82" s="1138"/>
      <c r="D82" s="1178"/>
      <c r="E82" s="1138"/>
      <c r="F82" s="1178"/>
      <c r="G82" s="1138"/>
      <c r="H82" s="1178"/>
      <c r="I82" s="2777"/>
      <c r="J82" s="2778"/>
      <c r="K82" s="2780"/>
      <c r="L82" s="2781"/>
      <c r="M82" s="2780"/>
      <c r="N82" s="2781"/>
      <c r="O82" s="1179"/>
      <c r="P82" s="1180"/>
      <c r="Q82" s="1179"/>
      <c r="R82" s="1180"/>
      <c r="S82" s="1179"/>
    </row>
    <row r="83" spans="2:24" ht="24" customHeight="1">
      <c r="B83" s="1177"/>
      <c r="C83" s="1138"/>
      <c r="D83" s="1178"/>
      <c r="E83" s="1138"/>
      <c r="F83" s="1178"/>
      <c r="G83" s="1138"/>
      <c r="H83" s="1178"/>
      <c r="I83" s="2777"/>
      <c r="J83" s="2778"/>
      <c r="K83" s="2780"/>
      <c r="L83" s="2781"/>
      <c r="M83" s="2780"/>
      <c r="N83" s="2781"/>
      <c r="O83" s="1179"/>
      <c r="P83" s="1180"/>
      <c r="Q83" s="1179"/>
      <c r="R83" s="1180"/>
      <c r="S83" s="1179"/>
    </row>
    <row r="84" spans="2:24" ht="29.25" customHeight="1">
      <c r="B84" s="1668" t="s">
        <v>2160</v>
      </c>
      <c r="C84" s="2782"/>
      <c r="D84" s="2782"/>
      <c r="E84" s="2779"/>
      <c r="F84" s="2779"/>
      <c r="G84" s="2779"/>
      <c r="H84" s="2779"/>
      <c r="I84" s="2777"/>
      <c r="J84" s="2783"/>
      <c r="K84" s="2783"/>
      <c r="L84" s="2778"/>
      <c r="M84" s="2780"/>
      <c r="N84" s="2784"/>
      <c r="O84" s="2781"/>
      <c r="P84" s="2777"/>
      <c r="Q84" s="2778"/>
      <c r="R84" s="2779"/>
      <c r="S84" s="2779"/>
      <c r="T84" s="1449"/>
    </row>
    <row r="85" spans="2:24" ht="24" customHeight="1">
      <c r="B85" s="1484"/>
      <c r="R85" s="1449"/>
      <c r="S85" s="1449"/>
      <c r="T85" s="1449"/>
    </row>
    <row r="86" spans="2:24" ht="24" customHeight="1">
      <c r="B86" s="1670" t="s">
        <v>2161</v>
      </c>
      <c r="R86" s="1449"/>
      <c r="S86" s="1449"/>
      <c r="T86" s="1449"/>
    </row>
    <row r="87" spans="2:24" ht="24" customHeight="1">
      <c r="B87" s="1484"/>
      <c r="R87" s="1449"/>
      <c r="S87" s="1449"/>
      <c r="T87" s="1449"/>
    </row>
    <row r="88" spans="2:24" ht="79.5" customHeight="1">
      <c r="B88" s="1378" t="s">
        <v>2162</v>
      </c>
      <c r="C88" s="1378" t="s">
        <v>2163</v>
      </c>
      <c r="D88" s="1317" t="s">
        <v>2164</v>
      </c>
      <c r="E88" s="1317" t="s">
        <v>2165</v>
      </c>
      <c r="F88" s="1317" t="s">
        <v>2166</v>
      </c>
      <c r="G88" s="1317" t="s">
        <v>2167</v>
      </c>
      <c r="H88" s="1671" t="s">
        <v>2168</v>
      </c>
      <c r="I88" s="1671" t="s">
        <v>2169</v>
      </c>
      <c r="J88" s="1671" t="s">
        <v>2170</v>
      </c>
      <c r="K88" s="1672" t="s">
        <v>2171</v>
      </c>
      <c r="L88" s="1671"/>
      <c r="M88" s="1671"/>
      <c r="V88" s="1449"/>
      <c r="W88" s="1449"/>
      <c r="X88" s="1449"/>
    </row>
    <row r="89" spans="2:24" ht="31.5" customHeight="1">
      <c r="B89" s="1181"/>
      <c r="C89" s="1181"/>
      <c r="D89" s="1182"/>
      <c r="E89" s="1673" t="e">
        <f>VLOOKUP(D89,$B$143:$G$149,2,FALSE)</f>
        <v>#N/A</v>
      </c>
      <c r="F89" s="1673" t="e">
        <f>VLOOKUP(D89,$B$143:$G$149,3,FALSE)</f>
        <v>#N/A</v>
      </c>
      <c r="G89" s="1673" t="e">
        <f>VLOOKUP(D89,$B$143:$G$149,4,FALSE)</f>
        <v>#N/A</v>
      </c>
      <c r="H89" s="1181"/>
      <c r="I89" s="1181"/>
      <c r="J89" s="1673" t="e">
        <f>((H89*F89)+(G89*(H89/1000)*E89))*C89</f>
        <v>#N/A</v>
      </c>
      <c r="K89" s="1674" t="e">
        <f>(I89-J89)/J89</f>
        <v>#N/A</v>
      </c>
      <c r="S89" s="1449"/>
      <c r="T89" s="1449"/>
      <c r="U89" s="1449"/>
    </row>
    <row r="90" spans="2:24" ht="31.5" customHeight="1">
      <c r="B90" s="1181"/>
      <c r="C90" s="1181"/>
      <c r="D90" s="1182"/>
      <c r="E90" s="1673" t="e">
        <f>VLOOKUP(D90,$B$143:$G$149,2,FALSE)</f>
        <v>#N/A</v>
      </c>
      <c r="F90" s="1673" t="e">
        <f>VLOOKUP(D90,$B$143:$G$149,3,FALSE)</f>
        <v>#N/A</v>
      </c>
      <c r="G90" s="1673" t="e">
        <f>VLOOKUP(D90,$B$143:$G$149,4,FALSE)</f>
        <v>#N/A</v>
      </c>
      <c r="H90" s="1181"/>
      <c r="I90" s="1181"/>
      <c r="J90" s="1673" t="e">
        <f>((H90*F90)+(G90*(H90/1000)*E90))*C90</f>
        <v>#N/A</v>
      </c>
      <c r="K90" s="1674" t="e">
        <f>(I90-J90)/J90</f>
        <v>#N/A</v>
      </c>
      <c r="S90" s="1449"/>
      <c r="T90" s="1449"/>
      <c r="U90" s="1449"/>
    </row>
    <row r="91" spans="2:24" ht="31.5" customHeight="1">
      <c r="B91" s="1181"/>
      <c r="C91" s="1181"/>
      <c r="D91" s="1182"/>
      <c r="E91" s="1673" t="e">
        <f>VLOOKUP(D91,$B$143:$G$149,2,FALSE)</f>
        <v>#N/A</v>
      </c>
      <c r="F91" s="1673" t="e">
        <f>VLOOKUP(D91,$B$143:$G$149,3,FALSE)</f>
        <v>#N/A</v>
      </c>
      <c r="G91" s="1673" t="e">
        <f>VLOOKUP(D91,$B$143:$G$149,4,FALSE)</f>
        <v>#N/A</v>
      </c>
      <c r="H91" s="1181"/>
      <c r="I91" s="1181"/>
      <c r="J91" s="1673" t="e">
        <f>((H91*F91)+(G91*(H91/1000)*E91))*C91</f>
        <v>#N/A</v>
      </c>
      <c r="K91" s="1674" t="e">
        <f>(I91-J91)/J91</f>
        <v>#N/A</v>
      </c>
      <c r="S91" s="1449"/>
      <c r="T91" s="1449"/>
      <c r="U91" s="1449"/>
    </row>
    <row r="92" spans="2:24" ht="31.5" customHeight="1">
      <c r="B92" s="1181"/>
      <c r="C92" s="1181"/>
      <c r="D92" s="1182"/>
      <c r="E92" s="1673" t="e">
        <f>VLOOKUP(D92,$B$143:$G$149,2,FALSE)</f>
        <v>#N/A</v>
      </c>
      <c r="F92" s="1673" t="e">
        <f>VLOOKUP(D92,$B$143:$G$149,3,FALSE)</f>
        <v>#N/A</v>
      </c>
      <c r="G92" s="1673" t="e">
        <f>VLOOKUP(D92,$B$143:$G$149,4,FALSE)</f>
        <v>#N/A</v>
      </c>
      <c r="H92" s="1181"/>
      <c r="I92" s="1181"/>
      <c r="J92" s="1673" t="e">
        <f>((H92*F92)+(G92*(H92/1000)*E92))*C92</f>
        <v>#N/A</v>
      </c>
      <c r="K92" s="1674" t="e">
        <f>(I92-J92)/J92</f>
        <v>#N/A</v>
      </c>
      <c r="S92" s="1449"/>
      <c r="T92" s="1449"/>
      <c r="U92" s="1449"/>
    </row>
    <row r="93" spans="2:24" ht="31.5" customHeight="1">
      <c r="B93" s="1181"/>
      <c r="C93" s="1181"/>
      <c r="D93" s="1182"/>
      <c r="E93" s="1675" t="e">
        <f>VLOOKUP(D93,$B$143:$G$149,2,FALSE)</f>
        <v>#N/A</v>
      </c>
      <c r="F93" s="1673" t="e">
        <f>VLOOKUP(D93,$B$143:$G$149,3,FALSE)</f>
        <v>#N/A</v>
      </c>
      <c r="G93" s="1673" t="e">
        <f>VLOOKUP(D93,$B$143:$G$149,4,FALSE)</f>
        <v>#N/A</v>
      </c>
      <c r="H93" s="1181"/>
      <c r="I93" s="1183"/>
      <c r="J93" s="1673" t="e">
        <f>((H93*F93)+(G93*(H93/1000)*E93))*C93</f>
        <v>#N/A</v>
      </c>
      <c r="K93" s="1674" t="e">
        <f>(I93-J93)/J93</f>
        <v>#N/A</v>
      </c>
      <c r="S93" s="1449"/>
      <c r="T93" s="1449"/>
      <c r="U93" s="1449"/>
    </row>
    <row r="94" spans="2:24" ht="21" customHeight="1">
      <c r="H94" s="1676" t="s">
        <v>2172</v>
      </c>
      <c r="I94" s="1677">
        <f>SUM(I89:I93)</f>
        <v>0</v>
      </c>
      <c r="J94" s="1677" t="e">
        <f>SUM(J89:J93)</f>
        <v>#N/A</v>
      </c>
      <c r="K94" s="1678"/>
    </row>
    <row r="95" spans="2:24">
      <c r="H95" s="1679"/>
      <c r="I95" s="1678"/>
      <c r="J95" s="1678"/>
      <c r="K95" s="1678"/>
      <c r="L95" s="1678"/>
      <c r="M95" s="1678"/>
      <c r="N95" s="1680"/>
      <c r="O95" s="1562"/>
    </row>
    <row r="96" spans="2:24">
      <c r="H96" s="1679"/>
      <c r="I96" s="1678"/>
      <c r="J96" s="1678"/>
      <c r="K96" s="1678"/>
      <c r="L96" s="1678"/>
      <c r="M96" s="1678"/>
      <c r="N96" s="1680"/>
      <c r="O96" s="1562"/>
    </row>
    <row r="97" spans="1:15">
      <c r="B97" s="1670" t="s">
        <v>2173</v>
      </c>
      <c r="H97" s="1679"/>
      <c r="I97" s="1678"/>
      <c r="J97" s="1678"/>
      <c r="K97" s="1678"/>
      <c r="L97" s="1678"/>
      <c r="M97" s="1678"/>
      <c r="N97" s="1680"/>
      <c r="O97" s="1562"/>
    </row>
    <row r="98" spans="1:15">
      <c r="B98" s="1670"/>
      <c r="H98" s="1679"/>
      <c r="I98" s="1678"/>
      <c r="J98" s="1678"/>
      <c r="K98" s="1678"/>
      <c r="L98" s="1678"/>
      <c r="M98" s="1678"/>
      <c r="N98" s="1680"/>
      <c r="O98" s="1562"/>
    </row>
    <row r="99" spans="1:15">
      <c r="B99" s="1670" t="s">
        <v>2174</v>
      </c>
      <c r="H99" s="1679"/>
      <c r="I99" s="1678"/>
      <c r="J99" s="1678"/>
      <c r="K99" s="1678"/>
      <c r="L99" s="1678"/>
      <c r="M99" s="1678"/>
      <c r="N99" s="1680"/>
      <c r="O99" s="1562"/>
    </row>
    <row r="100" spans="1:15">
      <c r="B100" s="1681"/>
      <c r="H100" s="1679"/>
      <c r="I100" s="1678"/>
      <c r="J100" s="1678"/>
      <c r="K100" s="1678"/>
      <c r="L100" s="1678"/>
      <c r="M100" s="1678"/>
      <c r="N100" s="1680"/>
      <c r="O100" s="1562"/>
    </row>
    <row r="101" spans="1:15" ht="55.5" customHeight="1">
      <c r="B101" s="1651" t="s">
        <v>2175</v>
      </c>
      <c r="C101" s="1671" t="s">
        <v>2176</v>
      </c>
      <c r="D101" s="1671" t="s">
        <v>2169</v>
      </c>
      <c r="E101" s="1671" t="s">
        <v>2170</v>
      </c>
      <c r="F101" s="1672" t="s">
        <v>2171</v>
      </c>
      <c r="G101" s="1679"/>
      <c r="H101" s="1678"/>
      <c r="I101" s="1678"/>
      <c r="J101" s="1678"/>
      <c r="K101" s="1678"/>
      <c r="L101" s="1678"/>
      <c r="M101" s="1680"/>
      <c r="N101" s="1562"/>
    </row>
    <row r="102" spans="1:15" ht="21" customHeight="1">
      <c r="B102" s="1184"/>
      <c r="C102" s="1181"/>
      <c r="D102" s="1181"/>
      <c r="E102" s="1673">
        <f>((0.1*C102)+(7.5*(B102+1)))</f>
        <v>7.5</v>
      </c>
      <c r="F102" s="1674">
        <f t="shared" ref="F102:F110" si="0">(D102-E102)/E102</f>
        <v>-1</v>
      </c>
      <c r="G102" s="1679"/>
      <c r="H102" s="1678"/>
      <c r="I102" s="1678"/>
      <c r="J102" s="1678"/>
      <c r="K102" s="1678"/>
      <c r="L102" s="1678"/>
      <c r="M102" s="1680"/>
      <c r="N102" s="1562"/>
    </row>
    <row r="103" spans="1:15" ht="21" customHeight="1">
      <c r="B103" s="1184"/>
      <c r="C103" s="1181"/>
      <c r="D103" s="1181"/>
      <c r="E103" s="1673">
        <f>((0.1*C103)+(7.5*(B103+1)))</f>
        <v>7.5</v>
      </c>
      <c r="F103" s="1674">
        <f t="shared" si="0"/>
        <v>-1</v>
      </c>
      <c r="G103" s="1679"/>
      <c r="H103" s="1678"/>
      <c r="I103" s="1678"/>
      <c r="J103" s="1678"/>
      <c r="K103" s="1678"/>
      <c r="L103" s="1678"/>
      <c r="M103" s="1680"/>
      <c r="N103" s="1562"/>
    </row>
    <row r="104" spans="1:15" ht="21" customHeight="1">
      <c r="B104" s="1184"/>
      <c r="C104" s="1181"/>
      <c r="D104" s="1181"/>
      <c r="E104" s="1673">
        <f>((0.1*C104)+(7.5*(B104+1)))</f>
        <v>7.5</v>
      </c>
      <c r="F104" s="1674">
        <f t="shared" si="0"/>
        <v>-1</v>
      </c>
      <c r="G104" s="1679"/>
      <c r="H104" s="1678"/>
      <c r="I104" s="1678"/>
      <c r="J104" s="1678"/>
      <c r="K104" s="1678"/>
      <c r="L104" s="1678"/>
      <c r="M104" s="1680"/>
      <c r="N104" s="1562"/>
    </row>
    <row r="105" spans="1:15" ht="21" customHeight="1">
      <c r="B105" s="1185"/>
      <c r="C105" s="1181"/>
      <c r="D105" s="1181"/>
      <c r="E105" s="1673">
        <f t="shared" ref="E105:E110" si="1">IF(C105="",0,((0.1*C105)+(7.5*(B105+1))))</f>
        <v>0</v>
      </c>
      <c r="F105" s="1674" t="e">
        <f t="shared" si="0"/>
        <v>#DIV/0!</v>
      </c>
      <c r="G105" s="1679"/>
      <c r="H105" s="1678"/>
      <c r="I105" s="1678"/>
      <c r="J105" s="1678"/>
      <c r="K105" s="1678"/>
      <c r="L105" s="1678"/>
      <c r="M105" s="1680"/>
      <c r="N105" s="1562"/>
    </row>
    <row r="106" spans="1:15" ht="21" customHeight="1">
      <c r="B106" s="1185"/>
      <c r="C106" s="1181"/>
      <c r="D106" s="1181"/>
      <c r="E106" s="1673">
        <f t="shared" si="1"/>
        <v>0</v>
      </c>
      <c r="F106" s="1674" t="e">
        <f t="shared" si="0"/>
        <v>#DIV/0!</v>
      </c>
      <c r="G106" s="1679"/>
      <c r="H106" s="1678"/>
      <c r="I106" s="1678"/>
      <c r="J106" s="1678"/>
      <c r="K106" s="1678"/>
      <c r="L106" s="1678"/>
      <c r="M106" s="1680"/>
      <c r="N106" s="1562"/>
    </row>
    <row r="107" spans="1:15" ht="21" customHeight="1">
      <c r="B107" s="1185"/>
      <c r="C107" s="1181"/>
      <c r="D107" s="1181"/>
      <c r="E107" s="1673">
        <f t="shared" si="1"/>
        <v>0</v>
      </c>
      <c r="F107" s="1674" t="e">
        <f t="shared" si="0"/>
        <v>#DIV/0!</v>
      </c>
      <c r="G107" s="1679"/>
      <c r="H107" s="1678"/>
      <c r="I107" s="1678"/>
      <c r="J107" s="1678"/>
      <c r="K107" s="1678"/>
      <c r="L107" s="1678"/>
      <c r="M107" s="1680"/>
      <c r="N107" s="1562"/>
    </row>
    <row r="108" spans="1:15" ht="21" customHeight="1">
      <c r="B108" s="1185"/>
      <c r="C108" s="1181"/>
      <c r="D108" s="1181"/>
      <c r="E108" s="1673">
        <f t="shared" si="1"/>
        <v>0</v>
      </c>
      <c r="F108" s="1674" t="e">
        <f t="shared" si="0"/>
        <v>#DIV/0!</v>
      </c>
      <c r="G108" s="1679"/>
      <c r="H108" s="1678"/>
      <c r="I108" s="1678"/>
      <c r="J108" s="1678"/>
      <c r="K108" s="1678"/>
      <c r="L108" s="1678"/>
      <c r="M108" s="1680"/>
      <c r="N108" s="1562"/>
    </row>
    <row r="109" spans="1:15" ht="21" customHeight="1">
      <c r="A109" s="1321"/>
      <c r="B109" s="1185"/>
      <c r="C109" s="1181"/>
      <c r="D109" s="1181"/>
      <c r="E109" s="1673">
        <f t="shared" si="1"/>
        <v>0</v>
      </c>
      <c r="F109" s="1674" t="e">
        <f t="shared" si="0"/>
        <v>#DIV/0!</v>
      </c>
      <c r="G109" s="1679"/>
      <c r="H109" s="1678"/>
      <c r="I109" s="1678"/>
      <c r="J109" s="1678"/>
      <c r="K109" s="1678"/>
      <c r="L109" s="1678"/>
      <c r="M109" s="1680"/>
      <c r="N109" s="1562"/>
    </row>
    <row r="110" spans="1:15" ht="21" customHeight="1">
      <c r="B110" s="1185"/>
      <c r="C110" s="1181"/>
      <c r="D110" s="1181"/>
      <c r="E110" s="1673">
        <f t="shared" si="1"/>
        <v>0</v>
      </c>
      <c r="F110" s="1674" t="e">
        <f t="shared" si="0"/>
        <v>#DIV/0!</v>
      </c>
      <c r="G110" s="1679"/>
      <c r="H110" s="1678"/>
      <c r="I110" s="1678"/>
      <c r="J110" s="1562"/>
      <c r="K110" s="1678"/>
      <c r="L110" s="1678"/>
      <c r="M110" s="1680"/>
      <c r="N110" s="1562"/>
    </row>
    <row r="111" spans="1:15" ht="24.75" customHeight="1">
      <c r="C111" s="1676" t="s">
        <v>2172</v>
      </c>
      <c r="D111" s="1677">
        <f>SUM(D102:D110)</f>
        <v>0</v>
      </c>
      <c r="E111" s="1677">
        <f>SUM(E102:E110)</f>
        <v>22.5</v>
      </c>
      <c r="F111" s="1682"/>
      <c r="G111" s="1562"/>
      <c r="H111" s="1562"/>
      <c r="J111" s="1562"/>
      <c r="K111" s="1562"/>
      <c r="L111" s="1562"/>
      <c r="M111" s="1562"/>
    </row>
    <row r="112" spans="1:15" ht="15.75" customHeight="1">
      <c r="B112" s="1321"/>
      <c r="C112" s="1683"/>
      <c r="D112" s="1683"/>
      <c r="E112" s="1683"/>
      <c r="F112" s="1683"/>
      <c r="G112" s="1683"/>
    </row>
    <row r="113" spans="2:15" ht="15.75" customHeight="1">
      <c r="B113" s="1321"/>
      <c r="C113" s="1683"/>
      <c r="D113" s="1683"/>
      <c r="E113" s="1683"/>
      <c r="F113" s="1683"/>
      <c r="G113" s="1683"/>
      <c r="K113" s="1678"/>
    </row>
    <row r="114" spans="2:15">
      <c r="B114" s="1670" t="s">
        <v>2177</v>
      </c>
      <c r="H114" s="1679"/>
      <c r="I114" s="1678"/>
      <c r="J114" s="1678"/>
      <c r="K114" s="1678"/>
      <c r="L114" s="1678"/>
      <c r="M114" s="1678"/>
      <c r="N114" s="1680"/>
      <c r="O114" s="1562"/>
    </row>
    <row r="115" spans="2:15">
      <c r="B115" s="1681"/>
      <c r="H115" s="1679"/>
      <c r="I115" s="1678"/>
      <c r="J115" s="1678"/>
      <c r="K115" s="1680"/>
      <c r="L115" s="1678"/>
      <c r="M115" s="1678"/>
      <c r="N115" s="1680"/>
      <c r="O115" s="1562"/>
    </row>
    <row r="116" spans="2:15" ht="68.25" customHeight="1">
      <c r="B116" s="1651" t="s">
        <v>2178</v>
      </c>
      <c r="C116" s="1671" t="s">
        <v>2179</v>
      </c>
      <c r="D116" s="1671" t="s">
        <v>2169</v>
      </c>
      <c r="E116" s="1671" t="s">
        <v>2170</v>
      </c>
      <c r="F116" s="1672" t="s">
        <v>2171</v>
      </c>
      <c r="G116" s="1680"/>
      <c r="H116" s="1680"/>
      <c r="I116" s="1680"/>
      <c r="J116" s="1680"/>
      <c r="K116" s="1562"/>
    </row>
    <row r="117" spans="2:15" ht="21" customHeight="1">
      <c r="B117" s="1184"/>
      <c r="C117" s="1181"/>
      <c r="D117" s="1181"/>
      <c r="E117" s="1684">
        <f t="shared" ref="E117:E122" si="2">5*C117/60</f>
        <v>0</v>
      </c>
      <c r="F117" s="1674" t="e">
        <f t="shared" ref="F117:F122" si="3">(D117-E117)/E117</f>
        <v>#DIV/0!</v>
      </c>
      <c r="G117" s="1682"/>
      <c r="H117" s="1680"/>
      <c r="I117" s="1680"/>
      <c r="J117" s="1680"/>
      <c r="K117" s="1562"/>
    </row>
    <row r="118" spans="2:15" ht="21" customHeight="1">
      <c r="B118" s="1184"/>
      <c r="C118" s="1181"/>
      <c r="D118" s="1181"/>
      <c r="E118" s="1684">
        <f t="shared" si="2"/>
        <v>0</v>
      </c>
      <c r="F118" s="1674" t="e">
        <f t="shared" si="3"/>
        <v>#DIV/0!</v>
      </c>
      <c r="G118" s="1680"/>
      <c r="H118" s="1680"/>
      <c r="I118" s="1680"/>
      <c r="J118" s="1680"/>
      <c r="K118" s="1562"/>
    </row>
    <row r="119" spans="2:15" ht="21" customHeight="1">
      <c r="B119" s="1184"/>
      <c r="C119" s="1181"/>
      <c r="D119" s="1181"/>
      <c r="E119" s="1684">
        <f t="shared" si="2"/>
        <v>0</v>
      </c>
      <c r="F119" s="1674" t="e">
        <f t="shared" si="3"/>
        <v>#DIV/0!</v>
      </c>
      <c r="G119" s="1680"/>
      <c r="H119" s="1680"/>
      <c r="I119" s="1680"/>
      <c r="J119" s="1680"/>
      <c r="K119" s="1562"/>
    </row>
    <row r="120" spans="2:15" ht="21" customHeight="1">
      <c r="B120" s="1184"/>
      <c r="C120" s="1181"/>
      <c r="D120" s="1181"/>
      <c r="E120" s="1684">
        <f t="shared" si="2"/>
        <v>0</v>
      </c>
      <c r="F120" s="1674" t="e">
        <f t="shared" si="3"/>
        <v>#DIV/0!</v>
      </c>
      <c r="G120" s="1680"/>
      <c r="H120" s="1680"/>
      <c r="I120" s="1680"/>
      <c r="J120" s="1680"/>
      <c r="K120" s="1562"/>
    </row>
    <row r="121" spans="2:15" ht="21" customHeight="1">
      <c r="B121" s="1184"/>
      <c r="C121" s="1181"/>
      <c r="D121" s="1181"/>
      <c r="E121" s="1684">
        <f t="shared" si="2"/>
        <v>0</v>
      </c>
      <c r="F121" s="1674" t="e">
        <f t="shared" si="3"/>
        <v>#DIV/0!</v>
      </c>
      <c r="G121" s="1680"/>
      <c r="H121" s="1680"/>
      <c r="I121" s="1680"/>
      <c r="J121" s="1680"/>
      <c r="K121" s="1562"/>
    </row>
    <row r="122" spans="2:15" ht="21" customHeight="1">
      <c r="B122" s="1184"/>
      <c r="C122" s="1181"/>
      <c r="D122" s="1181"/>
      <c r="E122" s="1684">
        <f t="shared" si="2"/>
        <v>0</v>
      </c>
      <c r="F122" s="1674" t="e">
        <f t="shared" si="3"/>
        <v>#DIV/0!</v>
      </c>
      <c r="G122" s="1680"/>
      <c r="H122" s="1562"/>
      <c r="I122" s="1680"/>
      <c r="J122" s="1680"/>
      <c r="K122" s="1562"/>
    </row>
    <row r="123" spans="2:15" ht="32.25" customHeight="1">
      <c r="C123" s="1683"/>
      <c r="D123" s="1683"/>
      <c r="E123" s="1562"/>
      <c r="G123" s="1562"/>
      <c r="H123" s="1562"/>
      <c r="I123" s="1562"/>
      <c r="J123" s="1562"/>
    </row>
    <row r="124" spans="2:15" ht="15.75" customHeight="1">
      <c r="B124" s="1321"/>
      <c r="C124" s="1683"/>
      <c r="D124" s="1683"/>
      <c r="E124" s="1683"/>
      <c r="F124" s="1683"/>
      <c r="G124" s="1683"/>
    </row>
    <row r="125" spans="2:15" ht="62.25" customHeight="1">
      <c r="B125" s="1685" t="s">
        <v>2180</v>
      </c>
      <c r="C125" s="1671" t="s">
        <v>2169</v>
      </c>
      <c r="D125" s="1379" t="s">
        <v>2181</v>
      </c>
      <c r="E125" s="1672" t="s">
        <v>2171</v>
      </c>
    </row>
    <row r="126" spans="2:15" ht="22.5" customHeight="1">
      <c r="B126" s="1184"/>
      <c r="C126" s="1181"/>
      <c r="D126" s="1686">
        <v>20</v>
      </c>
      <c r="E126" s="1674">
        <f>(C126-D126)/D126</f>
        <v>-1</v>
      </c>
    </row>
    <row r="127" spans="2:15" ht="22.5" customHeight="1">
      <c r="B127" s="1184"/>
      <c r="C127" s="1181"/>
      <c r="D127" s="1686">
        <v>20</v>
      </c>
      <c r="E127" s="1674">
        <f>(C127-D127)/D127</f>
        <v>-1</v>
      </c>
    </row>
    <row r="128" spans="2:15" ht="22.5" customHeight="1">
      <c r="B128" s="1184"/>
      <c r="C128" s="1181"/>
      <c r="D128" s="1686">
        <v>20</v>
      </c>
      <c r="E128" s="1674">
        <f>(C128-D128)/D128</f>
        <v>-1</v>
      </c>
    </row>
    <row r="129" spans="2:15" ht="22.5" customHeight="1">
      <c r="B129" s="1184"/>
      <c r="C129" s="1181"/>
      <c r="D129" s="1686">
        <v>20</v>
      </c>
      <c r="E129" s="1674">
        <f>(C129-D129)/D129</f>
        <v>-1</v>
      </c>
    </row>
    <row r="130" spans="2:15" ht="22.5" customHeight="1">
      <c r="B130" s="1184"/>
      <c r="C130" s="1181"/>
      <c r="D130" s="1686">
        <v>20</v>
      </c>
      <c r="E130" s="1674">
        <f>(C130-D130)/D130</f>
        <v>-1</v>
      </c>
      <c r="H130" s="1562"/>
    </row>
    <row r="131" spans="2:15" ht="15.75" customHeight="1">
      <c r="C131" s="1683"/>
      <c r="D131" s="1683"/>
      <c r="K131" s="1678"/>
    </row>
    <row r="132" spans="2:15" ht="15.75" customHeight="1">
      <c r="C132" s="1683"/>
      <c r="D132" s="1683"/>
      <c r="K132" s="1678"/>
    </row>
    <row r="133" spans="2:15">
      <c r="B133" s="1670" t="s">
        <v>2182</v>
      </c>
      <c r="I133" s="1678"/>
      <c r="J133" s="1678"/>
      <c r="K133" s="1678"/>
      <c r="L133" s="1678"/>
      <c r="M133" s="1678"/>
      <c r="N133" s="1680"/>
      <c r="O133" s="1562"/>
    </row>
    <row r="134" spans="2:15">
      <c r="B134" s="1681"/>
      <c r="H134" s="1679"/>
      <c r="I134" s="1678"/>
      <c r="J134" s="1678"/>
      <c r="L134" s="1678"/>
      <c r="M134" s="1678"/>
      <c r="N134" s="1680"/>
      <c r="O134" s="1562"/>
    </row>
    <row r="135" spans="2:15" ht="15.75" customHeight="1">
      <c r="B135" s="1321"/>
      <c r="C135" s="1683"/>
      <c r="D135" s="1683"/>
      <c r="E135" s="1683"/>
      <c r="F135" s="1683"/>
      <c r="G135" s="1683"/>
      <c r="H135" s="1679"/>
    </row>
    <row r="136" spans="2:15" ht="41.25" customHeight="1">
      <c r="B136" s="1685" t="s">
        <v>2164</v>
      </c>
      <c r="C136" s="1671" t="s">
        <v>2169</v>
      </c>
      <c r="D136" s="1671" t="s">
        <v>2170</v>
      </c>
    </row>
    <row r="137" spans="2:15" ht="22.5" customHeight="1">
      <c r="B137" s="1184" t="s">
        <v>2183</v>
      </c>
      <c r="C137" s="1181"/>
      <c r="D137" s="1684">
        <f>VLOOKUP(B137,$B$155:$C$156,2,FALSE)</f>
        <v>100</v>
      </c>
      <c r="E137" s="1674">
        <f>(C137-D137)/D137</f>
        <v>-1</v>
      </c>
    </row>
    <row r="138" spans="2:15" ht="22.5" customHeight="1">
      <c r="B138" s="1184" t="s">
        <v>2184</v>
      </c>
      <c r="C138" s="1181"/>
      <c r="D138" s="1684">
        <f>VLOOKUP(B138,$B$155:$C$156,2,FALSE)</f>
        <v>50</v>
      </c>
      <c r="E138" s="1674">
        <f>(C138-D138)/D138</f>
        <v>-1</v>
      </c>
      <c r="G138" s="1562"/>
    </row>
    <row r="139" spans="2:15" ht="40.5" customHeight="1">
      <c r="C139" s="1683"/>
      <c r="E139" s="1683"/>
      <c r="F139" s="1683"/>
      <c r="G139" s="1562"/>
      <c r="I139" s="1562"/>
      <c r="J139" s="1562"/>
      <c r="K139" s="1562"/>
      <c r="L139" s="1562"/>
    </row>
    <row r="140" spans="2:15" ht="15.75" customHeight="1">
      <c r="C140" s="1683"/>
      <c r="D140" s="1683"/>
      <c r="E140" s="1683"/>
      <c r="F140" s="1683"/>
      <c r="G140" s="1683"/>
    </row>
    <row r="141" spans="2:15" ht="24" customHeight="1">
      <c r="B141" s="1319" t="s">
        <v>2185</v>
      </c>
      <c r="C141" s="1683"/>
      <c r="D141" s="1683"/>
      <c r="E141" s="1683"/>
      <c r="F141" s="1683"/>
      <c r="G141" s="1683"/>
    </row>
    <row r="142" spans="2:15" ht="41.25" customHeight="1">
      <c r="B142" s="1506" t="s">
        <v>2164</v>
      </c>
      <c r="C142" s="1505" t="s">
        <v>2165</v>
      </c>
      <c r="D142" s="1505" t="s">
        <v>2166</v>
      </c>
      <c r="E142" s="1687" t="s">
        <v>2186</v>
      </c>
      <c r="F142" s="1687" t="s">
        <v>2187</v>
      </c>
      <c r="G142" s="1505" t="s">
        <v>2188</v>
      </c>
    </row>
    <row r="143" spans="2:15" ht="27.75" customHeight="1">
      <c r="B143" s="1375" t="s">
        <v>2189</v>
      </c>
      <c r="C143" s="1688">
        <v>5</v>
      </c>
      <c r="D143" s="1688">
        <v>0.06</v>
      </c>
      <c r="E143" s="1688">
        <v>50</v>
      </c>
      <c r="F143" s="1688">
        <v>6</v>
      </c>
      <c r="G143" s="1688">
        <v>1</v>
      </c>
    </row>
    <row r="144" spans="2:15" ht="27.75" customHeight="1">
      <c r="B144" s="1375" t="s">
        <v>112</v>
      </c>
      <c r="C144" s="1689">
        <v>0</v>
      </c>
      <c r="D144" s="1688">
        <v>0.06</v>
      </c>
      <c r="E144" s="1689">
        <v>0</v>
      </c>
      <c r="F144" s="1689">
        <v>0</v>
      </c>
      <c r="G144" s="1688">
        <v>1</v>
      </c>
    </row>
    <row r="145" spans="2:24" ht="27.75" customHeight="1">
      <c r="B145" s="1375" t="s">
        <v>2190</v>
      </c>
      <c r="C145" s="1689">
        <v>0</v>
      </c>
      <c r="D145" s="1688">
        <v>0.12</v>
      </c>
      <c r="E145" s="1689">
        <v>0</v>
      </c>
      <c r="F145" s="1689">
        <v>0</v>
      </c>
      <c r="G145" s="1688">
        <v>1</v>
      </c>
      <c r="X145" s="1321" t="s">
        <v>403</v>
      </c>
    </row>
    <row r="146" spans="2:24" ht="27.75" customHeight="1">
      <c r="B146" s="1375" t="s">
        <v>2191</v>
      </c>
      <c r="C146" s="1689">
        <v>0</v>
      </c>
      <c r="D146" s="1688">
        <v>0.06</v>
      </c>
      <c r="E146" s="1689">
        <v>0</v>
      </c>
      <c r="F146" s="1689">
        <v>0</v>
      </c>
      <c r="G146" s="1688">
        <v>1</v>
      </c>
      <c r="X146" s="1321" t="s">
        <v>405</v>
      </c>
    </row>
    <row r="147" spans="2:24" ht="27.75" customHeight="1">
      <c r="B147" s="1375" t="s">
        <v>2192</v>
      </c>
      <c r="C147" s="1689">
        <v>0</v>
      </c>
      <c r="D147" s="1688">
        <v>0.12</v>
      </c>
      <c r="E147" s="1689">
        <v>0</v>
      </c>
      <c r="F147" s="1689">
        <v>0</v>
      </c>
      <c r="G147" s="1688">
        <v>1</v>
      </c>
      <c r="X147" s="1321" t="s">
        <v>404</v>
      </c>
    </row>
    <row r="148" spans="2:24" ht="27.75" customHeight="1">
      <c r="B148" s="1375" t="s">
        <v>2193</v>
      </c>
      <c r="C148" s="1688">
        <v>5</v>
      </c>
      <c r="D148" s="1688">
        <v>0.06</v>
      </c>
      <c r="E148" s="1688">
        <v>150</v>
      </c>
      <c r="F148" s="1688">
        <v>5</v>
      </c>
      <c r="G148" s="1688">
        <v>1</v>
      </c>
    </row>
    <row r="149" spans="2:24" ht="27.75" customHeight="1">
      <c r="B149" s="1375" t="s">
        <v>2194</v>
      </c>
      <c r="C149" s="1688">
        <v>7.5</v>
      </c>
      <c r="D149" s="1688">
        <v>0.06</v>
      </c>
      <c r="E149" s="1688">
        <v>20</v>
      </c>
      <c r="F149" s="1688">
        <v>11</v>
      </c>
      <c r="G149" s="1688">
        <v>2</v>
      </c>
    </row>
    <row r="153" spans="2:24">
      <c r="B153" s="1319" t="s">
        <v>2195</v>
      </c>
    </row>
    <row r="154" spans="2:24" ht="28.5" customHeight="1">
      <c r="B154" s="1690" t="s">
        <v>2196</v>
      </c>
      <c r="C154" s="1690" t="s">
        <v>2197</v>
      </c>
      <c r="D154" s="1690" t="s">
        <v>2198</v>
      </c>
      <c r="E154" s="1690" t="s">
        <v>2199</v>
      </c>
      <c r="F154" s="1690" t="s">
        <v>2198</v>
      </c>
    </row>
    <row r="155" spans="2:24" ht="28.5" customHeight="1">
      <c r="B155" s="1688" t="s">
        <v>2183</v>
      </c>
      <c r="C155" s="1688">
        <v>100</v>
      </c>
      <c r="D155" s="1690" t="s">
        <v>228</v>
      </c>
      <c r="E155" s="1688">
        <v>5</v>
      </c>
      <c r="F155" s="1690" t="s">
        <v>2200</v>
      </c>
    </row>
    <row r="156" spans="2:24" ht="28.5" customHeight="1">
      <c r="B156" s="1690" t="s">
        <v>2184</v>
      </c>
      <c r="C156" s="1688">
        <v>50</v>
      </c>
      <c r="D156" s="1690" t="s">
        <v>228</v>
      </c>
      <c r="E156" s="1688">
        <v>20</v>
      </c>
      <c r="F156" s="1690" t="s">
        <v>228</v>
      </c>
    </row>
    <row r="240" spans="2:2" ht="18">
      <c r="B240" s="1323"/>
    </row>
  </sheetData>
  <sheetProtection sheet="1" objects="1" scenarios="1" formatCells="0" formatColumns="0" formatRows="0" insertColumns="0" insertRows="0"/>
  <mergeCells count="147">
    <mergeCell ref="B9:N9"/>
    <mergeCell ref="R9:S9"/>
    <mergeCell ref="B10:N10"/>
    <mergeCell ref="R10:S10"/>
    <mergeCell ref="B26:N26"/>
    <mergeCell ref="B27:N27"/>
    <mergeCell ref="T1:T7"/>
    <mergeCell ref="R5:S5"/>
    <mergeCell ref="R6:S6"/>
    <mergeCell ref="R7:S7"/>
    <mergeCell ref="B8:N8"/>
    <mergeCell ref="R8:S8"/>
    <mergeCell ref="B33:G33"/>
    <mergeCell ref="H33:N33"/>
    <mergeCell ref="B34:G34"/>
    <mergeCell ref="H34:N34"/>
    <mergeCell ref="R35:S35"/>
    <mergeCell ref="R36:S36"/>
    <mergeCell ref="B28:N28"/>
    <mergeCell ref="B29:N29"/>
    <mergeCell ref="R30:S30"/>
    <mergeCell ref="H31:N31"/>
    <mergeCell ref="B32:G32"/>
    <mergeCell ref="H32:N32"/>
    <mergeCell ref="R43:S43"/>
    <mergeCell ref="R44:S44"/>
    <mergeCell ref="H47:N47"/>
    <mergeCell ref="R47:S47"/>
    <mergeCell ref="B48:S48"/>
    <mergeCell ref="B49:G49"/>
    <mergeCell ref="H49:N49"/>
    <mergeCell ref="R49:S49"/>
    <mergeCell ref="R37:S37"/>
    <mergeCell ref="R38:S38"/>
    <mergeCell ref="R39:S39"/>
    <mergeCell ref="R40:S40"/>
    <mergeCell ref="R41:S41"/>
    <mergeCell ref="R42:S42"/>
    <mergeCell ref="B50:S50"/>
    <mergeCell ref="B51:D51"/>
    <mergeCell ref="E51:F51"/>
    <mergeCell ref="H51:N51"/>
    <mergeCell ref="R51:S51"/>
    <mergeCell ref="B52:D52"/>
    <mergeCell ref="E52:F52"/>
    <mergeCell ref="H52:N52"/>
    <mergeCell ref="R52:S52"/>
    <mergeCell ref="B55:D55"/>
    <mergeCell ref="E55:F55"/>
    <mergeCell ref="H55:N55"/>
    <mergeCell ref="R55:S55"/>
    <mergeCell ref="B56:D56"/>
    <mergeCell ref="E56:F56"/>
    <mergeCell ref="H56:N56"/>
    <mergeCell ref="R56:S56"/>
    <mergeCell ref="B53:D53"/>
    <mergeCell ref="E53:F53"/>
    <mergeCell ref="H53:N53"/>
    <mergeCell ref="R53:S53"/>
    <mergeCell ref="B54:D54"/>
    <mergeCell ref="E54:F54"/>
    <mergeCell ref="H54:N54"/>
    <mergeCell ref="R54:S54"/>
    <mergeCell ref="B60:G60"/>
    <mergeCell ref="H60:N60"/>
    <mergeCell ref="R60:S60"/>
    <mergeCell ref="B61:G61"/>
    <mergeCell ref="H61:N61"/>
    <mergeCell ref="R61:S61"/>
    <mergeCell ref="B57:D57"/>
    <mergeCell ref="E57:F57"/>
    <mergeCell ref="H57:N57"/>
    <mergeCell ref="R57:S57"/>
    <mergeCell ref="B58:S58"/>
    <mergeCell ref="B59:D59"/>
    <mergeCell ref="F59:G59"/>
    <mergeCell ref="H59:N59"/>
    <mergeCell ref="R59:S59"/>
    <mergeCell ref="B65:G65"/>
    <mergeCell ref="H65:N65"/>
    <mergeCell ref="R65:S65"/>
    <mergeCell ref="B66:G66"/>
    <mergeCell ref="H66:N66"/>
    <mergeCell ref="R66:S66"/>
    <mergeCell ref="B62:G62"/>
    <mergeCell ref="H62:N62"/>
    <mergeCell ref="R62:S62"/>
    <mergeCell ref="B63:S63"/>
    <mergeCell ref="B64:G64"/>
    <mergeCell ref="H64:N64"/>
    <mergeCell ref="R64:S64"/>
    <mergeCell ref="B69:P69"/>
    <mergeCell ref="R69:S69"/>
    <mergeCell ref="B70:P70"/>
    <mergeCell ref="R70:S70"/>
    <mergeCell ref="B71:P71"/>
    <mergeCell ref="R71:S71"/>
    <mergeCell ref="B67:G67"/>
    <mergeCell ref="H67:N67"/>
    <mergeCell ref="R67:S67"/>
    <mergeCell ref="B68:G68"/>
    <mergeCell ref="H68:N68"/>
    <mergeCell ref="R68:S68"/>
    <mergeCell ref="B72:P72"/>
    <mergeCell ref="R72:S72"/>
    <mergeCell ref="C75:D75"/>
    <mergeCell ref="E75:F75"/>
    <mergeCell ref="G75:H75"/>
    <mergeCell ref="I75:L75"/>
    <mergeCell ref="M75:O75"/>
    <mergeCell ref="P75:Q75"/>
    <mergeCell ref="R75:S75"/>
    <mergeCell ref="R76:S76"/>
    <mergeCell ref="I77:J77"/>
    <mergeCell ref="K77:L77"/>
    <mergeCell ref="M77:N77"/>
    <mergeCell ref="I78:J78"/>
    <mergeCell ref="K78:L78"/>
    <mergeCell ref="M78:N78"/>
    <mergeCell ref="C76:D76"/>
    <mergeCell ref="E76:F76"/>
    <mergeCell ref="G76:H76"/>
    <mergeCell ref="I76:L76"/>
    <mergeCell ref="M76:O76"/>
    <mergeCell ref="P76:Q76"/>
    <mergeCell ref="I81:J81"/>
    <mergeCell ref="K81:L81"/>
    <mergeCell ref="M81:N81"/>
    <mergeCell ref="I82:J82"/>
    <mergeCell ref="K82:L82"/>
    <mergeCell ref="M82:N82"/>
    <mergeCell ref="I79:J79"/>
    <mergeCell ref="K79:L79"/>
    <mergeCell ref="M79:N79"/>
    <mergeCell ref="I80:J80"/>
    <mergeCell ref="K80:L80"/>
    <mergeCell ref="M80:N80"/>
    <mergeCell ref="P84:Q84"/>
    <mergeCell ref="R84:S84"/>
    <mergeCell ref="I83:J83"/>
    <mergeCell ref="K83:L83"/>
    <mergeCell ref="M83:N83"/>
    <mergeCell ref="C84:D84"/>
    <mergeCell ref="E84:F84"/>
    <mergeCell ref="G84:H84"/>
    <mergeCell ref="I84:L84"/>
    <mergeCell ref="M84:O84"/>
  </mergeCells>
  <conditionalFormatting sqref="G116 I116:J122 G118:G122 K115 H116:H121 N95:N100 M101:M110">
    <cfRule type="cellIs" dxfId="12" priority="13" stopIfTrue="1" operator="greaterThan">
      <formula>0.5</formula>
    </cfRule>
  </conditionalFormatting>
  <conditionalFormatting sqref="N114:N115">
    <cfRule type="cellIs" dxfId="11" priority="12" stopIfTrue="1" operator="greaterThan">
      <formula>0.5</formula>
    </cfRule>
  </conditionalFormatting>
  <conditionalFormatting sqref="N133:N134">
    <cfRule type="cellIs" dxfId="10" priority="11" stopIfTrue="1" operator="greaterThan">
      <formula>0.5</formula>
    </cfRule>
  </conditionalFormatting>
  <conditionalFormatting sqref="K89:K93">
    <cfRule type="cellIs" dxfId="9" priority="9" stopIfTrue="1" operator="lessThan">
      <formula>0</formula>
    </cfRule>
    <cfRule type="cellIs" dxfId="8" priority="10" stopIfTrue="1" operator="greaterThan">
      <formula>0.5</formula>
    </cfRule>
  </conditionalFormatting>
  <conditionalFormatting sqref="F102:F110">
    <cfRule type="cellIs" dxfId="7" priority="7" stopIfTrue="1" operator="lessThan">
      <formula>0</formula>
    </cfRule>
    <cfRule type="cellIs" dxfId="6" priority="8" stopIfTrue="1" operator="greaterThan">
      <formula>0.5</formula>
    </cfRule>
  </conditionalFormatting>
  <conditionalFormatting sqref="F117:F122">
    <cfRule type="cellIs" dxfId="5" priority="5" stopIfTrue="1" operator="lessThan">
      <formula>0</formula>
    </cfRule>
    <cfRule type="cellIs" dxfId="4" priority="6" stopIfTrue="1" operator="greaterThan">
      <formula>0.5</formula>
    </cfRule>
  </conditionalFormatting>
  <conditionalFormatting sqref="E126:E130">
    <cfRule type="cellIs" dxfId="3" priority="3" stopIfTrue="1" operator="lessThan">
      <formula>0</formula>
    </cfRule>
    <cfRule type="cellIs" dxfId="2" priority="4" stopIfTrue="1" operator="greaterThan">
      <formula>0.5</formula>
    </cfRule>
  </conditionalFormatting>
  <conditionalFormatting sqref="E137:E138">
    <cfRule type="cellIs" dxfId="1" priority="1" stopIfTrue="1" operator="lessThan">
      <formula>0</formula>
    </cfRule>
    <cfRule type="cellIs" dxfId="0" priority="2" stopIfTrue="1" operator="greaterThan">
      <formula>0.5</formula>
    </cfRule>
  </conditionalFormatting>
  <dataValidations count="4">
    <dataValidation type="list" allowBlank="1" showInputMessage="1" showErrorMessage="1" sqref="WVJ983177:WVJ983178 IX137:IX138 ST137:ST138 ACP137:ACP138 AML137:AML138 AWH137:AWH138 BGD137:BGD138 BPZ137:BPZ138 BZV137:BZV138 CJR137:CJR138 CTN137:CTN138 DDJ137:DDJ138 DNF137:DNF138 DXB137:DXB138 EGX137:EGX138 EQT137:EQT138 FAP137:FAP138 FKL137:FKL138 FUH137:FUH138 GED137:GED138 GNZ137:GNZ138 GXV137:GXV138 HHR137:HHR138 HRN137:HRN138 IBJ137:IBJ138 ILF137:ILF138 IVB137:IVB138 JEX137:JEX138 JOT137:JOT138 JYP137:JYP138 KIL137:KIL138 KSH137:KSH138 LCD137:LCD138 LLZ137:LLZ138 LVV137:LVV138 MFR137:MFR138 MPN137:MPN138 MZJ137:MZJ138 NJF137:NJF138 NTB137:NTB138 OCX137:OCX138 OMT137:OMT138 OWP137:OWP138 PGL137:PGL138 PQH137:PQH138 QAD137:QAD138 QJZ137:QJZ138 QTV137:QTV138 RDR137:RDR138 RNN137:RNN138 RXJ137:RXJ138 SHF137:SHF138 SRB137:SRB138 TAX137:TAX138 TKT137:TKT138 TUP137:TUP138 UEL137:UEL138 UOH137:UOH138 UYD137:UYD138 VHZ137:VHZ138 VRV137:VRV138 WBR137:WBR138 WLN137:WLN138 WVJ137:WVJ138 B65673:B65674 IX65673:IX65674 ST65673:ST65674 ACP65673:ACP65674 AML65673:AML65674 AWH65673:AWH65674 BGD65673:BGD65674 BPZ65673:BPZ65674 BZV65673:BZV65674 CJR65673:CJR65674 CTN65673:CTN65674 DDJ65673:DDJ65674 DNF65673:DNF65674 DXB65673:DXB65674 EGX65673:EGX65674 EQT65673:EQT65674 FAP65673:FAP65674 FKL65673:FKL65674 FUH65673:FUH65674 GED65673:GED65674 GNZ65673:GNZ65674 GXV65673:GXV65674 HHR65673:HHR65674 HRN65673:HRN65674 IBJ65673:IBJ65674 ILF65673:ILF65674 IVB65673:IVB65674 JEX65673:JEX65674 JOT65673:JOT65674 JYP65673:JYP65674 KIL65673:KIL65674 KSH65673:KSH65674 LCD65673:LCD65674 LLZ65673:LLZ65674 LVV65673:LVV65674 MFR65673:MFR65674 MPN65673:MPN65674 MZJ65673:MZJ65674 NJF65673:NJF65674 NTB65673:NTB65674 OCX65673:OCX65674 OMT65673:OMT65674 OWP65673:OWP65674 PGL65673:PGL65674 PQH65673:PQH65674 QAD65673:QAD65674 QJZ65673:QJZ65674 QTV65673:QTV65674 RDR65673:RDR65674 RNN65673:RNN65674 RXJ65673:RXJ65674 SHF65673:SHF65674 SRB65673:SRB65674 TAX65673:TAX65674 TKT65673:TKT65674 TUP65673:TUP65674 UEL65673:UEL65674 UOH65673:UOH65674 UYD65673:UYD65674 VHZ65673:VHZ65674 VRV65673:VRV65674 WBR65673:WBR65674 WLN65673:WLN65674 WVJ65673:WVJ65674 B131209:B131210 IX131209:IX131210 ST131209:ST131210 ACP131209:ACP131210 AML131209:AML131210 AWH131209:AWH131210 BGD131209:BGD131210 BPZ131209:BPZ131210 BZV131209:BZV131210 CJR131209:CJR131210 CTN131209:CTN131210 DDJ131209:DDJ131210 DNF131209:DNF131210 DXB131209:DXB131210 EGX131209:EGX131210 EQT131209:EQT131210 FAP131209:FAP131210 FKL131209:FKL131210 FUH131209:FUH131210 GED131209:GED131210 GNZ131209:GNZ131210 GXV131209:GXV131210 HHR131209:HHR131210 HRN131209:HRN131210 IBJ131209:IBJ131210 ILF131209:ILF131210 IVB131209:IVB131210 JEX131209:JEX131210 JOT131209:JOT131210 JYP131209:JYP131210 KIL131209:KIL131210 KSH131209:KSH131210 LCD131209:LCD131210 LLZ131209:LLZ131210 LVV131209:LVV131210 MFR131209:MFR131210 MPN131209:MPN131210 MZJ131209:MZJ131210 NJF131209:NJF131210 NTB131209:NTB131210 OCX131209:OCX131210 OMT131209:OMT131210 OWP131209:OWP131210 PGL131209:PGL131210 PQH131209:PQH131210 QAD131209:QAD131210 QJZ131209:QJZ131210 QTV131209:QTV131210 RDR131209:RDR131210 RNN131209:RNN131210 RXJ131209:RXJ131210 SHF131209:SHF131210 SRB131209:SRB131210 TAX131209:TAX131210 TKT131209:TKT131210 TUP131209:TUP131210 UEL131209:UEL131210 UOH131209:UOH131210 UYD131209:UYD131210 VHZ131209:VHZ131210 VRV131209:VRV131210 WBR131209:WBR131210 WLN131209:WLN131210 WVJ131209:WVJ131210 B196745:B196746 IX196745:IX196746 ST196745:ST196746 ACP196745:ACP196746 AML196745:AML196746 AWH196745:AWH196746 BGD196745:BGD196746 BPZ196745:BPZ196746 BZV196745:BZV196746 CJR196745:CJR196746 CTN196745:CTN196746 DDJ196745:DDJ196746 DNF196745:DNF196746 DXB196745:DXB196746 EGX196745:EGX196746 EQT196745:EQT196746 FAP196745:FAP196746 FKL196745:FKL196746 FUH196745:FUH196746 GED196745:GED196746 GNZ196745:GNZ196746 GXV196745:GXV196746 HHR196745:HHR196746 HRN196745:HRN196746 IBJ196745:IBJ196746 ILF196745:ILF196746 IVB196745:IVB196746 JEX196745:JEX196746 JOT196745:JOT196746 JYP196745:JYP196746 KIL196745:KIL196746 KSH196745:KSH196746 LCD196745:LCD196746 LLZ196745:LLZ196746 LVV196745:LVV196746 MFR196745:MFR196746 MPN196745:MPN196746 MZJ196745:MZJ196746 NJF196745:NJF196746 NTB196745:NTB196746 OCX196745:OCX196746 OMT196745:OMT196746 OWP196745:OWP196746 PGL196745:PGL196746 PQH196745:PQH196746 QAD196745:QAD196746 QJZ196745:QJZ196746 QTV196745:QTV196746 RDR196745:RDR196746 RNN196745:RNN196746 RXJ196745:RXJ196746 SHF196745:SHF196746 SRB196745:SRB196746 TAX196745:TAX196746 TKT196745:TKT196746 TUP196745:TUP196746 UEL196745:UEL196746 UOH196745:UOH196746 UYD196745:UYD196746 VHZ196745:VHZ196746 VRV196745:VRV196746 WBR196745:WBR196746 WLN196745:WLN196746 WVJ196745:WVJ196746 B262281:B262282 IX262281:IX262282 ST262281:ST262282 ACP262281:ACP262282 AML262281:AML262282 AWH262281:AWH262282 BGD262281:BGD262282 BPZ262281:BPZ262282 BZV262281:BZV262282 CJR262281:CJR262282 CTN262281:CTN262282 DDJ262281:DDJ262282 DNF262281:DNF262282 DXB262281:DXB262282 EGX262281:EGX262282 EQT262281:EQT262282 FAP262281:FAP262282 FKL262281:FKL262282 FUH262281:FUH262282 GED262281:GED262282 GNZ262281:GNZ262282 GXV262281:GXV262282 HHR262281:HHR262282 HRN262281:HRN262282 IBJ262281:IBJ262282 ILF262281:ILF262282 IVB262281:IVB262282 JEX262281:JEX262282 JOT262281:JOT262282 JYP262281:JYP262282 KIL262281:KIL262282 KSH262281:KSH262282 LCD262281:LCD262282 LLZ262281:LLZ262282 LVV262281:LVV262282 MFR262281:MFR262282 MPN262281:MPN262282 MZJ262281:MZJ262282 NJF262281:NJF262282 NTB262281:NTB262282 OCX262281:OCX262282 OMT262281:OMT262282 OWP262281:OWP262282 PGL262281:PGL262282 PQH262281:PQH262282 QAD262281:QAD262282 QJZ262281:QJZ262282 QTV262281:QTV262282 RDR262281:RDR262282 RNN262281:RNN262282 RXJ262281:RXJ262282 SHF262281:SHF262282 SRB262281:SRB262282 TAX262281:TAX262282 TKT262281:TKT262282 TUP262281:TUP262282 UEL262281:UEL262282 UOH262281:UOH262282 UYD262281:UYD262282 VHZ262281:VHZ262282 VRV262281:VRV262282 WBR262281:WBR262282 WLN262281:WLN262282 WVJ262281:WVJ262282 B327817:B327818 IX327817:IX327818 ST327817:ST327818 ACP327817:ACP327818 AML327817:AML327818 AWH327817:AWH327818 BGD327817:BGD327818 BPZ327817:BPZ327818 BZV327817:BZV327818 CJR327817:CJR327818 CTN327817:CTN327818 DDJ327817:DDJ327818 DNF327817:DNF327818 DXB327817:DXB327818 EGX327817:EGX327818 EQT327817:EQT327818 FAP327817:FAP327818 FKL327817:FKL327818 FUH327817:FUH327818 GED327817:GED327818 GNZ327817:GNZ327818 GXV327817:GXV327818 HHR327817:HHR327818 HRN327817:HRN327818 IBJ327817:IBJ327818 ILF327817:ILF327818 IVB327817:IVB327818 JEX327817:JEX327818 JOT327817:JOT327818 JYP327817:JYP327818 KIL327817:KIL327818 KSH327817:KSH327818 LCD327817:LCD327818 LLZ327817:LLZ327818 LVV327817:LVV327818 MFR327817:MFR327818 MPN327817:MPN327818 MZJ327817:MZJ327818 NJF327817:NJF327818 NTB327817:NTB327818 OCX327817:OCX327818 OMT327817:OMT327818 OWP327817:OWP327818 PGL327817:PGL327818 PQH327817:PQH327818 QAD327817:QAD327818 QJZ327817:QJZ327818 QTV327817:QTV327818 RDR327817:RDR327818 RNN327817:RNN327818 RXJ327817:RXJ327818 SHF327817:SHF327818 SRB327817:SRB327818 TAX327817:TAX327818 TKT327817:TKT327818 TUP327817:TUP327818 UEL327817:UEL327818 UOH327817:UOH327818 UYD327817:UYD327818 VHZ327817:VHZ327818 VRV327817:VRV327818 WBR327817:WBR327818 WLN327817:WLN327818 WVJ327817:WVJ327818 B393353:B393354 IX393353:IX393354 ST393353:ST393354 ACP393353:ACP393354 AML393353:AML393354 AWH393353:AWH393354 BGD393353:BGD393354 BPZ393353:BPZ393354 BZV393353:BZV393354 CJR393353:CJR393354 CTN393353:CTN393354 DDJ393353:DDJ393354 DNF393353:DNF393354 DXB393353:DXB393354 EGX393353:EGX393354 EQT393353:EQT393354 FAP393353:FAP393354 FKL393353:FKL393354 FUH393353:FUH393354 GED393353:GED393354 GNZ393353:GNZ393354 GXV393353:GXV393354 HHR393353:HHR393354 HRN393353:HRN393354 IBJ393353:IBJ393354 ILF393353:ILF393354 IVB393353:IVB393354 JEX393353:JEX393354 JOT393353:JOT393354 JYP393353:JYP393354 KIL393353:KIL393354 KSH393353:KSH393354 LCD393353:LCD393354 LLZ393353:LLZ393354 LVV393353:LVV393354 MFR393353:MFR393354 MPN393353:MPN393354 MZJ393353:MZJ393354 NJF393353:NJF393354 NTB393353:NTB393354 OCX393353:OCX393354 OMT393353:OMT393354 OWP393353:OWP393354 PGL393353:PGL393354 PQH393353:PQH393354 QAD393353:QAD393354 QJZ393353:QJZ393354 QTV393353:QTV393354 RDR393353:RDR393354 RNN393353:RNN393354 RXJ393353:RXJ393354 SHF393353:SHF393354 SRB393353:SRB393354 TAX393353:TAX393354 TKT393353:TKT393354 TUP393353:TUP393354 UEL393353:UEL393354 UOH393353:UOH393354 UYD393353:UYD393354 VHZ393353:VHZ393354 VRV393353:VRV393354 WBR393353:WBR393354 WLN393353:WLN393354 WVJ393353:WVJ393354 B458889:B458890 IX458889:IX458890 ST458889:ST458890 ACP458889:ACP458890 AML458889:AML458890 AWH458889:AWH458890 BGD458889:BGD458890 BPZ458889:BPZ458890 BZV458889:BZV458890 CJR458889:CJR458890 CTN458889:CTN458890 DDJ458889:DDJ458890 DNF458889:DNF458890 DXB458889:DXB458890 EGX458889:EGX458890 EQT458889:EQT458890 FAP458889:FAP458890 FKL458889:FKL458890 FUH458889:FUH458890 GED458889:GED458890 GNZ458889:GNZ458890 GXV458889:GXV458890 HHR458889:HHR458890 HRN458889:HRN458890 IBJ458889:IBJ458890 ILF458889:ILF458890 IVB458889:IVB458890 JEX458889:JEX458890 JOT458889:JOT458890 JYP458889:JYP458890 KIL458889:KIL458890 KSH458889:KSH458890 LCD458889:LCD458890 LLZ458889:LLZ458890 LVV458889:LVV458890 MFR458889:MFR458890 MPN458889:MPN458890 MZJ458889:MZJ458890 NJF458889:NJF458890 NTB458889:NTB458890 OCX458889:OCX458890 OMT458889:OMT458890 OWP458889:OWP458890 PGL458889:PGL458890 PQH458889:PQH458890 QAD458889:QAD458890 QJZ458889:QJZ458890 QTV458889:QTV458890 RDR458889:RDR458890 RNN458889:RNN458890 RXJ458889:RXJ458890 SHF458889:SHF458890 SRB458889:SRB458890 TAX458889:TAX458890 TKT458889:TKT458890 TUP458889:TUP458890 UEL458889:UEL458890 UOH458889:UOH458890 UYD458889:UYD458890 VHZ458889:VHZ458890 VRV458889:VRV458890 WBR458889:WBR458890 WLN458889:WLN458890 WVJ458889:WVJ458890 B524425:B524426 IX524425:IX524426 ST524425:ST524426 ACP524425:ACP524426 AML524425:AML524426 AWH524425:AWH524426 BGD524425:BGD524426 BPZ524425:BPZ524426 BZV524425:BZV524426 CJR524425:CJR524426 CTN524425:CTN524426 DDJ524425:DDJ524426 DNF524425:DNF524426 DXB524425:DXB524426 EGX524425:EGX524426 EQT524425:EQT524426 FAP524425:FAP524426 FKL524425:FKL524426 FUH524425:FUH524426 GED524425:GED524426 GNZ524425:GNZ524426 GXV524425:GXV524426 HHR524425:HHR524426 HRN524425:HRN524426 IBJ524425:IBJ524426 ILF524425:ILF524426 IVB524425:IVB524426 JEX524425:JEX524426 JOT524425:JOT524426 JYP524425:JYP524426 KIL524425:KIL524426 KSH524425:KSH524426 LCD524425:LCD524426 LLZ524425:LLZ524426 LVV524425:LVV524426 MFR524425:MFR524426 MPN524425:MPN524426 MZJ524425:MZJ524426 NJF524425:NJF524426 NTB524425:NTB524426 OCX524425:OCX524426 OMT524425:OMT524426 OWP524425:OWP524426 PGL524425:PGL524426 PQH524425:PQH524426 QAD524425:QAD524426 QJZ524425:QJZ524426 QTV524425:QTV524426 RDR524425:RDR524426 RNN524425:RNN524426 RXJ524425:RXJ524426 SHF524425:SHF524426 SRB524425:SRB524426 TAX524425:TAX524426 TKT524425:TKT524426 TUP524425:TUP524426 UEL524425:UEL524426 UOH524425:UOH524426 UYD524425:UYD524426 VHZ524425:VHZ524426 VRV524425:VRV524426 WBR524425:WBR524426 WLN524425:WLN524426 WVJ524425:WVJ524426 B589961:B589962 IX589961:IX589962 ST589961:ST589962 ACP589961:ACP589962 AML589961:AML589962 AWH589961:AWH589962 BGD589961:BGD589962 BPZ589961:BPZ589962 BZV589961:BZV589962 CJR589961:CJR589962 CTN589961:CTN589962 DDJ589961:DDJ589962 DNF589961:DNF589962 DXB589961:DXB589962 EGX589961:EGX589962 EQT589961:EQT589962 FAP589961:FAP589962 FKL589961:FKL589962 FUH589961:FUH589962 GED589961:GED589962 GNZ589961:GNZ589962 GXV589961:GXV589962 HHR589961:HHR589962 HRN589961:HRN589962 IBJ589961:IBJ589962 ILF589961:ILF589962 IVB589961:IVB589962 JEX589961:JEX589962 JOT589961:JOT589962 JYP589961:JYP589962 KIL589961:KIL589962 KSH589961:KSH589962 LCD589961:LCD589962 LLZ589961:LLZ589962 LVV589961:LVV589962 MFR589961:MFR589962 MPN589961:MPN589962 MZJ589961:MZJ589962 NJF589961:NJF589962 NTB589961:NTB589962 OCX589961:OCX589962 OMT589961:OMT589962 OWP589961:OWP589962 PGL589961:PGL589962 PQH589961:PQH589962 QAD589961:QAD589962 QJZ589961:QJZ589962 QTV589961:QTV589962 RDR589961:RDR589962 RNN589961:RNN589962 RXJ589961:RXJ589962 SHF589961:SHF589962 SRB589961:SRB589962 TAX589961:TAX589962 TKT589961:TKT589962 TUP589961:TUP589962 UEL589961:UEL589962 UOH589961:UOH589962 UYD589961:UYD589962 VHZ589961:VHZ589962 VRV589961:VRV589962 WBR589961:WBR589962 WLN589961:WLN589962 WVJ589961:WVJ589962 B655497:B655498 IX655497:IX655498 ST655497:ST655498 ACP655497:ACP655498 AML655497:AML655498 AWH655497:AWH655498 BGD655497:BGD655498 BPZ655497:BPZ655498 BZV655497:BZV655498 CJR655497:CJR655498 CTN655497:CTN655498 DDJ655497:DDJ655498 DNF655497:DNF655498 DXB655497:DXB655498 EGX655497:EGX655498 EQT655497:EQT655498 FAP655497:FAP655498 FKL655497:FKL655498 FUH655497:FUH655498 GED655497:GED655498 GNZ655497:GNZ655498 GXV655497:GXV655498 HHR655497:HHR655498 HRN655497:HRN655498 IBJ655497:IBJ655498 ILF655497:ILF655498 IVB655497:IVB655498 JEX655497:JEX655498 JOT655497:JOT655498 JYP655497:JYP655498 KIL655497:KIL655498 KSH655497:KSH655498 LCD655497:LCD655498 LLZ655497:LLZ655498 LVV655497:LVV655498 MFR655497:MFR655498 MPN655497:MPN655498 MZJ655497:MZJ655498 NJF655497:NJF655498 NTB655497:NTB655498 OCX655497:OCX655498 OMT655497:OMT655498 OWP655497:OWP655498 PGL655497:PGL655498 PQH655497:PQH655498 QAD655497:QAD655498 QJZ655497:QJZ655498 QTV655497:QTV655498 RDR655497:RDR655498 RNN655497:RNN655498 RXJ655497:RXJ655498 SHF655497:SHF655498 SRB655497:SRB655498 TAX655497:TAX655498 TKT655497:TKT655498 TUP655497:TUP655498 UEL655497:UEL655498 UOH655497:UOH655498 UYD655497:UYD655498 VHZ655497:VHZ655498 VRV655497:VRV655498 WBR655497:WBR655498 WLN655497:WLN655498 WVJ655497:WVJ655498 B721033:B721034 IX721033:IX721034 ST721033:ST721034 ACP721033:ACP721034 AML721033:AML721034 AWH721033:AWH721034 BGD721033:BGD721034 BPZ721033:BPZ721034 BZV721033:BZV721034 CJR721033:CJR721034 CTN721033:CTN721034 DDJ721033:DDJ721034 DNF721033:DNF721034 DXB721033:DXB721034 EGX721033:EGX721034 EQT721033:EQT721034 FAP721033:FAP721034 FKL721033:FKL721034 FUH721033:FUH721034 GED721033:GED721034 GNZ721033:GNZ721034 GXV721033:GXV721034 HHR721033:HHR721034 HRN721033:HRN721034 IBJ721033:IBJ721034 ILF721033:ILF721034 IVB721033:IVB721034 JEX721033:JEX721034 JOT721033:JOT721034 JYP721033:JYP721034 KIL721033:KIL721034 KSH721033:KSH721034 LCD721033:LCD721034 LLZ721033:LLZ721034 LVV721033:LVV721034 MFR721033:MFR721034 MPN721033:MPN721034 MZJ721033:MZJ721034 NJF721033:NJF721034 NTB721033:NTB721034 OCX721033:OCX721034 OMT721033:OMT721034 OWP721033:OWP721034 PGL721033:PGL721034 PQH721033:PQH721034 QAD721033:QAD721034 QJZ721033:QJZ721034 QTV721033:QTV721034 RDR721033:RDR721034 RNN721033:RNN721034 RXJ721033:RXJ721034 SHF721033:SHF721034 SRB721033:SRB721034 TAX721033:TAX721034 TKT721033:TKT721034 TUP721033:TUP721034 UEL721033:UEL721034 UOH721033:UOH721034 UYD721033:UYD721034 VHZ721033:VHZ721034 VRV721033:VRV721034 WBR721033:WBR721034 WLN721033:WLN721034 WVJ721033:WVJ721034 B786569:B786570 IX786569:IX786570 ST786569:ST786570 ACP786569:ACP786570 AML786569:AML786570 AWH786569:AWH786570 BGD786569:BGD786570 BPZ786569:BPZ786570 BZV786569:BZV786570 CJR786569:CJR786570 CTN786569:CTN786570 DDJ786569:DDJ786570 DNF786569:DNF786570 DXB786569:DXB786570 EGX786569:EGX786570 EQT786569:EQT786570 FAP786569:FAP786570 FKL786569:FKL786570 FUH786569:FUH786570 GED786569:GED786570 GNZ786569:GNZ786570 GXV786569:GXV786570 HHR786569:HHR786570 HRN786569:HRN786570 IBJ786569:IBJ786570 ILF786569:ILF786570 IVB786569:IVB786570 JEX786569:JEX786570 JOT786569:JOT786570 JYP786569:JYP786570 KIL786569:KIL786570 KSH786569:KSH786570 LCD786569:LCD786570 LLZ786569:LLZ786570 LVV786569:LVV786570 MFR786569:MFR786570 MPN786569:MPN786570 MZJ786569:MZJ786570 NJF786569:NJF786570 NTB786569:NTB786570 OCX786569:OCX786570 OMT786569:OMT786570 OWP786569:OWP786570 PGL786569:PGL786570 PQH786569:PQH786570 QAD786569:QAD786570 QJZ786569:QJZ786570 QTV786569:QTV786570 RDR786569:RDR786570 RNN786569:RNN786570 RXJ786569:RXJ786570 SHF786569:SHF786570 SRB786569:SRB786570 TAX786569:TAX786570 TKT786569:TKT786570 TUP786569:TUP786570 UEL786569:UEL786570 UOH786569:UOH786570 UYD786569:UYD786570 VHZ786569:VHZ786570 VRV786569:VRV786570 WBR786569:WBR786570 WLN786569:WLN786570 WVJ786569:WVJ786570 B852105:B852106 IX852105:IX852106 ST852105:ST852106 ACP852105:ACP852106 AML852105:AML852106 AWH852105:AWH852106 BGD852105:BGD852106 BPZ852105:BPZ852106 BZV852105:BZV852106 CJR852105:CJR852106 CTN852105:CTN852106 DDJ852105:DDJ852106 DNF852105:DNF852106 DXB852105:DXB852106 EGX852105:EGX852106 EQT852105:EQT852106 FAP852105:FAP852106 FKL852105:FKL852106 FUH852105:FUH852106 GED852105:GED852106 GNZ852105:GNZ852106 GXV852105:GXV852106 HHR852105:HHR852106 HRN852105:HRN852106 IBJ852105:IBJ852106 ILF852105:ILF852106 IVB852105:IVB852106 JEX852105:JEX852106 JOT852105:JOT852106 JYP852105:JYP852106 KIL852105:KIL852106 KSH852105:KSH852106 LCD852105:LCD852106 LLZ852105:LLZ852106 LVV852105:LVV852106 MFR852105:MFR852106 MPN852105:MPN852106 MZJ852105:MZJ852106 NJF852105:NJF852106 NTB852105:NTB852106 OCX852105:OCX852106 OMT852105:OMT852106 OWP852105:OWP852106 PGL852105:PGL852106 PQH852105:PQH852106 QAD852105:QAD852106 QJZ852105:QJZ852106 QTV852105:QTV852106 RDR852105:RDR852106 RNN852105:RNN852106 RXJ852105:RXJ852106 SHF852105:SHF852106 SRB852105:SRB852106 TAX852105:TAX852106 TKT852105:TKT852106 TUP852105:TUP852106 UEL852105:UEL852106 UOH852105:UOH852106 UYD852105:UYD852106 VHZ852105:VHZ852106 VRV852105:VRV852106 WBR852105:WBR852106 WLN852105:WLN852106 WVJ852105:WVJ852106 B917641:B917642 IX917641:IX917642 ST917641:ST917642 ACP917641:ACP917642 AML917641:AML917642 AWH917641:AWH917642 BGD917641:BGD917642 BPZ917641:BPZ917642 BZV917641:BZV917642 CJR917641:CJR917642 CTN917641:CTN917642 DDJ917641:DDJ917642 DNF917641:DNF917642 DXB917641:DXB917642 EGX917641:EGX917642 EQT917641:EQT917642 FAP917641:FAP917642 FKL917641:FKL917642 FUH917641:FUH917642 GED917641:GED917642 GNZ917641:GNZ917642 GXV917641:GXV917642 HHR917641:HHR917642 HRN917641:HRN917642 IBJ917641:IBJ917642 ILF917641:ILF917642 IVB917641:IVB917642 JEX917641:JEX917642 JOT917641:JOT917642 JYP917641:JYP917642 KIL917641:KIL917642 KSH917641:KSH917642 LCD917641:LCD917642 LLZ917641:LLZ917642 LVV917641:LVV917642 MFR917641:MFR917642 MPN917641:MPN917642 MZJ917641:MZJ917642 NJF917641:NJF917642 NTB917641:NTB917642 OCX917641:OCX917642 OMT917641:OMT917642 OWP917641:OWP917642 PGL917641:PGL917642 PQH917641:PQH917642 QAD917641:QAD917642 QJZ917641:QJZ917642 QTV917641:QTV917642 RDR917641:RDR917642 RNN917641:RNN917642 RXJ917641:RXJ917642 SHF917641:SHF917642 SRB917641:SRB917642 TAX917641:TAX917642 TKT917641:TKT917642 TUP917641:TUP917642 UEL917641:UEL917642 UOH917641:UOH917642 UYD917641:UYD917642 VHZ917641:VHZ917642 VRV917641:VRV917642 WBR917641:WBR917642 WLN917641:WLN917642 WVJ917641:WVJ917642 B983177:B983178 IX983177:IX983178 ST983177:ST983178 ACP983177:ACP983178 AML983177:AML983178 AWH983177:AWH983178 BGD983177:BGD983178 BPZ983177:BPZ983178 BZV983177:BZV983178 CJR983177:CJR983178 CTN983177:CTN983178 DDJ983177:DDJ983178 DNF983177:DNF983178 DXB983177:DXB983178 EGX983177:EGX983178 EQT983177:EQT983178 FAP983177:FAP983178 FKL983177:FKL983178 FUH983177:FUH983178 GED983177:GED983178 GNZ983177:GNZ983178 GXV983177:GXV983178 HHR983177:HHR983178 HRN983177:HRN983178 IBJ983177:IBJ983178 ILF983177:ILF983178 IVB983177:IVB983178 JEX983177:JEX983178 JOT983177:JOT983178 JYP983177:JYP983178 KIL983177:KIL983178 KSH983177:KSH983178 LCD983177:LCD983178 LLZ983177:LLZ983178 LVV983177:LVV983178 MFR983177:MFR983178 MPN983177:MPN983178 MZJ983177:MZJ983178 NJF983177:NJF983178 NTB983177:NTB983178 OCX983177:OCX983178 OMT983177:OMT983178 OWP983177:OWP983178 PGL983177:PGL983178 PQH983177:PQH983178 QAD983177:QAD983178 QJZ983177:QJZ983178 QTV983177:QTV983178 RDR983177:RDR983178 RNN983177:RNN983178 RXJ983177:RXJ983178 SHF983177:SHF983178 SRB983177:SRB983178 TAX983177:TAX983178 TKT983177:TKT983178 TUP983177:TUP983178 UEL983177:UEL983178 UOH983177:UOH983178 UYD983177:UYD983178 VHZ983177:VHZ983178 VRV983177:VRV983178 WBR983177:WBR983178 WLN983177:WLN983178">
      <formula1>$B$155:$B$156</formula1>
    </dataValidation>
    <dataValidation type="list" allowBlank="1" showInputMessage="1" showErrorMessage="1" sqref="D89:D93 IZ89:IZ93 SV89:SV93 ACR89:ACR93 AMN89:AMN93 AWJ89:AWJ93 BGF89:BGF93 BQB89:BQB93 BZX89:BZX93 CJT89:CJT93 CTP89:CTP93 DDL89:DDL93 DNH89:DNH93 DXD89:DXD93 EGZ89:EGZ93 EQV89:EQV93 FAR89:FAR93 FKN89:FKN93 FUJ89:FUJ93 GEF89:GEF93 GOB89:GOB93 GXX89:GXX93 HHT89:HHT93 HRP89:HRP93 IBL89:IBL93 ILH89:ILH93 IVD89:IVD93 JEZ89:JEZ93 JOV89:JOV93 JYR89:JYR93 KIN89:KIN93 KSJ89:KSJ93 LCF89:LCF93 LMB89:LMB93 LVX89:LVX93 MFT89:MFT93 MPP89:MPP93 MZL89:MZL93 NJH89:NJH93 NTD89:NTD93 OCZ89:OCZ93 OMV89:OMV93 OWR89:OWR93 PGN89:PGN93 PQJ89:PQJ93 QAF89:QAF93 QKB89:QKB93 QTX89:QTX93 RDT89:RDT93 RNP89:RNP93 RXL89:RXL93 SHH89:SHH93 SRD89:SRD93 TAZ89:TAZ93 TKV89:TKV93 TUR89:TUR93 UEN89:UEN93 UOJ89:UOJ93 UYF89:UYF93 VIB89:VIB93 VRX89:VRX93 WBT89:WBT93 WLP89:WLP93 WVL89:WVL93 D65625:D65629 IZ65625:IZ65629 SV65625:SV65629 ACR65625:ACR65629 AMN65625:AMN65629 AWJ65625:AWJ65629 BGF65625:BGF65629 BQB65625:BQB65629 BZX65625:BZX65629 CJT65625:CJT65629 CTP65625:CTP65629 DDL65625:DDL65629 DNH65625:DNH65629 DXD65625:DXD65629 EGZ65625:EGZ65629 EQV65625:EQV65629 FAR65625:FAR65629 FKN65625:FKN65629 FUJ65625:FUJ65629 GEF65625:GEF65629 GOB65625:GOB65629 GXX65625:GXX65629 HHT65625:HHT65629 HRP65625:HRP65629 IBL65625:IBL65629 ILH65625:ILH65629 IVD65625:IVD65629 JEZ65625:JEZ65629 JOV65625:JOV65629 JYR65625:JYR65629 KIN65625:KIN65629 KSJ65625:KSJ65629 LCF65625:LCF65629 LMB65625:LMB65629 LVX65625:LVX65629 MFT65625:MFT65629 MPP65625:MPP65629 MZL65625:MZL65629 NJH65625:NJH65629 NTD65625:NTD65629 OCZ65625:OCZ65629 OMV65625:OMV65629 OWR65625:OWR65629 PGN65625:PGN65629 PQJ65625:PQJ65629 QAF65625:QAF65629 QKB65625:QKB65629 QTX65625:QTX65629 RDT65625:RDT65629 RNP65625:RNP65629 RXL65625:RXL65629 SHH65625:SHH65629 SRD65625:SRD65629 TAZ65625:TAZ65629 TKV65625:TKV65629 TUR65625:TUR65629 UEN65625:UEN65629 UOJ65625:UOJ65629 UYF65625:UYF65629 VIB65625:VIB65629 VRX65625:VRX65629 WBT65625:WBT65629 WLP65625:WLP65629 WVL65625:WVL65629 D131161:D131165 IZ131161:IZ131165 SV131161:SV131165 ACR131161:ACR131165 AMN131161:AMN131165 AWJ131161:AWJ131165 BGF131161:BGF131165 BQB131161:BQB131165 BZX131161:BZX131165 CJT131161:CJT131165 CTP131161:CTP131165 DDL131161:DDL131165 DNH131161:DNH131165 DXD131161:DXD131165 EGZ131161:EGZ131165 EQV131161:EQV131165 FAR131161:FAR131165 FKN131161:FKN131165 FUJ131161:FUJ131165 GEF131161:GEF131165 GOB131161:GOB131165 GXX131161:GXX131165 HHT131161:HHT131165 HRP131161:HRP131165 IBL131161:IBL131165 ILH131161:ILH131165 IVD131161:IVD131165 JEZ131161:JEZ131165 JOV131161:JOV131165 JYR131161:JYR131165 KIN131161:KIN131165 KSJ131161:KSJ131165 LCF131161:LCF131165 LMB131161:LMB131165 LVX131161:LVX131165 MFT131161:MFT131165 MPP131161:MPP131165 MZL131161:MZL131165 NJH131161:NJH131165 NTD131161:NTD131165 OCZ131161:OCZ131165 OMV131161:OMV131165 OWR131161:OWR131165 PGN131161:PGN131165 PQJ131161:PQJ131165 QAF131161:QAF131165 QKB131161:QKB131165 QTX131161:QTX131165 RDT131161:RDT131165 RNP131161:RNP131165 RXL131161:RXL131165 SHH131161:SHH131165 SRD131161:SRD131165 TAZ131161:TAZ131165 TKV131161:TKV131165 TUR131161:TUR131165 UEN131161:UEN131165 UOJ131161:UOJ131165 UYF131161:UYF131165 VIB131161:VIB131165 VRX131161:VRX131165 WBT131161:WBT131165 WLP131161:WLP131165 WVL131161:WVL131165 D196697:D196701 IZ196697:IZ196701 SV196697:SV196701 ACR196697:ACR196701 AMN196697:AMN196701 AWJ196697:AWJ196701 BGF196697:BGF196701 BQB196697:BQB196701 BZX196697:BZX196701 CJT196697:CJT196701 CTP196697:CTP196701 DDL196697:DDL196701 DNH196697:DNH196701 DXD196697:DXD196701 EGZ196697:EGZ196701 EQV196697:EQV196701 FAR196697:FAR196701 FKN196697:FKN196701 FUJ196697:FUJ196701 GEF196697:GEF196701 GOB196697:GOB196701 GXX196697:GXX196701 HHT196697:HHT196701 HRP196697:HRP196701 IBL196697:IBL196701 ILH196697:ILH196701 IVD196697:IVD196701 JEZ196697:JEZ196701 JOV196697:JOV196701 JYR196697:JYR196701 KIN196697:KIN196701 KSJ196697:KSJ196701 LCF196697:LCF196701 LMB196697:LMB196701 LVX196697:LVX196701 MFT196697:MFT196701 MPP196697:MPP196701 MZL196697:MZL196701 NJH196697:NJH196701 NTD196697:NTD196701 OCZ196697:OCZ196701 OMV196697:OMV196701 OWR196697:OWR196701 PGN196697:PGN196701 PQJ196697:PQJ196701 QAF196697:QAF196701 QKB196697:QKB196701 QTX196697:QTX196701 RDT196697:RDT196701 RNP196697:RNP196701 RXL196697:RXL196701 SHH196697:SHH196701 SRD196697:SRD196701 TAZ196697:TAZ196701 TKV196697:TKV196701 TUR196697:TUR196701 UEN196697:UEN196701 UOJ196697:UOJ196701 UYF196697:UYF196701 VIB196697:VIB196701 VRX196697:VRX196701 WBT196697:WBT196701 WLP196697:WLP196701 WVL196697:WVL196701 D262233:D262237 IZ262233:IZ262237 SV262233:SV262237 ACR262233:ACR262237 AMN262233:AMN262237 AWJ262233:AWJ262237 BGF262233:BGF262237 BQB262233:BQB262237 BZX262233:BZX262237 CJT262233:CJT262237 CTP262233:CTP262237 DDL262233:DDL262237 DNH262233:DNH262237 DXD262233:DXD262237 EGZ262233:EGZ262237 EQV262233:EQV262237 FAR262233:FAR262237 FKN262233:FKN262237 FUJ262233:FUJ262237 GEF262233:GEF262237 GOB262233:GOB262237 GXX262233:GXX262237 HHT262233:HHT262237 HRP262233:HRP262237 IBL262233:IBL262237 ILH262233:ILH262237 IVD262233:IVD262237 JEZ262233:JEZ262237 JOV262233:JOV262237 JYR262233:JYR262237 KIN262233:KIN262237 KSJ262233:KSJ262237 LCF262233:LCF262237 LMB262233:LMB262237 LVX262233:LVX262237 MFT262233:MFT262237 MPP262233:MPP262237 MZL262233:MZL262237 NJH262233:NJH262237 NTD262233:NTD262237 OCZ262233:OCZ262237 OMV262233:OMV262237 OWR262233:OWR262237 PGN262233:PGN262237 PQJ262233:PQJ262237 QAF262233:QAF262237 QKB262233:QKB262237 QTX262233:QTX262237 RDT262233:RDT262237 RNP262233:RNP262237 RXL262233:RXL262237 SHH262233:SHH262237 SRD262233:SRD262237 TAZ262233:TAZ262237 TKV262233:TKV262237 TUR262233:TUR262237 UEN262233:UEN262237 UOJ262233:UOJ262237 UYF262233:UYF262237 VIB262233:VIB262237 VRX262233:VRX262237 WBT262233:WBT262237 WLP262233:WLP262237 WVL262233:WVL262237 D327769:D327773 IZ327769:IZ327773 SV327769:SV327773 ACR327769:ACR327773 AMN327769:AMN327773 AWJ327769:AWJ327773 BGF327769:BGF327773 BQB327769:BQB327773 BZX327769:BZX327773 CJT327769:CJT327773 CTP327769:CTP327773 DDL327769:DDL327773 DNH327769:DNH327773 DXD327769:DXD327773 EGZ327769:EGZ327773 EQV327769:EQV327773 FAR327769:FAR327773 FKN327769:FKN327773 FUJ327769:FUJ327773 GEF327769:GEF327773 GOB327769:GOB327773 GXX327769:GXX327773 HHT327769:HHT327773 HRP327769:HRP327773 IBL327769:IBL327773 ILH327769:ILH327773 IVD327769:IVD327773 JEZ327769:JEZ327773 JOV327769:JOV327773 JYR327769:JYR327773 KIN327769:KIN327773 KSJ327769:KSJ327773 LCF327769:LCF327773 LMB327769:LMB327773 LVX327769:LVX327773 MFT327769:MFT327773 MPP327769:MPP327773 MZL327769:MZL327773 NJH327769:NJH327773 NTD327769:NTD327773 OCZ327769:OCZ327773 OMV327769:OMV327773 OWR327769:OWR327773 PGN327769:PGN327773 PQJ327769:PQJ327773 QAF327769:QAF327773 QKB327769:QKB327773 QTX327769:QTX327773 RDT327769:RDT327773 RNP327769:RNP327773 RXL327769:RXL327773 SHH327769:SHH327773 SRD327769:SRD327773 TAZ327769:TAZ327773 TKV327769:TKV327773 TUR327769:TUR327773 UEN327769:UEN327773 UOJ327769:UOJ327773 UYF327769:UYF327773 VIB327769:VIB327773 VRX327769:VRX327773 WBT327769:WBT327773 WLP327769:WLP327773 WVL327769:WVL327773 D393305:D393309 IZ393305:IZ393309 SV393305:SV393309 ACR393305:ACR393309 AMN393305:AMN393309 AWJ393305:AWJ393309 BGF393305:BGF393309 BQB393305:BQB393309 BZX393305:BZX393309 CJT393305:CJT393309 CTP393305:CTP393309 DDL393305:DDL393309 DNH393305:DNH393309 DXD393305:DXD393309 EGZ393305:EGZ393309 EQV393305:EQV393309 FAR393305:FAR393309 FKN393305:FKN393309 FUJ393305:FUJ393309 GEF393305:GEF393309 GOB393305:GOB393309 GXX393305:GXX393309 HHT393305:HHT393309 HRP393305:HRP393309 IBL393305:IBL393309 ILH393305:ILH393309 IVD393305:IVD393309 JEZ393305:JEZ393309 JOV393305:JOV393309 JYR393305:JYR393309 KIN393305:KIN393309 KSJ393305:KSJ393309 LCF393305:LCF393309 LMB393305:LMB393309 LVX393305:LVX393309 MFT393305:MFT393309 MPP393305:MPP393309 MZL393305:MZL393309 NJH393305:NJH393309 NTD393305:NTD393309 OCZ393305:OCZ393309 OMV393305:OMV393309 OWR393305:OWR393309 PGN393305:PGN393309 PQJ393305:PQJ393309 QAF393305:QAF393309 QKB393305:QKB393309 QTX393305:QTX393309 RDT393305:RDT393309 RNP393305:RNP393309 RXL393305:RXL393309 SHH393305:SHH393309 SRD393305:SRD393309 TAZ393305:TAZ393309 TKV393305:TKV393309 TUR393305:TUR393309 UEN393305:UEN393309 UOJ393305:UOJ393309 UYF393305:UYF393309 VIB393305:VIB393309 VRX393305:VRX393309 WBT393305:WBT393309 WLP393305:WLP393309 WVL393305:WVL393309 D458841:D458845 IZ458841:IZ458845 SV458841:SV458845 ACR458841:ACR458845 AMN458841:AMN458845 AWJ458841:AWJ458845 BGF458841:BGF458845 BQB458841:BQB458845 BZX458841:BZX458845 CJT458841:CJT458845 CTP458841:CTP458845 DDL458841:DDL458845 DNH458841:DNH458845 DXD458841:DXD458845 EGZ458841:EGZ458845 EQV458841:EQV458845 FAR458841:FAR458845 FKN458841:FKN458845 FUJ458841:FUJ458845 GEF458841:GEF458845 GOB458841:GOB458845 GXX458841:GXX458845 HHT458841:HHT458845 HRP458841:HRP458845 IBL458841:IBL458845 ILH458841:ILH458845 IVD458841:IVD458845 JEZ458841:JEZ458845 JOV458841:JOV458845 JYR458841:JYR458845 KIN458841:KIN458845 KSJ458841:KSJ458845 LCF458841:LCF458845 LMB458841:LMB458845 LVX458841:LVX458845 MFT458841:MFT458845 MPP458841:MPP458845 MZL458841:MZL458845 NJH458841:NJH458845 NTD458841:NTD458845 OCZ458841:OCZ458845 OMV458841:OMV458845 OWR458841:OWR458845 PGN458841:PGN458845 PQJ458841:PQJ458845 QAF458841:QAF458845 QKB458841:QKB458845 QTX458841:QTX458845 RDT458841:RDT458845 RNP458841:RNP458845 RXL458841:RXL458845 SHH458841:SHH458845 SRD458841:SRD458845 TAZ458841:TAZ458845 TKV458841:TKV458845 TUR458841:TUR458845 UEN458841:UEN458845 UOJ458841:UOJ458845 UYF458841:UYF458845 VIB458841:VIB458845 VRX458841:VRX458845 WBT458841:WBT458845 WLP458841:WLP458845 WVL458841:WVL458845 D524377:D524381 IZ524377:IZ524381 SV524377:SV524381 ACR524377:ACR524381 AMN524377:AMN524381 AWJ524377:AWJ524381 BGF524377:BGF524381 BQB524377:BQB524381 BZX524377:BZX524381 CJT524377:CJT524381 CTP524377:CTP524381 DDL524377:DDL524381 DNH524377:DNH524381 DXD524377:DXD524381 EGZ524377:EGZ524381 EQV524377:EQV524381 FAR524377:FAR524381 FKN524377:FKN524381 FUJ524377:FUJ524381 GEF524377:GEF524381 GOB524377:GOB524381 GXX524377:GXX524381 HHT524377:HHT524381 HRP524377:HRP524381 IBL524377:IBL524381 ILH524377:ILH524381 IVD524377:IVD524381 JEZ524377:JEZ524381 JOV524377:JOV524381 JYR524377:JYR524381 KIN524377:KIN524381 KSJ524377:KSJ524381 LCF524377:LCF524381 LMB524377:LMB524381 LVX524377:LVX524381 MFT524377:MFT524381 MPP524377:MPP524381 MZL524377:MZL524381 NJH524377:NJH524381 NTD524377:NTD524381 OCZ524377:OCZ524381 OMV524377:OMV524381 OWR524377:OWR524381 PGN524377:PGN524381 PQJ524377:PQJ524381 QAF524377:QAF524381 QKB524377:QKB524381 QTX524377:QTX524381 RDT524377:RDT524381 RNP524377:RNP524381 RXL524377:RXL524381 SHH524377:SHH524381 SRD524377:SRD524381 TAZ524377:TAZ524381 TKV524377:TKV524381 TUR524377:TUR524381 UEN524377:UEN524381 UOJ524377:UOJ524381 UYF524377:UYF524381 VIB524377:VIB524381 VRX524377:VRX524381 WBT524377:WBT524381 WLP524377:WLP524381 WVL524377:WVL524381 D589913:D589917 IZ589913:IZ589917 SV589913:SV589917 ACR589913:ACR589917 AMN589913:AMN589917 AWJ589913:AWJ589917 BGF589913:BGF589917 BQB589913:BQB589917 BZX589913:BZX589917 CJT589913:CJT589917 CTP589913:CTP589917 DDL589913:DDL589917 DNH589913:DNH589917 DXD589913:DXD589917 EGZ589913:EGZ589917 EQV589913:EQV589917 FAR589913:FAR589917 FKN589913:FKN589917 FUJ589913:FUJ589917 GEF589913:GEF589917 GOB589913:GOB589917 GXX589913:GXX589917 HHT589913:HHT589917 HRP589913:HRP589917 IBL589913:IBL589917 ILH589913:ILH589917 IVD589913:IVD589917 JEZ589913:JEZ589917 JOV589913:JOV589917 JYR589913:JYR589917 KIN589913:KIN589917 KSJ589913:KSJ589917 LCF589913:LCF589917 LMB589913:LMB589917 LVX589913:LVX589917 MFT589913:MFT589917 MPP589913:MPP589917 MZL589913:MZL589917 NJH589913:NJH589917 NTD589913:NTD589917 OCZ589913:OCZ589917 OMV589913:OMV589917 OWR589913:OWR589917 PGN589913:PGN589917 PQJ589913:PQJ589917 QAF589913:QAF589917 QKB589913:QKB589917 QTX589913:QTX589917 RDT589913:RDT589917 RNP589913:RNP589917 RXL589913:RXL589917 SHH589913:SHH589917 SRD589913:SRD589917 TAZ589913:TAZ589917 TKV589913:TKV589917 TUR589913:TUR589917 UEN589913:UEN589917 UOJ589913:UOJ589917 UYF589913:UYF589917 VIB589913:VIB589917 VRX589913:VRX589917 WBT589913:WBT589917 WLP589913:WLP589917 WVL589913:WVL589917 D655449:D655453 IZ655449:IZ655453 SV655449:SV655453 ACR655449:ACR655453 AMN655449:AMN655453 AWJ655449:AWJ655453 BGF655449:BGF655453 BQB655449:BQB655453 BZX655449:BZX655453 CJT655449:CJT655453 CTP655449:CTP655453 DDL655449:DDL655453 DNH655449:DNH655453 DXD655449:DXD655453 EGZ655449:EGZ655453 EQV655449:EQV655453 FAR655449:FAR655453 FKN655449:FKN655453 FUJ655449:FUJ655453 GEF655449:GEF655453 GOB655449:GOB655453 GXX655449:GXX655453 HHT655449:HHT655453 HRP655449:HRP655453 IBL655449:IBL655453 ILH655449:ILH655453 IVD655449:IVD655453 JEZ655449:JEZ655453 JOV655449:JOV655453 JYR655449:JYR655453 KIN655449:KIN655453 KSJ655449:KSJ655453 LCF655449:LCF655453 LMB655449:LMB655453 LVX655449:LVX655453 MFT655449:MFT655453 MPP655449:MPP655453 MZL655449:MZL655453 NJH655449:NJH655453 NTD655449:NTD655453 OCZ655449:OCZ655453 OMV655449:OMV655453 OWR655449:OWR655453 PGN655449:PGN655453 PQJ655449:PQJ655453 QAF655449:QAF655453 QKB655449:QKB655453 QTX655449:QTX655453 RDT655449:RDT655453 RNP655449:RNP655453 RXL655449:RXL655453 SHH655449:SHH655453 SRD655449:SRD655453 TAZ655449:TAZ655453 TKV655449:TKV655453 TUR655449:TUR655453 UEN655449:UEN655453 UOJ655449:UOJ655453 UYF655449:UYF655453 VIB655449:VIB655453 VRX655449:VRX655453 WBT655449:WBT655453 WLP655449:WLP655453 WVL655449:WVL655453 D720985:D720989 IZ720985:IZ720989 SV720985:SV720989 ACR720985:ACR720989 AMN720985:AMN720989 AWJ720985:AWJ720989 BGF720985:BGF720989 BQB720985:BQB720989 BZX720985:BZX720989 CJT720985:CJT720989 CTP720985:CTP720989 DDL720985:DDL720989 DNH720985:DNH720989 DXD720985:DXD720989 EGZ720985:EGZ720989 EQV720985:EQV720989 FAR720985:FAR720989 FKN720985:FKN720989 FUJ720985:FUJ720989 GEF720985:GEF720989 GOB720985:GOB720989 GXX720985:GXX720989 HHT720985:HHT720989 HRP720985:HRP720989 IBL720985:IBL720989 ILH720985:ILH720989 IVD720985:IVD720989 JEZ720985:JEZ720989 JOV720985:JOV720989 JYR720985:JYR720989 KIN720985:KIN720989 KSJ720985:KSJ720989 LCF720985:LCF720989 LMB720985:LMB720989 LVX720985:LVX720989 MFT720985:MFT720989 MPP720985:MPP720989 MZL720985:MZL720989 NJH720985:NJH720989 NTD720985:NTD720989 OCZ720985:OCZ720989 OMV720985:OMV720989 OWR720985:OWR720989 PGN720985:PGN720989 PQJ720985:PQJ720989 QAF720985:QAF720989 QKB720985:QKB720989 QTX720985:QTX720989 RDT720985:RDT720989 RNP720985:RNP720989 RXL720985:RXL720989 SHH720985:SHH720989 SRD720985:SRD720989 TAZ720985:TAZ720989 TKV720985:TKV720989 TUR720985:TUR720989 UEN720985:UEN720989 UOJ720985:UOJ720989 UYF720985:UYF720989 VIB720985:VIB720989 VRX720985:VRX720989 WBT720985:WBT720989 WLP720985:WLP720989 WVL720985:WVL720989 D786521:D786525 IZ786521:IZ786525 SV786521:SV786525 ACR786521:ACR786525 AMN786521:AMN786525 AWJ786521:AWJ786525 BGF786521:BGF786525 BQB786521:BQB786525 BZX786521:BZX786525 CJT786521:CJT786525 CTP786521:CTP786525 DDL786521:DDL786525 DNH786521:DNH786525 DXD786521:DXD786525 EGZ786521:EGZ786525 EQV786521:EQV786525 FAR786521:FAR786525 FKN786521:FKN786525 FUJ786521:FUJ786525 GEF786521:GEF786525 GOB786521:GOB786525 GXX786521:GXX786525 HHT786521:HHT786525 HRP786521:HRP786525 IBL786521:IBL786525 ILH786521:ILH786525 IVD786521:IVD786525 JEZ786521:JEZ786525 JOV786521:JOV786525 JYR786521:JYR786525 KIN786521:KIN786525 KSJ786521:KSJ786525 LCF786521:LCF786525 LMB786521:LMB786525 LVX786521:LVX786525 MFT786521:MFT786525 MPP786521:MPP786525 MZL786521:MZL786525 NJH786521:NJH786525 NTD786521:NTD786525 OCZ786521:OCZ786525 OMV786521:OMV786525 OWR786521:OWR786525 PGN786521:PGN786525 PQJ786521:PQJ786525 QAF786521:QAF786525 QKB786521:QKB786525 QTX786521:QTX786525 RDT786521:RDT786525 RNP786521:RNP786525 RXL786521:RXL786525 SHH786521:SHH786525 SRD786521:SRD786525 TAZ786521:TAZ786525 TKV786521:TKV786525 TUR786521:TUR786525 UEN786521:UEN786525 UOJ786521:UOJ786525 UYF786521:UYF786525 VIB786521:VIB786525 VRX786521:VRX786525 WBT786521:WBT786525 WLP786521:WLP786525 WVL786521:WVL786525 D852057:D852061 IZ852057:IZ852061 SV852057:SV852061 ACR852057:ACR852061 AMN852057:AMN852061 AWJ852057:AWJ852061 BGF852057:BGF852061 BQB852057:BQB852061 BZX852057:BZX852061 CJT852057:CJT852061 CTP852057:CTP852061 DDL852057:DDL852061 DNH852057:DNH852061 DXD852057:DXD852061 EGZ852057:EGZ852061 EQV852057:EQV852061 FAR852057:FAR852061 FKN852057:FKN852061 FUJ852057:FUJ852061 GEF852057:GEF852061 GOB852057:GOB852061 GXX852057:GXX852061 HHT852057:HHT852061 HRP852057:HRP852061 IBL852057:IBL852061 ILH852057:ILH852061 IVD852057:IVD852061 JEZ852057:JEZ852061 JOV852057:JOV852061 JYR852057:JYR852061 KIN852057:KIN852061 KSJ852057:KSJ852061 LCF852057:LCF852061 LMB852057:LMB852061 LVX852057:LVX852061 MFT852057:MFT852061 MPP852057:MPP852061 MZL852057:MZL852061 NJH852057:NJH852061 NTD852057:NTD852061 OCZ852057:OCZ852061 OMV852057:OMV852061 OWR852057:OWR852061 PGN852057:PGN852061 PQJ852057:PQJ852061 QAF852057:QAF852061 QKB852057:QKB852061 QTX852057:QTX852061 RDT852057:RDT852061 RNP852057:RNP852061 RXL852057:RXL852061 SHH852057:SHH852061 SRD852057:SRD852061 TAZ852057:TAZ852061 TKV852057:TKV852061 TUR852057:TUR852061 UEN852057:UEN852061 UOJ852057:UOJ852061 UYF852057:UYF852061 VIB852057:VIB852061 VRX852057:VRX852061 WBT852057:WBT852061 WLP852057:WLP852061 WVL852057:WVL852061 D917593:D917597 IZ917593:IZ917597 SV917593:SV917597 ACR917593:ACR917597 AMN917593:AMN917597 AWJ917593:AWJ917597 BGF917593:BGF917597 BQB917593:BQB917597 BZX917593:BZX917597 CJT917593:CJT917597 CTP917593:CTP917597 DDL917593:DDL917597 DNH917593:DNH917597 DXD917593:DXD917597 EGZ917593:EGZ917597 EQV917593:EQV917597 FAR917593:FAR917597 FKN917593:FKN917597 FUJ917593:FUJ917597 GEF917593:GEF917597 GOB917593:GOB917597 GXX917593:GXX917597 HHT917593:HHT917597 HRP917593:HRP917597 IBL917593:IBL917597 ILH917593:ILH917597 IVD917593:IVD917597 JEZ917593:JEZ917597 JOV917593:JOV917597 JYR917593:JYR917597 KIN917593:KIN917597 KSJ917593:KSJ917597 LCF917593:LCF917597 LMB917593:LMB917597 LVX917593:LVX917597 MFT917593:MFT917597 MPP917593:MPP917597 MZL917593:MZL917597 NJH917593:NJH917597 NTD917593:NTD917597 OCZ917593:OCZ917597 OMV917593:OMV917597 OWR917593:OWR917597 PGN917593:PGN917597 PQJ917593:PQJ917597 QAF917593:QAF917597 QKB917593:QKB917597 QTX917593:QTX917597 RDT917593:RDT917597 RNP917593:RNP917597 RXL917593:RXL917597 SHH917593:SHH917597 SRD917593:SRD917597 TAZ917593:TAZ917597 TKV917593:TKV917597 TUR917593:TUR917597 UEN917593:UEN917597 UOJ917593:UOJ917597 UYF917593:UYF917597 VIB917593:VIB917597 VRX917593:VRX917597 WBT917593:WBT917597 WLP917593:WLP917597 WVL917593:WVL917597 D983129:D983133 IZ983129:IZ983133 SV983129:SV983133 ACR983129:ACR983133 AMN983129:AMN983133 AWJ983129:AWJ983133 BGF983129:BGF983133 BQB983129:BQB983133 BZX983129:BZX983133 CJT983129:CJT983133 CTP983129:CTP983133 DDL983129:DDL983133 DNH983129:DNH983133 DXD983129:DXD983133 EGZ983129:EGZ983133 EQV983129:EQV983133 FAR983129:FAR983133 FKN983129:FKN983133 FUJ983129:FUJ983133 GEF983129:GEF983133 GOB983129:GOB983133 GXX983129:GXX983133 HHT983129:HHT983133 HRP983129:HRP983133 IBL983129:IBL983133 ILH983129:ILH983133 IVD983129:IVD983133 JEZ983129:JEZ983133 JOV983129:JOV983133 JYR983129:JYR983133 KIN983129:KIN983133 KSJ983129:KSJ983133 LCF983129:LCF983133 LMB983129:LMB983133 LVX983129:LVX983133 MFT983129:MFT983133 MPP983129:MPP983133 MZL983129:MZL983133 NJH983129:NJH983133 NTD983129:NTD983133 OCZ983129:OCZ983133 OMV983129:OMV983133 OWR983129:OWR983133 PGN983129:PGN983133 PQJ983129:PQJ983133 QAF983129:QAF983133 QKB983129:QKB983133 QTX983129:QTX983133 RDT983129:RDT983133 RNP983129:RNP983133 RXL983129:RXL983133 SHH983129:SHH983133 SRD983129:SRD983133 TAZ983129:TAZ983133 TKV983129:TKV983133 TUR983129:TUR983133 UEN983129:UEN983133 UOJ983129:UOJ983133 UYF983129:UYF983133 VIB983129:VIB983133 VRX983129:VRX983133 WBT983129:WBT983133 WLP983129:WLP983133 WVL983129:WVL983133">
      <formula1>$B$143:$B$149</formula1>
    </dataValidation>
    <dataValidation type="list" allowBlank="1" showInputMessage="1" showErrorMessage="1" sqref="WVY983109:WVY983112 WMC983109:WMC983112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P32:P34 JL32:JL34 TH32:TH34 ADD32:ADD34 AMZ32:AMZ34 AWV32:AWV34 BGR32:BGR34 BQN32:BQN34 CAJ32:CAJ34 CKF32:CKF34 CUB32:CUB34 DDX32:DDX34 DNT32:DNT34 DXP32:DXP34 EHL32:EHL34 ERH32:ERH34 FBD32:FBD34 FKZ32:FKZ34 FUV32:FUV34 GER32:GER34 GON32:GON34 GYJ32:GYJ34 HIF32:HIF34 HSB32:HSB34 IBX32:IBX34 ILT32:ILT34 IVP32:IVP34 JFL32:JFL34 JPH32:JPH34 JZD32:JZD34 KIZ32:KIZ34 KSV32:KSV34 LCR32:LCR34 LMN32:LMN34 LWJ32:LWJ34 MGF32:MGF34 MQB32:MQB34 MZX32:MZX34 NJT32:NJT34 NTP32:NTP34 ODL32:ODL34 ONH32:ONH34 OXD32:OXD34 PGZ32:PGZ34 PQV32:PQV34 QAR32:QAR34 QKN32:QKN34 QUJ32:QUJ34 REF32:REF34 ROB32:ROB34 RXX32:RXX34 SHT32:SHT34 SRP32:SRP34 TBL32:TBL34 TLH32:TLH34 TVD32:TVD34 UEZ32:UEZ34 UOV32:UOV34 UYR32:UYR34 VIN32:VIN34 VSJ32:VSJ34 WCF32:WCF34 WMB32:WMB34 WVX32:WVX34 P65568:P65570 JL65568:JL65570 TH65568:TH65570 ADD65568:ADD65570 AMZ65568:AMZ65570 AWV65568:AWV65570 BGR65568:BGR65570 BQN65568:BQN65570 CAJ65568:CAJ65570 CKF65568:CKF65570 CUB65568:CUB65570 DDX65568:DDX65570 DNT65568:DNT65570 DXP65568:DXP65570 EHL65568:EHL65570 ERH65568:ERH65570 FBD65568:FBD65570 FKZ65568:FKZ65570 FUV65568:FUV65570 GER65568:GER65570 GON65568:GON65570 GYJ65568:GYJ65570 HIF65568:HIF65570 HSB65568:HSB65570 IBX65568:IBX65570 ILT65568:ILT65570 IVP65568:IVP65570 JFL65568:JFL65570 JPH65568:JPH65570 JZD65568:JZD65570 KIZ65568:KIZ65570 KSV65568:KSV65570 LCR65568:LCR65570 LMN65568:LMN65570 LWJ65568:LWJ65570 MGF65568:MGF65570 MQB65568:MQB65570 MZX65568:MZX65570 NJT65568:NJT65570 NTP65568:NTP65570 ODL65568:ODL65570 ONH65568:ONH65570 OXD65568:OXD65570 PGZ65568:PGZ65570 PQV65568:PQV65570 QAR65568:QAR65570 QKN65568:QKN65570 QUJ65568:QUJ65570 REF65568:REF65570 ROB65568:ROB65570 RXX65568:RXX65570 SHT65568:SHT65570 SRP65568:SRP65570 TBL65568:TBL65570 TLH65568:TLH65570 TVD65568:TVD65570 UEZ65568:UEZ65570 UOV65568:UOV65570 UYR65568:UYR65570 VIN65568:VIN65570 VSJ65568:VSJ65570 WCF65568:WCF65570 WMB65568:WMB65570 WVX65568:WVX65570 P131104:P131106 JL131104:JL131106 TH131104:TH131106 ADD131104:ADD131106 AMZ131104:AMZ131106 AWV131104:AWV131106 BGR131104:BGR131106 BQN131104:BQN131106 CAJ131104:CAJ131106 CKF131104:CKF131106 CUB131104:CUB131106 DDX131104:DDX131106 DNT131104:DNT131106 DXP131104:DXP131106 EHL131104:EHL131106 ERH131104:ERH131106 FBD131104:FBD131106 FKZ131104:FKZ131106 FUV131104:FUV131106 GER131104:GER131106 GON131104:GON131106 GYJ131104:GYJ131106 HIF131104:HIF131106 HSB131104:HSB131106 IBX131104:IBX131106 ILT131104:ILT131106 IVP131104:IVP131106 JFL131104:JFL131106 JPH131104:JPH131106 JZD131104:JZD131106 KIZ131104:KIZ131106 KSV131104:KSV131106 LCR131104:LCR131106 LMN131104:LMN131106 LWJ131104:LWJ131106 MGF131104:MGF131106 MQB131104:MQB131106 MZX131104:MZX131106 NJT131104:NJT131106 NTP131104:NTP131106 ODL131104:ODL131106 ONH131104:ONH131106 OXD131104:OXD131106 PGZ131104:PGZ131106 PQV131104:PQV131106 QAR131104:QAR131106 QKN131104:QKN131106 QUJ131104:QUJ131106 REF131104:REF131106 ROB131104:ROB131106 RXX131104:RXX131106 SHT131104:SHT131106 SRP131104:SRP131106 TBL131104:TBL131106 TLH131104:TLH131106 TVD131104:TVD131106 UEZ131104:UEZ131106 UOV131104:UOV131106 UYR131104:UYR131106 VIN131104:VIN131106 VSJ131104:VSJ131106 WCF131104:WCF131106 WMB131104:WMB131106 WVX131104:WVX131106 P196640:P196642 JL196640:JL196642 TH196640:TH196642 ADD196640:ADD196642 AMZ196640:AMZ196642 AWV196640:AWV196642 BGR196640:BGR196642 BQN196640:BQN196642 CAJ196640:CAJ196642 CKF196640:CKF196642 CUB196640:CUB196642 DDX196640:DDX196642 DNT196640:DNT196642 DXP196640:DXP196642 EHL196640:EHL196642 ERH196640:ERH196642 FBD196640:FBD196642 FKZ196640:FKZ196642 FUV196640:FUV196642 GER196640:GER196642 GON196640:GON196642 GYJ196640:GYJ196642 HIF196640:HIF196642 HSB196640:HSB196642 IBX196640:IBX196642 ILT196640:ILT196642 IVP196640:IVP196642 JFL196640:JFL196642 JPH196640:JPH196642 JZD196640:JZD196642 KIZ196640:KIZ196642 KSV196640:KSV196642 LCR196640:LCR196642 LMN196640:LMN196642 LWJ196640:LWJ196642 MGF196640:MGF196642 MQB196640:MQB196642 MZX196640:MZX196642 NJT196640:NJT196642 NTP196640:NTP196642 ODL196640:ODL196642 ONH196640:ONH196642 OXD196640:OXD196642 PGZ196640:PGZ196642 PQV196640:PQV196642 QAR196640:QAR196642 QKN196640:QKN196642 QUJ196640:QUJ196642 REF196640:REF196642 ROB196640:ROB196642 RXX196640:RXX196642 SHT196640:SHT196642 SRP196640:SRP196642 TBL196640:TBL196642 TLH196640:TLH196642 TVD196640:TVD196642 UEZ196640:UEZ196642 UOV196640:UOV196642 UYR196640:UYR196642 VIN196640:VIN196642 VSJ196640:VSJ196642 WCF196640:WCF196642 WMB196640:WMB196642 WVX196640:WVX196642 P262176:P262178 JL262176:JL262178 TH262176:TH262178 ADD262176:ADD262178 AMZ262176:AMZ262178 AWV262176:AWV262178 BGR262176:BGR262178 BQN262176:BQN262178 CAJ262176:CAJ262178 CKF262176:CKF262178 CUB262176:CUB262178 DDX262176:DDX262178 DNT262176:DNT262178 DXP262176:DXP262178 EHL262176:EHL262178 ERH262176:ERH262178 FBD262176:FBD262178 FKZ262176:FKZ262178 FUV262176:FUV262178 GER262176:GER262178 GON262176:GON262178 GYJ262176:GYJ262178 HIF262176:HIF262178 HSB262176:HSB262178 IBX262176:IBX262178 ILT262176:ILT262178 IVP262176:IVP262178 JFL262176:JFL262178 JPH262176:JPH262178 JZD262176:JZD262178 KIZ262176:KIZ262178 KSV262176:KSV262178 LCR262176:LCR262178 LMN262176:LMN262178 LWJ262176:LWJ262178 MGF262176:MGF262178 MQB262176:MQB262178 MZX262176:MZX262178 NJT262176:NJT262178 NTP262176:NTP262178 ODL262176:ODL262178 ONH262176:ONH262178 OXD262176:OXD262178 PGZ262176:PGZ262178 PQV262176:PQV262178 QAR262176:QAR262178 QKN262176:QKN262178 QUJ262176:QUJ262178 REF262176:REF262178 ROB262176:ROB262178 RXX262176:RXX262178 SHT262176:SHT262178 SRP262176:SRP262178 TBL262176:TBL262178 TLH262176:TLH262178 TVD262176:TVD262178 UEZ262176:UEZ262178 UOV262176:UOV262178 UYR262176:UYR262178 VIN262176:VIN262178 VSJ262176:VSJ262178 WCF262176:WCF262178 WMB262176:WMB262178 WVX262176:WVX262178 P327712:P327714 JL327712:JL327714 TH327712:TH327714 ADD327712:ADD327714 AMZ327712:AMZ327714 AWV327712:AWV327714 BGR327712:BGR327714 BQN327712:BQN327714 CAJ327712:CAJ327714 CKF327712:CKF327714 CUB327712:CUB327714 DDX327712:DDX327714 DNT327712:DNT327714 DXP327712:DXP327714 EHL327712:EHL327714 ERH327712:ERH327714 FBD327712:FBD327714 FKZ327712:FKZ327714 FUV327712:FUV327714 GER327712:GER327714 GON327712:GON327714 GYJ327712:GYJ327714 HIF327712:HIF327714 HSB327712:HSB327714 IBX327712:IBX327714 ILT327712:ILT327714 IVP327712:IVP327714 JFL327712:JFL327714 JPH327712:JPH327714 JZD327712:JZD327714 KIZ327712:KIZ327714 KSV327712:KSV327714 LCR327712:LCR327714 LMN327712:LMN327714 LWJ327712:LWJ327714 MGF327712:MGF327714 MQB327712:MQB327714 MZX327712:MZX327714 NJT327712:NJT327714 NTP327712:NTP327714 ODL327712:ODL327714 ONH327712:ONH327714 OXD327712:OXD327714 PGZ327712:PGZ327714 PQV327712:PQV327714 QAR327712:QAR327714 QKN327712:QKN327714 QUJ327712:QUJ327714 REF327712:REF327714 ROB327712:ROB327714 RXX327712:RXX327714 SHT327712:SHT327714 SRP327712:SRP327714 TBL327712:TBL327714 TLH327712:TLH327714 TVD327712:TVD327714 UEZ327712:UEZ327714 UOV327712:UOV327714 UYR327712:UYR327714 VIN327712:VIN327714 VSJ327712:VSJ327714 WCF327712:WCF327714 WMB327712:WMB327714 WVX327712:WVX327714 P393248:P393250 JL393248:JL393250 TH393248:TH393250 ADD393248:ADD393250 AMZ393248:AMZ393250 AWV393248:AWV393250 BGR393248:BGR393250 BQN393248:BQN393250 CAJ393248:CAJ393250 CKF393248:CKF393250 CUB393248:CUB393250 DDX393248:DDX393250 DNT393248:DNT393250 DXP393248:DXP393250 EHL393248:EHL393250 ERH393248:ERH393250 FBD393248:FBD393250 FKZ393248:FKZ393250 FUV393248:FUV393250 GER393248:GER393250 GON393248:GON393250 GYJ393248:GYJ393250 HIF393248:HIF393250 HSB393248:HSB393250 IBX393248:IBX393250 ILT393248:ILT393250 IVP393248:IVP393250 JFL393248:JFL393250 JPH393248:JPH393250 JZD393248:JZD393250 KIZ393248:KIZ393250 KSV393248:KSV393250 LCR393248:LCR393250 LMN393248:LMN393250 LWJ393248:LWJ393250 MGF393248:MGF393250 MQB393248:MQB393250 MZX393248:MZX393250 NJT393248:NJT393250 NTP393248:NTP393250 ODL393248:ODL393250 ONH393248:ONH393250 OXD393248:OXD393250 PGZ393248:PGZ393250 PQV393248:PQV393250 QAR393248:QAR393250 QKN393248:QKN393250 QUJ393248:QUJ393250 REF393248:REF393250 ROB393248:ROB393250 RXX393248:RXX393250 SHT393248:SHT393250 SRP393248:SRP393250 TBL393248:TBL393250 TLH393248:TLH393250 TVD393248:TVD393250 UEZ393248:UEZ393250 UOV393248:UOV393250 UYR393248:UYR393250 VIN393248:VIN393250 VSJ393248:VSJ393250 WCF393248:WCF393250 WMB393248:WMB393250 WVX393248:WVX393250 P458784:P458786 JL458784:JL458786 TH458784:TH458786 ADD458784:ADD458786 AMZ458784:AMZ458786 AWV458784:AWV458786 BGR458784:BGR458786 BQN458784:BQN458786 CAJ458784:CAJ458786 CKF458784:CKF458786 CUB458784:CUB458786 DDX458784:DDX458786 DNT458784:DNT458786 DXP458784:DXP458786 EHL458784:EHL458786 ERH458784:ERH458786 FBD458784:FBD458786 FKZ458784:FKZ458786 FUV458784:FUV458786 GER458784:GER458786 GON458784:GON458786 GYJ458784:GYJ458786 HIF458784:HIF458786 HSB458784:HSB458786 IBX458784:IBX458786 ILT458784:ILT458786 IVP458784:IVP458786 JFL458784:JFL458786 JPH458784:JPH458786 JZD458784:JZD458786 KIZ458784:KIZ458786 KSV458784:KSV458786 LCR458784:LCR458786 LMN458784:LMN458786 LWJ458784:LWJ458786 MGF458784:MGF458786 MQB458784:MQB458786 MZX458784:MZX458786 NJT458784:NJT458786 NTP458784:NTP458786 ODL458784:ODL458786 ONH458784:ONH458786 OXD458784:OXD458786 PGZ458784:PGZ458786 PQV458784:PQV458786 QAR458784:QAR458786 QKN458784:QKN458786 QUJ458784:QUJ458786 REF458784:REF458786 ROB458784:ROB458786 RXX458784:RXX458786 SHT458784:SHT458786 SRP458784:SRP458786 TBL458784:TBL458786 TLH458784:TLH458786 TVD458784:TVD458786 UEZ458784:UEZ458786 UOV458784:UOV458786 UYR458784:UYR458786 VIN458784:VIN458786 VSJ458784:VSJ458786 WCF458784:WCF458786 WMB458784:WMB458786 WVX458784:WVX458786 P524320:P524322 JL524320:JL524322 TH524320:TH524322 ADD524320:ADD524322 AMZ524320:AMZ524322 AWV524320:AWV524322 BGR524320:BGR524322 BQN524320:BQN524322 CAJ524320:CAJ524322 CKF524320:CKF524322 CUB524320:CUB524322 DDX524320:DDX524322 DNT524320:DNT524322 DXP524320:DXP524322 EHL524320:EHL524322 ERH524320:ERH524322 FBD524320:FBD524322 FKZ524320:FKZ524322 FUV524320:FUV524322 GER524320:GER524322 GON524320:GON524322 GYJ524320:GYJ524322 HIF524320:HIF524322 HSB524320:HSB524322 IBX524320:IBX524322 ILT524320:ILT524322 IVP524320:IVP524322 JFL524320:JFL524322 JPH524320:JPH524322 JZD524320:JZD524322 KIZ524320:KIZ524322 KSV524320:KSV524322 LCR524320:LCR524322 LMN524320:LMN524322 LWJ524320:LWJ524322 MGF524320:MGF524322 MQB524320:MQB524322 MZX524320:MZX524322 NJT524320:NJT524322 NTP524320:NTP524322 ODL524320:ODL524322 ONH524320:ONH524322 OXD524320:OXD524322 PGZ524320:PGZ524322 PQV524320:PQV524322 QAR524320:QAR524322 QKN524320:QKN524322 QUJ524320:QUJ524322 REF524320:REF524322 ROB524320:ROB524322 RXX524320:RXX524322 SHT524320:SHT524322 SRP524320:SRP524322 TBL524320:TBL524322 TLH524320:TLH524322 TVD524320:TVD524322 UEZ524320:UEZ524322 UOV524320:UOV524322 UYR524320:UYR524322 VIN524320:VIN524322 VSJ524320:VSJ524322 WCF524320:WCF524322 WMB524320:WMB524322 WVX524320:WVX524322 P589856:P589858 JL589856:JL589858 TH589856:TH589858 ADD589856:ADD589858 AMZ589856:AMZ589858 AWV589856:AWV589858 BGR589856:BGR589858 BQN589856:BQN589858 CAJ589856:CAJ589858 CKF589856:CKF589858 CUB589856:CUB589858 DDX589856:DDX589858 DNT589856:DNT589858 DXP589856:DXP589858 EHL589856:EHL589858 ERH589856:ERH589858 FBD589856:FBD589858 FKZ589856:FKZ589858 FUV589856:FUV589858 GER589856:GER589858 GON589856:GON589858 GYJ589856:GYJ589858 HIF589856:HIF589858 HSB589856:HSB589858 IBX589856:IBX589858 ILT589856:ILT589858 IVP589856:IVP589858 JFL589856:JFL589858 JPH589856:JPH589858 JZD589856:JZD589858 KIZ589856:KIZ589858 KSV589856:KSV589858 LCR589856:LCR589858 LMN589856:LMN589858 LWJ589856:LWJ589858 MGF589856:MGF589858 MQB589856:MQB589858 MZX589856:MZX589858 NJT589856:NJT589858 NTP589856:NTP589858 ODL589856:ODL589858 ONH589856:ONH589858 OXD589856:OXD589858 PGZ589856:PGZ589858 PQV589856:PQV589858 QAR589856:QAR589858 QKN589856:QKN589858 QUJ589856:QUJ589858 REF589856:REF589858 ROB589856:ROB589858 RXX589856:RXX589858 SHT589856:SHT589858 SRP589856:SRP589858 TBL589856:TBL589858 TLH589856:TLH589858 TVD589856:TVD589858 UEZ589856:UEZ589858 UOV589856:UOV589858 UYR589856:UYR589858 VIN589856:VIN589858 VSJ589856:VSJ589858 WCF589856:WCF589858 WMB589856:WMB589858 WVX589856:WVX589858 P655392:P655394 JL655392:JL655394 TH655392:TH655394 ADD655392:ADD655394 AMZ655392:AMZ655394 AWV655392:AWV655394 BGR655392:BGR655394 BQN655392:BQN655394 CAJ655392:CAJ655394 CKF655392:CKF655394 CUB655392:CUB655394 DDX655392:DDX655394 DNT655392:DNT655394 DXP655392:DXP655394 EHL655392:EHL655394 ERH655392:ERH655394 FBD655392:FBD655394 FKZ655392:FKZ655394 FUV655392:FUV655394 GER655392:GER655394 GON655392:GON655394 GYJ655392:GYJ655394 HIF655392:HIF655394 HSB655392:HSB655394 IBX655392:IBX655394 ILT655392:ILT655394 IVP655392:IVP655394 JFL655392:JFL655394 JPH655392:JPH655394 JZD655392:JZD655394 KIZ655392:KIZ655394 KSV655392:KSV655394 LCR655392:LCR655394 LMN655392:LMN655394 LWJ655392:LWJ655394 MGF655392:MGF655394 MQB655392:MQB655394 MZX655392:MZX655394 NJT655392:NJT655394 NTP655392:NTP655394 ODL655392:ODL655394 ONH655392:ONH655394 OXD655392:OXD655394 PGZ655392:PGZ655394 PQV655392:PQV655394 QAR655392:QAR655394 QKN655392:QKN655394 QUJ655392:QUJ655394 REF655392:REF655394 ROB655392:ROB655394 RXX655392:RXX655394 SHT655392:SHT655394 SRP655392:SRP655394 TBL655392:TBL655394 TLH655392:TLH655394 TVD655392:TVD655394 UEZ655392:UEZ655394 UOV655392:UOV655394 UYR655392:UYR655394 VIN655392:VIN655394 VSJ655392:VSJ655394 WCF655392:WCF655394 WMB655392:WMB655394 WVX655392:WVX655394 P720928:P720930 JL720928:JL720930 TH720928:TH720930 ADD720928:ADD720930 AMZ720928:AMZ720930 AWV720928:AWV720930 BGR720928:BGR720930 BQN720928:BQN720930 CAJ720928:CAJ720930 CKF720928:CKF720930 CUB720928:CUB720930 DDX720928:DDX720930 DNT720928:DNT720930 DXP720928:DXP720930 EHL720928:EHL720930 ERH720928:ERH720930 FBD720928:FBD720930 FKZ720928:FKZ720930 FUV720928:FUV720930 GER720928:GER720930 GON720928:GON720930 GYJ720928:GYJ720930 HIF720928:HIF720930 HSB720928:HSB720930 IBX720928:IBX720930 ILT720928:ILT720930 IVP720928:IVP720930 JFL720928:JFL720930 JPH720928:JPH720930 JZD720928:JZD720930 KIZ720928:KIZ720930 KSV720928:KSV720930 LCR720928:LCR720930 LMN720928:LMN720930 LWJ720928:LWJ720930 MGF720928:MGF720930 MQB720928:MQB720930 MZX720928:MZX720930 NJT720928:NJT720930 NTP720928:NTP720930 ODL720928:ODL720930 ONH720928:ONH720930 OXD720928:OXD720930 PGZ720928:PGZ720930 PQV720928:PQV720930 QAR720928:QAR720930 QKN720928:QKN720930 QUJ720928:QUJ720930 REF720928:REF720930 ROB720928:ROB720930 RXX720928:RXX720930 SHT720928:SHT720930 SRP720928:SRP720930 TBL720928:TBL720930 TLH720928:TLH720930 TVD720928:TVD720930 UEZ720928:UEZ720930 UOV720928:UOV720930 UYR720928:UYR720930 VIN720928:VIN720930 VSJ720928:VSJ720930 WCF720928:WCF720930 WMB720928:WMB720930 WVX720928:WVX720930 P786464:P786466 JL786464:JL786466 TH786464:TH786466 ADD786464:ADD786466 AMZ786464:AMZ786466 AWV786464:AWV786466 BGR786464:BGR786466 BQN786464:BQN786466 CAJ786464:CAJ786466 CKF786464:CKF786466 CUB786464:CUB786466 DDX786464:DDX786466 DNT786464:DNT786466 DXP786464:DXP786466 EHL786464:EHL786466 ERH786464:ERH786466 FBD786464:FBD786466 FKZ786464:FKZ786466 FUV786464:FUV786466 GER786464:GER786466 GON786464:GON786466 GYJ786464:GYJ786466 HIF786464:HIF786466 HSB786464:HSB786466 IBX786464:IBX786466 ILT786464:ILT786466 IVP786464:IVP786466 JFL786464:JFL786466 JPH786464:JPH786466 JZD786464:JZD786466 KIZ786464:KIZ786466 KSV786464:KSV786466 LCR786464:LCR786466 LMN786464:LMN786466 LWJ786464:LWJ786466 MGF786464:MGF786466 MQB786464:MQB786466 MZX786464:MZX786466 NJT786464:NJT786466 NTP786464:NTP786466 ODL786464:ODL786466 ONH786464:ONH786466 OXD786464:OXD786466 PGZ786464:PGZ786466 PQV786464:PQV786466 QAR786464:QAR786466 QKN786464:QKN786466 QUJ786464:QUJ786466 REF786464:REF786466 ROB786464:ROB786466 RXX786464:RXX786466 SHT786464:SHT786466 SRP786464:SRP786466 TBL786464:TBL786466 TLH786464:TLH786466 TVD786464:TVD786466 UEZ786464:UEZ786466 UOV786464:UOV786466 UYR786464:UYR786466 VIN786464:VIN786466 VSJ786464:VSJ786466 WCF786464:WCF786466 WMB786464:WMB786466 WVX786464:WVX786466 P852000:P852002 JL852000:JL852002 TH852000:TH852002 ADD852000:ADD852002 AMZ852000:AMZ852002 AWV852000:AWV852002 BGR852000:BGR852002 BQN852000:BQN852002 CAJ852000:CAJ852002 CKF852000:CKF852002 CUB852000:CUB852002 DDX852000:DDX852002 DNT852000:DNT852002 DXP852000:DXP852002 EHL852000:EHL852002 ERH852000:ERH852002 FBD852000:FBD852002 FKZ852000:FKZ852002 FUV852000:FUV852002 GER852000:GER852002 GON852000:GON852002 GYJ852000:GYJ852002 HIF852000:HIF852002 HSB852000:HSB852002 IBX852000:IBX852002 ILT852000:ILT852002 IVP852000:IVP852002 JFL852000:JFL852002 JPH852000:JPH852002 JZD852000:JZD852002 KIZ852000:KIZ852002 KSV852000:KSV852002 LCR852000:LCR852002 LMN852000:LMN852002 LWJ852000:LWJ852002 MGF852000:MGF852002 MQB852000:MQB852002 MZX852000:MZX852002 NJT852000:NJT852002 NTP852000:NTP852002 ODL852000:ODL852002 ONH852000:ONH852002 OXD852000:OXD852002 PGZ852000:PGZ852002 PQV852000:PQV852002 QAR852000:QAR852002 QKN852000:QKN852002 QUJ852000:QUJ852002 REF852000:REF852002 ROB852000:ROB852002 RXX852000:RXX852002 SHT852000:SHT852002 SRP852000:SRP852002 TBL852000:TBL852002 TLH852000:TLH852002 TVD852000:TVD852002 UEZ852000:UEZ852002 UOV852000:UOV852002 UYR852000:UYR852002 VIN852000:VIN852002 VSJ852000:VSJ852002 WCF852000:WCF852002 WMB852000:WMB852002 WVX852000:WVX852002 P917536:P917538 JL917536:JL917538 TH917536:TH917538 ADD917536:ADD917538 AMZ917536:AMZ917538 AWV917536:AWV917538 BGR917536:BGR917538 BQN917536:BQN917538 CAJ917536:CAJ917538 CKF917536:CKF917538 CUB917536:CUB917538 DDX917536:DDX917538 DNT917536:DNT917538 DXP917536:DXP917538 EHL917536:EHL917538 ERH917536:ERH917538 FBD917536:FBD917538 FKZ917536:FKZ917538 FUV917536:FUV917538 GER917536:GER917538 GON917536:GON917538 GYJ917536:GYJ917538 HIF917536:HIF917538 HSB917536:HSB917538 IBX917536:IBX917538 ILT917536:ILT917538 IVP917536:IVP917538 JFL917536:JFL917538 JPH917536:JPH917538 JZD917536:JZD917538 KIZ917536:KIZ917538 KSV917536:KSV917538 LCR917536:LCR917538 LMN917536:LMN917538 LWJ917536:LWJ917538 MGF917536:MGF917538 MQB917536:MQB917538 MZX917536:MZX917538 NJT917536:NJT917538 NTP917536:NTP917538 ODL917536:ODL917538 ONH917536:ONH917538 OXD917536:OXD917538 PGZ917536:PGZ917538 PQV917536:PQV917538 QAR917536:QAR917538 QKN917536:QKN917538 QUJ917536:QUJ917538 REF917536:REF917538 ROB917536:ROB917538 RXX917536:RXX917538 SHT917536:SHT917538 SRP917536:SRP917538 TBL917536:TBL917538 TLH917536:TLH917538 TVD917536:TVD917538 UEZ917536:UEZ917538 UOV917536:UOV917538 UYR917536:UYR917538 VIN917536:VIN917538 VSJ917536:VSJ917538 WCF917536:WCF917538 WMB917536:WMB917538 WVX917536:WVX917538 P983072:P983074 JL983072:JL983074 TH983072:TH983074 ADD983072:ADD983074 AMZ983072:AMZ983074 AWV983072:AWV983074 BGR983072:BGR983074 BQN983072:BQN983074 CAJ983072:CAJ983074 CKF983072:CKF983074 CUB983072:CUB983074 DDX983072:DDX983074 DNT983072:DNT983074 DXP983072:DXP983074 EHL983072:EHL983074 ERH983072:ERH983074 FBD983072:FBD983074 FKZ983072:FKZ983074 FUV983072:FUV983074 GER983072:GER983074 GON983072:GON983074 GYJ983072:GYJ983074 HIF983072:HIF983074 HSB983072:HSB983074 IBX983072:IBX983074 ILT983072:ILT983074 IVP983072:IVP983074 JFL983072:JFL983074 JPH983072:JPH983074 JZD983072:JZD983074 KIZ983072:KIZ983074 KSV983072:KSV983074 LCR983072:LCR983074 LMN983072:LMN983074 LWJ983072:LWJ983074 MGF983072:MGF983074 MQB983072:MQB983074 MZX983072:MZX983074 NJT983072:NJT983074 NTP983072:NTP983074 ODL983072:ODL983074 ONH983072:ONH983074 OXD983072:OXD983074 PGZ983072:PGZ983074 PQV983072:PQV983074 QAR983072:QAR983074 QKN983072:QKN983074 QUJ983072:QUJ983074 REF983072:REF983074 ROB983072:ROB983074 RXX983072:RXX983074 SHT983072:SHT983074 SRP983072:SRP983074 TBL983072:TBL983074 TLH983072:TLH983074 TVD983072:TVD983074 UEZ983072:UEZ983074 UOV983072:UOV983074 UYR983072:UYR983074 VIN983072:VIN983074 VSJ983072:VSJ983074 WCF983072:WCF983074 WMB983072:WMB983074 WVX983072:WVX983074 P36:Q44 JL36:JM44 TH36:TI44 ADD36:ADE44 AMZ36:ANA44 AWV36:AWW44 BGR36:BGS44 BQN36:BQO44 CAJ36:CAK44 CKF36:CKG44 CUB36:CUC44 DDX36:DDY44 DNT36:DNU44 DXP36:DXQ44 EHL36:EHM44 ERH36:ERI44 FBD36:FBE44 FKZ36:FLA44 FUV36:FUW44 GER36:GES44 GON36:GOO44 GYJ36:GYK44 HIF36:HIG44 HSB36:HSC44 IBX36:IBY44 ILT36:ILU44 IVP36:IVQ44 JFL36:JFM44 JPH36:JPI44 JZD36:JZE44 KIZ36:KJA44 KSV36:KSW44 LCR36:LCS44 LMN36:LMO44 LWJ36:LWK44 MGF36:MGG44 MQB36:MQC44 MZX36:MZY44 NJT36:NJU44 NTP36:NTQ44 ODL36:ODM44 ONH36:ONI44 OXD36:OXE44 PGZ36:PHA44 PQV36:PQW44 QAR36:QAS44 QKN36:QKO44 QUJ36:QUK44 REF36:REG44 ROB36:ROC44 RXX36:RXY44 SHT36:SHU44 SRP36:SRQ44 TBL36:TBM44 TLH36:TLI44 TVD36:TVE44 UEZ36:UFA44 UOV36:UOW44 UYR36:UYS44 VIN36:VIO44 VSJ36:VSK44 WCF36:WCG44 WMB36:WMC44 WVX36:WVY44 P65572:Q65580 JL65572:JM65580 TH65572:TI65580 ADD65572:ADE65580 AMZ65572:ANA65580 AWV65572:AWW65580 BGR65572:BGS65580 BQN65572:BQO65580 CAJ65572:CAK65580 CKF65572:CKG65580 CUB65572:CUC65580 DDX65572:DDY65580 DNT65572:DNU65580 DXP65572:DXQ65580 EHL65572:EHM65580 ERH65572:ERI65580 FBD65572:FBE65580 FKZ65572:FLA65580 FUV65572:FUW65580 GER65572:GES65580 GON65572:GOO65580 GYJ65572:GYK65580 HIF65572:HIG65580 HSB65572:HSC65580 IBX65572:IBY65580 ILT65572:ILU65580 IVP65572:IVQ65580 JFL65572:JFM65580 JPH65572:JPI65580 JZD65572:JZE65580 KIZ65572:KJA65580 KSV65572:KSW65580 LCR65572:LCS65580 LMN65572:LMO65580 LWJ65572:LWK65580 MGF65572:MGG65580 MQB65572:MQC65580 MZX65572:MZY65580 NJT65572:NJU65580 NTP65572:NTQ65580 ODL65572:ODM65580 ONH65572:ONI65580 OXD65572:OXE65580 PGZ65572:PHA65580 PQV65572:PQW65580 QAR65572:QAS65580 QKN65572:QKO65580 QUJ65572:QUK65580 REF65572:REG65580 ROB65572:ROC65580 RXX65572:RXY65580 SHT65572:SHU65580 SRP65572:SRQ65580 TBL65572:TBM65580 TLH65572:TLI65580 TVD65572:TVE65580 UEZ65572:UFA65580 UOV65572:UOW65580 UYR65572:UYS65580 VIN65572:VIO65580 VSJ65572:VSK65580 WCF65572:WCG65580 WMB65572:WMC65580 WVX65572:WVY65580 P131108:Q131116 JL131108:JM131116 TH131108:TI131116 ADD131108:ADE131116 AMZ131108:ANA131116 AWV131108:AWW131116 BGR131108:BGS131116 BQN131108:BQO131116 CAJ131108:CAK131116 CKF131108:CKG131116 CUB131108:CUC131116 DDX131108:DDY131116 DNT131108:DNU131116 DXP131108:DXQ131116 EHL131108:EHM131116 ERH131108:ERI131116 FBD131108:FBE131116 FKZ131108:FLA131116 FUV131108:FUW131116 GER131108:GES131116 GON131108:GOO131116 GYJ131108:GYK131116 HIF131108:HIG131116 HSB131108:HSC131116 IBX131108:IBY131116 ILT131108:ILU131116 IVP131108:IVQ131116 JFL131108:JFM131116 JPH131108:JPI131116 JZD131108:JZE131116 KIZ131108:KJA131116 KSV131108:KSW131116 LCR131108:LCS131116 LMN131108:LMO131116 LWJ131108:LWK131116 MGF131108:MGG131116 MQB131108:MQC131116 MZX131108:MZY131116 NJT131108:NJU131116 NTP131108:NTQ131116 ODL131108:ODM131116 ONH131108:ONI131116 OXD131108:OXE131116 PGZ131108:PHA131116 PQV131108:PQW131116 QAR131108:QAS131116 QKN131108:QKO131116 QUJ131108:QUK131116 REF131108:REG131116 ROB131108:ROC131116 RXX131108:RXY131116 SHT131108:SHU131116 SRP131108:SRQ131116 TBL131108:TBM131116 TLH131108:TLI131116 TVD131108:TVE131116 UEZ131108:UFA131116 UOV131108:UOW131116 UYR131108:UYS131116 VIN131108:VIO131116 VSJ131108:VSK131116 WCF131108:WCG131116 WMB131108:WMC131116 WVX131108:WVY131116 P196644:Q196652 JL196644:JM196652 TH196644:TI196652 ADD196644:ADE196652 AMZ196644:ANA196652 AWV196644:AWW196652 BGR196644:BGS196652 BQN196644:BQO196652 CAJ196644:CAK196652 CKF196644:CKG196652 CUB196644:CUC196652 DDX196644:DDY196652 DNT196644:DNU196652 DXP196644:DXQ196652 EHL196644:EHM196652 ERH196644:ERI196652 FBD196644:FBE196652 FKZ196644:FLA196652 FUV196644:FUW196652 GER196644:GES196652 GON196644:GOO196652 GYJ196644:GYK196652 HIF196644:HIG196652 HSB196644:HSC196652 IBX196644:IBY196652 ILT196644:ILU196652 IVP196644:IVQ196652 JFL196644:JFM196652 JPH196644:JPI196652 JZD196644:JZE196652 KIZ196644:KJA196652 KSV196644:KSW196652 LCR196644:LCS196652 LMN196644:LMO196652 LWJ196644:LWK196652 MGF196644:MGG196652 MQB196644:MQC196652 MZX196644:MZY196652 NJT196644:NJU196652 NTP196644:NTQ196652 ODL196644:ODM196652 ONH196644:ONI196652 OXD196644:OXE196652 PGZ196644:PHA196652 PQV196644:PQW196652 QAR196644:QAS196652 QKN196644:QKO196652 QUJ196644:QUK196652 REF196644:REG196652 ROB196644:ROC196652 RXX196644:RXY196652 SHT196644:SHU196652 SRP196644:SRQ196652 TBL196644:TBM196652 TLH196644:TLI196652 TVD196644:TVE196652 UEZ196644:UFA196652 UOV196644:UOW196652 UYR196644:UYS196652 VIN196644:VIO196652 VSJ196644:VSK196652 WCF196644:WCG196652 WMB196644:WMC196652 WVX196644:WVY196652 P262180:Q262188 JL262180:JM262188 TH262180:TI262188 ADD262180:ADE262188 AMZ262180:ANA262188 AWV262180:AWW262188 BGR262180:BGS262188 BQN262180:BQO262188 CAJ262180:CAK262188 CKF262180:CKG262188 CUB262180:CUC262188 DDX262180:DDY262188 DNT262180:DNU262188 DXP262180:DXQ262188 EHL262180:EHM262188 ERH262180:ERI262188 FBD262180:FBE262188 FKZ262180:FLA262188 FUV262180:FUW262188 GER262180:GES262188 GON262180:GOO262188 GYJ262180:GYK262188 HIF262180:HIG262188 HSB262180:HSC262188 IBX262180:IBY262188 ILT262180:ILU262188 IVP262180:IVQ262188 JFL262180:JFM262188 JPH262180:JPI262188 JZD262180:JZE262188 KIZ262180:KJA262188 KSV262180:KSW262188 LCR262180:LCS262188 LMN262180:LMO262188 LWJ262180:LWK262188 MGF262180:MGG262188 MQB262180:MQC262188 MZX262180:MZY262188 NJT262180:NJU262188 NTP262180:NTQ262188 ODL262180:ODM262188 ONH262180:ONI262188 OXD262180:OXE262188 PGZ262180:PHA262188 PQV262180:PQW262188 QAR262180:QAS262188 QKN262180:QKO262188 QUJ262180:QUK262188 REF262180:REG262188 ROB262180:ROC262188 RXX262180:RXY262188 SHT262180:SHU262188 SRP262180:SRQ262188 TBL262180:TBM262188 TLH262180:TLI262188 TVD262180:TVE262188 UEZ262180:UFA262188 UOV262180:UOW262188 UYR262180:UYS262188 VIN262180:VIO262188 VSJ262180:VSK262188 WCF262180:WCG262188 WMB262180:WMC262188 WVX262180:WVY262188 P327716:Q327724 JL327716:JM327724 TH327716:TI327724 ADD327716:ADE327724 AMZ327716:ANA327724 AWV327716:AWW327724 BGR327716:BGS327724 BQN327716:BQO327724 CAJ327716:CAK327724 CKF327716:CKG327724 CUB327716:CUC327724 DDX327716:DDY327724 DNT327716:DNU327724 DXP327716:DXQ327724 EHL327716:EHM327724 ERH327716:ERI327724 FBD327716:FBE327724 FKZ327716:FLA327724 FUV327716:FUW327724 GER327716:GES327724 GON327716:GOO327724 GYJ327716:GYK327724 HIF327716:HIG327724 HSB327716:HSC327724 IBX327716:IBY327724 ILT327716:ILU327724 IVP327716:IVQ327724 JFL327716:JFM327724 JPH327716:JPI327724 JZD327716:JZE327724 KIZ327716:KJA327724 KSV327716:KSW327724 LCR327716:LCS327724 LMN327716:LMO327724 LWJ327716:LWK327724 MGF327716:MGG327724 MQB327716:MQC327724 MZX327716:MZY327724 NJT327716:NJU327724 NTP327716:NTQ327724 ODL327716:ODM327724 ONH327716:ONI327724 OXD327716:OXE327724 PGZ327716:PHA327724 PQV327716:PQW327724 QAR327716:QAS327724 QKN327716:QKO327724 QUJ327716:QUK327724 REF327716:REG327724 ROB327716:ROC327724 RXX327716:RXY327724 SHT327716:SHU327724 SRP327716:SRQ327724 TBL327716:TBM327724 TLH327716:TLI327724 TVD327716:TVE327724 UEZ327716:UFA327724 UOV327716:UOW327724 UYR327716:UYS327724 VIN327716:VIO327724 VSJ327716:VSK327724 WCF327716:WCG327724 WMB327716:WMC327724 WVX327716:WVY327724 P393252:Q393260 JL393252:JM393260 TH393252:TI393260 ADD393252:ADE393260 AMZ393252:ANA393260 AWV393252:AWW393260 BGR393252:BGS393260 BQN393252:BQO393260 CAJ393252:CAK393260 CKF393252:CKG393260 CUB393252:CUC393260 DDX393252:DDY393260 DNT393252:DNU393260 DXP393252:DXQ393260 EHL393252:EHM393260 ERH393252:ERI393260 FBD393252:FBE393260 FKZ393252:FLA393260 FUV393252:FUW393260 GER393252:GES393260 GON393252:GOO393260 GYJ393252:GYK393260 HIF393252:HIG393260 HSB393252:HSC393260 IBX393252:IBY393260 ILT393252:ILU393260 IVP393252:IVQ393260 JFL393252:JFM393260 JPH393252:JPI393260 JZD393252:JZE393260 KIZ393252:KJA393260 KSV393252:KSW393260 LCR393252:LCS393260 LMN393252:LMO393260 LWJ393252:LWK393260 MGF393252:MGG393260 MQB393252:MQC393260 MZX393252:MZY393260 NJT393252:NJU393260 NTP393252:NTQ393260 ODL393252:ODM393260 ONH393252:ONI393260 OXD393252:OXE393260 PGZ393252:PHA393260 PQV393252:PQW393260 QAR393252:QAS393260 QKN393252:QKO393260 QUJ393252:QUK393260 REF393252:REG393260 ROB393252:ROC393260 RXX393252:RXY393260 SHT393252:SHU393260 SRP393252:SRQ393260 TBL393252:TBM393260 TLH393252:TLI393260 TVD393252:TVE393260 UEZ393252:UFA393260 UOV393252:UOW393260 UYR393252:UYS393260 VIN393252:VIO393260 VSJ393252:VSK393260 WCF393252:WCG393260 WMB393252:WMC393260 WVX393252:WVY393260 P458788:Q458796 JL458788:JM458796 TH458788:TI458796 ADD458788:ADE458796 AMZ458788:ANA458796 AWV458788:AWW458796 BGR458788:BGS458796 BQN458788:BQO458796 CAJ458788:CAK458796 CKF458788:CKG458796 CUB458788:CUC458796 DDX458788:DDY458796 DNT458788:DNU458796 DXP458788:DXQ458796 EHL458788:EHM458796 ERH458788:ERI458796 FBD458788:FBE458796 FKZ458788:FLA458796 FUV458788:FUW458796 GER458788:GES458796 GON458788:GOO458796 GYJ458788:GYK458796 HIF458788:HIG458796 HSB458788:HSC458796 IBX458788:IBY458796 ILT458788:ILU458796 IVP458788:IVQ458796 JFL458788:JFM458796 JPH458788:JPI458796 JZD458788:JZE458796 KIZ458788:KJA458796 KSV458788:KSW458796 LCR458788:LCS458796 LMN458788:LMO458796 LWJ458788:LWK458796 MGF458788:MGG458796 MQB458788:MQC458796 MZX458788:MZY458796 NJT458788:NJU458796 NTP458788:NTQ458796 ODL458788:ODM458796 ONH458788:ONI458796 OXD458788:OXE458796 PGZ458788:PHA458796 PQV458788:PQW458796 QAR458788:QAS458796 QKN458788:QKO458796 QUJ458788:QUK458796 REF458788:REG458796 ROB458788:ROC458796 RXX458788:RXY458796 SHT458788:SHU458796 SRP458788:SRQ458796 TBL458788:TBM458796 TLH458788:TLI458796 TVD458788:TVE458796 UEZ458788:UFA458796 UOV458788:UOW458796 UYR458788:UYS458796 VIN458788:VIO458796 VSJ458788:VSK458796 WCF458788:WCG458796 WMB458788:WMC458796 WVX458788:WVY458796 P524324:Q524332 JL524324:JM524332 TH524324:TI524332 ADD524324:ADE524332 AMZ524324:ANA524332 AWV524324:AWW524332 BGR524324:BGS524332 BQN524324:BQO524332 CAJ524324:CAK524332 CKF524324:CKG524332 CUB524324:CUC524332 DDX524324:DDY524332 DNT524324:DNU524332 DXP524324:DXQ524332 EHL524324:EHM524332 ERH524324:ERI524332 FBD524324:FBE524332 FKZ524324:FLA524332 FUV524324:FUW524332 GER524324:GES524332 GON524324:GOO524332 GYJ524324:GYK524332 HIF524324:HIG524332 HSB524324:HSC524332 IBX524324:IBY524332 ILT524324:ILU524332 IVP524324:IVQ524332 JFL524324:JFM524332 JPH524324:JPI524332 JZD524324:JZE524332 KIZ524324:KJA524332 KSV524324:KSW524332 LCR524324:LCS524332 LMN524324:LMO524332 LWJ524324:LWK524332 MGF524324:MGG524332 MQB524324:MQC524332 MZX524324:MZY524332 NJT524324:NJU524332 NTP524324:NTQ524332 ODL524324:ODM524332 ONH524324:ONI524332 OXD524324:OXE524332 PGZ524324:PHA524332 PQV524324:PQW524332 QAR524324:QAS524332 QKN524324:QKO524332 QUJ524324:QUK524332 REF524324:REG524332 ROB524324:ROC524332 RXX524324:RXY524332 SHT524324:SHU524332 SRP524324:SRQ524332 TBL524324:TBM524332 TLH524324:TLI524332 TVD524324:TVE524332 UEZ524324:UFA524332 UOV524324:UOW524332 UYR524324:UYS524332 VIN524324:VIO524332 VSJ524324:VSK524332 WCF524324:WCG524332 WMB524324:WMC524332 WVX524324:WVY524332 P589860:Q589868 JL589860:JM589868 TH589860:TI589868 ADD589860:ADE589868 AMZ589860:ANA589868 AWV589860:AWW589868 BGR589860:BGS589868 BQN589860:BQO589868 CAJ589860:CAK589868 CKF589860:CKG589868 CUB589860:CUC589868 DDX589860:DDY589868 DNT589860:DNU589868 DXP589860:DXQ589868 EHL589860:EHM589868 ERH589860:ERI589868 FBD589860:FBE589868 FKZ589860:FLA589868 FUV589860:FUW589868 GER589860:GES589868 GON589860:GOO589868 GYJ589860:GYK589868 HIF589860:HIG589868 HSB589860:HSC589868 IBX589860:IBY589868 ILT589860:ILU589868 IVP589860:IVQ589868 JFL589860:JFM589868 JPH589860:JPI589868 JZD589860:JZE589868 KIZ589860:KJA589868 KSV589860:KSW589868 LCR589860:LCS589868 LMN589860:LMO589868 LWJ589860:LWK589868 MGF589860:MGG589868 MQB589860:MQC589868 MZX589860:MZY589868 NJT589860:NJU589868 NTP589860:NTQ589868 ODL589860:ODM589868 ONH589860:ONI589868 OXD589860:OXE589868 PGZ589860:PHA589868 PQV589860:PQW589868 QAR589860:QAS589868 QKN589860:QKO589868 QUJ589860:QUK589868 REF589860:REG589868 ROB589860:ROC589868 RXX589860:RXY589868 SHT589860:SHU589868 SRP589860:SRQ589868 TBL589860:TBM589868 TLH589860:TLI589868 TVD589860:TVE589868 UEZ589860:UFA589868 UOV589860:UOW589868 UYR589860:UYS589868 VIN589860:VIO589868 VSJ589860:VSK589868 WCF589860:WCG589868 WMB589860:WMC589868 WVX589860:WVY589868 P655396:Q655404 JL655396:JM655404 TH655396:TI655404 ADD655396:ADE655404 AMZ655396:ANA655404 AWV655396:AWW655404 BGR655396:BGS655404 BQN655396:BQO655404 CAJ655396:CAK655404 CKF655396:CKG655404 CUB655396:CUC655404 DDX655396:DDY655404 DNT655396:DNU655404 DXP655396:DXQ655404 EHL655396:EHM655404 ERH655396:ERI655404 FBD655396:FBE655404 FKZ655396:FLA655404 FUV655396:FUW655404 GER655396:GES655404 GON655396:GOO655404 GYJ655396:GYK655404 HIF655396:HIG655404 HSB655396:HSC655404 IBX655396:IBY655404 ILT655396:ILU655404 IVP655396:IVQ655404 JFL655396:JFM655404 JPH655396:JPI655404 JZD655396:JZE655404 KIZ655396:KJA655404 KSV655396:KSW655404 LCR655396:LCS655404 LMN655396:LMO655404 LWJ655396:LWK655404 MGF655396:MGG655404 MQB655396:MQC655404 MZX655396:MZY655404 NJT655396:NJU655404 NTP655396:NTQ655404 ODL655396:ODM655404 ONH655396:ONI655404 OXD655396:OXE655404 PGZ655396:PHA655404 PQV655396:PQW655404 QAR655396:QAS655404 QKN655396:QKO655404 QUJ655396:QUK655404 REF655396:REG655404 ROB655396:ROC655404 RXX655396:RXY655404 SHT655396:SHU655404 SRP655396:SRQ655404 TBL655396:TBM655404 TLH655396:TLI655404 TVD655396:TVE655404 UEZ655396:UFA655404 UOV655396:UOW655404 UYR655396:UYS655404 VIN655396:VIO655404 VSJ655396:VSK655404 WCF655396:WCG655404 WMB655396:WMC655404 WVX655396:WVY655404 P720932:Q720940 JL720932:JM720940 TH720932:TI720940 ADD720932:ADE720940 AMZ720932:ANA720940 AWV720932:AWW720940 BGR720932:BGS720940 BQN720932:BQO720940 CAJ720932:CAK720940 CKF720932:CKG720940 CUB720932:CUC720940 DDX720932:DDY720940 DNT720932:DNU720940 DXP720932:DXQ720940 EHL720932:EHM720940 ERH720932:ERI720940 FBD720932:FBE720940 FKZ720932:FLA720940 FUV720932:FUW720940 GER720932:GES720940 GON720932:GOO720940 GYJ720932:GYK720940 HIF720932:HIG720940 HSB720932:HSC720940 IBX720932:IBY720940 ILT720932:ILU720940 IVP720932:IVQ720940 JFL720932:JFM720940 JPH720932:JPI720940 JZD720932:JZE720940 KIZ720932:KJA720940 KSV720932:KSW720940 LCR720932:LCS720940 LMN720932:LMO720940 LWJ720932:LWK720940 MGF720932:MGG720940 MQB720932:MQC720940 MZX720932:MZY720940 NJT720932:NJU720940 NTP720932:NTQ720940 ODL720932:ODM720940 ONH720932:ONI720940 OXD720932:OXE720940 PGZ720932:PHA720940 PQV720932:PQW720940 QAR720932:QAS720940 QKN720932:QKO720940 QUJ720932:QUK720940 REF720932:REG720940 ROB720932:ROC720940 RXX720932:RXY720940 SHT720932:SHU720940 SRP720932:SRQ720940 TBL720932:TBM720940 TLH720932:TLI720940 TVD720932:TVE720940 UEZ720932:UFA720940 UOV720932:UOW720940 UYR720932:UYS720940 VIN720932:VIO720940 VSJ720932:VSK720940 WCF720932:WCG720940 WMB720932:WMC720940 WVX720932:WVY720940 P786468:Q786476 JL786468:JM786476 TH786468:TI786476 ADD786468:ADE786476 AMZ786468:ANA786476 AWV786468:AWW786476 BGR786468:BGS786476 BQN786468:BQO786476 CAJ786468:CAK786476 CKF786468:CKG786476 CUB786468:CUC786476 DDX786468:DDY786476 DNT786468:DNU786476 DXP786468:DXQ786476 EHL786468:EHM786476 ERH786468:ERI786476 FBD786468:FBE786476 FKZ786468:FLA786476 FUV786468:FUW786476 GER786468:GES786476 GON786468:GOO786476 GYJ786468:GYK786476 HIF786468:HIG786476 HSB786468:HSC786476 IBX786468:IBY786476 ILT786468:ILU786476 IVP786468:IVQ786476 JFL786468:JFM786476 JPH786468:JPI786476 JZD786468:JZE786476 KIZ786468:KJA786476 KSV786468:KSW786476 LCR786468:LCS786476 LMN786468:LMO786476 LWJ786468:LWK786476 MGF786468:MGG786476 MQB786468:MQC786476 MZX786468:MZY786476 NJT786468:NJU786476 NTP786468:NTQ786476 ODL786468:ODM786476 ONH786468:ONI786476 OXD786468:OXE786476 PGZ786468:PHA786476 PQV786468:PQW786476 QAR786468:QAS786476 QKN786468:QKO786476 QUJ786468:QUK786476 REF786468:REG786476 ROB786468:ROC786476 RXX786468:RXY786476 SHT786468:SHU786476 SRP786468:SRQ786476 TBL786468:TBM786476 TLH786468:TLI786476 TVD786468:TVE786476 UEZ786468:UFA786476 UOV786468:UOW786476 UYR786468:UYS786476 VIN786468:VIO786476 VSJ786468:VSK786476 WCF786468:WCG786476 WMB786468:WMC786476 WVX786468:WVY786476 P852004:Q852012 JL852004:JM852012 TH852004:TI852012 ADD852004:ADE852012 AMZ852004:ANA852012 AWV852004:AWW852012 BGR852004:BGS852012 BQN852004:BQO852012 CAJ852004:CAK852012 CKF852004:CKG852012 CUB852004:CUC852012 DDX852004:DDY852012 DNT852004:DNU852012 DXP852004:DXQ852012 EHL852004:EHM852012 ERH852004:ERI852012 FBD852004:FBE852012 FKZ852004:FLA852012 FUV852004:FUW852012 GER852004:GES852012 GON852004:GOO852012 GYJ852004:GYK852012 HIF852004:HIG852012 HSB852004:HSC852012 IBX852004:IBY852012 ILT852004:ILU852012 IVP852004:IVQ852012 JFL852004:JFM852012 JPH852004:JPI852012 JZD852004:JZE852012 KIZ852004:KJA852012 KSV852004:KSW852012 LCR852004:LCS852012 LMN852004:LMO852012 LWJ852004:LWK852012 MGF852004:MGG852012 MQB852004:MQC852012 MZX852004:MZY852012 NJT852004:NJU852012 NTP852004:NTQ852012 ODL852004:ODM852012 ONH852004:ONI852012 OXD852004:OXE852012 PGZ852004:PHA852012 PQV852004:PQW852012 QAR852004:QAS852012 QKN852004:QKO852012 QUJ852004:QUK852012 REF852004:REG852012 ROB852004:ROC852012 RXX852004:RXY852012 SHT852004:SHU852012 SRP852004:SRQ852012 TBL852004:TBM852012 TLH852004:TLI852012 TVD852004:TVE852012 UEZ852004:UFA852012 UOV852004:UOW852012 UYR852004:UYS852012 VIN852004:VIO852012 VSJ852004:VSK852012 WCF852004:WCG852012 WMB852004:WMC852012 WVX852004:WVY852012 P917540:Q917548 JL917540:JM917548 TH917540:TI917548 ADD917540:ADE917548 AMZ917540:ANA917548 AWV917540:AWW917548 BGR917540:BGS917548 BQN917540:BQO917548 CAJ917540:CAK917548 CKF917540:CKG917548 CUB917540:CUC917548 DDX917540:DDY917548 DNT917540:DNU917548 DXP917540:DXQ917548 EHL917540:EHM917548 ERH917540:ERI917548 FBD917540:FBE917548 FKZ917540:FLA917548 FUV917540:FUW917548 GER917540:GES917548 GON917540:GOO917548 GYJ917540:GYK917548 HIF917540:HIG917548 HSB917540:HSC917548 IBX917540:IBY917548 ILT917540:ILU917548 IVP917540:IVQ917548 JFL917540:JFM917548 JPH917540:JPI917548 JZD917540:JZE917548 KIZ917540:KJA917548 KSV917540:KSW917548 LCR917540:LCS917548 LMN917540:LMO917548 LWJ917540:LWK917548 MGF917540:MGG917548 MQB917540:MQC917548 MZX917540:MZY917548 NJT917540:NJU917548 NTP917540:NTQ917548 ODL917540:ODM917548 ONH917540:ONI917548 OXD917540:OXE917548 PGZ917540:PHA917548 PQV917540:PQW917548 QAR917540:QAS917548 QKN917540:QKO917548 QUJ917540:QUK917548 REF917540:REG917548 ROB917540:ROC917548 RXX917540:RXY917548 SHT917540:SHU917548 SRP917540:SRQ917548 TBL917540:TBM917548 TLH917540:TLI917548 TVD917540:TVE917548 UEZ917540:UFA917548 UOV917540:UOW917548 UYR917540:UYS917548 VIN917540:VIO917548 VSJ917540:VSK917548 WCF917540:WCG917548 WMB917540:WMC917548 WVX917540:WVY917548 P983076:Q983084 JL983076:JM983084 TH983076:TI983084 ADD983076:ADE983084 AMZ983076:ANA983084 AWV983076:AWW983084 BGR983076:BGS983084 BQN983076:BQO983084 CAJ983076:CAK983084 CKF983076:CKG983084 CUB983076:CUC983084 DDX983076:DDY983084 DNT983076:DNU983084 DXP983076:DXQ983084 EHL983076:EHM983084 ERH983076:ERI983084 FBD983076:FBE983084 FKZ983076:FLA983084 FUV983076:FUW983084 GER983076:GES983084 GON983076:GOO983084 GYJ983076:GYK983084 HIF983076:HIG983084 HSB983076:HSC983084 IBX983076:IBY983084 ILT983076:ILU983084 IVP983076:IVQ983084 JFL983076:JFM983084 JPH983076:JPI983084 JZD983076:JZE983084 KIZ983076:KJA983084 KSV983076:KSW983084 LCR983076:LCS983084 LMN983076:LMO983084 LWJ983076:LWK983084 MGF983076:MGG983084 MQB983076:MQC983084 MZX983076:MZY983084 NJT983076:NJU983084 NTP983076:NTQ983084 ODL983076:ODM983084 ONH983076:ONI983084 OXD983076:OXE983084 PGZ983076:PHA983084 PQV983076:PQW983084 QAR983076:QAS983084 QKN983076:QKO983084 QUJ983076:QUK983084 REF983076:REG983084 ROB983076:ROC983084 RXX983076:RXY983084 SHT983076:SHU983084 SRP983076:SRQ983084 TBL983076:TBM983084 TLH983076:TLI983084 TVD983076:TVE983084 UEZ983076:UFA983084 UOV983076:UOW983084 UYR983076:UYS983084 VIN983076:VIO983084 VSJ983076:VSK983084 WCF983076:WCG983084 WMB983076:WMC983084 WVX983076:WVY983084 P49:Q49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5:Q65585 JL65585:JM65585 TH65585:TI65585 ADD65585:ADE65585 AMZ65585:ANA65585 AWV65585:AWW65585 BGR65585:BGS65585 BQN65585:BQO65585 CAJ65585:CAK65585 CKF65585:CKG65585 CUB65585:CUC65585 DDX65585:DDY65585 DNT65585:DNU65585 DXP65585:DXQ65585 EHL65585:EHM65585 ERH65585:ERI65585 FBD65585:FBE65585 FKZ65585:FLA65585 FUV65585:FUW65585 GER65585:GES65585 GON65585:GOO65585 GYJ65585:GYK65585 HIF65585:HIG65585 HSB65585:HSC65585 IBX65585:IBY65585 ILT65585:ILU65585 IVP65585:IVQ65585 JFL65585:JFM65585 JPH65585:JPI65585 JZD65585:JZE65585 KIZ65585:KJA65585 KSV65585:KSW65585 LCR65585:LCS65585 LMN65585:LMO65585 LWJ65585:LWK65585 MGF65585:MGG65585 MQB65585:MQC65585 MZX65585:MZY65585 NJT65585:NJU65585 NTP65585:NTQ65585 ODL65585:ODM65585 ONH65585:ONI65585 OXD65585:OXE65585 PGZ65585:PHA65585 PQV65585:PQW65585 QAR65585:QAS65585 QKN65585:QKO65585 QUJ65585:QUK65585 REF65585:REG65585 ROB65585:ROC65585 RXX65585:RXY65585 SHT65585:SHU65585 SRP65585:SRQ65585 TBL65585:TBM65585 TLH65585:TLI65585 TVD65585:TVE65585 UEZ65585:UFA65585 UOV65585:UOW65585 UYR65585:UYS65585 VIN65585:VIO65585 VSJ65585:VSK65585 WCF65585:WCG65585 WMB65585:WMC65585 WVX65585:WVY65585 P131121:Q131121 JL131121:JM131121 TH131121:TI131121 ADD131121:ADE131121 AMZ131121:ANA131121 AWV131121:AWW131121 BGR131121:BGS131121 BQN131121:BQO131121 CAJ131121:CAK131121 CKF131121:CKG131121 CUB131121:CUC131121 DDX131121:DDY131121 DNT131121:DNU131121 DXP131121:DXQ131121 EHL131121:EHM131121 ERH131121:ERI131121 FBD131121:FBE131121 FKZ131121:FLA131121 FUV131121:FUW131121 GER131121:GES131121 GON131121:GOO131121 GYJ131121:GYK131121 HIF131121:HIG131121 HSB131121:HSC131121 IBX131121:IBY131121 ILT131121:ILU131121 IVP131121:IVQ131121 JFL131121:JFM131121 JPH131121:JPI131121 JZD131121:JZE131121 KIZ131121:KJA131121 KSV131121:KSW131121 LCR131121:LCS131121 LMN131121:LMO131121 LWJ131121:LWK131121 MGF131121:MGG131121 MQB131121:MQC131121 MZX131121:MZY131121 NJT131121:NJU131121 NTP131121:NTQ131121 ODL131121:ODM131121 ONH131121:ONI131121 OXD131121:OXE131121 PGZ131121:PHA131121 PQV131121:PQW131121 QAR131121:QAS131121 QKN131121:QKO131121 QUJ131121:QUK131121 REF131121:REG131121 ROB131121:ROC131121 RXX131121:RXY131121 SHT131121:SHU131121 SRP131121:SRQ131121 TBL131121:TBM131121 TLH131121:TLI131121 TVD131121:TVE131121 UEZ131121:UFA131121 UOV131121:UOW131121 UYR131121:UYS131121 VIN131121:VIO131121 VSJ131121:VSK131121 WCF131121:WCG131121 WMB131121:WMC131121 WVX131121:WVY131121 P196657:Q196657 JL196657:JM196657 TH196657:TI196657 ADD196657:ADE196657 AMZ196657:ANA196657 AWV196657:AWW196657 BGR196657:BGS196657 BQN196657:BQO196657 CAJ196657:CAK196657 CKF196657:CKG196657 CUB196657:CUC196657 DDX196657:DDY196657 DNT196657:DNU196657 DXP196657:DXQ196657 EHL196657:EHM196657 ERH196657:ERI196657 FBD196657:FBE196657 FKZ196657:FLA196657 FUV196657:FUW196657 GER196657:GES196657 GON196657:GOO196657 GYJ196657:GYK196657 HIF196657:HIG196657 HSB196657:HSC196657 IBX196657:IBY196657 ILT196657:ILU196657 IVP196657:IVQ196657 JFL196657:JFM196657 JPH196657:JPI196657 JZD196657:JZE196657 KIZ196657:KJA196657 KSV196657:KSW196657 LCR196657:LCS196657 LMN196657:LMO196657 LWJ196657:LWK196657 MGF196657:MGG196657 MQB196657:MQC196657 MZX196657:MZY196657 NJT196657:NJU196657 NTP196657:NTQ196657 ODL196657:ODM196657 ONH196657:ONI196657 OXD196657:OXE196657 PGZ196657:PHA196657 PQV196657:PQW196657 QAR196657:QAS196657 QKN196657:QKO196657 QUJ196657:QUK196657 REF196657:REG196657 ROB196657:ROC196657 RXX196657:RXY196657 SHT196657:SHU196657 SRP196657:SRQ196657 TBL196657:TBM196657 TLH196657:TLI196657 TVD196657:TVE196657 UEZ196657:UFA196657 UOV196657:UOW196657 UYR196657:UYS196657 VIN196657:VIO196657 VSJ196657:VSK196657 WCF196657:WCG196657 WMB196657:WMC196657 WVX196657:WVY196657 P262193:Q262193 JL262193:JM262193 TH262193:TI262193 ADD262193:ADE262193 AMZ262193:ANA262193 AWV262193:AWW262193 BGR262193:BGS262193 BQN262193:BQO262193 CAJ262193:CAK262193 CKF262193:CKG262193 CUB262193:CUC262193 DDX262193:DDY262193 DNT262193:DNU262193 DXP262193:DXQ262193 EHL262193:EHM262193 ERH262193:ERI262193 FBD262193:FBE262193 FKZ262193:FLA262193 FUV262193:FUW262193 GER262193:GES262193 GON262193:GOO262193 GYJ262193:GYK262193 HIF262193:HIG262193 HSB262193:HSC262193 IBX262193:IBY262193 ILT262193:ILU262193 IVP262193:IVQ262193 JFL262193:JFM262193 JPH262193:JPI262193 JZD262193:JZE262193 KIZ262193:KJA262193 KSV262193:KSW262193 LCR262193:LCS262193 LMN262193:LMO262193 LWJ262193:LWK262193 MGF262193:MGG262193 MQB262193:MQC262193 MZX262193:MZY262193 NJT262193:NJU262193 NTP262193:NTQ262193 ODL262193:ODM262193 ONH262193:ONI262193 OXD262193:OXE262193 PGZ262193:PHA262193 PQV262193:PQW262193 QAR262193:QAS262193 QKN262193:QKO262193 QUJ262193:QUK262193 REF262193:REG262193 ROB262193:ROC262193 RXX262193:RXY262193 SHT262193:SHU262193 SRP262193:SRQ262193 TBL262193:TBM262193 TLH262193:TLI262193 TVD262193:TVE262193 UEZ262193:UFA262193 UOV262193:UOW262193 UYR262193:UYS262193 VIN262193:VIO262193 VSJ262193:VSK262193 WCF262193:WCG262193 WMB262193:WMC262193 WVX262193:WVY262193 P327729:Q327729 JL327729:JM327729 TH327729:TI327729 ADD327729:ADE327729 AMZ327729:ANA327729 AWV327729:AWW327729 BGR327729:BGS327729 BQN327729:BQO327729 CAJ327729:CAK327729 CKF327729:CKG327729 CUB327729:CUC327729 DDX327729:DDY327729 DNT327729:DNU327729 DXP327729:DXQ327729 EHL327729:EHM327729 ERH327729:ERI327729 FBD327729:FBE327729 FKZ327729:FLA327729 FUV327729:FUW327729 GER327729:GES327729 GON327729:GOO327729 GYJ327729:GYK327729 HIF327729:HIG327729 HSB327729:HSC327729 IBX327729:IBY327729 ILT327729:ILU327729 IVP327729:IVQ327729 JFL327729:JFM327729 JPH327729:JPI327729 JZD327729:JZE327729 KIZ327729:KJA327729 KSV327729:KSW327729 LCR327729:LCS327729 LMN327729:LMO327729 LWJ327729:LWK327729 MGF327729:MGG327729 MQB327729:MQC327729 MZX327729:MZY327729 NJT327729:NJU327729 NTP327729:NTQ327729 ODL327729:ODM327729 ONH327729:ONI327729 OXD327729:OXE327729 PGZ327729:PHA327729 PQV327729:PQW327729 QAR327729:QAS327729 QKN327729:QKO327729 QUJ327729:QUK327729 REF327729:REG327729 ROB327729:ROC327729 RXX327729:RXY327729 SHT327729:SHU327729 SRP327729:SRQ327729 TBL327729:TBM327729 TLH327729:TLI327729 TVD327729:TVE327729 UEZ327729:UFA327729 UOV327729:UOW327729 UYR327729:UYS327729 VIN327729:VIO327729 VSJ327729:VSK327729 WCF327729:WCG327729 WMB327729:WMC327729 WVX327729:WVY327729 P393265:Q393265 JL393265:JM393265 TH393265:TI393265 ADD393265:ADE393265 AMZ393265:ANA393265 AWV393265:AWW393265 BGR393265:BGS393265 BQN393265:BQO393265 CAJ393265:CAK393265 CKF393265:CKG393265 CUB393265:CUC393265 DDX393265:DDY393265 DNT393265:DNU393265 DXP393265:DXQ393265 EHL393265:EHM393265 ERH393265:ERI393265 FBD393265:FBE393265 FKZ393265:FLA393265 FUV393265:FUW393265 GER393265:GES393265 GON393265:GOO393265 GYJ393265:GYK393265 HIF393265:HIG393265 HSB393265:HSC393265 IBX393265:IBY393265 ILT393265:ILU393265 IVP393265:IVQ393265 JFL393265:JFM393265 JPH393265:JPI393265 JZD393265:JZE393265 KIZ393265:KJA393265 KSV393265:KSW393265 LCR393265:LCS393265 LMN393265:LMO393265 LWJ393265:LWK393265 MGF393265:MGG393265 MQB393265:MQC393265 MZX393265:MZY393265 NJT393265:NJU393265 NTP393265:NTQ393265 ODL393265:ODM393265 ONH393265:ONI393265 OXD393265:OXE393265 PGZ393265:PHA393265 PQV393265:PQW393265 QAR393265:QAS393265 QKN393265:QKO393265 QUJ393265:QUK393265 REF393265:REG393265 ROB393265:ROC393265 RXX393265:RXY393265 SHT393265:SHU393265 SRP393265:SRQ393265 TBL393265:TBM393265 TLH393265:TLI393265 TVD393265:TVE393265 UEZ393265:UFA393265 UOV393265:UOW393265 UYR393265:UYS393265 VIN393265:VIO393265 VSJ393265:VSK393265 WCF393265:WCG393265 WMB393265:WMC393265 WVX393265:WVY393265 P458801:Q458801 JL458801:JM458801 TH458801:TI458801 ADD458801:ADE458801 AMZ458801:ANA458801 AWV458801:AWW458801 BGR458801:BGS458801 BQN458801:BQO458801 CAJ458801:CAK458801 CKF458801:CKG458801 CUB458801:CUC458801 DDX458801:DDY458801 DNT458801:DNU458801 DXP458801:DXQ458801 EHL458801:EHM458801 ERH458801:ERI458801 FBD458801:FBE458801 FKZ458801:FLA458801 FUV458801:FUW458801 GER458801:GES458801 GON458801:GOO458801 GYJ458801:GYK458801 HIF458801:HIG458801 HSB458801:HSC458801 IBX458801:IBY458801 ILT458801:ILU458801 IVP458801:IVQ458801 JFL458801:JFM458801 JPH458801:JPI458801 JZD458801:JZE458801 KIZ458801:KJA458801 KSV458801:KSW458801 LCR458801:LCS458801 LMN458801:LMO458801 LWJ458801:LWK458801 MGF458801:MGG458801 MQB458801:MQC458801 MZX458801:MZY458801 NJT458801:NJU458801 NTP458801:NTQ458801 ODL458801:ODM458801 ONH458801:ONI458801 OXD458801:OXE458801 PGZ458801:PHA458801 PQV458801:PQW458801 QAR458801:QAS458801 QKN458801:QKO458801 QUJ458801:QUK458801 REF458801:REG458801 ROB458801:ROC458801 RXX458801:RXY458801 SHT458801:SHU458801 SRP458801:SRQ458801 TBL458801:TBM458801 TLH458801:TLI458801 TVD458801:TVE458801 UEZ458801:UFA458801 UOV458801:UOW458801 UYR458801:UYS458801 VIN458801:VIO458801 VSJ458801:VSK458801 WCF458801:WCG458801 WMB458801:WMC458801 WVX458801:WVY458801 P524337:Q524337 JL524337:JM524337 TH524337:TI524337 ADD524337:ADE524337 AMZ524337:ANA524337 AWV524337:AWW524337 BGR524337:BGS524337 BQN524337:BQO524337 CAJ524337:CAK524337 CKF524337:CKG524337 CUB524337:CUC524337 DDX524337:DDY524337 DNT524337:DNU524337 DXP524337:DXQ524337 EHL524337:EHM524337 ERH524337:ERI524337 FBD524337:FBE524337 FKZ524337:FLA524337 FUV524337:FUW524337 GER524337:GES524337 GON524337:GOO524337 GYJ524337:GYK524337 HIF524337:HIG524337 HSB524337:HSC524337 IBX524337:IBY524337 ILT524337:ILU524337 IVP524337:IVQ524337 JFL524337:JFM524337 JPH524337:JPI524337 JZD524337:JZE524337 KIZ524337:KJA524337 KSV524337:KSW524337 LCR524337:LCS524337 LMN524337:LMO524337 LWJ524337:LWK524337 MGF524337:MGG524337 MQB524337:MQC524337 MZX524337:MZY524337 NJT524337:NJU524337 NTP524337:NTQ524337 ODL524337:ODM524337 ONH524337:ONI524337 OXD524337:OXE524337 PGZ524337:PHA524337 PQV524337:PQW524337 QAR524337:QAS524337 QKN524337:QKO524337 QUJ524337:QUK524337 REF524337:REG524337 ROB524337:ROC524337 RXX524337:RXY524337 SHT524337:SHU524337 SRP524337:SRQ524337 TBL524337:TBM524337 TLH524337:TLI524337 TVD524337:TVE524337 UEZ524337:UFA524337 UOV524337:UOW524337 UYR524337:UYS524337 VIN524337:VIO524337 VSJ524337:VSK524337 WCF524337:WCG524337 WMB524337:WMC524337 WVX524337:WVY524337 P589873:Q589873 JL589873:JM589873 TH589873:TI589873 ADD589873:ADE589873 AMZ589873:ANA589873 AWV589873:AWW589873 BGR589873:BGS589873 BQN589873:BQO589873 CAJ589873:CAK589873 CKF589873:CKG589873 CUB589873:CUC589873 DDX589873:DDY589873 DNT589873:DNU589873 DXP589873:DXQ589873 EHL589873:EHM589873 ERH589873:ERI589873 FBD589873:FBE589873 FKZ589873:FLA589873 FUV589873:FUW589873 GER589873:GES589873 GON589873:GOO589873 GYJ589873:GYK589873 HIF589873:HIG589873 HSB589873:HSC589873 IBX589873:IBY589873 ILT589873:ILU589873 IVP589873:IVQ589873 JFL589873:JFM589873 JPH589873:JPI589873 JZD589873:JZE589873 KIZ589873:KJA589873 KSV589873:KSW589873 LCR589873:LCS589873 LMN589873:LMO589873 LWJ589873:LWK589873 MGF589873:MGG589873 MQB589873:MQC589873 MZX589873:MZY589873 NJT589873:NJU589873 NTP589873:NTQ589873 ODL589873:ODM589873 ONH589873:ONI589873 OXD589873:OXE589873 PGZ589873:PHA589873 PQV589873:PQW589873 QAR589873:QAS589873 QKN589873:QKO589873 QUJ589873:QUK589873 REF589873:REG589873 ROB589873:ROC589873 RXX589873:RXY589873 SHT589873:SHU589873 SRP589873:SRQ589873 TBL589873:TBM589873 TLH589873:TLI589873 TVD589873:TVE589873 UEZ589873:UFA589873 UOV589873:UOW589873 UYR589873:UYS589873 VIN589873:VIO589873 VSJ589873:VSK589873 WCF589873:WCG589873 WMB589873:WMC589873 WVX589873:WVY589873 P655409:Q655409 JL655409:JM655409 TH655409:TI655409 ADD655409:ADE655409 AMZ655409:ANA655409 AWV655409:AWW655409 BGR655409:BGS655409 BQN655409:BQO655409 CAJ655409:CAK655409 CKF655409:CKG655409 CUB655409:CUC655409 DDX655409:DDY655409 DNT655409:DNU655409 DXP655409:DXQ655409 EHL655409:EHM655409 ERH655409:ERI655409 FBD655409:FBE655409 FKZ655409:FLA655409 FUV655409:FUW655409 GER655409:GES655409 GON655409:GOO655409 GYJ655409:GYK655409 HIF655409:HIG655409 HSB655409:HSC655409 IBX655409:IBY655409 ILT655409:ILU655409 IVP655409:IVQ655409 JFL655409:JFM655409 JPH655409:JPI655409 JZD655409:JZE655409 KIZ655409:KJA655409 KSV655409:KSW655409 LCR655409:LCS655409 LMN655409:LMO655409 LWJ655409:LWK655409 MGF655409:MGG655409 MQB655409:MQC655409 MZX655409:MZY655409 NJT655409:NJU655409 NTP655409:NTQ655409 ODL655409:ODM655409 ONH655409:ONI655409 OXD655409:OXE655409 PGZ655409:PHA655409 PQV655409:PQW655409 QAR655409:QAS655409 QKN655409:QKO655409 QUJ655409:QUK655409 REF655409:REG655409 ROB655409:ROC655409 RXX655409:RXY655409 SHT655409:SHU655409 SRP655409:SRQ655409 TBL655409:TBM655409 TLH655409:TLI655409 TVD655409:TVE655409 UEZ655409:UFA655409 UOV655409:UOW655409 UYR655409:UYS655409 VIN655409:VIO655409 VSJ655409:VSK655409 WCF655409:WCG655409 WMB655409:WMC655409 WVX655409:WVY655409 P720945:Q720945 JL720945:JM720945 TH720945:TI720945 ADD720945:ADE720945 AMZ720945:ANA720945 AWV720945:AWW720945 BGR720945:BGS720945 BQN720945:BQO720945 CAJ720945:CAK720945 CKF720945:CKG720945 CUB720945:CUC720945 DDX720945:DDY720945 DNT720945:DNU720945 DXP720945:DXQ720945 EHL720945:EHM720945 ERH720945:ERI720945 FBD720945:FBE720945 FKZ720945:FLA720945 FUV720945:FUW720945 GER720945:GES720945 GON720945:GOO720945 GYJ720945:GYK720945 HIF720945:HIG720945 HSB720945:HSC720945 IBX720945:IBY720945 ILT720945:ILU720945 IVP720945:IVQ720945 JFL720945:JFM720945 JPH720945:JPI720945 JZD720945:JZE720945 KIZ720945:KJA720945 KSV720945:KSW720945 LCR720945:LCS720945 LMN720945:LMO720945 LWJ720945:LWK720945 MGF720945:MGG720945 MQB720945:MQC720945 MZX720945:MZY720945 NJT720945:NJU720945 NTP720945:NTQ720945 ODL720945:ODM720945 ONH720945:ONI720945 OXD720945:OXE720945 PGZ720945:PHA720945 PQV720945:PQW720945 QAR720945:QAS720945 QKN720945:QKO720945 QUJ720945:QUK720945 REF720945:REG720945 ROB720945:ROC720945 RXX720945:RXY720945 SHT720945:SHU720945 SRP720945:SRQ720945 TBL720945:TBM720945 TLH720945:TLI720945 TVD720945:TVE720945 UEZ720945:UFA720945 UOV720945:UOW720945 UYR720945:UYS720945 VIN720945:VIO720945 VSJ720945:VSK720945 WCF720945:WCG720945 WMB720945:WMC720945 WVX720945:WVY720945 P786481:Q786481 JL786481:JM786481 TH786481:TI786481 ADD786481:ADE786481 AMZ786481:ANA786481 AWV786481:AWW786481 BGR786481:BGS786481 BQN786481:BQO786481 CAJ786481:CAK786481 CKF786481:CKG786481 CUB786481:CUC786481 DDX786481:DDY786481 DNT786481:DNU786481 DXP786481:DXQ786481 EHL786481:EHM786481 ERH786481:ERI786481 FBD786481:FBE786481 FKZ786481:FLA786481 FUV786481:FUW786481 GER786481:GES786481 GON786481:GOO786481 GYJ786481:GYK786481 HIF786481:HIG786481 HSB786481:HSC786481 IBX786481:IBY786481 ILT786481:ILU786481 IVP786481:IVQ786481 JFL786481:JFM786481 JPH786481:JPI786481 JZD786481:JZE786481 KIZ786481:KJA786481 KSV786481:KSW786481 LCR786481:LCS786481 LMN786481:LMO786481 LWJ786481:LWK786481 MGF786481:MGG786481 MQB786481:MQC786481 MZX786481:MZY786481 NJT786481:NJU786481 NTP786481:NTQ786481 ODL786481:ODM786481 ONH786481:ONI786481 OXD786481:OXE786481 PGZ786481:PHA786481 PQV786481:PQW786481 QAR786481:QAS786481 QKN786481:QKO786481 QUJ786481:QUK786481 REF786481:REG786481 ROB786481:ROC786481 RXX786481:RXY786481 SHT786481:SHU786481 SRP786481:SRQ786481 TBL786481:TBM786481 TLH786481:TLI786481 TVD786481:TVE786481 UEZ786481:UFA786481 UOV786481:UOW786481 UYR786481:UYS786481 VIN786481:VIO786481 VSJ786481:VSK786481 WCF786481:WCG786481 WMB786481:WMC786481 WVX786481:WVY786481 P852017:Q852017 JL852017:JM852017 TH852017:TI852017 ADD852017:ADE852017 AMZ852017:ANA852017 AWV852017:AWW852017 BGR852017:BGS852017 BQN852017:BQO852017 CAJ852017:CAK852017 CKF852017:CKG852017 CUB852017:CUC852017 DDX852017:DDY852017 DNT852017:DNU852017 DXP852017:DXQ852017 EHL852017:EHM852017 ERH852017:ERI852017 FBD852017:FBE852017 FKZ852017:FLA852017 FUV852017:FUW852017 GER852017:GES852017 GON852017:GOO852017 GYJ852017:GYK852017 HIF852017:HIG852017 HSB852017:HSC852017 IBX852017:IBY852017 ILT852017:ILU852017 IVP852017:IVQ852017 JFL852017:JFM852017 JPH852017:JPI852017 JZD852017:JZE852017 KIZ852017:KJA852017 KSV852017:KSW852017 LCR852017:LCS852017 LMN852017:LMO852017 LWJ852017:LWK852017 MGF852017:MGG852017 MQB852017:MQC852017 MZX852017:MZY852017 NJT852017:NJU852017 NTP852017:NTQ852017 ODL852017:ODM852017 ONH852017:ONI852017 OXD852017:OXE852017 PGZ852017:PHA852017 PQV852017:PQW852017 QAR852017:QAS852017 QKN852017:QKO852017 QUJ852017:QUK852017 REF852017:REG852017 ROB852017:ROC852017 RXX852017:RXY852017 SHT852017:SHU852017 SRP852017:SRQ852017 TBL852017:TBM852017 TLH852017:TLI852017 TVD852017:TVE852017 UEZ852017:UFA852017 UOV852017:UOW852017 UYR852017:UYS852017 VIN852017:VIO852017 VSJ852017:VSK852017 WCF852017:WCG852017 WMB852017:WMC852017 WVX852017:WVY852017 P917553:Q917553 JL917553:JM917553 TH917553:TI917553 ADD917553:ADE917553 AMZ917553:ANA917553 AWV917553:AWW917553 BGR917553:BGS917553 BQN917553:BQO917553 CAJ917553:CAK917553 CKF917553:CKG917553 CUB917553:CUC917553 DDX917553:DDY917553 DNT917553:DNU917553 DXP917553:DXQ917553 EHL917553:EHM917553 ERH917553:ERI917553 FBD917553:FBE917553 FKZ917553:FLA917553 FUV917553:FUW917553 GER917553:GES917553 GON917553:GOO917553 GYJ917553:GYK917553 HIF917553:HIG917553 HSB917553:HSC917553 IBX917553:IBY917553 ILT917553:ILU917553 IVP917553:IVQ917553 JFL917553:JFM917553 JPH917553:JPI917553 JZD917553:JZE917553 KIZ917553:KJA917553 KSV917553:KSW917553 LCR917553:LCS917553 LMN917553:LMO917553 LWJ917553:LWK917553 MGF917553:MGG917553 MQB917553:MQC917553 MZX917553:MZY917553 NJT917553:NJU917553 NTP917553:NTQ917553 ODL917553:ODM917553 ONH917553:ONI917553 OXD917553:OXE917553 PGZ917553:PHA917553 PQV917553:PQW917553 QAR917553:QAS917553 QKN917553:QKO917553 QUJ917553:QUK917553 REF917553:REG917553 ROB917553:ROC917553 RXX917553:RXY917553 SHT917553:SHU917553 SRP917553:SRQ917553 TBL917553:TBM917553 TLH917553:TLI917553 TVD917553:TVE917553 UEZ917553:UFA917553 UOV917553:UOW917553 UYR917553:UYS917553 VIN917553:VIO917553 VSJ917553:VSK917553 WCF917553:WCG917553 WMB917553:WMC917553 WVX917553:WVY917553 P983089:Q983089 JL983089:JM983089 TH983089:TI983089 ADD983089:ADE983089 AMZ983089:ANA983089 AWV983089:AWW983089 BGR983089:BGS983089 BQN983089:BQO983089 CAJ983089:CAK983089 CKF983089:CKG983089 CUB983089:CUC983089 DDX983089:DDY983089 DNT983089:DNU983089 DXP983089:DXQ983089 EHL983089:EHM983089 ERH983089:ERI983089 FBD983089:FBE983089 FKZ983089:FLA983089 FUV983089:FUW983089 GER983089:GES983089 GON983089:GOO983089 GYJ983089:GYK983089 HIF983089:HIG983089 HSB983089:HSC983089 IBX983089:IBY983089 ILT983089:ILU983089 IVP983089:IVQ983089 JFL983089:JFM983089 JPH983089:JPI983089 JZD983089:JZE983089 KIZ983089:KJA983089 KSV983089:KSW983089 LCR983089:LCS983089 LMN983089:LMO983089 LWJ983089:LWK983089 MGF983089:MGG983089 MQB983089:MQC983089 MZX983089:MZY983089 NJT983089:NJU983089 NTP983089:NTQ983089 ODL983089:ODM983089 ONH983089:ONI983089 OXD983089:OXE983089 PGZ983089:PHA983089 PQV983089:PQW983089 QAR983089:QAS983089 QKN983089:QKO983089 QUJ983089:QUK983089 REF983089:REG983089 ROB983089:ROC983089 RXX983089:RXY983089 SHT983089:SHU983089 SRP983089:SRQ983089 TBL983089:TBM983089 TLH983089:TLI983089 TVD983089:TVE983089 UEZ983089:UFA983089 UOV983089:UOW983089 UYR983089:UYS983089 VIN983089:VIO983089 VSJ983089:VSK983089 WCF983089:WCG983089 WMB983089:WMC983089 WVX983089:WVY983089 P51:Q57 JL51:JM57 TH51:TI57 ADD51:ADE57 AMZ51:ANA57 AWV51:AWW57 BGR51:BGS57 BQN51:BQO57 CAJ51:CAK57 CKF51:CKG57 CUB51:CUC57 DDX51:DDY57 DNT51:DNU57 DXP51:DXQ57 EHL51:EHM57 ERH51:ERI57 FBD51:FBE57 FKZ51:FLA57 FUV51:FUW57 GER51:GES57 GON51:GOO57 GYJ51:GYK57 HIF51:HIG57 HSB51:HSC57 IBX51:IBY57 ILT51:ILU57 IVP51:IVQ57 JFL51:JFM57 JPH51:JPI57 JZD51:JZE57 KIZ51:KJA57 KSV51:KSW57 LCR51:LCS57 LMN51:LMO57 LWJ51:LWK57 MGF51:MGG57 MQB51:MQC57 MZX51:MZY57 NJT51:NJU57 NTP51:NTQ57 ODL51:ODM57 ONH51:ONI57 OXD51:OXE57 PGZ51:PHA57 PQV51:PQW57 QAR51:QAS57 QKN51:QKO57 QUJ51:QUK57 REF51:REG57 ROB51:ROC57 RXX51:RXY57 SHT51:SHU57 SRP51:SRQ57 TBL51:TBM57 TLH51:TLI57 TVD51:TVE57 UEZ51:UFA57 UOV51:UOW57 UYR51:UYS57 VIN51:VIO57 VSJ51:VSK57 WCF51:WCG57 WMB51:WMC57 WVX51:WVY57 P65587:Q65593 JL65587:JM65593 TH65587:TI65593 ADD65587:ADE65593 AMZ65587:ANA65593 AWV65587:AWW65593 BGR65587:BGS65593 BQN65587:BQO65593 CAJ65587:CAK65593 CKF65587:CKG65593 CUB65587:CUC65593 DDX65587:DDY65593 DNT65587:DNU65593 DXP65587:DXQ65593 EHL65587:EHM65593 ERH65587:ERI65593 FBD65587:FBE65593 FKZ65587:FLA65593 FUV65587:FUW65593 GER65587:GES65593 GON65587:GOO65593 GYJ65587:GYK65593 HIF65587:HIG65593 HSB65587:HSC65593 IBX65587:IBY65593 ILT65587:ILU65593 IVP65587:IVQ65593 JFL65587:JFM65593 JPH65587:JPI65593 JZD65587:JZE65593 KIZ65587:KJA65593 KSV65587:KSW65593 LCR65587:LCS65593 LMN65587:LMO65593 LWJ65587:LWK65593 MGF65587:MGG65593 MQB65587:MQC65593 MZX65587:MZY65593 NJT65587:NJU65593 NTP65587:NTQ65593 ODL65587:ODM65593 ONH65587:ONI65593 OXD65587:OXE65593 PGZ65587:PHA65593 PQV65587:PQW65593 QAR65587:QAS65593 QKN65587:QKO65593 QUJ65587:QUK65593 REF65587:REG65593 ROB65587:ROC65593 RXX65587:RXY65593 SHT65587:SHU65593 SRP65587:SRQ65593 TBL65587:TBM65593 TLH65587:TLI65593 TVD65587:TVE65593 UEZ65587:UFA65593 UOV65587:UOW65593 UYR65587:UYS65593 VIN65587:VIO65593 VSJ65587:VSK65593 WCF65587:WCG65593 WMB65587:WMC65593 WVX65587:WVY65593 P131123:Q131129 JL131123:JM131129 TH131123:TI131129 ADD131123:ADE131129 AMZ131123:ANA131129 AWV131123:AWW131129 BGR131123:BGS131129 BQN131123:BQO131129 CAJ131123:CAK131129 CKF131123:CKG131129 CUB131123:CUC131129 DDX131123:DDY131129 DNT131123:DNU131129 DXP131123:DXQ131129 EHL131123:EHM131129 ERH131123:ERI131129 FBD131123:FBE131129 FKZ131123:FLA131129 FUV131123:FUW131129 GER131123:GES131129 GON131123:GOO131129 GYJ131123:GYK131129 HIF131123:HIG131129 HSB131123:HSC131129 IBX131123:IBY131129 ILT131123:ILU131129 IVP131123:IVQ131129 JFL131123:JFM131129 JPH131123:JPI131129 JZD131123:JZE131129 KIZ131123:KJA131129 KSV131123:KSW131129 LCR131123:LCS131129 LMN131123:LMO131129 LWJ131123:LWK131129 MGF131123:MGG131129 MQB131123:MQC131129 MZX131123:MZY131129 NJT131123:NJU131129 NTP131123:NTQ131129 ODL131123:ODM131129 ONH131123:ONI131129 OXD131123:OXE131129 PGZ131123:PHA131129 PQV131123:PQW131129 QAR131123:QAS131129 QKN131123:QKO131129 QUJ131123:QUK131129 REF131123:REG131129 ROB131123:ROC131129 RXX131123:RXY131129 SHT131123:SHU131129 SRP131123:SRQ131129 TBL131123:TBM131129 TLH131123:TLI131129 TVD131123:TVE131129 UEZ131123:UFA131129 UOV131123:UOW131129 UYR131123:UYS131129 VIN131123:VIO131129 VSJ131123:VSK131129 WCF131123:WCG131129 WMB131123:WMC131129 WVX131123:WVY131129 P196659:Q196665 JL196659:JM196665 TH196659:TI196665 ADD196659:ADE196665 AMZ196659:ANA196665 AWV196659:AWW196665 BGR196659:BGS196665 BQN196659:BQO196665 CAJ196659:CAK196665 CKF196659:CKG196665 CUB196659:CUC196665 DDX196659:DDY196665 DNT196659:DNU196665 DXP196659:DXQ196665 EHL196659:EHM196665 ERH196659:ERI196665 FBD196659:FBE196665 FKZ196659:FLA196665 FUV196659:FUW196665 GER196659:GES196665 GON196659:GOO196665 GYJ196659:GYK196665 HIF196659:HIG196665 HSB196659:HSC196665 IBX196659:IBY196665 ILT196659:ILU196665 IVP196659:IVQ196665 JFL196659:JFM196665 JPH196659:JPI196665 JZD196659:JZE196665 KIZ196659:KJA196665 KSV196659:KSW196665 LCR196659:LCS196665 LMN196659:LMO196665 LWJ196659:LWK196665 MGF196659:MGG196665 MQB196659:MQC196665 MZX196659:MZY196665 NJT196659:NJU196665 NTP196659:NTQ196665 ODL196659:ODM196665 ONH196659:ONI196665 OXD196659:OXE196665 PGZ196659:PHA196665 PQV196659:PQW196665 QAR196659:QAS196665 QKN196659:QKO196665 QUJ196659:QUK196665 REF196659:REG196665 ROB196659:ROC196665 RXX196659:RXY196665 SHT196659:SHU196665 SRP196659:SRQ196665 TBL196659:TBM196665 TLH196659:TLI196665 TVD196659:TVE196665 UEZ196659:UFA196665 UOV196659:UOW196665 UYR196659:UYS196665 VIN196659:VIO196665 VSJ196659:VSK196665 WCF196659:WCG196665 WMB196659:WMC196665 WVX196659:WVY196665 P262195:Q262201 JL262195:JM262201 TH262195:TI262201 ADD262195:ADE262201 AMZ262195:ANA262201 AWV262195:AWW262201 BGR262195:BGS262201 BQN262195:BQO262201 CAJ262195:CAK262201 CKF262195:CKG262201 CUB262195:CUC262201 DDX262195:DDY262201 DNT262195:DNU262201 DXP262195:DXQ262201 EHL262195:EHM262201 ERH262195:ERI262201 FBD262195:FBE262201 FKZ262195:FLA262201 FUV262195:FUW262201 GER262195:GES262201 GON262195:GOO262201 GYJ262195:GYK262201 HIF262195:HIG262201 HSB262195:HSC262201 IBX262195:IBY262201 ILT262195:ILU262201 IVP262195:IVQ262201 JFL262195:JFM262201 JPH262195:JPI262201 JZD262195:JZE262201 KIZ262195:KJA262201 KSV262195:KSW262201 LCR262195:LCS262201 LMN262195:LMO262201 LWJ262195:LWK262201 MGF262195:MGG262201 MQB262195:MQC262201 MZX262195:MZY262201 NJT262195:NJU262201 NTP262195:NTQ262201 ODL262195:ODM262201 ONH262195:ONI262201 OXD262195:OXE262201 PGZ262195:PHA262201 PQV262195:PQW262201 QAR262195:QAS262201 QKN262195:QKO262201 QUJ262195:QUK262201 REF262195:REG262201 ROB262195:ROC262201 RXX262195:RXY262201 SHT262195:SHU262201 SRP262195:SRQ262201 TBL262195:TBM262201 TLH262195:TLI262201 TVD262195:TVE262201 UEZ262195:UFA262201 UOV262195:UOW262201 UYR262195:UYS262201 VIN262195:VIO262201 VSJ262195:VSK262201 WCF262195:WCG262201 WMB262195:WMC262201 WVX262195:WVY262201 P327731:Q327737 JL327731:JM327737 TH327731:TI327737 ADD327731:ADE327737 AMZ327731:ANA327737 AWV327731:AWW327737 BGR327731:BGS327737 BQN327731:BQO327737 CAJ327731:CAK327737 CKF327731:CKG327737 CUB327731:CUC327737 DDX327731:DDY327737 DNT327731:DNU327737 DXP327731:DXQ327737 EHL327731:EHM327737 ERH327731:ERI327737 FBD327731:FBE327737 FKZ327731:FLA327737 FUV327731:FUW327737 GER327731:GES327737 GON327731:GOO327737 GYJ327731:GYK327737 HIF327731:HIG327737 HSB327731:HSC327737 IBX327731:IBY327737 ILT327731:ILU327737 IVP327731:IVQ327737 JFL327731:JFM327737 JPH327731:JPI327737 JZD327731:JZE327737 KIZ327731:KJA327737 KSV327731:KSW327737 LCR327731:LCS327737 LMN327731:LMO327737 LWJ327731:LWK327737 MGF327731:MGG327737 MQB327731:MQC327737 MZX327731:MZY327737 NJT327731:NJU327737 NTP327731:NTQ327737 ODL327731:ODM327737 ONH327731:ONI327737 OXD327731:OXE327737 PGZ327731:PHA327737 PQV327731:PQW327737 QAR327731:QAS327737 QKN327731:QKO327737 QUJ327731:QUK327737 REF327731:REG327737 ROB327731:ROC327737 RXX327731:RXY327737 SHT327731:SHU327737 SRP327731:SRQ327737 TBL327731:TBM327737 TLH327731:TLI327737 TVD327731:TVE327737 UEZ327731:UFA327737 UOV327731:UOW327737 UYR327731:UYS327737 VIN327731:VIO327737 VSJ327731:VSK327737 WCF327731:WCG327737 WMB327731:WMC327737 WVX327731:WVY327737 P393267:Q393273 JL393267:JM393273 TH393267:TI393273 ADD393267:ADE393273 AMZ393267:ANA393273 AWV393267:AWW393273 BGR393267:BGS393273 BQN393267:BQO393273 CAJ393267:CAK393273 CKF393267:CKG393273 CUB393267:CUC393273 DDX393267:DDY393273 DNT393267:DNU393273 DXP393267:DXQ393273 EHL393267:EHM393273 ERH393267:ERI393273 FBD393267:FBE393273 FKZ393267:FLA393273 FUV393267:FUW393273 GER393267:GES393273 GON393267:GOO393273 GYJ393267:GYK393273 HIF393267:HIG393273 HSB393267:HSC393273 IBX393267:IBY393273 ILT393267:ILU393273 IVP393267:IVQ393273 JFL393267:JFM393273 JPH393267:JPI393273 JZD393267:JZE393273 KIZ393267:KJA393273 KSV393267:KSW393273 LCR393267:LCS393273 LMN393267:LMO393273 LWJ393267:LWK393273 MGF393267:MGG393273 MQB393267:MQC393273 MZX393267:MZY393273 NJT393267:NJU393273 NTP393267:NTQ393273 ODL393267:ODM393273 ONH393267:ONI393273 OXD393267:OXE393273 PGZ393267:PHA393273 PQV393267:PQW393273 QAR393267:QAS393273 QKN393267:QKO393273 QUJ393267:QUK393273 REF393267:REG393273 ROB393267:ROC393273 RXX393267:RXY393273 SHT393267:SHU393273 SRP393267:SRQ393273 TBL393267:TBM393273 TLH393267:TLI393273 TVD393267:TVE393273 UEZ393267:UFA393273 UOV393267:UOW393273 UYR393267:UYS393273 VIN393267:VIO393273 VSJ393267:VSK393273 WCF393267:WCG393273 WMB393267:WMC393273 WVX393267:WVY393273 P458803:Q458809 JL458803:JM458809 TH458803:TI458809 ADD458803:ADE458809 AMZ458803:ANA458809 AWV458803:AWW458809 BGR458803:BGS458809 BQN458803:BQO458809 CAJ458803:CAK458809 CKF458803:CKG458809 CUB458803:CUC458809 DDX458803:DDY458809 DNT458803:DNU458809 DXP458803:DXQ458809 EHL458803:EHM458809 ERH458803:ERI458809 FBD458803:FBE458809 FKZ458803:FLA458809 FUV458803:FUW458809 GER458803:GES458809 GON458803:GOO458809 GYJ458803:GYK458809 HIF458803:HIG458809 HSB458803:HSC458809 IBX458803:IBY458809 ILT458803:ILU458809 IVP458803:IVQ458809 JFL458803:JFM458809 JPH458803:JPI458809 JZD458803:JZE458809 KIZ458803:KJA458809 KSV458803:KSW458809 LCR458803:LCS458809 LMN458803:LMO458809 LWJ458803:LWK458809 MGF458803:MGG458809 MQB458803:MQC458809 MZX458803:MZY458809 NJT458803:NJU458809 NTP458803:NTQ458809 ODL458803:ODM458809 ONH458803:ONI458809 OXD458803:OXE458809 PGZ458803:PHA458809 PQV458803:PQW458809 QAR458803:QAS458809 QKN458803:QKO458809 QUJ458803:QUK458809 REF458803:REG458809 ROB458803:ROC458809 RXX458803:RXY458809 SHT458803:SHU458809 SRP458803:SRQ458809 TBL458803:TBM458809 TLH458803:TLI458809 TVD458803:TVE458809 UEZ458803:UFA458809 UOV458803:UOW458809 UYR458803:UYS458809 VIN458803:VIO458809 VSJ458803:VSK458809 WCF458803:WCG458809 WMB458803:WMC458809 WVX458803:WVY458809 P524339:Q524345 JL524339:JM524345 TH524339:TI524345 ADD524339:ADE524345 AMZ524339:ANA524345 AWV524339:AWW524345 BGR524339:BGS524345 BQN524339:BQO524345 CAJ524339:CAK524345 CKF524339:CKG524345 CUB524339:CUC524345 DDX524339:DDY524345 DNT524339:DNU524345 DXP524339:DXQ524345 EHL524339:EHM524345 ERH524339:ERI524345 FBD524339:FBE524345 FKZ524339:FLA524345 FUV524339:FUW524345 GER524339:GES524345 GON524339:GOO524345 GYJ524339:GYK524345 HIF524339:HIG524345 HSB524339:HSC524345 IBX524339:IBY524345 ILT524339:ILU524345 IVP524339:IVQ524345 JFL524339:JFM524345 JPH524339:JPI524345 JZD524339:JZE524345 KIZ524339:KJA524345 KSV524339:KSW524345 LCR524339:LCS524345 LMN524339:LMO524345 LWJ524339:LWK524345 MGF524339:MGG524345 MQB524339:MQC524345 MZX524339:MZY524345 NJT524339:NJU524345 NTP524339:NTQ524345 ODL524339:ODM524345 ONH524339:ONI524345 OXD524339:OXE524345 PGZ524339:PHA524345 PQV524339:PQW524345 QAR524339:QAS524345 QKN524339:QKO524345 QUJ524339:QUK524345 REF524339:REG524345 ROB524339:ROC524345 RXX524339:RXY524345 SHT524339:SHU524345 SRP524339:SRQ524345 TBL524339:TBM524345 TLH524339:TLI524345 TVD524339:TVE524345 UEZ524339:UFA524345 UOV524339:UOW524345 UYR524339:UYS524345 VIN524339:VIO524345 VSJ524339:VSK524345 WCF524339:WCG524345 WMB524339:WMC524345 WVX524339:WVY524345 P589875:Q589881 JL589875:JM589881 TH589875:TI589881 ADD589875:ADE589881 AMZ589875:ANA589881 AWV589875:AWW589881 BGR589875:BGS589881 BQN589875:BQO589881 CAJ589875:CAK589881 CKF589875:CKG589881 CUB589875:CUC589881 DDX589875:DDY589881 DNT589875:DNU589881 DXP589875:DXQ589881 EHL589875:EHM589881 ERH589875:ERI589881 FBD589875:FBE589881 FKZ589875:FLA589881 FUV589875:FUW589881 GER589875:GES589881 GON589875:GOO589881 GYJ589875:GYK589881 HIF589875:HIG589881 HSB589875:HSC589881 IBX589875:IBY589881 ILT589875:ILU589881 IVP589875:IVQ589881 JFL589875:JFM589881 JPH589875:JPI589881 JZD589875:JZE589881 KIZ589875:KJA589881 KSV589875:KSW589881 LCR589875:LCS589881 LMN589875:LMO589881 LWJ589875:LWK589881 MGF589875:MGG589881 MQB589875:MQC589881 MZX589875:MZY589881 NJT589875:NJU589881 NTP589875:NTQ589881 ODL589875:ODM589881 ONH589875:ONI589881 OXD589875:OXE589881 PGZ589875:PHA589881 PQV589875:PQW589881 QAR589875:QAS589881 QKN589875:QKO589881 QUJ589875:QUK589881 REF589875:REG589881 ROB589875:ROC589881 RXX589875:RXY589881 SHT589875:SHU589881 SRP589875:SRQ589881 TBL589875:TBM589881 TLH589875:TLI589881 TVD589875:TVE589881 UEZ589875:UFA589881 UOV589875:UOW589881 UYR589875:UYS589881 VIN589875:VIO589881 VSJ589875:VSK589881 WCF589875:WCG589881 WMB589875:WMC589881 WVX589875:WVY589881 P655411:Q655417 JL655411:JM655417 TH655411:TI655417 ADD655411:ADE655417 AMZ655411:ANA655417 AWV655411:AWW655417 BGR655411:BGS655417 BQN655411:BQO655417 CAJ655411:CAK655417 CKF655411:CKG655417 CUB655411:CUC655417 DDX655411:DDY655417 DNT655411:DNU655417 DXP655411:DXQ655417 EHL655411:EHM655417 ERH655411:ERI655417 FBD655411:FBE655417 FKZ655411:FLA655417 FUV655411:FUW655417 GER655411:GES655417 GON655411:GOO655417 GYJ655411:GYK655417 HIF655411:HIG655417 HSB655411:HSC655417 IBX655411:IBY655417 ILT655411:ILU655417 IVP655411:IVQ655417 JFL655411:JFM655417 JPH655411:JPI655417 JZD655411:JZE655417 KIZ655411:KJA655417 KSV655411:KSW655417 LCR655411:LCS655417 LMN655411:LMO655417 LWJ655411:LWK655417 MGF655411:MGG655417 MQB655411:MQC655417 MZX655411:MZY655417 NJT655411:NJU655417 NTP655411:NTQ655417 ODL655411:ODM655417 ONH655411:ONI655417 OXD655411:OXE655417 PGZ655411:PHA655417 PQV655411:PQW655417 QAR655411:QAS655417 QKN655411:QKO655417 QUJ655411:QUK655417 REF655411:REG655417 ROB655411:ROC655417 RXX655411:RXY655417 SHT655411:SHU655417 SRP655411:SRQ655417 TBL655411:TBM655417 TLH655411:TLI655417 TVD655411:TVE655417 UEZ655411:UFA655417 UOV655411:UOW655417 UYR655411:UYS655417 VIN655411:VIO655417 VSJ655411:VSK655417 WCF655411:WCG655417 WMB655411:WMC655417 WVX655411:WVY655417 P720947:Q720953 JL720947:JM720953 TH720947:TI720953 ADD720947:ADE720953 AMZ720947:ANA720953 AWV720947:AWW720953 BGR720947:BGS720953 BQN720947:BQO720953 CAJ720947:CAK720953 CKF720947:CKG720953 CUB720947:CUC720953 DDX720947:DDY720953 DNT720947:DNU720953 DXP720947:DXQ720953 EHL720947:EHM720953 ERH720947:ERI720953 FBD720947:FBE720953 FKZ720947:FLA720953 FUV720947:FUW720953 GER720947:GES720953 GON720947:GOO720953 GYJ720947:GYK720953 HIF720947:HIG720953 HSB720947:HSC720953 IBX720947:IBY720953 ILT720947:ILU720953 IVP720947:IVQ720953 JFL720947:JFM720953 JPH720947:JPI720953 JZD720947:JZE720953 KIZ720947:KJA720953 KSV720947:KSW720953 LCR720947:LCS720953 LMN720947:LMO720953 LWJ720947:LWK720953 MGF720947:MGG720953 MQB720947:MQC720953 MZX720947:MZY720953 NJT720947:NJU720953 NTP720947:NTQ720953 ODL720947:ODM720953 ONH720947:ONI720953 OXD720947:OXE720953 PGZ720947:PHA720953 PQV720947:PQW720953 QAR720947:QAS720953 QKN720947:QKO720953 QUJ720947:QUK720953 REF720947:REG720953 ROB720947:ROC720953 RXX720947:RXY720953 SHT720947:SHU720953 SRP720947:SRQ720953 TBL720947:TBM720953 TLH720947:TLI720953 TVD720947:TVE720953 UEZ720947:UFA720953 UOV720947:UOW720953 UYR720947:UYS720953 VIN720947:VIO720953 VSJ720947:VSK720953 WCF720947:WCG720953 WMB720947:WMC720953 WVX720947:WVY720953 P786483:Q786489 JL786483:JM786489 TH786483:TI786489 ADD786483:ADE786489 AMZ786483:ANA786489 AWV786483:AWW786489 BGR786483:BGS786489 BQN786483:BQO786489 CAJ786483:CAK786489 CKF786483:CKG786489 CUB786483:CUC786489 DDX786483:DDY786489 DNT786483:DNU786489 DXP786483:DXQ786489 EHL786483:EHM786489 ERH786483:ERI786489 FBD786483:FBE786489 FKZ786483:FLA786489 FUV786483:FUW786489 GER786483:GES786489 GON786483:GOO786489 GYJ786483:GYK786489 HIF786483:HIG786489 HSB786483:HSC786489 IBX786483:IBY786489 ILT786483:ILU786489 IVP786483:IVQ786489 JFL786483:JFM786489 JPH786483:JPI786489 JZD786483:JZE786489 KIZ786483:KJA786489 KSV786483:KSW786489 LCR786483:LCS786489 LMN786483:LMO786489 LWJ786483:LWK786489 MGF786483:MGG786489 MQB786483:MQC786489 MZX786483:MZY786489 NJT786483:NJU786489 NTP786483:NTQ786489 ODL786483:ODM786489 ONH786483:ONI786489 OXD786483:OXE786489 PGZ786483:PHA786489 PQV786483:PQW786489 QAR786483:QAS786489 QKN786483:QKO786489 QUJ786483:QUK786489 REF786483:REG786489 ROB786483:ROC786489 RXX786483:RXY786489 SHT786483:SHU786489 SRP786483:SRQ786489 TBL786483:TBM786489 TLH786483:TLI786489 TVD786483:TVE786489 UEZ786483:UFA786489 UOV786483:UOW786489 UYR786483:UYS786489 VIN786483:VIO786489 VSJ786483:VSK786489 WCF786483:WCG786489 WMB786483:WMC786489 WVX786483:WVY786489 P852019:Q852025 JL852019:JM852025 TH852019:TI852025 ADD852019:ADE852025 AMZ852019:ANA852025 AWV852019:AWW852025 BGR852019:BGS852025 BQN852019:BQO852025 CAJ852019:CAK852025 CKF852019:CKG852025 CUB852019:CUC852025 DDX852019:DDY852025 DNT852019:DNU852025 DXP852019:DXQ852025 EHL852019:EHM852025 ERH852019:ERI852025 FBD852019:FBE852025 FKZ852019:FLA852025 FUV852019:FUW852025 GER852019:GES852025 GON852019:GOO852025 GYJ852019:GYK852025 HIF852019:HIG852025 HSB852019:HSC852025 IBX852019:IBY852025 ILT852019:ILU852025 IVP852019:IVQ852025 JFL852019:JFM852025 JPH852019:JPI852025 JZD852019:JZE852025 KIZ852019:KJA852025 KSV852019:KSW852025 LCR852019:LCS852025 LMN852019:LMO852025 LWJ852019:LWK852025 MGF852019:MGG852025 MQB852019:MQC852025 MZX852019:MZY852025 NJT852019:NJU852025 NTP852019:NTQ852025 ODL852019:ODM852025 ONH852019:ONI852025 OXD852019:OXE852025 PGZ852019:PHA852025 PQV852019:PQW852025 QAR852019:QAS852025 QKN852019:QKO852025 QUJ852019:QUK852025 REF852019:REG852025 ROB852019:ROC852025 RXX852019:RXY852025 SHT852019:SHU852025 SRP852019:SRQ852025 TBL852019:TBM852025 TLH852019:TLI852025 TVD852019:TVE852025 UEZ852019:UFA852025 UOV852019:UOW852025 UYR852019:UYS852025 VIN852019:VIO852025 VSJ852019:VSK852025 WCF852019:WCG852025 WMB852019:WMC852025 WVX852019:WVY852025 P917555:Q917561 JL917555:JM917561 TH917555:TI917561 ADD917555:ADE917561 AMZ917555:ANA917561 AWV917555:AWW917561 BGR917555:BGS917561 BQN917555:BQO917561 CAJ917555:CAK917561 CKF917555:CKG917561 CUB917555:CUC917561 DDX917555:DDY917561 DNT917555:DNU917561 DXP917555:DXQ917561 EHL917555:EHM917561 ERH917555:ERI917561 FBD917555:FBE917561 FKZ917555:FLA917561 FUV917555:FUW917561 GER917555:GES917561 GON917555:GOO917561 GYJ917555:GYK917561 HIF917555:HIG917561 HSB917555:HSC917561 IBX917555:IBY917561 ILT917555:ILU917561 IVP917555:IVQ917561 JFL917555:JFM917561 JPH917555:JPI917561 JZD917555:JZE917561 KIZ917555:KJA917561 KSV917555:KSW917561 LCR917555:LCS917561 LMN917555:LMO917561 LWJ917555:LWK917561 MGF917555:MGG917561 MQB917555:MQC917561 MZX917555:MZY917561 NJT917555:NJU917561 NTP917555:NTQ917561 ODL917555:ODM917561 ONH917555:ONI917561 OXD917555:OXE917561 PGZ917555:PHA917561 PQV917555:PQW917561 QAR917555:QAS917561 QKN917555:QKO917561 QUJ917555:QUK917561 REF917555:REG917561 ROB917555:ROC917561 RXX917555:RXY917561 SHT917555:SHU917561 SRP917555:SRQ917561 TBL917555:TBM917561 TLH917555:TLI917561 TVD917555:TVE917561 UEZ917555:UFA917561 UOV917555:UOW917561 UYR917555:UYS917561 VIN917555:VIO917561 VSJ917555:VSK917561 WCF917555:WCG917561 WMB917555:WMC917561 WVX917555:WVY917561 P983091:Q983097 JL983091:JM983097 TH983091:TI983097 ADD983091:ADE983097 AMZ983091:ANA983097 AWV983091:AWW983097 BGR983091:BGS983097 BQN983091:BQO983097 CAJ983091:CAK983097 CKF983091:CKG983097 CUB983091:CUC983097 DDX983091:DDY983097 DNT983091:DNU983097 DXP983091:DXQ983097 EHL983091:EHM983097 ERH983091:ERI983097 FBD983091:FBE983097 FKZ983091:FLA983097 FUV983091:FUW983097 GER983091:GES983097 GON983091:GOO983097 GYJ983091:GYK983097 HIF983091:HIG983097 HSB983091:HSC983097 IBX983091:IBY983097 ILT983091:ILU983097 IVP983091:IVQ983097 JFL983091:JFM983097 JPH983091:JPI983097 JZD983091:JZE983097 KIZ983091:KJA983097 KSV983091:KSW983097 LCR983091:LCS983097 LMN983091:LMO983097 LWJ983091:LWK983097 MGF983091:MGG983097 MQB983091:MQC983097 MZX983091:MZY983097 NJT983091:NJU983097 NTP983091:NTQ983097 ODL983091:ODM983097 ONH983091:ONI983097 OXD983091:OXE983097 PGZ983091:PHA983097 PQV983091:PQW983097 QAR983091:QAS983097 QKN983091:QKO983097 QUJ983091:QUK983097 REF983091:REG983097 ROB983091:ROC983097 RXX983091:RXY983097 SHT983091:SHU983097 SRP983091:SRQ983097 TBL983091:TBM983097 TLH983091:TLI983097 TVD983091:TVE983097 UEZ983091:UFA983097 UOV983091:UOW983097 UYR983091:UYS983097 VIN983091:VIO983097 VSJ983091:VSK983097 WCF983091:WCG983097 WMB983091:WMC983097 WVX983091:WVY983097 P59:Q62 JL59:JM62 TH59:TI62 ADD59:ADE62 AMZ59:ANA62 AWV59:AWW62 BGR59:BGS62 BQN59:BQO62 CAJ59:CAK62 CKF59:CKG62 CUB59:CUC62 DDX59:DDY62 DNT59:DNU62 DXP59:DXQ62 EHL59:EHM62 ERH59:ERI62 FBD59:FBE62 FKZ59:FLA62 FUV59:FUW62 GER59:GES62 GON59:GOO62 GYJ59:GYK62 HIF59:HIG62 HSB59:HSC62 IBX59:IBY62 ILT59:ILU62 IVP59:IVQ62 JFL59:JFM62 JPH59:JPI62 JZD59:JZE62 KIZ59:KJA62 KSV59:KSW62 LCR59:LCS62 LMN59:LMO62 LWJ59:LWK62 MGF59:MGG62 MQB59:MQC62 MZX59:MZY62 NJT59:NJU62 NTP59:NTQ62 ODL59:ODM62 ONH59:ONI62 OXD59:OXE62 PGZ59:PHA62 PQV59:PQW62 QAR59:QAS62 QKN59:QKO62 QUJ59:QUK62 REF59:REG62 ROB59:ROC62 RXX59:RXY62 SHT59:SHU62 SRP59:SRQ62 TBL59:TBM62 TLH59:TLI62 TVD59:TVE62 UEZ59:UFA62 UOV59:UOW62 UYR59:UYS62 VIN59:VIO62 VSJ59:VSK62 WCF59:WCG62 WMB59:WMC62 WVX59:WVY62 P65595:Q65598 JL65595:JM65598 TH65595:TI65598 ADD65595:ADE65598 AMZ65595:ANA65598 AWV65595:AWW65598 BGR65595:BGS65598 BQN65595:BQO65598 CAJ65595:CAK65598 CKF65595:CKG65598 CUB65595:CUC65598 DDX65595:DDY65598 DNT65595:DNU65598 DXP65595:DXQ65598 EHL65595:EHM65598 ERH65595:ERI65598 FBD65595:FBE65598 FKZ65595:FLA65598 FUV65595:FUW65598 GER65595:GES65598 GON65595:GOO65598 GYJ65595:GYK65598 HIF65595:HIG65598 HSB65595:HSC65598 IBX65595:IBY65598 ILT65595:ILU65598 IVP65595:IVQ65598 JFL65595:JFM65598 JPH65595:JPI65598 JZD65595:JZE65598 KIZ65595:KJA65598 KSV65595:KSW65598 LCR65595:LCS65598 LMN65595:LMO65598 LWJ65595:LWK65598 MGF65595:MGG65598 MQB65595:MQC65598 MZX65595:MZY65598 NJT65595:NJU65598 NTP65595:NTQ65598 ODL65595:ODM65598 ONH65595:ONI65598 OXD65595:OXE65598 PGZ65595:PHA65598 PQV65595:PQW65598 QAR65595:QAS65598 QKN65595:QKO65598 QUJ65595:QUK65598 REF65595:REG65598 ROB65595:ROC65598 RXX65595:RXY65598 SHT65595:SHU65598 SRP65595:SRQ65598 TBL65595:TBM65598 TLH65595:TLI65598 TVD65595:TVE65598 UEZ65595:UFA65598 UOV65595:UOW65598 UYR65595:UYS65598 VIN65595:VIO65598 VSJ65595:VSK65598 WCF65595:WCG65598 WMB65595:WMC65598 WVX65595:WVY65598 P131131:Q131134 JL131131:JM131134 TH131131:TI131134 ADD131131:ADE131134 AMZ131131:ANA131134 AWV131131:AWW131134 BGR131131:BGS131134 BQN131131:BQO131134 CAJ131131:CAK131134 CKF131131:CKG131134 CUB131131:CUC131134 DDX131131:DDY131134 DNT131131:DNU131134 DXP131131:DXQ131134 EHL131131:EHM131134 ERH131131:ERI131134 FBD131131:FBE131134 FKZ131131:FLA131134 FUV131131:FUW131134 GER131131:GES131134 GON131131:GOO131134 GYJ131131:GYK131134 HIF131131:HIG131134 HSB131131:HSC131134 IBX131131:IBY131134 ILT131131:ILU131134 IVP131131:IVQ131134 JFL131131:JFM131134 JPH131131:JPI131134 JZD131131:JZE131134 KIZ131131:KJA131134 KSV131131:KSW131134 LCR131131:LCS131134 LMN131131:LMO131134 LWJ131131:LWK131134 MGF131131:MGG131134 MQB131131:MQC131134 MZX131131:MZY131134 NJT131131:NJU131134 NTP131131:NTQ131134 ODL131131:ODM131134 ONH131131:ONI131134 OXD131131:OXE131134 PGZ131131:PHA131134 PQV131131:PQW131134 QAR131131:QAS131134 QKN131131:QKO131134 QUJ131131:QUK131134 REF131131:REG131134 ROB131131:ROC131134 RXX131131:RXY131134 SHT131131:SHU131134 SRP131131:SRQ131134 TBL131131:TBM131134 TLH131131:TLI131134 TVD131131:TVE131134 UEZ131131:UFA131134 UOV131131:UOW131134 UYR131131:UYS131134 VIN131131:VIO131134 VSJ131131:VSK131134 WCF131131:WCG131134 WMB131131:WMC131134 WVX131131:WVY131134 P196667:Q196670 JL196667:JM196670 TH196667:TI196670 ADD196667:ADE196670 AMZ196667:ANA196670 AWV196667:AWW196670 BGR196667:BGS196670 BQN196667:BQO196670 CAJ196667:CAK196670 CKF196667:CKG196670 CUB196667:CUC196670 DDX196667:DDY196670 DNT196667:DNU196670 DXP196667:DXQ196670 EHL196667:EHM196670 ERH196667:ERI196670 FBD196667:FBE196670 FKZ196667:FLA196670 FUV196667:FUW196670 GER196667:GES196670 GON196667:GOO196670 GYJ196667:GYK196670 HIF196667:HIG196670 HSB196667:HSC196670 IBX196667:IBY196670 ILT196667:ILU196670 IVP196667:IVQ196670 JFL196667:JFM196670 JPH196667:JPI196670 JZD196667:JZE196670 KIZ196667:KJA196670 KSV196667:KSW196670 LCR196667:LCS196670 LMN196667:LMO196670 LWJ196667:LWK196670 MGF196667:MGG196670 MQB196667:MQC196670 MZX196667:MZY196670 NJT196667:NJU196670 NTP196667:NTQ196670 ODL196667:ODM196670 ONH196667:ONI196670 OXD196667:OXE196670 PGZ196667:PHA196670 PQV196667:PQW196670 QAR196667:QAS196670 QKN196667:QKO196670 QUJ196667:QUK196670 REF196667:REG196670 ROB196667:ROC196670 RXX196667:RXY196670 SHT196667:SHU196670 SRP196667:SRQ196670 TBL196667:TBM196670 TLH196667:TLI196670 TVD196667:TVE196670 UEZ196667:UFA196670 UOV196667:UOW196670 UYR196667:UYS196670 VIN196667:VIO196670 VSJ196667:VSK196670 WCF196667:WCG196670 WMB196667:WMC196670 WVX196667:WVY196670 P262203:Q262206 JL262203:JM262206 TH262203:TI262206 ADD262203:ADE262206 AMZ262203:ANA262206 AWV262203:AWW262206 BGR262203:BGS262206 BQN262203:BQO262206 CAJ262203:CAK262206 CKF262203:CKG262206 CUB262203:CUC262206 DDX262203:DDY262206 DNT262203:DNU262206 DXP262203:DXQ262206 EHL262203:EHM262206 ERH262203:ERI262206 FBD262203:FBE262206 FKZ262203:FLA262206 FUV262203:FUW262206 GER262203:GES262206 GON262203:GOO262206 GYJ262203:GYK262206 HIF262203:HIG262206 HSB262203:HSC262206 IBX262203:IBY262206 ILT262203:ILU262206 IVP262203:IVQ262206 JFL262203:JFM262206 JPH262203:JPI262206 JZD262203:JZE262206 KIZ262203:KJA262206 KSV262203:KSW262206 LCR262203:LCS262206 LMN262203:LMO262206 LWJ262203:LWK262206 MGF262203:MGG262206 MQB262203:MQC262206 MZX262203:MZY262206 NJT262203:NJU262206 NTP262203:NTQ262206 ODL262203:ODM262206 ONH262203:ONI262206 OXD262203:OXE262206 PGZ262203:PHA262206 PQV262203:PQW262206 QAR262203:QAS262206 QKN262203:QKO262206 QUJ262203:QUK262206 REF262203:REG262206 ROB262203:ROC262206 RXX262203:RXY262206 SHT262203:SHU262206 SRP262203:SRQ262206 TBL262203:TBM262206 TLH262203:TLI262206 TVD262203:TVE262206 UEZ262203:UFA262206 UOV262203:UOW262206 UYR262203:UYS262206 VIN262203:VIO262206 VSJ262203:VSK262206 WCF262203:WCG262206 WMB262203:WMC262206 WVX262203:WVY262206 P327739:Q327742 JL327739:JM327742 TH327739:TI327742 ADD327739:ADE327742 AMZ327739:ANA327742 AWV327739:AWW327742 BGR327739:BGS327742 BQN327739:BQO327742 CAJ327739:CAK327742 CKF327739:CKG327742 CUB327739:CUC327742 DDX327739:DDY327742 DNT327739:DNU327742 DXP327739:DXQ327742 EHL327739:EHM327742 ERH327739:ERI327742 FBD327739:FBE327742 FKZ327739:FLA327742 FUV327739:FUW327742 GER327739:GES327742 GON327739:GOO327742 GYJ327739:GYK327742 HIF327739:HIG327742 HSB327739:HSC327742 IBX327739:IBY327742 ILT327739:ILU327742 IVP327739:IVQ327742 JFL327739:JFM327742 JPH327739:JPI327742 JZD327739:JZE327742 KIZ327739:KJA327742 KSV327739:KSW327742 LCR327739:LCS327742 LMN327739:LMO327742 LWJ327739:LWK327742 MGF327739:MGG327742 MQB327739:MQC327742 MZX327739:MZY327742 NJT327739:NJU327742 NTP327739:NTQ327742 ODL327739:ODM327742 ONH327739:ONI327742 OXD327739:OXE327742 PGZ327739:PHA327742 PQV327739:PQW327742 QAR327739:QAS327742 QKN327739:QKO327742 QUJ327739:QUK327742 REF327739:REG327742 ROB327739:ROC327742 RXX327739:RXY327742 SHT327739:SHU327742 SRP327739:SRQ327742 TBL327739:TBM327742 TLH327739:TLI327742 TVD327739:TVE327742 UEZ327739:UFA327742 UOV327739:UOW327742 UYR327739:UYS327742 VIN327739:VIO327742 VSJ327739:VSK327742 WCF327739:WCG327742 WMB327739:WMC327742 WVX327739:WVY327742 P393275:Q393278 JL393275:JM393278 TH393275:TI393278 ADD393275:ADE393278 AMZ393275:ANA393278 AWV393275:AWW393278 BGR393275:BGS393278 BQN393275:BQO393278 CAJ393275:CAK393278 CKF393275:CKG393278 CUB393275:CUC393278 DDX393275:DDY393278 DNT393275:DNU393278 DXP393275:DXQ393278 EHL393275:EHM393278 ERH393275:ERI393278 FBD393275:FBE393278 FKZ393275:FLA393278 FUV393275:FUW393278 GER393275:GES393278 GON393275:GOO393278 GYJ393275:GYK393278 HIF393275:HIG393278 HSB393275:HSC393278 IBX393275:IBY393278 ILT393275:ILU393278 IVP393275:IVQ393278 JFL393275:JFM393278 JPH393275:JPI393278 JZD393275:JZE393278 KIZ393275:KJA393278 KSV393275:KSW393278 LCR393275:LCS393278 LMN393275:LMO393278 LWJ393275:LWK393278 MGF393275:MGG393278 MQB393275:MQC393278 MZX393275:MZY393278 NJT393275:NJU393278 NTP393275:NTQ393278 ODL393275:ODM393278 ONH393275:ONI393278 OXD393275:OXE393278 PGZ393275:PHA393278 PQV393275:PQW393278 QAR393275:QAS393278 QKN393275:QKO393278 QUJ393275:QUK393278 REF393275:REG393278 ROB393275:ROC393278 RXX393275:RXY393278 SHT393275:SHU393278 SRP393275:SRQ393278 TBL393275:TBM393278 TLH393275:TLI393278 TVD393275:TVE393278 UEZ393275:UFA393278 UOV393275:UOW393278 UYR393275:UYS393278 VIN393275:VIO393278 VSJ393275:VSK393278 WCF393275:WCG393278 WMB393275:WMC393278 WVX393275:WVY393278 P458811:Q458814 JL458811:JM458814 TH458811:TI458814 ADD458811:ADE458814 AMZ458811:ANA458814 AWV458811:AWW458814 BGR458811:BGS458814 BQN458811:BQO458814 CAJ458811:CAK458814 CKF458811:CKG458814 CUB458811:CUC458814 DDX458811:DDY458814 DNT458811:DNU458814 DXP458811:DXQ458814 EHL458811:EHM458814 ERH458811:ERI458814 FBD458811:FBE458814 FKZ458811:FLA458814 FUV458811:FUW458814 GER458811:GES458814 GON458811:GOO458814 GYJ458811:GYK458814 HIF458811:HIG458814 HSB458811:HSC458814 IBX458811:IBY458814 ILT458811:ILU458814 IVP458811:IVQ458814 JFL458811:JFM458814 JPH458811:JPI458814 JZD458811:JZE458814 KIZ458811:KJA458814 KSV458811:KSW458814 LCR458811:LCS458814 LMN458811:LMO458814 LWJ458811:LWK458814 MGF458811:MGG458814 MQB458811:MQC458814 MZX458811:MZY458814 NJT458811:NJU458814 NTP458811:NTQ458814 ODL458811:ODM458814 ONH458811:ONI458814 OXD458811:OXE458814 PGZ458811:PHA458814 PQV458811:PQW458814 QAR458811:QAS458814 QKN458811:QKO458814 QUJ458811:QUK458814 REF458811:REG458814 ROB458811:ROC458814 RXX458811:RXY458814 SHT458811:SHU458814 SRP458811:SRQ458814 TBL458811:TBM458814 TLH458811:TLI458814 TVD458811:TVE458814 UEZ458811:UFA458814 UOV458811:UOW458814 UYR458811:UYS458814 VIN458811:VIO458814 VSJ458811:VSK458814 WCF458811:WCG458814 WMB458811:WMC458814 WVX458811:WVY458814 P524347:Q524350 JL524347:JM524350 TH524347:TI524350 ADD524347:ADE524350 AMZ524347:ANA524350 AWV524347:AWW524350 BGR524347:BGS524350 BQN524347:BQO524350 CAJ524347:CAK524350 CKF524347:CKG524350 CUB524347:CUC524350 DDX524347:DDY524350 DNT524347:DNU524350 DXP524347:DXQ524350 EHL524347:EHM524350 ERH524347:ERI524350 FBD524347:FBE524350 FKZ524347:FLA524350 FUV524347:FUW524350 GER524347:GES524350 GON524347:GOO524350 GYJ524347:GYK524350 HIF524347:HIG524350 HSB524347:HSC524350 IBX524347:IBY524350 ILT524347:ILU524350 IVP524347:IVQ524350 JFL524347:JFM524350 JPH524347:JPI524350 JZD524347:JZE524350 KIZ524347:KJA524350 KSV524347:KSW524350 LCR524347:LCS524350 LMN524347:LMO524350 LWJ524347:LWK524350 MGF524347:MGG524350 MQB524347:MQC524350 MZX524347:MZY524350 NJT524347:NJU524350 NTP524347:NTQ524350 ODL524347:ODM524350 ONH524347:ONI524350 OXD524347:OXE524350 PGZ524347:PHA524350 PQV524347:PQW524350 QAR524347:QAS524350 QKN524347:QKO524350 QUJ524347:QUK524350 REF524347:REG524350 ROB524347:ROC524350 RXX524347:RXY524350 SHT524347:SHU524350 SRP524347:SRQ524350 TBL524347:TBM524350 TLH524347:TLI524350 TVD524347:TVE524350 UEZ524347:UFA524350 UOV524347:UOW524350 UYR524347:UYS524350 VIN524347:VIO524350 VSJ524347:VSK524350 WCF524347:WCG524350 WMB524347:WMC524350 WVX524347:WVY524350 P589883:Q589886 JL589883:JM589886 TH589883:TI589886 ADD589883:ADE589886 AMZ589883:ANA589886 AWV589883:AWW589886 BGR589883:BGS589886 BQN589883:BQO589886 CAJ589883:CAK589886 CKF589883:CKG589886 CUB589883:CUC589886 DDX589883:DDY589886 DNT589883:DNU589886 DXP589883:DXQ589886 EHL589883:EHM589886 ERH589883:ERI589886 FBD589883:FBE589886 FKZ589883:FLA589886 FUV589883:FUW589886 GER589883:GES589886 GON589883:GOO589886 GYJ589883:GYK589886 HIF589883:HIG589886 HSB589883:HSC589886 IBX589883:IBY589886 ILT589883:ILU589886 IVP589883:IVQ589886 JFL589883:JFM589886 JPH589883:JPI589886 JZD589883:JZE589886 KIZ589883:KJA589886 KSV589883:KSW589886 LCR589883:LCS589886 LMN589883:LMO589886 LWJ589883:LWK589886 MGF589883:MGG589886 MQB589883:MQC589886 MZX589883:MZY589886 NJT589883:NJU589886 NTP589883:NTQ589886 ODL589883:ODM589886 ONH589883:ONI589886 OXD589883:OXE589886 PGZ589883:PHA589886 PQV589883:PQW589886 QAR589883:QAS589886 QKN589883:QKO589886 QUJ589883:QUK589886 REF589883:REG589886 ROB589883:ROC589886 RXX589883:RXY589886 SHT589883:SHU589886 SRP589883:SRQ589886 TBL589883:TBM589886 TLH589883:TLI589886 TVD589883:TVE589886 UEZ589883:UFA589886 UOV589883:UOW589886 UYR589883:UYS589886 VIN589883:VIO589886 VSJ589883:VSK589886 WCF589883:WCG589886 WMB589883:WMC589886 WVX589883:WVY589886 P655419:Q655422 JL655419:JM655422 TH655419:TI655422 ADD655419:ADE655422 AMZ655419:ANA655422 AWV655419:AWW655422 BGR655419:BGS655422 BQN655419:BQO655422 CAJ655419:CAK655422 CKF655419:CKG655422 CUB655419:CUC655422 DDX655419:DDY655422 DNT655419:DNU655422 DXP655419:DXQ655422 EHL655419:EHM655422 ERH655419:ERI655422 FBD655419:FBE655422 FKZ655419:FLA655422 FUV655419:FUW655422 GER655419:GES655422 GON655419:GOO655422 GYJ655419:GYK655422 HIF655419:HIG655422 HSB655419:HSC655422 IBX655419:IBY655422 ILT655419:ILU655422 IVP655419:IVQ655422 JFL655419:JFM655422 JPH655419:JPI655422 JZD655419:JZE655422 KIZ655419:KJA655422 KSV655419:KSW655422 LCR655419:LCS655422 LMN655419:LMO655422 LWJ655419:LWK655422 MGF655419:MGG655422 MQB655419:MQC655422 MZX655419:MZY655422 NJT655419:NJU655422 NTP655419:NTQ655422 ODL655419:ODM655422 ONH655419:ONI655422 OXD655419:OXE655422 PGZ655419:PHA655422 PQV655419:PQW655422 QAR655419:QAS655422 QKN655419:QKO655422 QUJ655419:QUK655422 REF655419:REG655422 ROB655419:ROC655422 RXX655419:RXY655422 SHT655419:SHU655422 SRP655419:SRQ655422 TBL655419:TBM655422 TLH655419:TLI655422 TVD655419:TVE655422 UEZ655419:UFA655422 UOV655419:UOW655422 UYR655419:UYS655422 VIN655419:VIO655422 VSJ655419:VSK655422 WCF655419:WCG655422 WMB655419:WMC655422 WVX655419:WVY655422 P720955:Q720958 JL720955:JM720958 TH720955:TI720958 ADD720955:ADE720958 AMZ720955:ANA720958 AWV720955:AWW720958 BGR720955:BGS720958 BQN720955:BQO720958 CAJ720955:CAK720958 CKF720955:CKG720958 CUB720955:CUC720958 DDX720955:DDY720958 DNT720955:DNU720958 DXP720955:DXQ720958 EHL720955:EHM720958 ERH720955:ERI720958 FBD720955:FBE720958 FKZ720955:FLA720958 FUV720955:FUW720958 GER720955:GES720958 GON720955:GOO720958 GYJ720955:GYK720958 HIF720955:HIG720958 HSB720955:HSC720958 IBX720955:IBY720958 ILT720955:ILU720958 IVP720955:IVQ720958 JFL720955:JFM720958 JPH720955:JPI720958 JZD720955:JZE720958 KIZ720955:KJA720958 KSV720955:KSW720958 LCR720955:LCS720958 LMN720955:LMO720958 LWJ720955:LWK720958 MGF720955:MGG720958 MQB720955:MQC720958 MZX720955:MZY720958 NJT720955:NJU720958 NTP720955:NTQ720958 ODL720955:ODM720958 ONH720955:ONI720958 OXD720955:OXE720958 PGZ720955:PHA720958 PQV720955:PQW720958 QAR720955:QAS720958 QKN720955:QKO720958 QUJ720955:QUK720958 REF720955:REG720958 ROB720955:ROC720958 RXX720955:RXY720958 SHT720955:SHU720958 SRP720955:SRQ720958 TBL720955:TBM720958 TLH720955:TLI720958 TVD720955:TVE720958 UEZ720955:UFA720958 UOV720955:UOW720958 UYR720955:UYS720958 VIN720955:VIO720958 VSJ720955:VSK720958 WCF720955:WCG720958 WMB720955:WMC720958 WVX720955:WVY720958 P786491:Q786494 JL786491:JM786494 TH786491:TI786494 ADD786491:ADE786494 AMZ786491:ANA786494 AWV786491:AWW786494 BGR786491:BGS786494 BQN786491:BQO786494 CAJ786491:CAK786494 CKF786491:CKG786494 CUB786491:CUC786494 DDX786491:DDY786494 DNT786491:DNU786494 DXP786491:DXQ786494 EHL786491:EHM786494 ERH786491:ERI786494 FBD786491:FBE786494 FKZ786491:FLA786494 FUV786491:FUW786494 GER786491:GES786494 GON786491:GOO786494 GYJ786491:GYK786494 HIF786491:HIG786494 HSB786491:HSC786494 IBX786491:IBY786494 ILT786491:ILU786494 IVP786491:IVQ786494 JFL786491:JFM786494 JPH786491:JPI786494 JZD786491:JZE786494 KIZ786491:KJA786494 KSV786491:KSW786494 LCR786491:LCS786494 LMN786491:LMO786494 LWJ786491:LWK786494 MGF786491:MGG786494 MQB786491:MQC786494 MZX786491:MZY786494 NJT786491:NJU786494 NTP786491:NTQ786494 ODL786491:ODM786494 ONH786491:ONI786494 OXD786491:OXE786494 PGZ786491:PHA786494 PQV786491:PQW786494 QAR786491:QAS786494 QKN786491:QKO786494 QUJ786491:QUK786494 REF786491:REG786494 ROB786491:ROC786494 RXX786491:RXY786494 SHT786491:SHU786494 SRP786491:SRQ786494 TBL786491:TBM786494 TLH786491:TLI786494 TVD786491:TVE786494 UEZ786491:UFA786494 UOV786491:UOW786494 UYR786491:UYS786494 VIN786491:VIO786494 VSJ786491:VSK786494 WCF786491:WCG786494 WMB786491:WMC786494 WVX786491:WVY786494 P852027:Q852030 JL852027:JM852030 TH852027:TI852030 ADD852027:ADE852030 AMZ852027:ANA852030 AWV852027:AWW852030 BGR852027:BGS852030 BQN852027:BQO852030 CAJ852027:CAK852030 CKF852027:CKG852030 CUB852027:CUC852030 DDX852027:DDY852030 DNT852027:DNU852030 DXP852027:DXQ852030 EHL852027:EHM852030 ERH852027:ERI852030 FBD852027:FBE852030 FKZ852027:FLA852030 FUV852027:FUW852030 GER852027:GES852030 GON852027:GOO852030 GYJ852027:GYK852030 HIF852027:HIG852030 HSB852027:HSC852030 IBX852027:IBY852030 ILT852027:ILU852030 IVP852027:IVQ852030 JFL852027:JFM852030 JPH852027:JPI852030 JZD852027:JZE852030 KIZ852027:KJA852030 KSV852027:KSW852030 LCR852027:LCS852030 LMN852027:LMO852030 LWJ852027:LWK852030 MGF852027:MGG852030 MQB852027:MQC852030 MZX852027:MZY852030 NJT852027:NJU852030 NTP852027:NTQ852030 ODL852027:ODM852030 ONH852027:ONI852030 OXD852027:OXE852030 PGZ852027:PHA852030 PQV852027:PQW852030 QAR852027:QAS852030 QKN852027:QKO852030 QUJ852027:QUK852030 REF852027:REG852030 ROB852027:ROC852030 RXX852027:RXY852030 SHT852027:SHU852030 SRP852027:SRQ852030 TBL852027:TBM852030 TLH852027:TLI852030 TVD852027:TVE852030 UEZ852027:UFA852030 UOV852027:UOW852030 UYR852027:UYS852030 VIN852027:VIO852030 VSJ852027:VSK852030 WCF852027:WCG852030 WMB852027:WMC852030 WVX852027:WVY852030 P917563:Q917566 JL917563:JM917566 TH917563:TI917566 ADD917563:ADE917566 AMZ917563:ANA917566 AWV917563:AWW917566 BGR917563:BGS917566 BQN917563:BQO917566 CAJ917563:CAK917566 CKF917563:CKG917566 CUB917563:CUC917566 DDX917563:DDY917566 DNT917563:DNU917566 DXP917563:DXQ917566 EHL917563:EHM917566 ERH917563:ERI917566 FBD917563:FBE917566 FKZ917563:FLA917566 FUV917563:FUW917566 GER917563:GES917566 GON917563:GOO917566 GYJ917563:GYK917566 HIF917563:HIG917566 HSB917563:HSC917566 IBX917563:IBY917566 ILT917563:ILU917566 IVP917563:IVQ917566 JFL917563:JFM917566 JPH917563:JPI917566 JZD917563:JZE917566 KIZ917563:KJA917566 KSV917563:KSW917566 LCR917563:LCS917566 LMN917563:LMO917566 LWJ917563:LWK917566 MGF917563:MGG917566 MQB917563:MQC917566 MZX917563:MZY917566 NJT917563:NJU917566 NTP917563:NTQ917566 ODL917563:ODM917566 ONH917563:ONI917566 OXD917563:OXE917566 PGZ917563:PHA917566 PQV917563:PQW917566 QAR917563:QAS917566 QKN917563:QKO917566 QUJ917563:QUK917566 REF917563:REG917566 ROB917563:ROC917566 RXX917563:RXY917566 SHT917563:SHU917566 SRP917563:SRQ917566 TBL917563:TBM917566 TLH917563:TLI917566 TVD917563:TVE917566 UEZ917563:UFA917566 UOV917563:UOW917566 UYR917563:UYS917566 VIN917563:VIO917566 VSJ917563:VSK917566 WCF917563:WCG917566 WMB917563:WMC917566 WVX917563:WVY917566 P983099:Q983102 JL983099:JM983102 TH983099:TI983102 ADD983099:ADE983102 AMZ983099:ANA983102 AWV983099:AWW983102 BGR983099:BGS983102 BQN983099:BQO983102 CAJ983099:CAK983102 CKF983099:CKG983102 CUB983099:CUC983102 DDX983099:DDY983102 DNT983099:DNU983102 DXP983099:DXQ983102 EHL983099:EHM983102 ERH983099:ERI983102 FBD983099:FBE983102 FKZ983099:FLA983102 FUV983099:FUW983102 GER983099:GES983102 GON983099:GOO983102 GYJ983099:GYK983102 HIF983099:HIG983102 HSB983099:HSC983102 IBX983099:IBY983102 ILT983099:ILU983102 IVP983099:IVQ983102 JFL983099:JFM983102 JPH983099:JPI983102 JZD983099:JZE983102 KIZ983099:KJA983102 KSV983099:KSW983102 LCR983099:LCS983102 LMN983099:LMO983102 LWJ983099:LWK983102 MGF983099:MGG983102 MQB983099:MQC983102 MZX983099:MZY983102 NJT983099:NJU983102 NTP983099:NTQ983102 ODL983099:ODM983102 ONH983099:ONI983102 OXD983099:OXE983102 PGZ983099:PHA983102 PQV983099:PQW983102 QAR983099:QAS983102 QKN983099:QKO983102 QUJ983099:QUK983102 REF983099:REG983102 ROB983099:ROC983102 RXX983099:RXY983102 SHT983099:SHU983102 SRP983099:SRQ983102 TBL983099:TBM983102 TLH983099:TLI983102 TVD983099:TVE983102 UEZ983099:UFA983102 UOV983099:UOW983102 UYR983099:UYS983102 VIN983099:VIO983102 VSJ983099:VSK983102 WCF983099:WCG983102 WMB983099:WMC983102 WVX983099:WVY983102 P64:Q68 JL64:JM68 TH64:TI68 ADD64:ADE68 AMZ64:ANA68 AWV64:AWW68 BGR64:BGS68 BQN64:BQO68 CAJ64:CAK68 CKF64:CKG68 CUB64:CUC68 DDX64:DDY68 DNT64:DNU68 DXP64:DXQ68 EHL64:EHM68 ERH64:ERI68 FBD64:FBE68 FKZ64:FLA68 FUV64:FUW68 GER64:GES68 GON64:GOO68 GYJ64:GYK68 HIF64:HIG68 HSB64:HSC68 IBX64:IBY68 ILT64:ILU68 IVP64:IVQ68 JFL64:JFM68 JPH64:JPI68 JZD64:JZE68 KIZ64:KJA68 KSV64:KSW68 LCR64:LCS68 LMN64:LMO68 LWJ64:LWK68 MGF64:MGG68 MQB64:MQC68 MZX64:MZY68 NJT64:NJU68 NTP64:NTQ68 ODL64:ODM68 ONH64:ONI68 OXD64:OXE68 PGZ64:PHA68 PQV64:PQW68 QAR64:QAS68 QKN64:QKO68 QUJ64:QUK68 REF64:REG68 ROB64:ROC68 RXX64:RXY68 SHT64:SHU68 SRP64:SRQ68 TBL64:TBM68 TLH64:TLI68 TVD64:TVE68 UEZ64:UFA68 UOV64:UOW68 UYR64:UYS68 VIN64:VIO68 VSJ64:VSK68 WCF64:WCG68 WMB64:WMC68 WVX64:WVY68 P65600:Q65604 JL65600:JM65604 TH65600:TI65604 ADD65600:ADE65604 AMZ65600:ANA65604 AWV65600:AWW65604 BGR65600:BGS65604 BQN65600:BQO65604 CAJ65600:CAK65604 CKF65600:CKG65604 CUB65600:CUC65604 DDX65600:DDY65604 DNT65600:DNU65604 DXP65600:DXQ65604 EHL65600:EHM65604 ERH65600:ERI65604 FBD65600:FBE65604 FKZ65600:FLA65604 FUV65600:FUW65604 GER65600:GES65604 GON65600:GOO65604 GYJ65600:GYK65604 HIF65600:HIG65604 HSB65600:HSC65604 IBX65600:IBY65604 ILT65600:ILU65604 IVP65600:IVQ65604 JFL65600:JFM65604 JPH65600:JPI65604 JZD65600:JZE65604 KIZ65600:KJA65604 KSV65600:KSW65604 LCR65600:LCS65604 LMN65600:LMO65604 LWJ65600:LWK65604 MGF65600:MGG65604 MQB65600:MQC65604 MZX65600:MZY65604 NJT65600:NJU65604 NTP65600:NTQ65604 ODL65600:ODM65604 ONH65600:ONI65604 OXD65600:OXE65604 PGZ65600:PHA65604 PQV65600:PQW65604 QAR65600:QAS65604 QKN65600:QKO65604 QUJ65600:QUK65604 REF65600:REG65604 ROB65600:ROC65604 RXX65600:RXY65604 SHT65600:SHU65604 SRP65600:SRQ65604 TBL65600:TBM65604 TLH65600:TLI65604 TVD65600:TVE65604 UEZ65600:UFA65604 UOV65600:UOW65604 UYR65600:UYS65604 VIN65600:VIO65604 VSJ65600:VSK65604 WCF65600:WCG65604 WMB65600:WMC65604 WVX65600:WVY65604 P131136:Q131140 JL131136:JM131140 TH131136:TI131140 ADD131136:ADE131140 AMZ131136:ANA131140 AWV131136:AWW131140 BGR131136:BGS131140 BQN131136:BQO131140 CAJ131136:CAK131140 CKF131136:CKG131140 CUB131136:CUC131140 DDX131136:DDY131140 DNT131136:DNU131140 DXP131136:DXQ131140 EHL131136:EHM131140 ERH131136:ERI131140 FBD131136:FBE131140 FKZ131136:FLA131140 FUV131136:FUW131140 GER131136:GES131140 GON131136:GOO131140 GYJ131136:GYK131140 HIF131136:HIG131140 HSB131136:HSC131140 IBX131136:IBY131140 ILT131136:ILU131140 IVP131136:IVQ131140 JFL131136:JFM131140 JPH131136:JPI131140 JZD131136:JZE131140 KIZ131136:KJA131140 KSV131136:KSW131140 LCR131136:LCS131140 LMN131136:LMO131140 LWJ131136:LWK131140 MGF131136:MGG131140 MQB131136:MQC131140 MZX131136:MZY131140 NJT131136:NJU131140 NTP131136:NTQ131140 ODL131136:ODM131140 ONH131136:ONI131140 OXD131136:OXE131140 PGZ131136:PHA131140 PQV131136:PQW131140 QAR131136:QAS131140 QKN131136:QKO131140 QUJ131136:QUK131140 REF131136:REG131140 ROB131136:ROC131140 RXX131136:RXY131140 SHT131136:SHU131140 SRP131136:SRQ131140 TBL131136:TBM131140 TLH131136:TLI131140 TVD131136:TVE131140 UEZ131136:UFA131140 UOV131136:UOW131140 UYR131136:UYS131140 VIN131136:VIO131140 VSJ131136:VSK131140 WCF131136:WCG131140 WMB131136:WMC131140 WVX131136:WVY131140 P196672:Q196676 JL196672:JM196676 TH196672:TI196676 ADD196672:ADE196676 AMZ196672:ANA196676 AWV196672:AWW196676 BGR196672:BGS196676 BQN196672:BQO196676 CAJ196672:CAK196676 CKF196672:CKG196676 CUB196672:CUC196676 DDX196672:DDY196676 DNT196672:DNU196676 DXP196672:DXQ196676 EHL196672:EHM196676 ERH196672:ERI196676 FBD196672:FBE196676 FKZ196672:FLA196676 FUV196672:FUW196676 GER196672:GES196676 GON196672:GOO196676 GYJ196672:GYK196676 HIF196672:HIG196676 HSB196672:HSC196676 IBX196672:IBY196676 ILT196672:ILU196676 IVP196672:IVQ196676 JFL196672:JFM196676 JPH196672:JPI196676 JZD196672:JZE196676 KIZ196672:KJA196676 KSV196672:KSW196676 LCR196672:LCS196676 LMN196672:LMO196676 LWJ196672:LWK196676 MGF196672:MGG196676 MQB196672:MQC196676 MZX196672:MZY196676 NJT196672:NJU196676 NTP196672:NTQ196676 ODL196672:ODM196676 ONH196672:ONI196676 OXD196672:OXE196676 PGZ196672:PHA196676 PQV196672:PQW196676 QAR196672:QAS196676 QKN196672:QKO196676 QUJ196672:QUK196676 REF196672:REG196676 ROB196672:ROC196676 RXX196672:RXY196676 SHT196672:SHU196676 SRP196672:SRQ196676 TBL196672:TBM196676 TLH196672:TLI196676 TVD196672:TVE196676 UEZ196672:UFA196676 UOV196672:UOW196676 UYR196672:UYS196676 VIN196672:VIO196676 VSJ196672:VSK196676 WCF196672:WCG196676 WMB196672:WMC196676 WVX196672:WVY196676 P262208:Q262212 JL262208:JM262212 TH262208:TI262212 ADD262208:ADE262212 AMZ262208:ANA262212 AWV262208:AWW262212 BGR262208:BGS262212 BQN262208:BQO262212 CAJ262208:CAK262212 CKF262208:CKG262212 CUB262208:CUC262212 DDX262208:DDY262212 DNT262208:DNU262212 DXP262208:DXQ262212 EHL262208:EHM262212 ERH262208:ERI262212 FBD262208:FBE262212 FKZ262208:FLA262212 FUV262208:FUW262212 GER262208:GES262212 GON262208:GOO262212 GYJ262208:GYK262212 HIF262208:HIG262212 HSB262208:HSC262212 IBX262208:IBY262212 ILT262208:ILU262212 IVP262208:IVQ262212 JFL262208:JFM262212 JPH262208:JPI262212 JZD262208:JZE262212 KIZ262208:KJA262212 KSV262208:KSW262212 LCR262208:LCS262212 LMN262208:LMO262212 LWJ262208:LWK262212 MGF262208:MGG262212 MQB262208:MQC262212 MZX262208:MZY262212 NJT262208:NJU262212 NTP262208:NTQ262212 ODL262208:ODM262212 ONH262208:ONI262212 OXD262208:OXE262212 PGZ262208:PHA262212 PQV262208:PQW262212 QAR262208:QAS262212 QKN262208:QKO262212 QUJ262208:QUK262212 REF262208:REG262212 ROB262208:ROC262212 RXX262208:RXY262212 SHT262208:SHU262212 SRP262208:SRQ262212 TBL262208:TBM262212 TLH262208:TLI262212 TVD262208:TVE262212 UEZ262208:UFA262212 UOV262208:UOW262212 UYR262208:UYS262212 VIN262208:VIO262212 VSJ262208:VSK262212 WCF262208:WCG262212 WMB262208:WMC262212 WVX262208:WVY262212 P327744:Q327748 JL327744:JM327748 TH327744:TI327748 ADD327744:ADE327748 AMZ327744:ANA327748 AWV327744:AWW327748 BGR327744:BGS327748 BQN327744:BQO327748 CAJ327744:CAK327748 CKF327744:CKG327748 CUB327744:CUC327748 DDX327744:DDY327748 DNT327744:DNU327748 DXP327744:DXQ327748 EHL327744:EHM327748 ERH327744:ERI327748 FBD327744:FBE327748 FKZ327744:FLA327748 FUV327744:FUW327748 GER327744:GES327748 GON327744:GOO327748 GYJ327744:GYK327748 HIF327744:HIG327748 HSB327744:HSC327748 IBX327744:IBY327748 ILT327744:ILU327748 IVP327744:IVQ327748 JFL327744:JFM327748 JPH327744:JPI327748 JZD327744:JZE327748 KIZ327744:KJA327748 KSV327744:KSW327748 LCR327744:LCS327748 LMN327744:LMO327748 LWJ327744:LWK327748 MGF327744:MGG327748 MQB327744:MQC327748 MZX327744:MZY327748 NJT327744:NJU327748 NTP327744:NTQ327748 ODL327744:ODM327748 ONH327744:ONI327748 OXD327744:OXE327748 PGZ327744:PHA327748 PQV327744:PQW327748 QAR327744:QAS327748 QKN327744:QKO327748 QUJ327744:QUK327748 REF327744:REG327748 ROB327744:ROC327748 RXX327744:RXY327748 SHT327744:SHU327748 SRP327744:SRQ327748 TBL327744:TBM327748 TLH327744:TLI327748 TVD327744:TVE327748 UEZ327744:UFA327748 UOV327744:UOW327748 UYR327744:UYS327748 VIN327744:VIO327748 VSJ327744:VSK327748 WCF327744:WCG327748 WMB327744:WMC327748 WVX327744:WVY327748 P393280:Q393284 JL393280:JM393284 TH393280:TI393284 ADD393280:ADE393284 AMZ393280:ANA393284 AWV393280:AWW393284 BGR393280:BGS393284 BQN393280:BQO393284 CAJ393280:CAK393284 CKF393280:CKG393284 CUB393280:CUC393284 DDX393280:DDY393284 DNT393280:DNU393284 DXP393280:DXQ393284 EHL393280:EHM393284 ERH393280:ERI393284 FBD393280:FBE393284 FKZ393280:FLA393284 FUV393280:FUW393284 GER393280:GES393284 GON393280:GOO393284 GYJ393280:GYK393284 HIF393280:HIG393284 HSB393280:HSC393284 IBX393280:IBY393284 ILT393280:ILU393284 IVP393280:IVQ393284 JFL393280:JFM393284 JPH393280:JPI393284 JZD393280:JZE393284 KIZ393280:KJA393284 KSV393280:KSW393284 LCR393280:LCS393284 LMN393280:LMO393284 LWJ393280:LWK393284 MGF393280:MGG393284 MQB393280:MQC393284 MZX393280:MZY393284 NJT393280:NJU393284 NTP393280:NTQ393284 ODL393280:ODM393284 ONH393280:ONI393284 OXD393280:OXE393284 PGZ393280:PHA393284 PQV393280:PQW393284 QAR393280:QAS393284 QKN393280:QKO393284 QUJ393280:QUK393284 REF393280:REG393284 ROB393280:ROC393284 RXX393280:RXY393284 SHT393280:SHU393284 SRP393280:SRQ393284 TBL393280:TBM393284 TLH393280:TLI393284 TVD393280:TVE393284 UEZ393280:UFA393284 UOV393280:UOW393284 UYR393280:UYS393284 VIN393280:VIO393284 VSJ393280:VSK393284 WCF393280:WCG393284 WMB393280:WMC393284 WVX393280:WVY393284 P458816:Q458820 JL458816:JM458820 TH458816:TI458820 ADD458816:ADE458820 AMZ458816:ANA458820 AWV458816:AWW458820 BGR458816:BGS458820 BQN458816:BQO458820 CAJ458816:CAK458820 CKF458816:CKG458820 CUB458816:CUC458820 DDX458816:DDY458820 DNT458816:DNU458820 DXP458816:DXQ458820 EHL458816:EHM458820 ERH458816:ERI458820 FBD458816:FBE458820 FKZ458816:FLA458820 FUV458816:FUW458820 GER458816:GES458820 GON458816:GOO458820 GYJ458816:GYK458820 HIF458816:HIG458820 HSB458816:HSC458820 IBX458816:IBY458820 ILT458816:ILU458820 IVP458816:IVQ458820 JFL458816:JFM458820 JPH458816:JPI458820 JZD458816:JZE458820 KIZ458816:KJA458820 KSV458816:KSW458820 LCR458816:LCS458820 LMN458816:LMO458820 LWJ458816:LWK458820 MGF458816:MGG458820 MQB458816:MQC458820 MZX458816:MZY458820 NJT458816:NJU458820 NTP458816:NTQ458820 ODL458816:ODM458820 ONH458816:ONI458820 OXD458816:OXE458820 PGZ458816:PHA458820 PQV458816:PQW458820 QAR458816:QAS458820 QKN458816:QKO458820 QUJ458816:QUK458820 REF458816:REG458820 ROB458816:ROC458820 RXX458816:RXY458820 SHT458816:SHU458820 SRP458816:SRQ458820 TBL458816:TBM458820 TLH458816:TLI458820 TVD458816:TVE458820 UEZ458816:UFA458820 UOV458816:UOW458820 UYR458816:UYS458820 VIN458816:VIO458820 VSJ458816:VSK458820 WCF458816:WCG458820 WMB458816:WMC458820 WVX458816:WVY458820 P524352:Q524356 JL524352:JM524356 TH524352:TI524356 ADD524352:ADE524356 AMZ524352:ANA524356 AWV524352:AWW524356 BGR524352:BGS524356 BQN524352:BQO524356 CAJ524352:CAK524356 CKF524352:CKG524356 CUB524352:CUC524356 DDX524352:DDY524356 DNT524352:DNU524356 DXP524352:DXQ524356 EHL524352:EHM524356 ERH524352:ERI524356 FBD524352:FBE524356 FKZ524352:FLA524356 FUV524352:FUW524356 GER524352:GES524356 GON524352:GOO524356 GYJ524352:GYK524356 HIF524352:HIG524356 HSB524352:HSC524356 IBX524352:IBY524356 ILT524352:ILU524356 IVP524352:IVQ524356 JFL524352:JFM524356 JPH524352:JPI524356 JZD524352:JZE524356 KIZ524352:KJA524356 KSV524352:KSW524356 LCR524352:LCS524356 LMN524352:LMO524356 LWJ524352:LWK524356 MGF524352:MGG524356 MQB524352:MQC524356 MZX524352:MZY524356 NJT524352:NJU524356 NTP524352:NTQ524356 ODL524352:ODM524356 ONH524352:ONI524356 OXD524352:OXE524356 PGZ524352:PHA524356 PQV524352:PQW524356 QAR524352:QAS524356 QKN524352:QKO524356 QUJ524352:QUK524356 REF524352:REG524356 ROB524352:ROC524356 RXX524352:RXY524356 SHT524352:SHU524356 SRP524352:SRQ524356 TBL524352:TBM524356 TLH524352:TLI524356 TVD524352:TVE524356 UEZ524352:UFA524356 UOV524352:UOW524356 UYR524352:UYS524356 VIN524352:VIO524356 VSJ524352:VSK524356 WCF524352:WCG524356 WMB524352:WMC524356 WVX524352:WVY524356 P589888:Q589892 JL589888:JM589892 TH589888:TI589892 ADD589888:ADE589892 AMZ589888:ANA589892 AWV589888:AWW589892 BGR589888:BGS589892 BQN589888:BQO589892 CAJ589888:CAK589892 CKF589888:CKG589892 CUB589888:CUC589892 DDX589888:DDY589892 DNT589888:DNU589892 DXP589888:DXQ589892 EHL589888:EHM589892 ERH589888:ERI589892 FBD589888:FBE589892 FKZ589888:FLA589892 FUV589888:FUW589892 GER589888:GES589892 GON589888:GOO589892 GYJ589888:GYK589892 HIF589888:HIG589892 HSB589888:HSC589892 IBX589888:IBY589892 ILT589888:ILU589892 IVP589888:IVQ589892 JFL589888:JFM589892 JPH589888:JPI589892 JZD589888:JZE589892 KIZ589888:KJA589892 KSV589888:KSW589892 LCR589888:LCS589892 LMN589888:LMO589892 LWJ589888:LWK589892 MGF589888:MGG589892 MQB589888:MQC589892 MZX589888:MZY589892 NJT589888:NJU589892 NTP589888:NTQ589892 ODL589888:ODM589892 ONH589888:ONI589892 OXD589888:OXE589892 PGZ589888:PHA589892 PQV589888:PQW589892 QAR589888:QAS589892 QKN589888:QKO589892 QUJ589888:QUK589892 REF589888:REG589892 ROB589888:ROC589892 RXX589888:RXY589892 SHT589888:SHU589892 SRP589888:SRQ589892 TBL589888:TBM589892 TLH589888:TLI589892 TVD589888:TVE589892 UEZ589888:UFA589892 UOV589888:UOW589892 UYR589888:UYS589892 VIN589888:VIO589892 VSJ589888:VSK589892 WCF589888:WCG589892 WMB589888:WMC589892 WVX589888:WVY589892 P655424:Q655428 JL655424:JM655428 TH655424:TI655428 ADD655424:ADE655428 AMZ655424:ANA655428 AWV655424:AWW655428 BGR655424:BGS655428 BQN655424:BQO655428 CAJ655424:CAK655428 CKF655424:CKG655428 CUB655424:CUC655428 DDX655424:DDY655428 DNT655424:DNU655428 DXP655424:DXQ655428 EHL655424:EHM655428 ERH655424:ERI655428 FBD655424:FBE655428 FKZ655424:FLA655428 FUV655424:FUW655428 GER655424:GES655428 GON655424:GOO655428 GYJ655424:GYK655428 HIF655424:HIG655428 HSB655424:HSC655428 IBX655424:IBY655428 ILT655424:ILU655428 IVP655424:IVQ655428 JFL655424:JFM655428 JPH655424:JPI655428 JZD655424:JZE655428 KIZ655424:KJA655428 KSV655424:KSW655428 LCR655424:LCS655428 LMN655424:LMO655428 LWJ655424:LWK655428 MGF655424:MGG655428 MQB655424:MQC655428 MZX655424:MZY655428 NJT655424:NJU655428 NTP655424:NTQ655428 ODL655424:ODM655428 ONH655424:ONI655428 OXD655424:OXE655428 PGZ655424:PHA655428 PQV655424:PQW655428 QAR655424:QAS655428 QKN655424:QKO655428 QUJ655424:QUK655428 REF655424:REG655428 ROB655424:ROC655428 RXX655424:RXY655428 SHT655424:SHU655428 SRP655424:SRQ655428 TBL655424:TBM655428 TLH655424:TLI655428 TVD655424:TVE655428 UEZ655424:UFA655428 UOV655424:UOW655428 UYR655424:UYS655428 VIN655424:VIO655428 VSJ655424:VSK655428 WCF655424:WCG655428 WMB655424:WMC655428 WVX655424:WVY655428 P720960:Q720964 JL720960:JM720964 TH720960:TI720964 ADD720960:ADE720964 AMZ720960:ANA720964 AWV720960:AWW720964 BGR720960:BGS720964 BQN720960:BQO720964 CAJ720960:CAK720964 CKF720960:CKG720964 CUB720960:CUC720964 DDX720960:DDY720964 DNT720960:DNU720964 DXP720960:DXQ720964 EHL720960:EHM720964 ERH720960:ERI720964 FBD720960:FBE720964 FKZ720960:FLA720964 FUV720960:FUW720964 GER720960:GES720964 GON720960:GOO720964 GYJ720960:GYK720964 HIF720960:HIG720964 HSB720960:HSC720964 IBX720960:IBY720964 ILT720960:ILU720964 IVP720960:IVQ720964 JFL720960:JFM720964 JPH720960:JPI720964 JZD720960:JZE720964 KIZ720960:KJA720964 KSV720960:KSW720964 LCR720960:LCS720964 LMN720960:LMO720964 LWJ720960:LWK720964 MGF720960:MGG720964 MQB720960:MQC720964 MZX720960:MZY720964 NJT720960:NJU720964 NTP720960:NTQ720964 ODL720960:ODM720964 ONH720960:ONI720964 OXD720960:OXE720964 PGZ720960:PHA720964 PQV720960:PQW720964 QAR720960:QAS720964 QKN720960:QKO720964 QUJ720960:QUK720964 REF720960:REG720964 ROB720960:ROC720964 RXX720960:RXY720964 SHT720960:SHU720964 SRP720960:SRQ720964 TBL720960:TBM720964 TLH720960:TLI720964 TVD720960:TVE720964 UEZ720960:UFA720964 UOV720960:UOW720964 UYR720960:UYS720964 VIN720960:VIO720964 VSJ720960:VSK720964 WCF720960:WCG720964 WMB720960:WMC720964 WVX720960:WVY720964 P786496:Q786500 JL786496:JM786500 TH786496:TI786500 ADD786496:ADE786500 AMZ786496:ANA786500 AWV786496:AWW786500 BGR786496:BGS786500 BQN786496:BQO786500 CAJ786496:CAK786500 CKF786496:CKG786500 CUB786496:CUC786500 DDX786496:DDY786500 DNT786496:DNU786500 DXP786496:DXQ786500 EHL786496:EHM786500 ERH786496:ERI786500 FBD786496:FBE786500 FKZ786496:FLA786500 FUV786496:FUW786500 GER786496:GES786500 GON786496:GOO786500 GYJ786496:GYK786500 HIF786496:HIG786500 HSB786496:HSC786500 IBX786496:IBY786500 ILT786496:ILU786500 IVP786496:IVQ786500 JFL786496:JFM786500 JPH786496:JPI786500 JZD786496:JZE786500 KIZ786496:KJA786500 KSV786496:KSW786500 LCR786496:LCS786500 LMN786496:LMO786500 LWJ786496:LWK786500 MGF786496:MGG786500 MQB786496:MQC786500 MZX786496:MZY786500 NJT786496:NJU786500 NTP786496:NTQ786500 ODL786496:ODM786500 ONH786496:ONI786500 OXD786496:OXE786500 PGZ786496:PHA786500 PQV786496:PQW786500 QAR786496:QAS786500 QKN786496:QKO786500 QUJ786496:QUK786500 REF786496:REG786500 ROB786496:ROC786500 RXX786496:RXY786500 SHT786496:SHU786500 SRP786496:SRQ786500 TBL786496:TBM786500 TLH786496:TLI786500 TVD786496:TVE786500 UEZ786496:UFA786500 UOV786496:UOW786500 UYR786496:UYS786500 VIN786496:VIO786500 VSJ786496:VSK786500 WCF786496:WCG786500 WMB786496:WMC786500 WVX786496:WVY786500 P852032:Q852036 JL852032:JM852036 TH852032:TI852036 ADD852032:ADE852036 AMZ852032:ANA852036 AWV852032:AWW852036 BGR852032:BGS852036 BQN852032:BQO852036 CAJ852032:CAK852036 CKF852032:CKG852036 CUB852032:CUC852036 DDX852032:DDY852036 DNT852032:DNU852036 DXP852032:DXQ852036 EHL852032:EHM852036 ERH852032:ERI852036 FBD852032:FBE852036 FKZ852032:FLA852036 FUV852032:FUW852036 GER852032:GES852036 GON852032:GOO852036 GYJ852032:GYK852036 HIF852032:HIG852036 HSB852032:HSC852036 IBX852032:IBY852036 ILT852032:ILU852036 IVP852032:IVQ852036 JFL852032:JFM852036 JPH852032:JPI852036 JZD852032:JZE852036 KIZ852032:KJA852036 KSV852032:KSW852036 LCR852032:LCS852036 LMN852032:LMO852036 LWJ852032:LWK852036 MGF852032:MGG852036 MQB852032:MQC852036 MZX852032:MZY852036 NJT852032:NJU852036 NTP852032:NTQ852036 ODL852032:ODM852036 ONH852032:ONI852036 OXD852032:OXE852036 PGZ852032:PHA852036 PQV852032:PQW852036 QAR852032:QAS852036 QKN852032:QKO852036 QUJ852032:QUK852036 REF852032:REG852036 ROB852032:ROC852036 RXX852032:RXY852036 SHT852032:SHU852036 SRP852032:SRQ852036 TBL852032:TBM852036 TLH852032:TLI852036 TVD852032:TVE852036 UEZ852032:UFA852036 UOV852032:UOW852036 UYR852032:UYS852036 VIN852032:VIO852036 VSJ852032:VSK852036 WCF852032:WCG852036 WMB852032:WMC852036 WVX852032:WVY852036 P917568:Q917572 JL917568:JM917572 TH917568:TI917572 ADD917568:ADE917572 AMZ917568:ANA917572 AWV917568:AWW917572 BGR917568:BGS917572 BQN917568:BQO917572 CAJ917568:CAK917572 CKF917568:CKG917572 CUB917568:CUC917572 DDX917568:DDY917572 DNT917568:DNU917572 DXP917568:DXQ917572 EHL917568:EHM917572 ERH917568:ERI917572 FBD917568:FBE917572 FKZ917568:FLA917572 FUV917568:FUW917572 GER917568:GES917572 GON917568:GOO917572 GYJ917568:GYK917572 HIF917568:HIG917572 HSB917568:HSC917572 IBX917568:IBY917572 ILT917568:ILU917572 IVP917568:IVQ917572 JFL917568:JFM917572 JPH917568:JPI917572 JZD917568:JZE917572 KIZ917568:KJA917572 KSV917568:KSW917572 LCR917568:LCS917572 LMN917568:LMO917572 LWJ917568:LWK917572 MGF917568:MGG917572 MQB917568:MQC917572 MZX917568:MZY917572 NJT917568:NJU917572 NTP917568:NTQ917572 ODL917568:ODM917572 ONH917568:ONI917572 OXD917568:OXE917572 PGZ917568:PHA917572 PQV917568:PQW917572 QAR917568:QAS917572 QKN917568:QKO917572 QUJ917568:QUK917572 REF917568:REG917572 ROB917568:ROC917572 RXX917568:RXY917572 SHT917568:SHU917572 SRP917568:SRQ917572 TBL917568:TBM917572 TLH917568:TLI917572 TVD917568:TVE917572 UEZ917568:UFA917572 UOV917568:UOW917572 UYR917568:UYS917572 VIN917568:VIO917572 VSJ917568:VSK917572 WCF917568:WCG917572 WMB917568:WMC917572 WVX917568:WVY917572 P983104:Q983108 JL983104:JM983108 TH983104:TI983108 ADD983104:ADE983108 AMZ983104:ANA983108 AWV983104:AWW983108 BGR983104:BGS983108 BQN983104:BQO983108 CAJ983104:CAK983108 CKF983104:CKG983108 CUB983104:CUC983108 DDX983104:DDY983108 DNT983104:DNU983108 DXP983104:DXQ983108 EHL983104:EHM983108 ERH983104:ERI983108 FBD983104:FBE983108 FKZ983104:FLA983108 FUV983104:FUW983108 GER983104:GES983108 GON983104:GOO983108 GYJ983104:GYK983108 HIF983104:HIG983108 HSB983104:HSC983108 IBX983104:IBY983108 ILT983104:ILU983108 IVP983104:IVQ983108 JFL983104:JFM983108 JPH983104:JPI983108 JZD983104:JZE983108 KIZ983104:KJA983108 KSV983104:KSW983108 LCR983104:LCS983108 LMN983104:LMO983108 LWJ983104:LWK983108 MGF983104:MGG983108 MQB983104:MQC983108 MZX983104:MZY983108 NJT983104:NJU983108 NTP983104:NTQ983108 ODL983104:ODM983108 ONH983104:ONI983108 OXD983104:OXE983108 PGZ983104:PHA983108 PQV983104:PQW983108 QAR983104:QAS983108 QKN983104:QKO983108 QUJ983104:QUK983108 REF983104:REG983108 ROB983104:ROC983108 RXX983104:RXY983108 SHT983104:SHU983108 SRP983104:SRQ983108 TBL983104:TBM983108 TLH983104:TLI983108 TVD983104:TVE983108 UEZ983104:UFA983108 UOV983104:UOW983108 UYR983104:UYS983108 VIN983104:VIO983108 VSJ983104:VSK983108 WCF983104:WCG983108 WMB983104:WMC983108 WVX983104:WVY983108 Q69:Q72 JM69:JM72 TI69:TI72 ADE69:ADE72 ANA69:ANA72 AWW69:AWW72 BGS69:BGS72 BQO69:BQO72 CAK69:CAK72 CKG69:CKG72 CUC69:CUC72 DDY69:DDY72 DNU69:DNU72 DXQ69:DXQ72 EHM69:EHM72 ERI69:ERI72 FBE69:FBE72 FLA69:FLA72 FUW69:FUW72 GES69:GES72 GOO69:GOO72 GYK69:GYK72 HIG69:HIG72 HSC69:HSC72 IBY69:IBY72 ILU69:ILU72 IVQ69:IVQ72 JFM69:JFM72 JPI69:JPI72 JZE69:JZE72 KJA69:KJA72 KSW69:KSW72 LCS69:LCS72 LMO69:LMO72 LWK69:LWK72 MGG69:MGG72 MQC69:MQC72 MZY69:MZY72 NJU69:NJU72 NTQ69:NTQ72 ODM69:ODM72 ONI69:ONI72 OXE69:OXE72 PHA69:PHA72 PQW69:PQW72 QAS69:QAS72 QKO69:QKO72 QUK69:QUK72 REG69:REG72 ROC69:ROC72 RXY69:RXY72 SHU69:SHU72 SRQ69:SRQ72 TBM69:TBM72 TLI69:TLI72 TVE69:TVE72 UFA69:UFA72 UOW69:UOW72 UYS69:UYS72 VIO69:VIO72 VSK69:VSK72 WCG69:WCG72 WMC69:WMC72 WVY69:WVY72 Q65605:Q65608 JM65605:JM65608 TI65605:TI65608 ADE65605:ADE65608 ANA65605:ANA65608 AWW65605:AWW65608 BGS65605:BGS65608 BQO65605:BQO65608 CAK65605:CAK65608 CKG65605:CKG65608 CUC65605:CUC65608 DDY65605:DDY65608 DNU65605:DNU65608 DXQ65605:DXQ65608 EHM65605:EHM65608 ERI65605:ERI65608 FBE65605:FBE65608 FLA65605:FLA65608 FUW65605:FUW65608 GES65605:GES65608 GOO65605:GOO65608 GYK65605:GYK65608 HIG65605:HIG65608 HSC65605:HSC65608 IBY65605:IBY65608 ILU65605:ILU65608 IVQ65605:IVQ65608 JFM65605:JFM65608 JPI65605:JPI65608 JZE65605:JZE65608 KJA65605:KJA65608 KSW65605:KSW65608 LCS65605:LCS65608 LMO65605:LMO65608 LWK65605:LWK65608 MGG65605:MGG65608 MQC65605:MQC65608 MZY65605:MZY65608 NJU65605:NJU65608 NTQ65605:NTQ65608 ODM65605:ODM65608 ONI65605:ONI65608 OXE65605:OXE65608 PHA65605:PHA65608 PQW65605:PQW65608 QAS65605:QAS65608 QKO65605:QKO65608 QUK65605:QUK65608 REG65605:REG65608 ROC65605:ROC65608 RXY65605:RXY65608 SHU65605:SHU65608 SRQ65605:SRQ65608 TBM65605:TBM65608 TLI65605:TLI65608 TVE65605:TVE65608 UFA65605:UFA65608 UOW65605:UOW65608 UYS65605:UYS65608 VIO65605:VIO65608 VSK65605:VSK65608 WCG65605:WCG65608 WMC65605:WMC65608 WVY65605:WVY65608 Q131141:Q131144 JM131141:JM131144 TI131141:TI131144 ADE131141:ADE131144 ANA131141:ANA131144 AWW131141:AWW131144 BGS131141:BGS131144 BQO131141:BQO131144 CAK131141:CAK131144 CKG131141:CKG131144 CUC131141:CUC131144 DDY131141:DDY131144 DNU131141:DNU131144 DXQ131141:DXQ131144 EHM131141:EHM131144 ERI131141:ERI131144 FBE131141:FBE131144 FLA131141:FLA131144 FUW131141:FUW131144 GES131141:GES131144 GOO131141:GOO131144 GYK131141:GYK131144 HIG131141:HIG131144 HSC131141:HSC131144 IBY131141:IBY131144 ILU131141:ILU131144 IVQ131141:IVQ131144 JFM131141:JFM131144 JPI131141:JPI131144 JZE131141:JZE131144 KJA131141:KJA131144 KSW131141:KSW131144 LCS131141:LCS131144 LMO131141:LMO131144 LWK131141:LWK131144 MGG131141:MGG131144 MQC131141:MQC131144 MZY131141:MZY131144 NJU131141:NJU131144 NTQ131141:NTQ131144 ODM131141:ODM131144 ONI131141:ONI131144 OXE131141:OXE131144 PHA131141:PHA131144 PQW131141:PQW131144 QAS131141:QAS131144 QKO131141:QKO131144 QUK131141:QUK131144 REG131141:REG131144 ROC131141:ROC131144 RXY131141:RXY131144 SHU131141:SHU131144 SRQ131141:SRQ131144 TBM131141:TBM131144 TLI131141:TLI131144 TVE131141:TVE131144 UFA131141:UFA131144 UOW131141:UOW131144 UYS131141:UYS131144 VIO131141:VIO131144 VSK131141:VSK131144 WCG131141:WCG131144 WMC131141:WMC131144 WVY131141:WVY131144 Q196677:Q196680 JM196677:JM196680 TI196677:TI196680 ADE196677:ADE196680 ANA196677:ANA196680 AWW196677:AWW196680 BGS196677:BGS196680 BQO196677:BQO196680 CAK196677:CAK196680 CKG196677:CKG196680 CUC196677:CUC196680 DDY196677:DDY196680 DNU196677:DNU196680 DXQ196677:DXQ196680 EHM196677:EHM196680 ERI196677:ERI196680 FBE196677:FBE196680 FLA196677:FLA196680 FUW196677:FUW196680 GES196677:GES196680 GOO196677:GOO196680 GYK196677:GYK196680 HIG196677:HIG196680 HSC196677:HSC196680 IBY196677:IBY196680 ILU196677:ILU196680 IVQ196677:IVQ196680 JFM196677:JFM196680 JPI196677:JPI196680 JZE196677:JZE196680 KJA196677:KJA196680 KSW196677:KSW196680 LCS196677:LCS196680 LMO196677:LMO196680 LWK196677:LWK196680 MGG196677:MGG196680 MQC196677:MQC196680 MZY196677:MZY196680 NJU196677:NJU196680 NTQ196677:NTQ196680 ODM196677:ODM196680 ONI196677:ONI196680 OXE196677:OXE196680 PHA196677:PHA196680 PQW196677:PQW196680 QAS196677:QAS196680 QKO196677:QKO196680 QUK196677:QUK196680 REG196677:REG196680 ROC196677:ROC196680 RXY196677:RXY196680 SHU196677:SHU196680 SRQ196677:SRQ196680 TBM196677:TBM196680 TLI196677:TLI196680 TVE196677:TVE196680 UFA196677:UFA196680 UOW196677:UOW196680 UYS196677:UYS196680 VIO196677:VIO196680 VSK196677:VSK196680 WCG196677:WCG196680 WMC196677:WMC196680 WVY196677:WVY196680 Q262213:Q262216 JM262213:JM262216 TI262213:TI262216 ADE262213:ADE262216 ANA262213:ANA262216 AWW262213:AWW262216 BGS262213:BGS262216 BQO262213:BQO262216 CAK262213:CAK262216 CKG262213:CKG262216 CUC262213:CUC262216 DDY262213:DDY262216 DNU262213:DNU262216 DXQ262213:DXQ262216 EHM262213:EHM262216 ERI262213:ERI262216 FBE262213:FBE262216 FLA262213:FLA262216 FUW262213:FUW262216 GES262213:GES262216 GOO262213:GOO262216 GYK262213:GYK262216 HIG262213:HIG262216 HSC262213:HSC262216 IBY262213:IBY262216 ILU262213:ILU262216 IVQ262213:IVQ262216 JFM262213:JFM262216 JPI262213:JPI262216 JZE262213:JZE262216 KJA262213:KJA262216 KSW262213:KSW262216 LCS262213:LCS262216 LMO262213:LMO262216 LWK262213:LWK262216 MGG262213:MGG262216 MQC262213:MQC262216 MZY262213:MZY262216 NJU262213:NJU262216 NTQ262213:NTQ262216 ODM262213:ODM262216 ONI262213:ONI262216 OXE262213:OXE262216 PHA262213:PHA262216 PQW262213:PQW262216 QAS262213:QAS262216 QKO262213:QKO262216 QUK262213:QUK262216 REG262213:REG262216 ROC262213:ROC262216 RXY262213:RXY262216 SHU262213:SHU262216 SRQ262213:SRQ262216 TBM262213:TBM262216 TLI262213:TLI262216 TVE262213:TVE262216 UFA262213:UFA262216 UOW262213:UOW262216 UYS262213:UYS262216 VIO262213:VIO262216 VSK262213:VSK262216 WCG262213:WCG262216 WMC262213:WMC262216 WVY262213:WVY262216 Q327749:Q327752 JM327749:JM327752 TI327749:TI327752 ADE327749:ADE327752 ANA327749:ANA327752 AWW327749:AWW327752 BGS327749:BGS327752 BQO327749:BQO327752 CAK327749:CAK327752 CKG327749:CKG327752 CUC327749:CUC327752 DDY327749:DDY327752 DNU327749:DNU327752 DXQ327749:DXQ327752 EHM327749:EHM327752 ERI327749:ERI327752 FBE327749:FBE327752 FLA327749:FLA327752 FUW327749:FUW327752 GES327749:GES327752 GOO327749:GOO327752 GYK327749:GYK327752 HIG327749:HIG327752 HSC327749:HSC327752 IBY327749:IBY327752 ILU327749:ILU327752 IVQ327749:IVQ327752 JFM327749:JFM327752 JPI327749:JPI327752 JZE327749:JZE327752 KJA327749:KJA327752 KSW327749:KSW327752 LCS327749:LCS327752 LMO327749:LMO327752 LWK327749:LWK327752 MGG327749:MGG327752 MQC327749:MQC327752 MZY327749:MZY327752 NJU327749:NJU327752 NTQ327749:NTQ327752 ODM327749:ODM327752 ONI327749:ONI327752 OXE327749:OXE327752 PHA327749:PHA327752 PQW327749:PQW327752 QAS327749:QAS327752 QKO327749:QKO327752 QUK327749:QUK327752 REG327749:REG327752 ROC327749:ROC327752 RXY327749:RXY327752 SHU327749:SHU327752 SRQ327749:SRQ327752 TBM327749:TBM327752 TLI327749:TLI327752 TVE327749:TVE327752 UFA327749:UFA327752 UOW327749:UOW327752 UYS327749:UYS327752 VIO327749:VIO327752 VSK327749:VSK327752 WCG327749:WCG327752 WMC327749:WMC327752 WVY327749:WVY327752 Q393285:Q393288 JM393285:JM393288 TI393285:TI393288 ADE393285:ADE393288 ANA393285:ANA393288 AWW393285:AWW393288 BGS393285:BGS393288 BQO393285:BQO393288 CAK393285:CAK393288 CKG393285:CKG393288 CUC393285:CUC393288 DDY393285:DDY393288 DNU393285:DNU393288 DXQ393285:DXQ393288 EHM393285:EHM393288 ERI393285:ERI393288 FBE393285:FBE393288 FLA393285:FLA393288 FUW393285:FUW393288 GES393285:GES393288 GOO393285:GOO393288 GYK393285:GYK393288 HIG393285:HIG393288 HSC393285:HSC393288 IBY393285:IBY393288 ILU393285:ILU393288 IVQ393285:IVQ393288 JFM393285:JFM393288 JPI393285:JPI393288 JZE393285:JZE393288 KJA393285:KJA393288 KSW393285:KSW393288 LCS393285:LCS393288 LMO393285:LMO393288 LWK393285:LWK393288 MGG393285:MGG393288 MQC393285:MQC393288 MZY393285:MZY393288 NJU393285:NJU393288 NTQ393285:NTQ393288 ODM393285:ODM393288 ONI393285:ONI393288 OXE393285:OXE393288 PHA393285:PHA393288 PQW393285:PQW393288 QAS393285:QAS393288 QKO393285:QKO393288 QUK393285:QUK393288 REG393285:REG393288 ROC393285:ROC393288 RXY393285:RXY393288 SHU393285:SHU393288 SRQ393285:SRQ393288 TBM393285:TBM393288 TLI393285:TLI393288 TVE393285:TVE393288 UFA393285:UFA393288 UOW393285:UOW393288 UYS393285:UYS393288 VIO393285:VIO393288 VSK393285:VSK393288 WCG393285:WCG393288 WMC393285:WMC393288 WVY393285:WVY393288 Q458821:Q458824 JM458821:JM458824 TI458821:TI458824 ADE458821:ADE458824 ANA458821:ANA458824 AWW458821:AWW458824 BGS458821:BGS458824 BQO458821:BQO458824 CAK458821:CAK458824 CKG458821:CKG458824 CUC458821:CUC458824 DDY458821:DDY458824 DNU458821:DNU458824 DXQ458821:DXQ458824 EHM458821:EHM458824 ERI458821:ERI458824 FBE458821:FBE458824 FLA458821:FLA458824 FUW458821:FUW458824 GES458821:GES458824 GOO458821:GOO458824 GYK458821:GYK458824 HIG458821:HIG458824 HSC458821:HSC458824 IBY458821:IBY458824 ILU458821:ILU458824 IVQ458821:IVQ458824 JFM458821:JFM458824 JPI458821:JPI458824 JZE458821:JZE458824 KJA458821:KJA458824 KSW458821:KSW458824 LCS458821:LCS458824 LMO458821:LMO458824 LWK458821:LWK458824 MGG458821:MGG458824 MQC458821:MQC458824 MZY458821:MZY458824 NJU458821:NJU458824 NTQ458821:NTQ458824 ODM458821:ODM458824 ONI458821:ONI458824 OXE458821:OXE458824 PHA458821:PHA458824 PQW458821:PQW458824 QAS458821:QAS458824 QKO458821:QKO458824 QUK458821:QUK458824 REG458821:REG458824 ROC458821:ROC458824 RXY458821:RXY458824 SHU458821:SHU458824 SRQ458821:SRQ458824 TBM458821:TBM458824 TLI458821:TLI458824 TVE458821:TVE458824 UFA458821:UFA458824 UOW458821:UOW458824 UYS458821:UYS458824 VIO458821:VIO458824 VSK458821:VSK458824 WCG458821:WCG458824 WMC458821:WMC458824 WVY458821:WVY458824 Q524357:Q524360 JM524357:JM524360 TI524357:TI524360 ADE524357:ADE524360 ANA524357:ANA524360 AWW524357:AWW524360 BGS524357:BGS524360 BQO524357:BQO524360 CAK524357:CAK524360 CKG524357:CKG524360 CUC524357:CUC524360 DDY524357:DDY524360 DNU524357:DNU524360 DXQ524357:DXQ524360 EHM524357:EHM524360 ERI524357:ERI524360 FBE524357:FBE524360 FLA524357:FLA524360 FUW524357:FUW524360 GES524357:GES524360 GOO524357:GOO524360 GYK524357:GYK524360 HIG524357:HIG524360 HSC524357:HSC524360 IBY524357:IBY524360 ILU524357:ILU524360 IVQ524357:IVQ524360 JFM524357:JFM524360 JPI524357:JPI524360 JZE524357:JZE524360 KJA524357:KJA524360 KSW524357:KSW524360 LCS524357:LCS524360 LMO524357:LMO524360 LWK524357:LWK524360 MGG524357:MGG524360 MQC524357:MQC524360 MZY524357:MZY524360 NJU524357:NJU524360 NTQ524357:NTQ524360 ODM524357:ODM524360 ONI524357:ONI524360 OXE524357:OXE524360 PHA524357:PHA524360 PQW524357:PQW524360 QAS524357:QAS524360 QKO524357:QKO524360 QUK524357:QUK524360 REG524357:REG524360 ROC524357:ROC524360 RXY524357:RXY524360 SHU524357:SHU524360 SRQ524357:SRQ524360 TBM524357:TBM524360 TLI524357:TLI524360 TVE524357:TVE524360 UFA524357:UFA524360 UOW524357:UOW524360 UYS524357:UYS524360 VIO524357:VIO524360 VSK524357:VSK524360 WCG524357:WCG524360 WMC524357:WMC524360 WVY524357:WVY524360 Q589893:Q589896 JM589893:JM589896 TI589893:TI589896 ADE589893:ADE589896 ANA589893:ANA589896 AWW589893:AWW589896 BGS589893:BGS589896 BQO589893:BQO589896 CAK589893:CAK589896 CKG589893:CKG589896 CUC589893:CUC589896 DDY589893:DDY589896 DNU589893:DNU589896 DXQ589893:DXQ589896 EHM589893:EHM589896 ERI589893:ERI589896 FBE589893:FBE589896 FLA589893:FLA589896 FUW589893:FUW589896 GES589893:GES589896 GOO589893:GOO589896 GYK589893:GYK589896 HIG589893:HIG589896 HSC589893:HSC589896 IBY589893:IBY589896 ILU589893:ILU589896 IVQ589893:IVQ589896 JFM589893:JFM589896 JPI589893:JPI589896 JZE589893:JZE589896 KJA589893:KJA589896 KSW589893:KSW589896 LCS589893:LCS589896 LMO589893:LMO589896 LWK589893:LWK589896 MGG589893:MGG589896 MQC589893:MQC589896 MZY589893:MZY589896 NJU589893:NJU589896 NTQ589893:NTQ589896 ODM589893:ODM589896 ONI589893:ONI589896 OXE589893:OXE589896 PHA589893:PHA589896 PQW589893:PQW589896 QAS589893:QAS589896 QKO589893:QKO589896 QUK589893:QUK589896 REG589893:REG589896 ROC589893:ROC589896 RXY589893:RXY589896 SHU589893:SHU589896 SRQ589893:SRQ589896 TBM589893:TBM589896 TLI589893:TLI589896 TVE589893:TVE589896 UFA589893:UFA589896 UOW589893:UOW589896 UYS589893:UYS589896 VIO589893:VIO589896 VSK589893:VSK589896 WCG589893:WCG589896 WMC589893:WMC589896 WVY589893:WVY589896 Q655429:Q655432 JM655429:JM655432 TI655429:TI655432 ADE655429:ADE655432 ANA655429:ANA655432 AWW655429:AWW655432 BGS655429:BGS655432 BQO655429:BQO655432 CAK655429:CAK655432 CKG655429:CKG655432 CUC655429:CUC655432 DDY655429:DDY655432 DNU655429:DNU655432 DXQ655429:DXQ655432 EHM655429:EHM655432 ERI655429:ERI655432 FBE655429:FBE655432 FLA655429:FLA655432 FUW655429:FUW655432 GES655429:GES655432 GOO655429:GOO655432 GYK655429:GYK655432 HIG655429:HIG655432 HSC655429:HSC655432 IBY655429:IBY655432 ILU655429:ILU655432 IVQ655429:IVQ655432 JFM655429:JFM655432 JPI655429:JPI655432 JZE655429:JZE655432 KJA655429:KJA655432 KSW655429:KSW655432 LCS655429:LCS655432 LMO655429:LMO655432 LWK655429:LWK655432 MGG655429:MGG655432 MQC655429:MQC655432 MZY655429:MZY655432 NJU655429:NJU655432 NTQ655429:NTQ655432 ODM655429:ODM655432 ONI655429:ONI655432 OXE655429:OXE655432 PHA655429:PHA655432 PQW655429:PQW655432 QAS655429:QAS655432 QKO655429:QKO655432 QUK655429:QUK655432 REG655429:REG655432 ROC655429:ROC655432 RXY655429:RXY655432 SHU655429:SHU655432 SRQ655429:SRQ655432 TBM655429:TBM655432 TLI655429:TLI655432 TVE655429:TVE655432 UFA655429:UFA655432 UOW655429:UOW655432 UYS655429:UYS655432 VIO655429:VIO655432 VSK655429:VSK655432 WCG655429:WCG655432 WMC655429:WMC655432 WVY655429:WVY655432 Q720965:Q720968 JM720965:JM720968 TI720965:TI720968 ADE720965:ADE720968 ANA720965:ANA720968 AWW720965:AWW720968 BGS720965:BGS720968 BQO720965:BQO720968 CAK720965:CAK720968 CKG720965:CKG720968 CUC720965:CUC720968 DDY720965:DDY720968 DNU720965:DNU720968 DXQ720965:DXQ720968 EHM720965:EHM720968 ERI720965:ERI720968 FBE720965:FBE720968 FLA720965:FLA720968 FUW720965:FUW720968 GES720965:GES720968 GOO720965:GOO720968 GYK720965:GYK720968 HIG720965:HIG720968 HSC720965:HSC720968 IBY720965:IBY720968 ILU720965:ILU720968 IVQ720965:IVQ720968 JFM720965:JFM720968 JPI720965:JPI720968 JZE720965:JZE720968 KJA720965:KJA720968 KSW720965:KSW720968 LCS720965:LCS720968 LMO720965:LMO720968 LWK720965:LWK720968 MGG720965:MGG720968 MQC720965:MQC720968 MZY720965:MZY720968 NJU720965:NJU720968 NTQ720965:NTQ720968 ODM720965:ODM720968 ONI720965:ONI720968 OXE720965:OXE720968 PHA720965:PHA720968 PQW720965:PQW720968 QAS720965:QAS720968 QKO720965:QKO720968 QUK720965:QUK720968 REG720965:REG720968 ROC720965:ROC720968 RXY720965:RXY720968 SHU720965:SHU720968 SRQ720965:SRQ720968 TBM720965:TBM720968 TLI720965:TLI720968 TVE720965:TVE720968 UFA720965:UFA720968 UOW720965:UOW720968 UYS720965:UYS720968 VIO720965:VIO720968 VSK720965:VSK720968 WCG720965:WCG720968 WMC720965:WMC720968 WVY720965:WVY720968 Q786501:Q786504 JM786501:JM786504 TI786501:TI786504 ADE786501:ADE786504 ANA786501:ANA786504 AWW786501:AWW786504 BGS786501:BGS786504 BQO786501:BQO786504 CAK786501:CAK786504 CKG786501:CKG786504 CUC786501:CUC786504 DDY786501:DDY786504 DNU786501:DNU786504 DXQ786501:DXQ786504 EHM786501:EHM786504 ERI786501:ERI786504 FBE786501:FBE786504 FLA786501:FLA786504 FUW786501:FUW786504 GES786501:GES786504 GOO786501:GOO786504 GYK786501:GYK786504 HIG786501:HIG786504 HSC786501:HSC786504 IBY786501:IBY786504 ILU786501:ILU786504 IVQ786501:IVQ786504 JFM786501:JFM786504 JPI786501:JPI786504 JZE786501:JZE786504 KJA786501:KJA786504 KSW786501:KSW786504 LCS786501:LCS786504 LMO786501:LMO786504 LWK786501:LWK786504 MGG786501:MGG786504 MQC786501:MQC786504 MZY786501:MZY786504 NJU786501:NJU786504 NTQ786501:NTQ786504 ODM786501:ODM786504 ONI786501:ONI786504 OXE786501:OXE786504 PHA786501:PHA786504 PQW786501:PQW786504 QAS786501:QAS786504 QKO786501:QKO786504 QUK786501:QUK786504 REG786501:REG786504 ROC786501:ROC786504 RXY786501:RXY786504 SHU786501:SHU786504 SRQ786501:SRQ786504 TBM786501:TBM786504 TLI786501:TLI786504 TVE786501:TVE786504 UFA786501:UFA786504 UOW786501:UOW786504 UYS786501:UYS786504 VIO786501:VIO786504 VSK786501:VSK786504 WCG786501:WCG786504 WMC786501:WMC786504 WVY786501:WVY786504 Q852037:Q852040 JM852037:JM852040 TI852037:TI852040 ADE852037:ADE852040 ANA852037:ANA852040 AWW852037:AWW852040 BGS852037:BGS852040 BQO852037:BQO852040 CAK852037:CAK852040 CKG852037:CKG852040 CUC852037:CUC852040 DDY852037:DDY852040 DNU852037:DNU852040 DXQ852037:DXQ852040 EHM852037:EHM852040 ERI852037:ERI852040 FBE852037:FBE852040 FLA852037:FLA852040 FUW852037:FUW852040 GES852037:GES852040 GOO852037:GOO852040 GYK852037:GYK852040 HIG852037:HIG852040 HSC852037:HSC852040 IBY852037:IBY852040 ILU852037:ILU852040 IVQ852037:IVQ852040 JFM852037:JFM852040 JPI852037:JPI852040 JZE852037:JZE852040 KJA852037:KJA852040 KSW852037:KSW852040 LCS852037:LCS852040 LMO852037:LMO852040 LWK852037:LWK852040 MGG852037:MGG852040 MQC852037:MQC852040 MZY852037:MZY852040 NJU852037:NJU852040 NTQ852037:NTQ852040 ODM852037:ODM852040 ONI852037:ONI852040 OXE852037:OXE852040 PHA852037:PHA852040 PQW852037:PQW852040 QAS852037:QAS852040 QKO852037:QKO852040 QUK852037:QUK852040 REG852037:REG852040 ROC852037:ROC852040 RXY852037:RXY852040 SHU852037:SHU852040 SRQ852037:SRQ852040 TBM852037:TBM852040 TLI852037:TLI852040 TVE852037:TVE852040 UFA852037:UFA852040 UOW852037:UOW852040 UYS852037:UYS852040 VIO852037:VIO852040 VSK852037:VSK852040 WCG852037:WCG852040 WMC852037:WMC852040 WVY852037:WVY852040 Q917573:Q917576 JM917573:JM917576 TI917573:TI917576 ADE917573:ADE917576 ANA917573:ANA917576 AWW917573:AWW917576 BGS917573:BGS917576 BQO917573:BQO917576 CAK917573:CAK917576 CKG917573:CKG917576 CUC917573:CUC917576 DDY917573:DDY917576 DNU917573:DNU917576 DXQ917573:DXQ917576 EHM917573:EHM917576 ERI917573:ERI917576 FBE917573:FBE917576 FLA917573:FLA917576 FUW917573:FUW917576 GES917573:GES917576 GOO917573:GOO917576 GYK917573:GYK917576 HIG917573:HIG917576 HSC917573:HSC917576 IBY917573:IBY917576 ILU917573:ILU917576 IVQ917573:IVQ917576 JFM917573:JFM917576 JPI917573:JPI917576 JZE917573:JZE917576 KJA917573:KJA917576 KSW917573:KSW917576 LCS917573:LCS917576 LMO917573:LMO917576 LWK917573:LWK917576 MGG917573:MGG917576 MQC917573:MQC917576 MZY917573:MZY917576 NJU917573:NJU917576 NTQ917573:NTQ917576 ODM917573:ODM917576 ONI917573:ONI917576 OXE917573:OXE917576 PHA917573:PHA917576 PQW917573:PQW917576 QAS917573:QAS917576 QKO917573:QKO917576 QUK917573:QUK917576 REG917573:REG917576 ROC917573:ROC917576 RXY917573:RXY917576 SHU917573:SHU917576 SRQ917573:SRQ917576 TBM917573:TBM917576 TLI917573:TLI917576 TVE917573:TVE917576 UFA917573:UFA917576 UOW917573:UOW917576 UYS917573:UYS917576 VIO917573:VIO917576 VSK917573:VSK917576 WCG917573:WCG917576 WMC917573:WMC917576 WVY917573:WVY917576 Q983109:Q983112 JM983109:JM983112 TI983109:TI983112 ADE983109:ADE983112 ANA983109:ANA983112 AWW983109:AWW983112 BGS983109:BGS983112 BQO983109:BQO983112 CAK983109:CAK983112 CKG983109:CKG983112 CUC983109:CUC983112 DDY983109:DDY983112 DNU983109:DNU983112 DXQ983109:DXQ983112 EHM983109:EHM983112 ERI983109:ERI983112 FBE983109:FBE983112 FLA983109:FLA983112 FUW983109:FUW983112 GES983109:GES983112 GOO983109:GOO983112 GYK983109:GYK983112 HIG983109:HIG983112 HSC983109:HSC983112 IBY983109:IBY983112 ILU983109:ILU983112 IVQ983109:IVQ983112 JFM983109:JFM983112 JPI983109:JPI983112 JZE983109:JZE983112 KJA983109:KJA983112 KSW983109:KSW983112 LCS983109:LCS983112 LMO983109:LMO983112 LWK983109:LWK983112 MGG983109:MGG983112 MQC983109:MQC983112 MZY983109:MZY983112 NJU983109:NJU983112 NTQ983109:NTQ983112 ODM983109:ODM983112 ONI983109:ONI983112 OXE983109:OXE983112 PHA983109:PHA983112 PQW983109:PQW983112 QAS983109:QAS983112 QKO983109:QKO983112 QUK983109:QUK983112 REG983109:REG983112 ROC983109:ROC983112 RXY983109:RXY983112 SHU983109:SHU983112 SRQ983109:SRQ983112 TBM983109:TBM983112 TLI983109:TLI983112 TVE983109:TVE983112 UFA983109:UFA983112 UOW983109:UOW983112 UYS983109:UYS983112 VIO983109:VIO983112 VSK983109:VSK983112 WCG983109:WCG983112">
      <formula1>"Yes,No,NA"</formula1>
    </dataValidation>
    <dataValidation type="list" allowBlank="1" showInputMessage="1" showErrorMessage="1" sqref="B137:B138">
      <formula1>"Kitchen,Bath"</formula1>
    </dataValidation>
  </dataValidations>
  <hyperlinks>
    <hyperlink ref="A1" location="'Table Of Contents'!A1" display="TOC"/>
  </hyperlinks>
  <pageMargins left="0.25" right="0.25" top="0.75" bottom="0.75" header="0.3" footer="0.3"/>
  <pageSetup scale="47" orientation="portrait" r:id="rId1"/>
  <headerFooter alignWithMargins="0"/>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9FF99"/>
  </sheetPr>
  <dimension ref="A1:BU171"/>
  <sheetViews>
    <sheetView showGridLines="0" view="pageBreakPreview" zoomScaleNormal="75" zoomScaleSheetLayoutView="100" workbookViewId="0">
      <selection activeCell="B1" sqref="B1"/>
    </sheetView>
  </sheetViews>
  <sheetFormatPr defaultRowHeight="12.75"/>
  <cols>
    <col min="1" max="1" width="9.140625" style="953"/>
    <col min="2" max="2" width="20" style="1321" customWidth="1"/>
    <col min="3" max="3" width="17.28515625" style="1321" customWidth="1"/>
    <col min="4" max="4" width="16.5703125" style="1321" customWidth="1"/>
    <col min="5" max="5" width="15.5703125" style="1321" customWidth="1"/>
    <col min="6" max="6" width="25.28515625" style="1321" customWidth="1"/>
    <col min="7" max="7" width="10.5703125" style="1321" customWidth="1"/>
    <col min="8" max="9" width="7.42578125" style="1321" customWidth="1"/>
    <col min="10" max="10" width="32.42578125" style="1321" customWidth="1"/>
    <col min="11" max="12" width="9.140625" style="953"/>
    <col min="13" max="13" width="15.7109375" style="953" customWidth="1"/>
    <col min="14" max="14" width="7.42578125" style="953" hidden="1" customWidth="1"/>
    <col min="15" max="16" width="9.140625" style="953" hidden="1" customWidth="1"/>
    <col min="17" max="257" width="9.140625" style="953"/>
    <col min="258" max="258" width="20" style="953" customWidth="1"/>
    <col min="259" max="259" width="17.28515625" style="953" customWidth="1"/>
    <col min="260" max="260" width="16.5703125" style="953" customWidth="1"/>
    <col min="261" max="261" width="15.5703125" style="953" customWidth="1"/>
    <col min="262" max="262" width="25.28515625" style="953" customWidth="1"/>
    <col min="263" max="263" width="10.5703125" style="953" customWidth="1"/>
    <col min="264" max="265" width="7.42578125" style="953" customWidth="1"/>
    <col min="266" max="266" width="32.42578125" style="953" customWidth="1"/>
    <col min="267" max="268" width="9.140625" style="953"/>
    <col min="269" max="269" width="15.7109375" style="953" customWidth="1"/>
    <col min="270" max="272" width="0" style="953" hidden="1" customWidth="1"/>
    <col min="273" max="513" width="9.140625" style="953"/>
    <col min="514" max="514" width="20" style="953" customWidth="1"/>
    <col min="515" max="515" width="17.28515625" style="953" customWidth="1"/>
    <col min="516" max="516" width="16.5703125" style="953" customWidth="1"/>
    <col min="517" max="517" width="15.5703125" style="953" customWidth="1"/>
    <col min="518" max="518" width="25.28515625" style="953" customWidth="1"/>
    <col min="519" max="519" width="10.5703125" style="953" customWidth="1"/>
    <col min="520" max="521" width="7.42578125" style="953" customWidth="1"/>
    <col min="522" max="522" width="32.42578125" style="953" customWidth="1"/>
    <col min="523" max="524" width="9.140625" style="953"/>
    <col min="525" max="525" width="15.7109375" style="953" customWidth="1"/>
    <col min="526" max="528" width="0" style="953" hidden="1" customWidth="1"/>
    <col min="529" max="769" width="9.140625" style="953"/>
    <col min="770" max="770" width="20" style="953" customWidth="1"/>
    <col min="771" max="771" width="17.28515625" style="953" customWidth="1"/>
    <col min="772" max="772" width="16.5703125" style="953" customWidth="1"/>
    <col min="773" max="773" width="15.5703125" style="953" customWidth="1"/>
    <col min="774" max="774" width="25.28515625" style="953" customWidth="1"/>
    <col min="775" max="775" width="10.5703125" style="953" customWidth="1"/>
    <col min="776" max="777" width="7.42578125" style="953" customWidth="1"/>
    <col min="778" max="778" width="32.42578125" style="953" customWidth="1"/>
    <col min="779" max="780" width="9.140625" style="953"/>
    <col min="781" max="781" width="15.7109375" style="953" customWidth="1"/>
    <col min="782" max="784" width="0" style="953" hidden="1" customWidth="1"/>
    <col min="785" max="1025" width="9.140625" style="953"/>
    <col min="1026" max="1026" width="20" style="953" customWidth="1"/>
    <col min="1027" max="1027" width="17.28515625" style="953" customWidth="1"/>
    <col min="1028" max="1028" width="16.5703125" style="953" customWidth="1"/>
    <col min="1029" max="1029" width="15.5703125" style="953" customWidth="1"/>
    <col min="1030" max="1030" width="25.28515625" style="953" customWidth="1"/>
    <col min="1031" max="1031" width="10.5703125" style="953" customWidth="1"/>
    <col min="1032" max="1033" width="7.42578125" style="953" customWidth="1"/>
    <col min="1034" max="1034" width="32.42578125" style="953" customWidth="1"/>
    <col min="1035" max="1036" width="9.140625" style="953"/>
    <col min="1037" max="1037" width="15.7109375" style="953" customWidth="1"/>
    <col min="1038" max="1040" width="0" style="953" hidden="1" customWidth="1"/>
    <col min="1041" max="1281" width="9.140625" style="953"/>
    <col min="1282" max="1282" width="20" style="953" customWidth="1"/>
    <col min="1283" max="1283" width="17.28515625" style="953" customWidth="1"/>
    <col min="1284" max="1284" width="16.5703125" style="953" customWidth="1"/>
    <col min="1285" max="1285" width="15.5703125" style="953" customWidth="1"/>
    <col min="1286" max="1286" width="25.28515625" style="953" customWidth="1"/>
    <col min="1287" max="1287" width="10.5703125" style="953" customWidth="1"/>
    <col min="1288" max="1289" width="7.42578125" style="953" customWidth="1"/>
    <col min="1290" max="1290" width="32.42578125" style="953" customWidth="1"/>
    <col min="1291" max="1292" width="9.140625" style="953"/>
    <col min="1293" max="1293" width="15.7109375" style="953" customWidth="1"/>
    <col min="1294" max="1296" width="0" style="953" hidden="1" customWidth="1"/>
    <col min="1297" max="1537" width="9.140625" style="953"/>
    <col min="1538" max="1538" width="20" style="953" customWidth="1"/>
    <col min="1539" max="1539" width="17.28515625" style="953" customWidth="1"/>
    <col min="1540" max="1540" width="16.5703125" style="953" customWidth="1"/>
    <col min="1541" max="1541" width="15.5703125" style="953" customWidth="1"/>
    <col min="1542" max="1542" width="25.28515625" style="953" customWidth="1"/>
    <col min="1543" max="1543" width="10.5703125" style="953" customWidth="1"/>
    <col min="1544" max="1545" width="7.42578125" style="953" customWidth="1"/>
    <col min="1546" max="1546" width="32.42578125" style="953" customWidth="1"/>
    <col min="1547" max="1548" width="9.140625" style="953"/>
    <col min="1549" max="1549" width="15.7109375" style="953" customWidth="1"/>
    <col min="1550" max="1552" width="0" style="953" hidden="1" customWidth="1"/>
    <col min="1553" max="1793" width="9.140625" style="953"/>
    <col min="1794" max="1794" width="20" style="953" customWidth="1"/>
    <col min="1795" max="1795" width="17.28515625" style="953" customWidth="1"/>
    <col min="1796" max="1796" width="16.5703125" style="953" customWidth="1"/>
    <col min="1797" max="1797" width="15.5703125" style="953" customWidth="1"/>
    <col min="1798" max="1798" width="25.28515625" style="953" customWidth="1"/>
    <col min="1799" max="1799" width="10.5703125" style="953" customWidth="1"/>
    <col min="1800" max="1801" width="7.42578125" style="953" customWidth="1"/>
    <col min="1802" max="1802" width="32.42578125" style="953" customWidth="1"/>
    <col min="1803" max="1804" width="9.140625" style="953"/>
    <col min="1805" max="1805" width="15.7109375" style="953" customWidth="1"/>
    <col min="1806" max="1808" width="0" style="953" hidden="1" customWidth="1"/>
    <col min="1809" max="2049" width="9.140625" style="953"/>
    <col min="2050" max="2050" width="20" style="953" customWidth="1"/>
    <col min="2051" max="2051" width="17.28515625" style="953" customWidth="1"/>
    <col min="2052" max="2052" width="16.5703125" style="953" customWidth="1"/>
    <col min="2053" max="2053" width="15.5703125" style="953" customWidth="1"/>
    <col min="2054" max="2054" width="25.28515625" style="953" customWidth="1"/>
    <col min="2055" max="2055" width="10.5703125" style="953" customWidth="1"/>
    <col min="2056" max="2057" width="7.42578125" style="953" customWidth="1"/>
    <col min="2058" max="2058" width="32.42578125" style="953" customWidth="1"/>
    <col min="2059" max="2060" width="9.140625" style="953"/>
    <col min="2061" max="2061" width="15.7109375" style="953" customWidth="1"/>
    <col min="2062" max="2064" width="0" style="953" hidden="1" customWidth="1"/>
    <col min="2065" max="2305" width="9.140625" style="953"/>
    <col min="2306" max="2306" width="20" style="953" customWidth="1"/>
    <col min="2307" max="2307" width="17.28515625" style="953" customWidth="1"/>
    <col min="2308" max="2308" width="16.5703125" style="953" customWidth="1"/>
    <col min="2309" max="2309" width="15.5703125" style="953" customWidth="1"/>
    <col min="2310" max="2310" width="25.28515625" style="953" customWidth="1"/>
    <col min="2311" max="2311" width="10.5703125" style="953" customWidth="1"/>
    <col min="2312" max="2313" width="7.42578125" style="953" customWidth="1"/>
    <col min="2314" max="2314" width="32.42578125" style="953" customWidth="1"/>
    <col min="2315" max="2316" width="9.140625" style="953"/>
    <col min="2317" max="2317" width="15.7109375" style="953" customWidth="1"/>
    <col min="2318" max="2320" width="0" style="953" hidden="1" customWidth="1"/>
    <col min="2321" max="2561" width="9.140625" style="953"/>
    <col min="2562" max="2562" width="20" style="953" customWidth="1"/>
    <col min="2563" max="2563" width="17.28515625" style="953" customWidth="1"/>
    <col min="2564" max="2564" width="16.5703125" style="953" customWidth="1"/>
    <col min="2565" max="2565" width="15.5703125" style="953" customWidth="1"/>
    <col min="2566" max="2566" width="25.28515625" style="953" customWidth="1"/>
    <col min="2567" max="2567" width="10.5703125" style="953" customWidth="1"/>
    <col min="2568" max="2569" width="7.42578125" style="953" customWidth="1"/>
    <col min="2570" max="2570" width="32.42578125" style="953" customWidth="1"/>
    <col min="2571" max="2572" width="9.140625" style="953"/>
    <col min="2573" max="2573" width="15.7109375" style="953" customWidth="1"/>
    <col min="2574" max="2576" width="0" style="953" hidden="1" customWidth="1"/>
    <col min="2577" max="2817" width="9.140625" style="953"/>
    <col min="2818" max="2818" width="20" style="953" customWidth="1"/>
    <col min="2819" max="2819" width="17.28515625" style="953" customWidth="1"/>
    <col min="2820" max="2820" width="16.5703125" style="953" customWidth="1"/>
    <col min="2821" max="2821" width="15.5703125" style="953" customWidth="1"/>
    <col min="2822" max="2822" width="25.28515625" style="953" customWidth="1"/>
    <col min="2823" max="2823" width="10.5703125" style="953" customWidth="1"/>
    <col min="2824" max="2825" width="7.42578125" style="953" customWidth="1"/>
    <col min="2826" max="2826" width="32.42578125" style="953" customWidth="1"/>
    <col min="2827" max="2828" width="9.140625" style="953"/>
    <col min="2829" max="2829" width="15.7109375" style="953" customWidth="1"/>
    <col min="2830" max="2832" width="0" style="953" hidden="1" customWidth="1"/>
    <col min="2833" max="3073" width="9.140625" style="953"/>
    <col min="3074" max="3074" width="20" style="953" customWidth="1"/>
    <col min="3075" max="3075" width="17.28515625" style="953" customWidth="1"/>
    <col min="3076" max="3076" width="16.5703125" style="953" customWidth="1"/>
    <col min="3077" max="3077" width="15.5703125" style="953" customWidth="1"/>
    <col min="3078" max="3078" width="25.28515625" style="953" customWidth="1"/>
    <col min="3079" max="3079" width="10.5703125" style="953" customWidth="1"/>
    <col min="3080" max="3081" width="7.42578125" style="953" customWidth="1"/>
    <col min="3082" max="3082" width="32.42578125" style="953" customWidth="1"/>
    <col min="3083" max="3084" width="9.140625" style="953"/>
    <col min="3085" max="3085" width="15.7109375" style="953" customWidth="1"/>
    <col min="3086" max="3088" width="0" style="953" hidden="1" customWidth="1"/>
    <col min="3089" max="3329" width="9.140625" style="953"/>
    <col min="3330" max="3330" width="20" style="953" customWidth="1"/>
    <col min="3331" max="3331" width="17.28515625" style="953" customWidth="1"/>
    <col min="3332" max="3332" width="16.5703125" style="953" customWidth="1"/>
    <col min="3333" max="3333" width="15.5703125" style="953" customWidth="1"/>
    <col min="3334" max="3334" width="25.28515625" style="953" customWidth="1"/>
    <col min="3335" max="3335" width="10.5703125" style="953" customWidth="1"/>
    <col min="3336" max="3337" width="7.42578125" style="953" customWidth="1"/>
    <col min="3338" max="3338" width="32.42578125" style="953" customWidth="1"/>
    <col min="3339" max="3340" width="9.140625" style="953"/>
    <col min="3341" max="3341" width="15.7109375" style="953" customWidth="1"/>
    <col min="3342" max="3344" width="0" style="953" hidden="1" customWidth="1"/>
    <col min="3345" max="3585" width="9.140625" style="953"/>
    <col min="3586" max="3586" width="20" style="953" customWidth="1"/>
    <col min="3587" max="3587" width="17.28515625" style="953" customWidth="1"/>
    <col min="3588" max="3588" width="16.5703125" style="953" customWidth="1"/>
    <col min="3589" max="3589" width="15.5703125" style="953" customWidth="1"/>
    <col min="3590" max="3590" width="25.28515625" style="953" customWidth="1"/>
    <col min="3591" max="3591" width="10.5703125" style="953" customWidth="1"/>
    <col min="3592" max="3593" width="7.42578125" style="953" customWidth="1"/>
    <col min="3594" max="3594" width="32.42578125" style="953" customWidth="1"/>
    <col min="3595" max="3596" width="9.140625" style="953"/>
    <col min="3597" max="3597" width="15.7109375" style="953" customWidth="1"/>
    <col min="3598" max="3600" width="0" style="953" hidden="1" customWidth="1"/>
    <col min="3601" max="3841" width="9.140625" style="953"/>
    <col min="3842" max="3842" width="20" style="953" customWidth="1"/>
    <col min="3843" max="3843" width="17.28515625" style="953" customWidth="1"/>
    <col min="3844" max="3844" width="16.5703125" style="953" customWidth="1"/>
    <col min="3845" max="3845" width="15.5703125" style="953" customWidth="1"/>
    <col min="3846" max="3846" width="25.28515625" style="953" customWidth="1"/>
    <col min="3847" max="3847" width="10.5703125" style="953" customWidth="1"/>
    <col min="3848" max="3849" width="7.42578125" style="953" customWidth="1"/>
    <col min="3850" max="3850" width="32.42578125" style="953" customWidth="1"/>
    <col min="3851" max="3852" width="9.140625" style="953"/>
    <col min="3853" max="3853" width="15.7109375" style="953" customWidth="1"/>
    <col min="3854" max="3856" width="0" style="953" hidden="1" customWidth="1"/>
    <col min="3857" max="4097" width="9.140625" style="953"/>
    <col min="4098" max="4098" width="20" style="953" customWidth="1"/>
    <col min="4099" max="4099" width="17.28515625" style="953" customWidth="1"/>
    <col min="4100" max="4100" width="16.5703125" style="953" customWidth="1"/>
    <col min="4101" max="4101" width="15.5703125" style="953" customWidth="1"/>
    <col min="4102" max="4102" width="25.28515625" style="953" customWidth="1"/>
    <col min="4103" max="4103" width="10.5703125" style="953" customWidth="1"/>
    <col min="4104" max="4105" width="7.42578125" style="953" customWidth="1"/>
    <col min="4106" max="4106" width="32.42578125" style="953" customWidth="1"/>
    <col min="4107" max="4108" width="9.140625" style="953"/>
    <col min="4109" max="4109" width="15.7109375" style="953" customWidth="1"/>
    <col min="4110" max="4112" width="0" style="953" hidden="1" customWidth="1"/>
    <col min="4113" max="4353" width="9.140625" style="953"/>
    <col min="4354" max="4354" width="20" style="953" customWidth="1"/>
    <col min="4355" max="4355" width="17.28515625" style="953" customWidth="1"/>
    <col min="4356" max="4356" width="16.5703125" style="953" customWidth="1"/>
    <col min="4357" max="4357" width="15.5703125" style="953" customWidth="1"/>
    <col min="4358" max="4358" width="25.28515625" style="953" customWidth="1"/>
    <col min="4359" max="4359" width="10.5703125" style="953" customWidth="1"/>
    <col min="4360" max="4361" width="7.42578125" style="953" customWidth="1"/>
    <col min="4362" max="4362" width="32.42578125" style="953" customWidth="1"/>
    <col min="4363" max="4364" width="9.140625" style="953"/>
    <col min="4365" max="4365" width="15.7109375" style="953" customWidth="1"/>
    <col min="4366" max="4368" width="0" style="953" hidden="1" customWidth="1"/>
    <col min="4369" max="4609" width="9.140625" style="953"/>
    <col min="4610" max="4610" width="20" style="953" customWidth="1"/>
    <col min="4611" max="4611" width="17.28515625" style="953" customWidth="1"/>
    <col min="4612" max="4612" width="16.5703125" style="953" customWidth="1"/>
    <col min="4613" max="4613" width="15.5703125" style="953" customWidth="1"/>
    <col min="4614" max="4614" width="25.28515625" style="953" customWidth="1"/>
    <col min="4615" max="4615" width="10.5703125" style="953" customWidth="1"/>
    <col min="4616" max="4617" width="7.42578125" style="953" customWidth="1"/>
    <col min="4618" max="4618" width="32.42578125" style="953" customWidth="1"/>
    <col min="4619" max="4620" width="9.140625" style="953"/>
    <col min="4621" max="4621" width="15.7109375" style="953" customWidth="1"/>
    <col min="4622" max="4624" width="0" style="953" hidden="1" customWidth="1"/>
    <col min="4625" max="4865" width="9.140625" style="953"/>
    <col min="4866" max="4866" width="20" style="953" customWidth="1"/>
    <col min="4867" max="4867" width="17.28515625" style="953" customWidth="1"/>
    <col min="4868" max="4868" width="16.5703125" style="953" customWidth="1"/>
    <col min="4869" max="4869" width="15.5703125" style="953" customWidth="1"/>
    <col min="4870" max="4870" width="25.28515625" style="953" customWidth="1"/>
    <col min="4871" max="4871" width="10.5703125" style="953" customWidth="1"/>
    <col min="4872" max="4873" width="7.42578125" style="953" customWidth="1"/>
    <col min="4874" max="4874" width="32.42578125" style="953" customWidth="1"/>
    <col min="4875" max="4876" width="9.140625" style="953"/>
    <col min="4877" max="4877" width="15.7109375" style="953" customWidth="1"/>
    <col min="4878" max="4880" width="0" style="953" hidden="1" customWidth="1"/>
    <col min="4881" max="5121" width="9.140625" style="953"/>
    <col min="5122" max="5122" width="20" style="953" customWidth="1"/>
    <col min="5123" max="5123" width="17.28515625" style="953" customWidth="1"/>
    <col min="5124" max="5124" width="16.5703125" style="953" customWidth="1"/>
    <col min="5125" max="5125" width="15.5703125" style="953" customWidth="1"/>
    <col min="5126" max="5126" width="25.28515625" style="953" customWidth="1"/>
    <col min="5127" max="5127" width="10.5703125" style="953" customWidth="1"/>
    <col min="5128" max="5129" width="7.42578125" style="953" customWidth="1"/>
    <col min="5130" max="5130" width="32.42578125" style="953" customWidth="1"/>
    <col min="5131" max="5132" width="9.140625" style="953"/>
    <col min="5133" max="5133" width="15.7109375" style="953" customWidth="1"/>
    <col min="5134" max="5136" width="0" style="953" hidden="1" customWidth="1"/>
    <col min="5137" max="5377" width="9.140625" style="953"/>
    <col min="5378" max="5378" width="20" style="953" customWidth="1"/>
    <col min="5379" max="5379" width="17.28515625" style="953" customWidth="1"/>
    <col min="5380" max="5380" width="16.5703125" style="953" customWidth="1"/>
    <col min="5381" max="5381" width="15.5703125" style="953" customWidth="1"/>
    <col min="5382" max="5382" width="25.28515625" style="953" customWidth="1"/>
    <col min="5383" max="5383" width="10.5703125" style="953" customWidth="1"/>
    <col min="5384" max="5385" width="7.42578125" style="953" customWidth="1"/>
    <col min="5386" max="5386" width="32.42578125" style="953" customWidth="1"/>
    <col min="5387" max="5388" width="9.140625" style="953"/>
    <col min="5389" max="5389" width="15.7109375" style="953" customWidth="1"/>
    <col min="5390" max="5392" width="0" style="953" hidden="1" customWidth="1"/>
    <col min="5393" max="5633" width="9.140625" style="953"/>
    <col min="5634" max="5634" width="20" style="953" customWidth="1"/>
    <col min="5635" max="5635" width="17.28515625" style="953" customWidth="1"/>
    <col min="5636" max="5636" width="16.5703125" style="953" customWidth="1"/>
    <col min="5637" max="5637" width="15.5703125" style="953" customWidth="1"/>
    <col min="5638" max="5638" width="25.28515625" style="953" customWidth="1"/>
    <col min="5639" max="5639" width="10.5703125" style="953" customWidth="1"/>
    <col min="5640" max="5641" width="7.42578125" style="953" customWidth="1"/>
    <col min="5642" max="5642" width="32.42578125" style="953" customWidth="1"/>
    <col min="5643" max="5644" width="9.140625" style="953"/>
    <col min="5645" max="5645" width="15.7109375" style="953" customWidth="1"/>
    <col min="5646" max="5648" width="0" style="953" hidden="1" customWidth="1"/>
    <col min="5649" max="5889" width="9.140625" style="953"/>
    <col min="5890" max="5890" width="20" style="953" customWidth="1"/>
    <col min="5891" max="5891" width="17.28515625" style="953" customWidth="1"/>
    <col min="5892" max="5892" width="16.5703125" style="953" customWidth="1"/>
    <col min="5893" max="5893" width="15.5703125" style="953" customWidth="1"/>
    <col min="5894" max="5894" width="25.28515625" style="953" customWidth="1"/>
    <col min="5895" max="5895" width="10.5703125" style="953" customWidth="1"/>
    <col min="5896" max="5897" width="7.42578125" style="953" customWidth="1"/>
    <col min="5898" max="5898" width="32.42578125" style="953" customWidth="1"/>
    <col min="5899" max="5900" width="9.140625" style="953"/>
    <col min="5901" max="5901" width="15.7109375" style="953" customWidth="1"/>
    <col min="5902" max="5904" width="0" style="953" hidden="1" customWidth="1"/>
    <col min="5905" max="6145" width="9.140625" style="953"/>
    <col min="6146" max="6146" width="20" style="953" customWidth="1"/>
    <col min="6147" max="6147" width="17.28515625" style="953" customWidth="1"/>
    <col min="6148" max="6148" width="16.5703125" style="953" customWidth="1"/>
    <col min="6149" max="6149" width="15.5703125" style="953" customWidth="1"/>
    <col min="6150" max="6150" width="25.28515625" style="953" customWidth="1"/>
    <col min="6151" max="6151" width="10.5703125" style="953" customWidth="1"/>
    <col min="6152" max="6153" width="7.42578125" style="953" customWidth="1"/>
    <col min="6154" max="6154" width="32.42578125" style="953" customWidth="1"/>
    <col min="6155" max="6156" width="9.140625" style="953"/>
    <col min="6157" max="6157" width="15.7109375" style="953" customWidth="1"/>
    <col min="6158" max="6160" width="0" style="953" hidden="1" customWidth="1"/>
    <col min="6161" max="6401" width="9.140625" style="953"/>
    <col min="6402" max="6402" width="20" style="953" customWidth="1"/>
    <col min="6403" max="6403" width="17.28515625" style="953" customWidth="1"/>
    <col min="6404" max="6404" width="16.5703125" style="953" customWidth="1"/>
    <col min="6405" max="6405" width="15.5703125" style="953" customWidth="1"/>
    <col min="6406" max="6406" width="25.28515625" style="953" customWidth="1"/>
    <col min="6407" max="6407" width="10.5703125" style="953" customWidth="1"/>
    <col min="6408" max="6409" width="7.42578125" style="953" customWidth="1"/>
    <col min="6410" max="6410" width="32.42578125" style="953" customWidth="1"/>
    <col min="6411" max="6412" width="9.140625" style="953"/>
    <col min="6413" max="6413" width="15.7109375" style="953" customWidth="1"/>
    <col min="6414" max="6416" width="0" style="953" hidden="1" customWidth="1"/>
    <col min="6417" max="6657" width="9.140625" style="953"/>
    <col min="6658" max="6658" width="20" style="953" customWidth="1"/>
    <col min="6659" max="6659" width="17.28515625" style="953" customWidth="1"/>
    <col min="6660" max="6660" width="16.5703125" style="953" customWidth="1"/>
    <col min="6661" max="6661" width="15.5703125" style="953" customWidth="1"/>
    <col min="6662" max="6662" width="25.28515625" style="953" customWidth="1"/>
    <col min="6663" max="6663" width="10.5703125" style="953" customWidth="1"/>
    <col min="6664" max="6665" width="7.42578125" style="953" customWidth="1"/>
    <col min="6666" max="6666" width="32.42578125" style="953" customWidth="1"/>
    <col min="6667" max="6668" width="9.140625" style="953"/>
    <col min="6669" max="6669" width="15.7109375" style="953" customWidth="1"/>
    <col min="6670" max="6672" width="0" style="953" hidden="1" customWidth="1"/>
    <col min="6673" max="6913" width="9.140625" style="953"/>
    <col min="6914" max="6914" width="20" style="953" customWidth="1"/>
    <col min="6915" max="6915" width="17.28515625" style="953" customWidth="1"/>
    <col min="6916" max="6916" width="16.5703125" style="953" customWidth="1"/>
    <col min="6917" max="6917" width="15.5703125" style="953" customWidth="1"/>
    <col min="6918" max="6918" width="25.28515625" style="953" customWidth="1"/>
    <col min="6919" max="6919" width="10.5703125" style="953" customWidth="1"/>
    <col min="6920" max="6921" width="7.42578125" style="953" customWidth="1"/>
    <col min="6922" max="6922" width="32.42578125" style="953" customWidth="1"/>
    <col min="6923" max="6924" width="9.140625" style="953"/>
    <col min="6925" max="6925" width="15.7109375" style="953" customWidth="1"/>
    <col min="6926" max="6928" width="0" style="953" hidden="1" customWidth="1"/>
    <col min="6929" max="7169" width="9.140625" style="953"/>
    <col min="7170" max="7170" width="20" style="953" customWidth="1"/>
    <col min="7171" max="7171" width="17.28515625" style="953" customWidth="1"/>
    <col min="7172" max="7172" width="16.5703125" style="953" customWidth="1"/>
    <col min="7173" max="7173" width="15.5703125" style="953" customWidth="1"/>
    <col min="7174" max="7174" width="25.28515625" style="953" customWidth="1"/>
    <col min="7175" max="7175" width="10.5703125" style="953" customWidth="1"/>
    <col min="7176" max="7177" width="7.42578125" style="953" customWidth="1"/>
    <col min="7178" max="7178" width="32.42578125" style="953" customWidth="1"/>
    <col min="7179" max="7180" width="9.140625" style="953"/>
    <col min="7181" max="7181" width="15.7109375" style="953" customWidth="1"/>
    <col min="7182" max="7184" width="0" style="953" hidden="1" customWidth="1"/>
    <col min="7185" max="7425" width="9.140625" style="953"/>
    <col min="7426" max="7426" width="20" style="953" customWidth="1"/>
    <col min="7427" max="7427" width="17.28515625" style="953" customWidth="1"/>
    <col min="7428" max="7428" width="16.5703125" style="953" customWidth="1"/>
    <col min="7429" max="7429" width="15.5703125" style="953" customWidth="1"/>
    <col min="7430" max="7430" width="25.28515625" style="953" customWidth="1"/>
    <col min="7431" max="7431" width="10.5703125" style="953" customWidth="1"/>
    <col min="7432" max="7433" width="7.42578125" style="953" customWidth="1"/>
    <col min="7434" max="7434" width="32.42578125" style="953" customWidth="1"/>
    <col min="7435" max="7436" width="9.140625" style="953"/>
    <col min="7437" max="7437" width="15.7109375" style="953" customWidth="1"/>
    <col min="7438" max="7440" width="0" style="953" hidden="1" customWidth="1"/>
    <col min="7441" max="7681" width="9.140625" style="953"/>
    <col min="7682" max="7682" width="20" style="953" customWidth="1"/>
    <col min="7683" max="7683" width="17.28515625" style="953" customWidth="1"/>
    <col min="7684" max="7684" width="16.5703125" style="953" customWidth="1"/>
    <col min="7685" max="7685" width="15.5703125" style="953" customWidth="1"/>
    <col min="7686" max="7686" width="25.28515625" style="953" customWidth="1"/>
    <col min="7687" max="7687" width="10.5703125" style="953" customWidth="1"/>
    <col min="7688" max="7689" width="7.42578125" style="953" customWidth="1"/>
    <col min="7690" max="7690" width="32.42578125" style="953" customWidth="1"/>
    <col min="7691" max="7692" width="9.140625" style="953"/>
    <col min="7693" max="7693" width="15.7109375" style="953" customWidth="1"/>
    <col min="7694" max="7696" width="0" style="953" hidden="1" customWidth="1"/>
    <col min="7697" max="7937" width="9.140625" style="953"/>
    <col min="7938" max="7938" width="20" style="953" customWidth="1"/>
    <col min="7939" max="7939" width="17.28515625" style="953" customWidth="1"/>
    <col min="7940" max="7940" width="16.5703125" style="953" customWidth="1"/>
    <col min="7941" max="7941" width="15.5703125" style="953" customWidth="1"/>
    <col min="7942" max="7942" width="25.28515625" style="953" customWidth="1"/>
    <col min="7943" max="7943" width="10.5703125" style="953" customWidth="1"/>
    <col min="7944" max="7945" width="7.42578125" style="953" customWidth="1"/>
    <col min="7946" max="7946" width="32.42578125" style="953" customWidth="1"/>
    <col min="7947" max="7948" width="9.140625" style="953"/>
    <col min="7949" max="7949" width="15.7109375" style="953" customWidth="1"/>
    <col min="7950" max="7952" width="0" style="953" hidden="1" customWidth="1"/>
    <col min="7953" max="8193" width="9.140625" style="953"/>
    <col min="8194" max="8194" width="20" style="953" customWidth="1"/>
    <col min="8195" max="8195" width="17.28515625" style="953" customWidth="1"/>
    <col min="8196" max="8196" width="16.5703125" style="953" customWidth="1"/>
    <col min="8197" max="8197" width="15.5703125" style="953" customWidth="1"/>
    <col min="8198" max="8198" width="25.28515625" style="953" customWidth="1"/>
    <col min="8199" max="8199" width="10.5703125" style="953" customWidth="1"/>
    <col min="8200" max="8201" width="7.42578125" style="953" customWidth="1"/>
    <col min="8202" max="8202" width="32.42578125" style="953" customWidth="1"/>
    <col min="8203" max="8204" width="9.140625" style="953"/>
    <col min="8205" max="8205" width="15.7109375" style="953" customWidth="1"/>
    <col min="8206" max="8208" width="0" style="953" hidden="1" customWidth="1"/>
    <col min="8209" max="8449" width="9.140625" style="953"/>
    <col min="8450" max="8450" width="20" style="953" customWidth="1"/>
    <col min="8451" max="8451" width="17.28515625" style="953" customWidth="1"/>
    <col min="8452" max="8452" width="16.5703125" style="953" customWidth="1"/>
    <col min="8453" max="8453" width="15.5703125" style="953" customWidth="1"/>
    <col min="8454" max="8454" width="25.28515625" style="953" customWidth="1"/>
    <col min="8455" max="8455" width="10.5703125" style="953" customWidth="1"/>
    <col min="8456" max="8457" width="7.42578125" style="953" customWidth="1"/>
    <col min="8458" max="8458" width="32.42578125" style="953" customWidth="1"/>
    <col min="8459" max="8460" width="9.140625" style="953"/>
    <col min="8461" max="8461" width="15.7109375" style="953" customWidth="1"/>
    <col min="8462" max="8464" width="0" style="953" hidden="1" customWidth="1"/>
    <col min="8465" max="8705" width="9.140625" style="953"/>
    <col min="8706" max="8706" width="20" style="953" customWidth="1"/>
    <col min="8707" max="8707" width="17.28515625" style="953" customWidth="1"/>
    <col min="8708" max="8708" width="16.5703125" style="953" customWidth="1"/>
    <col min="8709" max="8709" width="15.5703125" style="953" customWidth="1"/>
    <col min="8710" max="8710" width="25.28515625" style="953" customWidth="1"/>
    <col min="8711" max="8711" width="10.5703125" style="953" customWidth="1"/>
    <col min="8712" max="8713" width="7.42578125" style="953" customWidth="1"/>
    <col min="8714" max="8714" width="32.42578125" style="953" customWidth="1"/>
    <col min="8715" max="8716" width="9.140625" style="953"/>
    <col min="8717" max="8717" width="15.7109375" style="953" customWidth="1"/>
    <col min="8718" max="8720" width="0" style="953" hidden="1" customWidth="1"/>
    <col min="8721" max="8961" width="9.140625" style="953"/>
    <col min="8962" max="8962" width="20" style="953" customWidth="1"/>
    <col min="8963" max="8963" width="17.28515625" style="953" customWidth="1"/>
    <col min="8964" max="8964" width="16.5703125" style="953" customWidth="1"/>
    <col min="8965" max="8965" width="15.5703125" style="953" customWidth="1"/>
    <col min="8966" max="8966" width="25.28515625" style="953" customWidth="1"/>
    <col min="8967" max="8967" width="10.5703125" style="953" customWidth="1"/>
    <col min="8968" max="8969" width="7.42578125" style="953" customWidth="1"/>
    <col min="8970" max="8970" width="32.42578125" style="953" customWidth="1"/>
    <col min="8971" max="8972" width="9.140625" style="953"/>
    <col min="8973" max="8973" width="15.7109375" style="953" customWidth="1"/>
    <col min="8974" max="8976" width="0" style="953" hidden="1" customWidth="1"/>
    <col min="8977" max="9217" width="9.140625" style="953"/>
    <col min="9218" max="9218" width="20" style="953" customWidth="1"/>
    <col min="9219" max="9219" width="17.28515625" style="953" customWidth="1"/>
    <col min="9220" max="9220" width="16.5703125" style="953" customWidth="1"/>
    <col min="9221" max="9221" width="15.5703125" style="953" customWidth="1"/>
    <col min="9222" max="9222" width="25.28515625" style="953" customWidth="1"/>
    <col min="9223" max="9223" width="10.5703125" style="953" customWidth="1"/>
    <col min="9224" max="9225" width="7.42578125" style="953" customWidth="1"/>
    <col min="9226" max="9226" width="32.42578125" style="953" customWidth="1"/>
    <col min="9227" max="9228" width="9.140625" style="953"/>
    <col min="9229" max="9229" width="15.7109375" style="953" customWidth="1"/>
    <col min="9230" max="9232" width="0" style="953" hidden="1" customWidth="1"/>
    <col min="9233" max="9473" width="9.140625" style="953"/>
    <col min="9474" max="9474" width="20" style="953" customWidth="1"/>
    <col min="9475" max="9475" width="17.28515625" style="953" customWidth="1"/>
    <col min="9476" max="9476" width="16.5703125" style="953" customWidth="1"/>
    <col min="9477" max="9477" width="15.5703125" style="953" customWidth="1"/>
    <col min="9478" max="9478" width="25.28515625" style="953" customWidth="1"/>
    <col min="9479" max="9479" width="10.5703125" style="953" customWidth="1"/>
    <col min="9480" max="9481" width="7.42578125" style="953" customWidth="1"/>
    <col min="9482" max="9482" width="32.42578125" style="953" customWidth="1"/>
    <col min="9483" max="9484" width="9.140625" style="953"/>
    <col min="9485" max="9485" width="15.7109375" style="953" customWidth="1"/>
    <col min="9486" max="9488" width="0" style="953" hidden="1" customWidth="1"/>
    <col min="9489" max="9729" width="9.140625" style="953"/>
    <col min="9730" max="9730" width="20" style="953" customWidth="1"/>
    <col min="9731" max="9731" width="17.28515625" style="953" customWidth="1"/>
    <col min="9732" max="9732" width="16.5703125" style="953" customWidth="1"/>
    <col min="9733" max="9733" width="15.5703125" style="953" customWidth="1"/>
    <col min="9734" max="9734" width="25.28515625" style="953" customWidth="1"/>
    <col min="9735" max="9735" width="10.5703125" style="953" customWidth="1"/>
    <col min="9736" max="9737" width="7.42578125" style="953" customWidth="1"/>
    <col min="9738" max="9738" width="32.42578125" style="953" customWidth="1"/>
    <col min="9739" max="9740" width="9.140625" style="953"/>
    <col min="9741" max="9741" width="15.7109375" style="953" customWidth="1"/>
    <col min="9742" max="9744" width="0" style="953" hidden="1" customWidth="1"/>
    <col min="9745" max="9985" width="9.140625" style="953"/>
    <col min="9986" max="9986" width="20" style="953" customWidth="1"/>
    <col min="9987" max="9987" width="17.28515625" style="953" customWidth="1"/>
    <col min="9988" max="9988" width="16.5703125" style="953" customWidth="1"/>
    <col min="9989" max="9989" width="15.5703125" style="953" customWidth="1"/>
    <col min="9990" max="9990" width="25.28515625" style="953" customWidth="1"/>
    <col min="9991" max="9991" width="10.5703125" style="953" customWidth="1"/>
    <col min="9992" max="9993" width="7.42578125" style="953" customWidth="1"/>
    <col min="9994" max="9994" width="32.42578125" style="953" customWidth="1"/>
    <col min="9995" max="9996" width="9.140625" style="953"/>
    <col min="9997" max="9997" width="15.7109375" style="953" customWidth="1"/>
    <col min="9998" max="10000" width="0" style="953" hidden="1" customWidth="1"/>
    <col min="10001" max="10241" width="9.140625" style="953"/>
    <col min="10242" max="10242" width="20" style="953" customWidth="1"/>
    <col min="10243" max="10243" width="17.28515625" style="953" customWidth="1"/>
    <col min="10244" max="10244" width="16.5703125" style="953" customWidth="1"/>
    <col min="10245" max="10245" width="15.5703125" style="953" customWidth="1"/>
    <col min="10246" max="10246" width="25.28515625" style="953" customWidth="1"/>
    <col min="10247" max="10247" width="10.5703125" style="953" customWidth="1"/>
    <col min="10248" max="10249" width="7.42578125" style="953" customWidth="1"/>
    <col min="10250" max="10250" width="32.42578125" style="953" customWidth="1"/>
    <col min="10251" max="10252" width="9.140625" style="953"/>
    <col min="10253" max="10253" width="15.7109375" style="953" customWidth="1"/>
    <col min="10254" max="10256" width="0" style="953" hidden="1" customWidth="1"/>
    <col min="10257" max="10497" width="9.140625" style="953"/>
    <col min="10498" max="10498" width="20" style="953" customWidth="1"/>
    <col min="10499" max="10499" width="17.28515625" style="953" customWidth="1"/>
    <col min="10500" max="10500" width="16.5703125" style="953" customWidth="1"/>
    <col min="10501" max="10501" width="15.5703125" style="953" customWidth="1"/>
    <col min="10502" max="10502" width="25.28515625" style="953" customWidth="1"/>
    <col min="10503" max="10503" width="10.5703125" style="953" customWidth="1"/>
    <col min="10504" max="10505" width="7.42578125" style="953" customWidth="1"/>
    <col min="10506" max="10506" width="32.42578125" style="953" customWidth="1"/>
    <col min="10507" max="10508" width="9.140625" style="953"/>
    <col min="10509" max="10509" width="15.7109375" style="953" customWidth="1"/>
    <col min="10510" max="10512" width="0" style="953" hidden="1" customWidth="1"/>
    <col min="10513" max="10753" width="9.140625" style="953"/>
    <col min="10754" max="10754" width="20" style="953" customWidth="1"/>
    <col min="10755" max="10755" width="17.28515625" style="953" customWidth="1"/>
    <col min="10756" max="10756" width="16.5703125" style="953" customWidth="1"/>
    <col min="10757" max="10757" width="15.5703125" style="953" customWidth="1"/>
    <col min="10758" max="10758" width="25.28515625" style="953" customWidth="1"/>
    <col min="10759" max="10759" width="10.5703125" style="953" customWidth="1"/>
    <col min="10760" max="10761" width="7.42578125" style="953" customWidth="1"/>
    <col min="10762" max="10762" width="32.42578125" style="953" customWidth="1"/>
    <col min="10763" max="10764" width="9.140625" style="953"/>
    <col min="10765" max="10765" width="15.7109375" style="953" customWidth="1"/>
    <col min="10766" max="10768" width="0" style="953" hidden="1" customWidth="1"/>
    <col min="10769" max="11009" width="9.140625" style="953"/>
    <col min="11010" max="11010" width="20" style="953" customWidth="1"/>
    <col min="11011" max="11011" width="17.28515625" style="953" customWidth="1"/>
    <col min="11012" max="11012" width="16.5703125" style="953" customWidth="1"/>
    <col min="11013" max="11013" width="15.5703125" style="953" customWidth="1"/>
    <col min="11014" max="11014" width="25.28515625" style="953" customWidth="1"/>
    <col min="11015" max="11015" width="10.5703125" style="953" customWidth="1"/>
    <col min="11016" max="11017" width="7.42578125" style="953" customWidth="1"/>
    <col min="11018" max="11018" width="32.42578125" style="953" customWidth="1"/>
    <col min="11019" max="11020" width="9.140625" style="953"/>
    <col min="11021" max="11021" width="15.7109375" style="953" customWidth="1"/>
    <col min="11022" max="11024" width="0" style="953" hidden="1" customWidth="1"/>
    <col min="11025" max="11265" width="9.140625" style="953"/>
    <col min="11266" max="11266" width="20" style="953" customWidth="1"/>
    <col min="11267" max="11267" width="17.28515625" style="953" customWidth="1"/>
    <col min="11268" max="11268" width="16.5703125" style="953" customWidth="1"/>
    <col min="11269" max="11269" width="15.5703125" style="953" customWidth="1"/>
    <col min="11270" max="11270" width="25.28515625" style="953" customWidth="1"/>
    <col min="11271" max="11271" width="10.5703125" style="953" customWidth="1"/>
    <col min="11272" max="11273" width="7.42578125" style="953" customWidth="1"/>
    <col min="11274" max="11274" width="32.42578125" style="953" customWidth="1"/>
    <col min="11275" max="11276" width="9.140625" style="953"/>
    <col min="11277" max="11277" width="15.7109375" style="953" customWidth="1"/>
    <col min="11278" max="11280" width="0" style="953" hidden="1" customWidth="1"/>
    <col min="11281" max="11521" width="9.140625" style="953"/>
    <col min="11522" max="11522" width="20" style="953" customWidth="1"/>
    <col min="11523" max="11523" width="17.28515625" style="953" customWidth="1"/>
    <col min="11524" max="11524" width="16.5703125" style="953" customWidth="1"/>
    <col min="11525" max="11525" width="15.5703125" style="953" customWidth="1"/>
    <col min="11526" max="11526" width="25.28515625" style="953" customWidth="1"/>
    <col min="11527" max="11527" width="10.5703125" style="953" customWidth="1"/>
    <col min="11528" max="11529" width="7.42578125" style="953" customWidth="1"/>
    <col min="11530" max="11530" width="32.42578125" style="953" customWidth="1"/>
    <col min="11531" max="11532" width="9.140625" style="953"/>
    <col min="11533" max="11533" width="15.7109375" style="953" customWidth="1"/>
    <col min="11534" max="11536" width="0" style="953" hidden="1" customWidth="1"/>
    <col min="11537" max="11777" width="9.140625" style="953"/>
    <col min="11778" max="11778" width="20" style="953" customWidth="1"/>
    <col min="11779" max="11779" width="17.28515625" style="953" customWidth="1"/>
    <col min="11780" max="11780" width="16.5703125" style="953" customWidth="1"/>
    <col min="11781" max="11781" width="15.5703125" style="953" customWidth="1"/>
    <col min="11782" max="11782" width="25.28515625" style="953" customWidth="1"/>
    <col min="11783" max="11783" width="10.5703125" style="953" customWidth="1"/>
    <col min="11784" max="11785" width="7.42578125" style="953" customWidth="1"/>
    <col min="11786" max="11786" width="32.42578125" style="953" customWidth="1"/>
    <col min="11787" max="11788" width="9.140625" style="953"/>
    <col min="11789" max="11789" width="15.7109375" style="953" customWidth="1"/>
    <col min="11790" max="11792" width="0" style="953" hidden="1" customWidth="1"/>
    <col min="11793" max="12033" width="9.140625" style="953"/>
    <col min="12034" max="12034" width="20" style="953" customWidth="1"/>
    <col min="12035" max="12035" width="17.28515625" style="953" customWidth="1"/>
    <col min="12036" max="12036" width="16.5703125" style="953" customWidth="1"/>
    <col min="12037" max="12037" width="15.5703125" style="953" customWidth="1"/>
    <col min="12038" max="12038" width="25.28515625" style="953" customWidth="1"/>
    <col min="12039" max="12039" width="10.5703125" style="953" customWidth="1"/>
    <col min="12040" max="12041" width="7.42578125" style="953" customWidth="1"/>
    <col min="12042" max="12042" width="32.42578125" style="953" customWidth="1"/>
    <col min="12043" max="12044" width="9.140625" style="953"/>
    <col min="12045" max="12045" width="15.7109375" style="953" customWidth="1"/>
    <col min="12046" max="12048" width="0" style="953" hidden="1" customWidth="1"/>
    <col min="12049" max="12289" width="9.140625" style="953"/>
    <col min="12290" max="12290" width="20" style="953" customWidth="1"/>
    <col min="12291" max="12291" width="17.28515625" style="953" customWidth="1"/>
    <col min="12292" max="12292" width="16.5703125" style="953" customWidth="1"/>
    <col min="12293" max="12293" width="15.5703125" style="953" customWidth="1"/>
    <col min="12294" max="12294" width="25.28515625" style="953" customWidth="1"/>
    <col min="12295" max="12295" width="10.5703125" style="953" customWidth="1"/>
    <col min="12296" max="12297" width="7.42578125" style="953" customWidth="1"/>
    <col min="12298" max="12298" width="32.42578125" style="953" customWidth="1"/>
    <col min="12299" max="12300" width="9.140625" style="953"/>
    <col min="12301" max="12301" width="15.7109375" style="953" customWidth="1"/>
    <col min="12302" max="12304" width="0" style="953" hidden="1" customWidth="1"/>
    <col min="12305" max="12545" width="9.140625" style="953"/>
    <col min="12546" max="12546" width="20" style="953" customWidth="1"/>
    <col min="12547" max="12547" width="17.28515625" style="953" customWidth="1"/>
    <col min="12548" max="12548" width="16.5703125" style="953" customWidth="1"/>
    <col min="12549" max="12549" width="15.5703125" style="953" customWidth="1"/>
    <col min="12550" max="12550" width="25.28515625" style="953" customWidth="1"/>
    <col min="12551" max="12551" width="10.5703125" style="953" customWidth="1"/>
    <col min="12552" max="12553" width="7.42578125" style="953" customWidth="1"/>
    <col min="12554" max="12554" width="32.42578125" style="953" customWidth="1"/>
    <col min="12555" max="12556" width="9.140625" style="953"/>
    <col min="12557" max="12557" width="15.7109375" style="953" customWidth="1"/>
    <col min="12558" max="12560" width="0" style="953" hidden="1" customWidth="1"/>
    <col min="12561" max="12801" width="9.140625" style="953"/>
    <col min="12802" max="12802" width="20" style="953" customWidth="1"/>
    <col min="12803" max="12803" width="17.28515625" style="953" customWidth="1"/>
    <col min="12804" max="12804" width="16.5703125" style="953" customWidth="1"/>
    <col min="12805" max="12805" width="15.5703125" style="953" customWidth="1"/>
    <col min="12806" max="12806" width="25.28515625" style="953" customWidth="1"/>
    <col min="12807" max="12807" width="10.5703125" style="953" customWidth="1"/>
    <col min="12808" max="12809" width="7.42578125" style="953" customWidth="1"/>
    <col min="12810" max="12810" width="32.42578125" style="953" customWidth="1"/>
    <col min="12811" max="12812" width="9.140625" style="953"/>
    <col min="12813" max="12813" width="15.7109375" style="953" customWidth="1"/>
    <col min="12814" max="12816" width="0" style="953" hidden="1" customWidth="1"/>
    <col min="12817" max="13057" width="9.140625" style="953"/>
    <col min="13058" max="13058" width="20" style="953" customWidth="1"/>
    <col min="13059" max="13059" width="17.28515625" style="953" customWidth="1"/>
    <col min="13060" max="13060" width="16.5703125" style="953" customWidth="1"/>
    <col min="13061" max="13061" width="15.5703125" style="953" customWidth="1"/>
    <col min="13062" max="13062" width="25.28515625" style="953" customWidth="1"/>
    <col min="13063" max="13063" width="10.5703125" style="953" customWidth="1"/>
    <col min="13064" max="13065" width="7.42578125" style="953" customWidth="1"/>
    <col min="13066" max="13066" width="32.42578125" style="953" customWidth="1"/>
    <col min="13067" max="13068" width="9.140625" style="953"/>
    <col min="13069" max="13069" width="15.7109375" style="953" customWidth="1"/>
    <col min="13070" max="13072" width="0" style="953" hidden="1" customWidth="1"/>
    <col min="13073" max="13313" width="9.140625" style="953"/>
    <col min="13314" max="13314" width="20" style="953" customWidth="1"/>
    <col min="13315" max="13315" width="17.28515625" style="953" customWidth="1"/>
    <col min="13316" max="13316" width="16.5703125" style="953" customWidth="1"/>
    <col min="13317" max="13317" width="15.5703125" style="953" customWidth="1"/>
    <col min="13318" max="13318" width="25.28515625" style="953" customWidth="1"/>
    <col min="13319" max="13319" width="10.5703125" style="953" customWidth="1"/>
    <col min="13320" max="13321" width="7.42578125" style="953" customWidth="1"/>
    <col min="13322" max="13322" width="32.42578125" style="953" customWidth="1"/>
    <col min="13323" max="13324" width="9.140625" style="953"/>
    <col min="13325" max="13325" width="15.7109375" style="953" customWidth="1"/>
    <col min="13326" max="13328" width="0" style="953" hidden="1" customWidth="1"/>
    <col min="13329" max="13569" width="9.140625" style="953"/>
    <col min="13570" max="13570" width="20" style="953" customWidth="1"/>
    <col min="13571" max="13571" width="17.28515625" style="953" customWidth="1"/>
    <col min="13572" max="13572" width="16.5703125" style="953" customWidth="1"/>
    <col min="13573" max="13573" width="15.5703125" style="953" customWidth="1"/>
    <col min="13574" max="13574" width="25.28515625" style="953" customWidth="1"/>
    <col min="13575" max="13575" width="10.5703125" style="953" customWidth="1"/>
    <col min="13576" max="13577" width="7.42578125" style="953" customWidth="1"/>
    <col min="13578" max="13578" width="32.42578125" style="953" customWidth="1"/>
    <col min="13579" max="13580" width="9.140625" style="953"/>
    <col min="13581" max="13581" width="15.7109375" style="953" customWidth="1"/>
    <col min="13582" max="13584" width="0" style="953" hidden="1" customWidth="1"/>
    <col min="13585" max="13825" width="9.140625" style="953"/>
    <col min="13826" max="13826" width="20" style="953" customWidth="1"/>
    <col min="13827" max="13827" width="17.28515625" style="953" customWidth="1"/>
    <col min="13828" max="13828" width="16.5703125" style="953" customWidth="1"/>
    <col min="13829" max="13829" width="15.5703125" style="953" customWidth="1"/>
    <col min="13830" max="13830" width="25.28515625" style="953" customWidth="1"/>
    <col min="13831" max="13831" width="10.5703125" style="953" customWidth="1"/>
    <col min="13832" max="13833" width="7.42578125" style="953" customWidth="1"/>
    <col min="13834" max="13834" width="32.42578125" style="953" customWidth="1"/>
    <col min="13835" max="13836" width="9.140625" style="953"/>
    <col min="13837" max="13837" width="15.7109375" style="953" customWidth="1"/>
    <col min="13838" max="13840" width="0" style="953" hidden="1" customWidth="1"/>
    <col min="13841" max="14081" width="9.140625" style="953"/>
    <col min="14082" max="14082" width="20" style="953" customWidth="1"/>
    <col min="14083" max="14083" width="17.28515625" style="953" customWidth="1"/>
    <col min="14084" max="14084" width="16.5703125" style="953" customWidth="1"/>
    <col min="14085" max="14085" width="15.5703125" style="953" customWidth="1"/>
    <col min="14086" max="14086" width="25.28515625" style="953" customWidth="1"/>
    <col min="14087" max="14087" width="10.5703125" style="953" customWidth="1"/>
    <col min="14088" max="14089" width="7.42578125" style="953" customWidth="1"/>
    <col min="14090" max="14090" width="32.42578125" style="953" customWidth="1"/>
    <col min="14091" max="14092" width="9.140625" style="953"/>
    <col min="14093" max="14093" width="15.7109375" style="953" customWidth="1"/>
    <col min="14094" max="14096" width="0" style="953" hidden="1" customWidth="1"/>
    <col min="14097" max="14337" width="9.140625" style="953"/>
    <col min="14338" max="14338" width="20" style="953" customWidth="1"/>
    <col min="14339" max="14339" width="17.28515625" style="953" customWidth="1"/>
    <col min="14340" max="14340" width="16.5703125" style="953" customWidth="1"/>
    <col min="14341" max="14341" width="15.5703125" style="953" customWidth="1"/>
    <col min="14342" max="14342" width="25.28515625" style="953" customWidth="1"/>
    <col min="14343" max="14343" width="10.5703125" style="953" customWidth="1"/>
    <col min="14344" max="14345" width="7.42578125" style="953" customWidth="1"/>
    <col min="14346" max="14346" width="32.42578125" style="953" customWidth="1"/>
    <col min="14347" max="14348" width="9.140625" style="953"/>
    <col min="14349" max="14349" width="15.7109375" style="953" customWidth="1"/>
    <col min="14350" max="14352" width="0" style="953" hidden="1" customWidth="1"/>
    <col min="14353" max="14593" width="9.140625" style="953"/>
    <col min="14594" max="14594" width="20" style="953" customWidth="1"/>
    <col min="14595" max="14595" width="17.28515625" style="953" customWidth="1"/>
    <col min="14596" max="14596" width="16.5703125" style="953" customWidth="1"/>
    <col min="14597" max="14597" width="15.5703125" style="953" customWidth="1"/>
    <col min="14598" max="14598" width="25.28515625" style="953" customWidth="1"/>
    <col min="14599" max="14599" width="10.5703125" style="953" customWidth="1"/>
    <col min="14600" max="14601" width="7.42578125" style="953" customWidth="1"/>
    <col min="14602" max="14602" width="32.42578125" style="953" customWidth="1"/>
    <col min="14603" max="14604" width="9.140625" style="953"/>
    <col min="14605" max="14605" width="15.7109375" style="953" customWidth="1"/>
    <col min="14606" max="14608" width="0" style="953" hidden="1" customWidth="1"/>
    <col min="14609" max="14849" width="9.140625" style="953"/>
    <col min="14850" max="14850" width="20" style="953" customWidth="1"/>
    <col min="14851" max="14851" width="17.28515625" style="953" customWidth="1"/>
    <col min="14852" max="14852" width="16.5703125" style="953" customWidth="1"/>
    <col min="14853" max="14853" width="15.5703125" style="953" customWidth="1"/>
    <col min="14854" max="14854" width="25.28515625" style="953" customWidth="1"/>
    <col min="14855" max="14855" width="10.5703125" style="953" customWidth="1"/>
    <col min="14856" max="14857" width="7.42578125" style="953" customWidth="1"/>
    <col min="14858" max="14858" width="32.42578125" style="953" customWidth="1"/>
    <col min="14859" max="14860" width="9.140625" style="953"/>
    <col min="14861" max="14861" width="15.7109375" style="953" customWidth="1"/>
    <col min="14862" max="14864" width="0" style="953" hidden="1" customWidth="1"/>
    <col min="14865" max="15105" width="9.140625" style="953"/>
    <col min="15106" max="15106" width="20" style="953" customWidth="1"/>
    <col min="15107" max="15107" width="17.28515625" style="953" customWidth="1"/>
    <col min="15108" max="15108" width="16.5703125" style="953" customWidth="1"/>
    <col min="15109" max="15109" width="15.5703125" style="953" customWidth="1"/>
    <col min="15110" max="15110" width="25.28515625" style="953" customWidth="1"/>
    <col min="15111" max="15111" width="10.5703125" style="953" customWidth="1"/>
    <col min="15112" max="15113" width="7.42578125" style="953" customWidth="1"/>
    <col min="15114" max="15114" width="32.42578125" style="953" customWidth="1"/>
    <col min="15115" max="15116" width="9.140625" style="953"/>
    <col min="15117" max="15117" width="15.7109375" style="953" customWidth="1"/>
    <col min="15118" max="15120" width="0" style="953" hidden="1" customWidth="1"/>
    <col min="15121" max="15361" width="9.140625" style="953"/>
    <col min="15362" max="15362" width="20" style="953" customWidth="1"/>
    <col min="15363" max="15363" width="17.28515625" style="953" customWidth="1"/>
    <col min="15364" max="15364" width="16.5703125" style="953" customWidth="1"/>
    <col min="15365" max="15365" width="15.5703125" style="953" customWidth="1"/>
    <col min="15366" max="15366" width="25.28515625" style="953" customWidth="1"/>
    <col min="15367" max="15367" width="10.5703125" style="953" customWidth="1"/>
    <col min="15368" max="15369" width="7.42578125" style="953" customWidth="1"/>
    <col min="15370" max="15370" width="32.42578125" style="953" customWidth="1"/>
    <col min="15371" max="15372" width="9.140625" style="953"/>
    <col min="15373" max="15373" width="15.7109375" style="953" customWidth="1"/>
    <col min="15374" max="15376" width="0" style="953" hidden="1" customWidth="1"/>
    <col min="15377" max="15617" width="9.140625" style="953"/>
    <col min="15618" max="15618" width="20" style="953" customWidth="1"/>
    <col min="15619" max="15619" width="17.28515625" style="953" customWidth="1"/>
    <col min="15620" max="15620" width="16.5703125" style="953" customWidth="1"/>
    <col min="15621" max="15621" width="15.5703125" style="953" customWidth="1"/>
    <col min="15622" max="15622" width="25.28515625" style="953" customWidth="1"/>
    <col min="15623" max="15623" width="10.5703125" style="953" customWidth="1"/>
    <col min="15624" max="15625" width="7.42578125" style="953" customWidth="1"/>
    <col min="15626" max="15626" width="32.42578125" style="953" customWidth="1"/>
    <col min="15627" max="15628" width="9.140625" style="953"/>
    <col min="15629" max="15629" width="15.7109375" style="953" customWidth="1"/>
    <col min="15630" max="15632" width="0" style="953" hidden="1" customWidth="1"/>
    <col min="15633" max="15873" width="9.140625" style="953"/>
    <col min="15874" max="15874" width="20" style="953" customWidth="1"/>
    <col min="15875" max="15875" width="17.28515625" style="953" customWidth="1"/>
    <col min="15876" max="15876" width="16.5703125" style="953" customWidth="1"/>
    <col min="15877" max="15877" width="15.5703125" style="953" customWidth="1"/>
    <col min="15878" max="15878" width="25.28515625" style="953" customWidth="1"/>
    <col min="15879" max="15879" width="10.5703125" style="953" customWidth="1"/>
    <col min="15880" max="15881" width="7.42578125" style="953" customWidth="1"/>
    <col min="15882" max="15882" width="32.42578125" style="953" customWidth="1"/>
    <col min="15883" max="15884" width="9.140625" style="953"/>
    <col min="15885" max="15885" width="15.7109375" style="953" customWidth="1"/>
    <col min="15886" max="15888" width="0" style="953" hidden="1" customWidth="1"/>
    <col min="15889" max="16129" width="9.140625" style="953"/>
    <col min="16130" max="16130" width="20" style="953" customWidth="1"/>
    <col min="16131" max="16131" width="17.28515625" style="953" customWidth="1"/>
    <col min="16132" max="16132" width="16.5703125" style="953" customWidth="1"/>
    <col min="16133" max="16133" width="15.5703125" style="953" customWidth="1"/>
    <col min="16134" max="16134" width="25.28515625" style="953" customWidth="1"/>
    <col min="16135" max="16135" width="10.5703125" style="953" customWidth="1"/>
    <col min="16136" max="16137" width="7.42578125" style="953" customWidth="1"/>
    <col min="16138" max="16138" width="32.42578125" style="953" customWidth="1"/>
    <col min="16139" max="16140" width="9.140625" style="953"/>
    <col min="16141" max="16141" width="15.7109375" style="953" customWidth="1"/>
    <col min="16142" max="16144" width="0" style="953" hidden="1" customWidth="1"/>
    <col min="16145" max="16384" width="9.140625" style="953"/>
  </cols>
  <sheetData>
    <row r="1" spans="1:19" ht="26.25" customHeight="1">
      <c r="A1" s="1437" t="s">
        <v>1597</v>
      </c>
      <c r="B1" s="1438" t="s">
        <v>1598</v>
      </c>
      <c r="C1" s="1439"/>
      <c r="D1" s="1439"/>
      <c r="E1" s="1439"/>
      <c r="F1" s="1441"/>
      <c r="G1" s="1439"/>
      <c r="H1" s="1439"/>
      <c r="I1" s="1439"/>
      <c r="J1" s="1439"/>
    </row>
    <row r="2" spans="1:19" ht="26.25" customHeight="1">
      <c r="B2" s="1438" t="s">
        <v>1599</v>
      </c>
      <c r="C2" s="1439"/>
      <c r="D2" s="1439"/>
      <c r="E2" s="1439"/>
      <c r="F2" s="1441"/>
      <c r="G2" s="1439"/>
      <c r="H2" s="1439"/>
      <c r="I2" s="1439"/>
      <c r="J2" s="1439"/>
    </row>
    <row r="3" spans="1:19" ht="26.25" customHeight="1">
      <c r="B3" s="1440" t="s">
        <v>409</v>
      </c>
      <c r="C3" s="1440">
        <f>'Project Info'!$C$3</f>
        <v>0</v>
      </c>
      <c r="D3" s="1440"/>
      <c r="E3" s="1439"/>
      <c r="F3" s="1441"/>
      <c r="G3" s="1439"/>
      <c r="H3" s="1439"/>
      <c r="I3" s="1439"/>
      <c r="J3" s="1439"/>
    </row>
    <row r="4" spans="1:19" ht="26.25" customHeight="1">
      <c r="A4" s="1313"/>
      <c r="B4" s="1497"/>
      <c r="C4" s="1440"/>
      <c r="D4" s="1440"/>
      <c r="E4" s="1497"/>
      <c r="F4" s="1691"/>
      <c r="G4" s="1497"/>
      <c r="H4" s="1497"/>
      <c r="I4" s="1497"/>
      <c r="J4" s="1497"/>
      <c r="K4" s="1313"/>
      <c r="L4" s="1313"/>
      <c r="M4" s="1313"/>
      <c r="N4" s="1313"/>
      <c r="O4" s="1313"/>
      <c r="P4" s="1313"/>
      <c r="Q4" s="1313"/>
      <c r="R4" s="1313"/>
      <c r="S4" s="1313"/>
    </row>
    <row r="5" spans="1:19" s="1448" customFormat="1" ht="15.75">
      <c r="A5" s="1442"/>
      <c r="B5" s="1471" t="s">
        <v>2201</v>
      </c>
      <c r="C5" s="1692"/>
      <c r="D5" s="1692"/>
      <c r="E5" s="1693"/>
      <c r="F5" s="1694"/>
      <c r="G5" s="1694"/>
      <c r="H5" s="2626" t="s">
        <v>1601</v>
      </c>
      <c r="I5" s="2627"/>
      <c r="J5" s="1447" t="s">
        <v>1602</v>
      </c>
      <c r="K5" s="1442"/>
      <c r="L5" s="1442"/>
      <c r="M5" s="1442"/>
      <c r="N5" s="1442"/>
      <c r="O5" s="1442"/>
      <c r="P5" s="1442"/>
      <c r="Q5" s="1442"/>
      <c r="R5" s="1442"/>
      <c r="S5" s="1442"/>
    </row>
    <row r="6" spans="1:19">
      <c r="A6" s="1313"/>
      <c r="B6" s="1455"/>
      <c r="C6" s="1455"/>
      <c r="D6" s="1455"/>
      <c r="E6" s="1455"/>
      <c r="F6" s="1455"/>
      <c r="G6" s="1455"/>
      <c r="H6" s="2674" t="s">
        <v>1603</v>
      </c>
      <c r="I6" s="2674"/>
      <c r="J6" s="1137"/>
      <c r="K6" s="1313"/>
      <c r="L6" s="1313"/>
      <c r="M6" s="1313"/>
      <c r="N6" s="1313"/>
      <c r="O6" s="1313"/>
      <c r="P6" s="1313"/>
      <c r="Q6" s="1313"/>
      <c r="R6" s="1313"/>
      <c r="S6" s="1313"/>
    </row>
    <row r="7" spans="1:19">
      <c r="A7" s="1313"/>
      <c r="G7" s="1455"/>
      <c r="H7" s="2674"/>
      <c r="I7" s="2674"/>
      <c r="J7" s="1186"/>
      <c r="K7" s="1313"/>
      <c r="L7" s="1313"/>
      <c r="M7" s="1313"/>
      <c r="N7" s="1313"/>
      <c r="O7" s="1313"/>
      <c r="P7" s="1313"/>
      <c r="Q7" s="1313"/>
      <c r="R7" s="1313"/>
      <c r="S7" s="1313"/>
    </row>
    <row r="8" spans="1:19" ht="12.75" customHeight="1">
      <c r="A8" s="1313"/>
      <c r="B8" s="1451" t="s">
        <v>1604</v>
      </c>
      <c r="C8" s="1455"/>
      <c r="D8" s="1455"/>
      <c r="E8" s="1455"/>
      <c r="F8" s="1455"/>
      <c r="G8" s="1455"/>
      <c r="H8" s="2674"/>
      <c r="I8" s="2674"/>
      <c r="J8" s="1137"/>
      <c r="K8" s="1460"/>
      <c r="L8" s="1313"/>
      <c r="M8" s="1313"/>
      <c r="N8" s="1313"/>
      <c r="O8" s="1313"/>
      <c r="P8" s="1313"/>
      <c r="Q8" s="1313"/>
      <c r="R8" s="1313"/>
      <c r="S8" s="1313"/>
    </row>
    <row r="9" spans="1:19" ht="54" customHeight="1">
      <c r="A9" s="1467"/>
      <c r="B9" s="2584" t="s">
        <v>2202</v>
      </c>
      <c r="C9" s="2584"/>
      <c r="D9" s="2584"/>
      <c r="E9" s="2584"/>
      <c r="F9" s="2584"/>
      <c r="G9" s="2584"/>
      <c r="H9" s="1455"/>
      <c r="I9" s="1455"/>
      <c r="J9" s="1695"/>
      <c r="K9" s="1460"/>
      <c r="L9" s="1313"/>
      <c r="M9" s="1313"/>
      <c r="N9" s="1313"/>
      <c r="O9" s="1313"/>
      <c r="P9" s="1313"/>
      <c r="Q9" s="1313"/>
      <c r="R9" s="1313"/>
      <c r="S9" s="1313"/>
    </row>
    <row r="10" spans="1:19">
      <c r="A10" s="1313"/>
      <c r="B10" s="1455"/>
      <c r="C10" s="1455"/>
      <c r="D10" s="1455"/>
      <c r="E10" s="1455"/>
      <c r="F10" s="1455"/>
      <c r="G10" s="1455"/>
      <c r="H10" s="1455"/>
      <c r="I10" s="1455"/>
      <c r="J10" s="1695"/>
      <c r="K10" s="1313"/>
      <c r="L10" s="1313"/>
      <c r="M10" s="1313"/>
      <c r="N10" s="1313"/>
      <c r="O10" s="1313"/>
      <c r="P10" s="1313"/>
      <c r="Q10" s="1313"/>
      <c r="R10" s="1313"/>
      <c r="S10" s="1313"/>
    </row>
    <row r="11" spans="1:19">
      <c r="A11" s="1313"/>
      <c r="B11" s="1455"/>
      <c r="C11" s="1455"/>
      <c r="D11" s="1455"/>
      <c r="E11" s="1455"/>
      <c r="F11" s="1455"/>
      <c r="G11" s="1455"/>
      <c r="H11" s="1455"/>
      <c r="I11" s="1455"/>
      <c r="J11" s="1695"/>
      <c r="K11" s="1313"/>
      <c r="L11" s="1313"/>
      <c r="M11" s="1313"/>
      <c r="N11" s="1313"/>
      <c r="O11" s="1313"/>
      <c r="P11" s="1313"/>
      <c r="Q11" s="1313"/>
      <c r="R11" s="1313"/>
      <c r="S11" s="1313"/>
    </row>
    <row r="12" spans="1:19">
      <c r="A12" s="1313"/>
      <c r="B12" s="1451" t="s">
        <v>1607</v>
      </c>
      <c r="C12" s="1455"/>
      <c r="D12" s="1455"/>
      <c r="E12" s="1455"/>
      <c r="F12" s="1455"/>
      <c r="G12" s="1455"/>
      <c r="H12" s="1455"/>
      <c r="I12" s="1455"/>
      <c r="J12" s="1695"/>
      <c r="K12" s="1313"/>
      <c r="L12" s="1313"/>
      <c r="M12" s="1313"/>
      <c r="N12" s="1313"/>
      <c r="O12" s="1313"/>
      <c r="P12" s="1313"/>
      <c r="Q12" s="1313"/>
      <c r="R12" s="1313"/>
      <c r="S12" s="1313"/>
    </row>
    <row r="13" spans="1:19">
      <c r="A13" s="1313"/>
      <c r="B13" s="1455" t="s">
        <v>1608</v>
      </c>
      <c r="C13" s="1455"/>
      <c r="D13" s="1455"/>
      <c r="E13" s="1455"/>
      <c r="F13" s="1455"/>
      <c r="G13" s="1455"/>
      <c r="H13" s="1455"/>
      <c r="I13" s="1455"/>
      <c r="J13" s="1695"/>
      <c r="K13" s="1313"/>
      <c r="L13" s="1313"/>
      <c r="M13" s="1313"/>
      <c r="N13" s="1313"/>
      <c r="O13" s="1313"/>
      <c r="P13" s="1313"/>
      <c r="Q13" s="1313"/>
      <c r="R13" s="1313"/>
      <c r="S13" s="1313"/>
    </row>
    <row r="14" spans="1:19">
      <c r="A14" s="1313"/>
      <c r="B14" s="1455" t="s">
        <v>1674</v>
      </c>
      <c r="C14" s="1455"/>
      <c r="D14" s="1455"/>
      <c r="E14" s="1455"/>
      <c r="F14" s="1455"/>
      <c r="G14" s="1455"/>
      <c r="H14" s="1455"/>
      <c r="I14" s="1455"/>
      <c r="J14" s="1695"/>
      <c r="K14" s="1313"/>
      <c r="L14" s="1313"/>
      <c r="M14" s="1313"/>
      <c r="N14" s="1313"/>
      <c r="O14" s="1313"/>
      <c r="P14" s="1313"/>
      <c r="Q14" s="1313"/>
      <c r="R14" s="1313"/>
      <c r="S14" s="1313"/>
    </row>
    <row r="15" spans="1:19">
      <c r="A15" s="1313"/>
      <c r="B15" s="1455" t="s">
        <v>2085</v>
      </c>
      <c r="C15" s="1455"/>
      <c r="D15" s="1455"/>
      <c r="E15" s="1455"/>
      <c r="F15" s="1455"/>
      <c r="G15" s="1455"/>
      <c r="H15" s="1455"/>
      <c r="I15" s="1455"/>
      <c r="J15" s="1695"/>
      <c r="K15" s="1313"/>
      <c r="L15" s="1313"/>
      <c r="M15" s="1313"/>
      <c r="N15" s="1313"/>
      <c r="O15" s="1313"/>
      <c r="P15" s="1313"/>
      <c r="Q15" s="1313"/>
      <c r="R15" s="1313"/>
      <c r="S15" s="1313"/>
    </row>
    <row r="16" spans="1:19">
      <c r="A16" s="1313"/>
      <c r="B16" s="1455" t="s">
        <v>2086</v>
      </c>
      <c r="C16" s="1455"/>
      <c r="D16" s="1455"/>
      <c r="E16" s="1455"/>
      <c r="F16" s="1455"/>
      <c r="G16" s="1455"/>
      <c r="H16" s="1455"/>
      <c r="I16" s="1455"/>
      <c r="J16" s="1695"/>
      <c r="K16" s="1313"/>
      <c r="L16" s="1313"/>
      <c r="M16" s="1313"/>
      <c r="N16" s="1313"/>
      <c r="O16" s="1313"/>
      <c r="P16" s="1313"/>
      <c r="Q16" s="1313"/>
      <c r="R16" s="1313"/>
      <c r="S16" s="1313"/>
    </row>
    <row r="17" spans="1:19">
      <c r="A17" s="1313"/>
      <c r="B17" s="1455" t="s">
        <v>2087</v>
      </c>
      <c r="C17" s="1455"/>
      <c r="D17" s="1455"/>
      <c r="E17" s="1455"/>
      <c r="F17" s="1455"/>
      <c r="G17" s="1455"/>
      <c r="H17" s="1455"/>
      <c r="I17" s="1455"/>
      <c r="J17" s="1455"/>
      <c r="K17" s="1313"/>
      <c r="L17" s="1313"/>
      <c r="M17" s="1313"/>
      <c r="N17" s="1313"/>
      <c r="O17" s="1313"/>
      <c r="P17" s="1313"/>
      <c r="Q17" s="1313"/>
      <c r="R17" s="1313"/>
      <c r="S17" s="1313"/>
    </row>
    <row r="18" spans="1:19">
      <c r="A18" s="1313"/>
      <c r="B18" s="1455" t="s">
        <v>2203</v>
      </c>
      <c r="C18" s="1455"/>
      <c r="D18" s="1455"/>
      <c r="E18" s="1455"/>
      <c r="F18" s="1455"/>
      <c r="G18" s="1455"/>
      <c r="H18" s="1455"/>
      <c r="I18" s="1455"/>
      <c r="J18" s="1455"/>
      <c r="K18" s="1313"/>
      <c r="L18" s="1313"/>
      <c r="M18" s="1313"/>
      <c r="N18" s="1313"/>
      <c r="O18" s="1313"/>
      <c r="P18" s="1313"/>
      <c r="Q18" s="1313"/>
      <c r="R18" s="1313"/>
      <c r="S18" s="1313"/>
    </row>
    <row r="19" spans="1:19">
      <c r="A19" s="1313"/>
      <c r="B19" s="1455" t="s">
        <v>2089</v>
      </c>
      <c r="C19" s="1455"/>
      <c r="D19" s="1455"/>
      <c r="E19" s="1455"/>
      <c r="F19" s="1455"/>
      <c r="G19" s="1455"/>
      <c r="H19" s="1455"/>
      <c r="I19" s="1455"/>
      <c r="J19" s="1455"/>
      <c r="K19" s="1313"/>
      <c r="L19" s="1313"/>
      <c r="M19" s="1313"/>
      <c r="N19" s="1313"/>
      <c r="O19" s="1313"/>
      <c r="P19" s="1313"/>
      <c r="Q19" s="1313"/>
      <c r="R19" s="1313"/>
      <c r="S19" s="1313"/>
    </row>
    <row r="20" spans="1:19">
      <c r="A20" s="1313"/>
      <c r="B20" s="1455" t="s">
        <v>2204</v>
      </c>
      <c r="C20" s="1455"/>
      <c r="D20" s="1455"/>
      <c r="E20" s="1455"/>
      <c r="F20" s="1455"/>
      <c r="G20" s="1455"/>
      <c r="H20" s="1455"/>
      <c r="I20" s="1455"/>
      <c r="J20" s="1455"/>
      <c r="K20" s="1313"/>
      <c r="L20" s="1313"/>
      <c r="M20" s="1313"/>
      <c r="N20" s="1313"/>
      <c r="O20" s="1313"/>
      <c r="P20" s="1313"/>
      <c r="Q20" s="1313"/>
      <c r="R20" s="1313"/>
      <c r="S20" s="1313"/>
    </row>
    <row r="21" spans="1:19">
      <c r="A21" s="1313"/>
      <c r="B21" s="1455" t="s">
        <v>2091</v>
      </c>
      <c r="C21" s="1455"/>
      <c r="D21" s="1455"/>
      <c r="E21" s="1455"/>
      <c r="F21" s="1455"/>
      <c r="G21" s="1455"/>
      <c r="H21" s="1455"/>
      <c r="I21" s="1455"/>
      <c r="J21" s="1455"/>
      <c r="K21" s="1313"/>
      <c r="L21" s="1313"/>
      <c r="M21" s="1313"/>
      <c r="N21" s="1313"/>
      <c r="O21" s="1313"/>
      <c r="P21" s="1313"/>
      <c r="Q21" s="1313"/>
      <c r="R21" s="1313"/>
      <c r="S21" s="1313"/>
    </row>
    <row r="22" spans="1:19">
      <c r="A22" s="1313"/>
      <c r="B22" s="1455" t="s">
        <v>2092</v>
      </c>
      <c r="C22" s="1455"/>
      <c r="D22" s="1455"/>
      <c r="E22" s="1455"/>
      <c r="F22" s="1455"/>
      <c r="G22" s="1455"/>
      <c r="H22" s="1455"/>
      <c r="I22" s="1455"/>
      <c r="J22" s="1455"/>
      <c r="K22" s="1313"/>
      <c r="L22" s="1313"/>
      <c r="M22" s="1313"/>
      <c r="N22" s="1313"/>
      <c r="O22" s="1313"/>
      <c r="P22" s="1313"/>
      <c r="Q22" s="1313"/>
      <c r="R22" s="1313"/>
      <c r="S22" s="1313"/>
    </row>
    <row r="23" spans="1:19">
      <c r="A23" s="1313"/>
      <c r="B23" s="1455" t="s">
        <v>2093</v>
      </c>
      <c r="C23" s="1455"/>
      <c r="D23" s="1455"/>
      <c r="E23" s="1455"/>
      <c r="F23" s="1455"/>
      <c r="G23" s="1455"/>
      <c r="H23" s="1455"/>
      <c r="I23" s="1455"/>
      <c r="J23" s="1455"/>
      <c r="K23" s="1313"/>
      <c r="L23" s="1313"/>
      <c r="M23" s="1313"/>
      <c r="N23" s="1313"/>
      <c r="O23" s="1313"/>
      <c r="P23" s="1313"/>
      <c r="Q23" s="1313"/>
      <c r="R23" s="1313"/>
      <c r="S23" s="1313"/>
    </row>
    <row r="24" spans="1:19">
      <c r="A24" s="1313"/>
      <c r="B24" s="1455"/>
      <c r="C24" s="1455"/>
      <c r="D24" s="1455"/>
      <c r="E24" s="1455"/>
      <c r="F24" s="1455"/>
      <c r="G24" s="1455"/>
      <c r="H24" s="1455"/>
      <c r="I24" s="1455"/>
      <c r="J24" s="1455"/>
      <c r="K24" s="1313"/>
      <c r="L24" s="1313"/>
      <c r="M24" s="1313"/>
      <c r="N24" s="1313"/>
      <c r="O24" s="1313"/>
      <c r="P24" s="1313"/>
      <c r="Q24" s="1313"/>
      <c r="R24" s="1313"/>
      <c r="S24" s="1313"/>
    </row>
    <row r="25" spans="1:19">
      <c r="A25" s="1313"/>
      <c r="B25" s="1454" t="s">
        <v>1611</v>
      </c>
      <c r="C25" s="1455"/>
      <c r="D25" s="1455"/>
      <c r="E25" s="1455"/>
      <c r="F25" s="1455"/>
      <c r="G25" s="1455"/>
      <c r="H25" s="1455"/>
      <c r="I25" s="1455"/>
      <c r="J25" s="1455"/>
      <c r="K25" s="1313"/>
      <c r="L25" s="1313"/>
      <c r="M25" s="1313"/>
      <c r="N25" s="1313"/>
      <c r="O25" s="1313"/>
      <c r="P25" s="1313"/>
      <c r="Q25" s="1313"/>
      <c r="R25" s="1313"/>
      <c r="S25" s="1313"/>
    </row>
    <row r="26" spans="1:19" ht="53.25" customHeight="1">
      <c r="A26" s="1313"/>
      <c r="B26" s="2584" t="s">
        <v>2205</v>
      </c>
      <c r="C26" s="2584"/>
      <c r="D26" s="2584"/>
      <c r="E26" s="2584"/>
      <c r="F26" s="2584"/>
      <c r="G26" s="1455"/>
      <c r="H26" s="1455"/>
      <c r="I26" s="1455"/>
      <c r="J26" s="1455"/>
      <c r="K26" s="1313"/>
      <c r="L26" s="1313"/>
      <c r="M26" s="1313"/>
      <c r="N26" s="1313"/>
      <c r="O26" s="1313"/>
      <c r="P26" s="1313"/>
      <c r="Q26" s="1313"/>
      <c r="R26" s="1313"/>
      <c r="S26" s="1313"/>
    </row>
    <row r="27" spans="1:19" ht="13.5" customHeight="1">
      <c r="A27" s="1313"/>
      <c r="B27" s="2584" t="s">
        <v>2206</v>
      </c>
      <c r="C27" s="2584"/>
      <c r="D27" s="2584"/>
      <c r="E27" s="2584"/>
      <c r="F27" s="2584"/>
      <c r="G27" s="1455"/>
      <c r="H27" s="1455"/>
      <c r="I27" s="1455"/>
      <c r="J27" s="1455"/>
      <c r="K27" s="1313"/>
      <c r="L27" s="1313"/>
      <c r="M27" s="1313"/>
      <c r="N27" s="1313"/>
      <c r="O27" s="1313"/>
      <c r="P27" s="1313"/>
      <c r="Q27" s="1313"/>
      <c r="R27" s="1313"/>
      <c r="S27" s="1313"/>
    </row>
    <row r="28" spans="1:19" ht="15" customHeight="1">
      <c r="A28" s="1313"/>
      <c r="B28" s="2694" t="s">
        <v>2207</v>
      </c>
      <c r="C28" s="2802"/>
      <c r="D28" s="2802"/>
      <c r="E28" s="2802"/>
      <c r="F28" s="2802"/>
      <c r="G28" s="1455"/>
      <c r="H28" s="1455"/>
      <c r="I28" s="1455"/>
      <c r="J28" s="1455"/>
      <c r="K28" s="1313"/>
      <c r="L28" s="1313"/>
      <c r="M28" s="1313"/>
      <c r="N28" s="1313"/>
      <c r="O28" s="1313"/>
      <c r="P28" s="1313"/>
      <c r="Q28" s="1313"/>
      <c r="R28" s="1313"/>
      <c r="S28" s="1313"/>
    </row>
    <row r="29" spans="1:19" s="1520" customFormat="1" ht="78" customHeight="1">
      <c r="A29" s="1521"/>
      <c r="B29" s="1590" t="s">
        <v>1617</v>
      </c>
      <c r="C29" s="1459"/>
      <c r="D29" s="1459"/>
      <c r="E29" s="1459"/>
      <c r="F29" s="1459" t="s">
        <v>1626</v>
      </c>
      <c r="G29" s="1459" t="s">
        <v>2208</v>
      </c>
      <c r="H29" s="1465" t="s">
        <v>1628</v>
      </c>
      <c r="I29" s="1696"/>
      <c r="J29" s="1696"/>
      <c r="K29" s="1519"/>
      <c r="L29" s="1519"/>
      <c r="M29" s="1519"/>
      <c r="N29" s="1519"/>
      <c r="O29" s="1519"/>
      <c r="P29" s="1519"/>
      <c r="Q29" s="1519"/>
    </row>
    <row r="30" spans="1:19" ht="379.5" customHeight="1">
      <c r="A30" s="1321"/>
      <c r="B30" s="2575" t="s">
        <v>2209</v>
      </c>
      <c r="C30" s="2576"/>
      <c r="D30" s="2576"/>
      <c r="E30" s="2576"/>
      <c r="F30" s="1284"/>
      <c r="G30" s="1284"/>
      <c r="H30" s="1284"/>
    </row>
    <row r="31" spans="1:19" s="1520" customFormat="1" ht="81" customHeight="1">
      <c r="A31" s="1521"/>
      <c r="B31" s="1459" t="s">
        <v>1633</v>
      </c>
      <c r="C31" s="2642" t="s">
        <v>1619</v>
      </c>
      <c r="D31" s="2642"/>
      <c r="E31" s="1459" t="s">
        <v>1714</v>
      </c>
      <c r="F31" s="1459" t="s">
        <v>1794</v>
      </c>
      <c r="G31" s="1459" t="s">
        <v>2208</v>
      </c>
      <c r="H31" s="1465" t="s">
        <v>1628</v>
      </c>
      <c r="I31" s="1465" t="s">
        <v>1629</v>
      </c>
      <c r="J31" s="1459" t="s">
        <v>2210</v>
      </c>
      <c r="K31" s="1519"/>
      <c r="L31" s="1519"/>
      <c r="M31" s="1519"/>
      <c r="N31" s="1519"/>
      <c r="O31" s="1519"/>
      <c r="P31" s="1519"/>
      <c r="Q31" s="1519"/>
      <c r="R31" s="1519"/>
      <c r="S31" s="1519"/>
    </row>
    <row r="32" spans="1:19" s="1520" customFormat="1" ht="309" customHeight="1">
      <c r="A32" s="1697"/>
      <c r="B32" s="2810" t="s">
        <v>2211</v>
      </c>
      <c r="C32" s="2812" t="str">
        <f>IF('Project Info'!C4='Project Info'!P32,'Mod Prescriptive Path Checklist'!C126,IF('Project Info'!C4='Project Info'!P33,#REF!,"&lt;Select compliance path on the 'Project Info' tab&gt;"))</f>
        <v>Ventilation system ductwork shall be sealed at all transverse joints and connections including boot to wall/ceiling connections through drywall using UL-181 compliant materials and methods. Central exhaust systems must be tested for duct leakage, which cannot exceed 10 CFM50 per floor per shaft.</v>
      </c>
      <c r="D32" s="2813"/>
      <c r="E32" s="2814">
        <f>ERMs!C56</f>
        <v>0</v>
      </c>
      <c r="F32" s="1284"/>
      <c r="G32" s="1284"/>
      <c r="H32" s="1284"/>
      <c r="I32" s="1270"/>
      <c r="J32" s="1252"/>
      <c r="K32" s="1519"/>
      <c r="L32" s="1519"/>
      <c r="M32" s="1519"/>
      <c r="N32" s="1519"/>
      <c r="O32" s="1519"/>
      <c r="P32" s="1519"/>
      <c r="Q32" s="1519"/>
      <c r="R32" s="1519"/>
      <c r="S32" s="1519"/>
    </row>
    <row r="33" spans="1:73" s="1520" customFormat="1" ht="144.75" customHeight="1">
      <c r="A33" s="1697"/>
      <c r="B33" s="2811"/>
      <c r="C33" s="2816" t="str">
        <f>IF('Project Info'!C4='Project Info'!P32,'Mod Prescriptive Path Checklist'!C127,IF('Project Info'!C4='Project Info'!P33,#REF!,"&lt;Select compliance path on the 'Project Info' tab&gt;"))</f>
        <v>Ductwork penetrating the building envelope shall be sealed to prevent air leakage through the duct system and/or the building envelope. This includes but is not limited to roof curbs and exterior wall exhaust/intake vents.</v>
      </c>
      <c r="D33" s="2817"/>
      <c r="E33" s="2815"/>
      <c r="F33" s="1284"/>
      <c r="G33" s="1284"/>
      <c r="H33" s="1284"/>
      <c r="I33" s="1270"/>
      <c r="J33" s="1252"/>
      <c r="K33" s="1519"/>
      <c r="L33" s="1519"/>
      <c r="M33" s="1519"/>
      <c r="N33" s="1519"/>
      <c r="O33" s="1519"/>
      <c r="P33" s="1519"/>
      <c r="Q33" s="1519"/>
      <c r="R33" s="1519"/>
      <c r="S33" s="1519"/>
    </row>
    <row r="34" spans="1:73" ht="225" customHeight="1">
      <c r="A34" s="1321"/>
      <c r="B34" s="2568" t="s">
        <v>2212</v>
      </c>
      <c r="C34" s="2569"/>
      <c r="D34" s="2569"/>
      <c r="E34" s="2569"/>
      <c r="F34" s="2569"/>
      <c r="G34" s="2569"/>
      <c r="H34" s="2818"/>
      <c r="I34" s="1270"/>
      <c r="J34" s="1252"/>
    </row>
    <row r="35" spans="1:73" s="1520" customFormat="1" ht="35.25" customHeight="1">
      <c r="A35" s="1698"/>
      <c r="B35" s="2575" t="s">
        <v>2213</v>
      </c>
      <c r="C35" s="2576"/>
      <c r="D35" s="2576"/>
      <c r="E35" s="2576"/>
      <c r="F35" s="2576"/>
      <c r="G35" s="2576"/>
      <c r="H35" s="2576"/>
      <c r="I35" s="1270"/>
      <c r="J35" s="1252"/>
      <c r="K35" s="1519"/>
      <c r="L35" s="1519"/>
      <c r="M35" s="1519"/>
      <c r="N35" s="1519"/>
      <c r="O35" s="1519"/>
      <c r="P35" s="1519"/>
      <c r="Q35" s="1519"/>
      <c r="R35" s="1519"/>
      <c r="S35" s="1519"/>
    </row>
    <row r="36" spans="1:73" s="1520" customFormat="1" ht="56.25" customHeight="1">
      <c r="A36" s="1521"/>
      <c r="B36" s="2575" t="s">
        <v>2214</v>
      </c>
      <c r="C36" s="2576"/>
      <c r="D36" s="2576"/>
      <c r="E36" s="2576"/>
      <c r="F36" s="2576"/>
      <c r="G36" s="2576"/>
      <c r="H36" s="2576"/>
      <c r="I36" s="1270"/>
      <c r="J36" s="1252"/>
      <c r="K36" s="1519"/>
      <c r="L36" s="1519"/>
      <c r="M36" s="1519"/>
      <c r="N36" s="1519"/>
      <c r="O36" s="1519"/>
      <c r="P36" s="1519"/>
      <c r="Q36" s="1519"/>
      <c r="R36" s="1519"/>
      <c r="S36" s="1519"/>
    </row>
    <row r="37" spans="1:73" s="1520" customFormat="1" ht="39.75" customHeight="1">
      <c r="A37" s="1521"/>
      <c r="B37" s="2575" t="s">
        <v>2215</v>
      </c>
      <c r="C37" s="2576"/>
      <c r="D37" s="2576"/>
      <c r="E37" s="2576"/>
      <c r="F37" s="2576"/>
      <c r="G37" s="2576"/>
      <c r="H37" s="2576"/>
      <c r="I37" s="1270"/>
      <c r="J37" s="1252"/>
      <c r="K37" s="1519"/>
      <c r="L37" s="1519"/>
      <c r="M37" s="1519"/>
      <c r="N37" s="1519"/>
      <c r="O37" s="1519"/>
      <c r="P37" s="1519"/>
      <c r="Q37" s="1519"/>
      <c r="R37" s="1519"/>
      <c r="S37" s="1519"/>
    </row>
    <row r="38" spans="1:73" s="1520" customFormat="1" ht="54.75" customHeight="1">
      <c r="A38" s="1521"/>
      <c r="B38" s="2575" t="s">
        <v>2216</v>
      </c>
      <c r="C38" s="2576"/>
      <c r="D38" s="2576"/>
      <c r="E38" s="2576"/>
      <c r="F38" s="2576"/>
      <c r="G38" s="2576"/>
      <c r="H38" s="2576"/>
      <c r="I38" s="1270"/>
      <c r="J38" s="1252"/>
      <c r="K38" s="1519"/>
      <c r="L38" s="1519"/>
      <c r="M38" s="1519"/>
      <c r="N38" s="1519"/>
      <c r="O38" s="1519"/>
      <c r="P38" s="1519"/>
      <c r="Q38" s="1519"/>
      <c r="R38" s="1519"/>
      <c r="S38" s="1519"/>
    </row>
    <row r="39" spans="1:73" s="1520" customFormat="1" ht="45" customHeight="1">
      <c r="A39" s="1521"/>
      <c r="B39" s="2575" t="s">
        <v>2217</v>
      </c>
      <c r="C39" s="2576"/>
      <c r="D39" s="2576"/>
      <c r="E39" s="2576"/>
      <c r="F39" s="2576"/>
      <c r="G39" s="2576"/>
      <c r="H39" s="2576"/>
      <c r="I39" s="1270"/>
      <c r="J39" s="1252"/>
      <c r="K39" s="1519"/>
      <c r="L39" s="1519"/>
      <c r="M39" s="1519"/>
      <c r="N39" s="1519"/>
      <c r="O39" s="1519"/>
      <c r="P39" s="1519"/>
      <c r="Q39" s="1519"/>
      <c r="R39" s="1519"/>
      <c r="S39" s="1519"/>
    </row>
    <row r="40" spans="1:73" s="1520" customFormat="1" ht="45" customHeight="1">
      <c r="A40" s="1521"/>
      <c r="B40" s="2575" t="s">
        <v>2218</v>
      </c>
      <c r="C40" s="2576"/>
      <c r="D40" s="2576"/>
      <c r="E40" s="2576"/>
      <c r="F40" s="2576"/>
      <c r="G40" s="2576"/>
      <c r="H40" s="2576"/>
      <c r="I40" s="1270"/>
      <c r="J40" s="1252"/>
      <c r="K40" s="1519"/>
      <c r="L40" s="1519"/>
      <c r="M40" s="1519"/>
      <c r="N40" s="1519"/>
      <c r="O40" s="1519"/>
      <c r="P40" s="1519"/>
      <c r="Q40" s="1519"/>
      <c r="R40" s="1519"/>
      <c r="S40" s="1519"/>
    </row>
    <row r="41" spans="1:73" s="1520" customFormat="1" ht="55.5" customHeight="1">
      <c r="A41" s="1521"/>
      <c r="B41" s="2575" t="s">
        <v>2219</v>
      </c>
      <c r="C41" s="2576"/>
      <c r="D41" s="2576"/>
      <c r="E41" s="2576"/>
      <c r="F41" s="2576"/>
      <c r="G41" s="2576"/>
      <c r="H41" s="2576"/>
      <c r="I41" s="1270"/>
      <c r="J41" s="1252"/>
      <c r="K41" s="1519"/>
      <c r="L41" s="1519"/>
      <c r="M41" s="1519"/>
      <c r="N41" s="1519"/>
      <c r="O41" s="1519"/>
      <c r="P41" s="1519"/>
      <c r="Q41" s="1519"/>
      <c r="R41" s="1519"/>
      <c r="S41" s="1519"/>
    </row>
    <row r="42" spans="1:73" s="1520" customFormat="1" ht="33.75" customHeight="1">
      <c r="A42" s="1519"/>
      <c r="B42" s="1623"/>
      <c r="C42" s="1623"/>
      <c r="D42" s="1623"/>
      <c r="E42" s="1623"/>
      <c r="F42" s="1623"/>
      <c r="G42" s="2807"/>
      <c r="H42" s="2807"/>
      <c r="I42" s="2808"/>
      <c r="J42" s="2808"/>
      <c r="K42" s="1519"/>
      <c r="L42" s="1519"/>
      <c r="M42" s="1519"/>
      <c r="N42" s="1519"/>
      <c r="O42" s="1519"/>
      <c r="P42" s="1519"/>
      <c r="Q42" s="1519"/>
      <c r="R42" s="1519"/>
      <c r="S42" s="1519"/>
    </row>
    <row r="43" spans="1:73">
      <c r="B43" s="1319" t="s">
        <v>1893</v>
      </c>
    </row>
    <row r="45" spans="1:73" s="1460" customFormat="1" ht="91.5" customHeight="1">
      <c r="A45" s="1449"/>
      <c r="B45" s="1374" t="s">
        <v>2157</v>
      </c>
      <c r="C45" s="1374" t="s">
        <v>2220</v>
      </c>
      <c r="D45" s="1374" t="s">
        <v>1899</v>
      </c>
      <c r="E45" s="1374" t="s">
        <v>2221</v>
      </c>
      <c r="F45" s="1374" t="s">
        <v>1902</v>
      </c>
      <c r="G45" s="1374" t="s">
        <v>2222</v>
      </c>
      <c r="H45" s="2809" t="s">
        <v>820</v>
      </c>
      <c r="I45" s="2809"/>
      <c r="J45" s="2809"/>
      <c r="K45" s="1511"/>
      <c r="L45" s="1378"/>
      <c r="M45" s="1449"/>
      <c r="N45" s="1449"/>
      <c r="O45" s="1449"/>
      <c r="P45" s="1449"/>
      <c r="Q45" s="1449"/>
      <c r="R45" s="1449"/>
      <c r="S45" s="1449"/>
      <c r="T45" s="1449"/>
      <c r="U45" s="1449"/>
      <c r="V45" s="1449"/>
      <c r="W45" s="1449"/>
      <c r="X45" s="1449"/>
      <c r="Y45" s="1449"/>
      <c r="Z45" s="1449"/>
      <c r="AA45" s="1449"/>
      <c r="AB45" s="1449"/>
      <c r="AC45" s="1449"/>
      <c r="AD45" s="1449"/>
      <c r="AE45" s="1449"/>
      <c r="AF45" s="1449"/>
      <c r="AG45" s="1449"/>
      <c r="AH45" s="1449"/>
      <c r="AI45" s="1449"/>
      <c r="AJ45" s="1449"/>
      <c r="AK45" s="1449"/>
      <c r="AL45" s="1449"/>
      <c r="AM45" s="1449"/>
      <c r="AN45" s="1449"/>
      <c r="AO45" s="1449"/>
      <c r="AP45" s="1449"/>
      <c r="AQ45" s="1449"/>
      <c r="AR45" s="1449"/>
      <c r="AS45" s="1449"/>
      <c r="AT45" s="1449"/>
      <c r="AU45" s="1449"/>
      <c r="AV45" s="1449"/>
      <c r="AW45" s="1449"/>
      <c r="AX45" s="1449"/>
      <c r="AY45" s="1449"/>
      <c r="AZ45" s="1449"/>
      <c r="BA45" s="1449"/>
      <c r="BB45" s="1449"/>
      <c r="BC45" s="1449"/>
      <c r="BD45" s="1449"/>
      <c r="BE45" s="1449"/>
      <c r="BF45" s="1449"/>
      <c r="BG45" s="1449"/>
      <c r="BH45" s="1449"/>
      <c r="BI45" s="1449"/>
      <c r="BJ45" s="1449"/>
      <c r="BK45" s="1449"/>
      <c r="BL45" s="1449"/>
      <c r="BM45" s="1449"/>
      <c r="BN45" s="1449"/>
      <c r="BO45" s="1449"/>
      <c r="BP45" s="1449"/>
      <c r="BQ45" s="1449"/>
      <c r="BR45" s="1449"/>
      <c r="BS45" s="1449"/>
      <c r="BT45" s="1449"/>
      <c r="BU45" s="1449"/>
    </row>
    <row r="46" spans="1:73" s="1460" customFormat="1" ht="29.25" customHeight="1">
      <c r="A46" s="1449"/>
      <c r="B46" s="1280"/>
      <c r="C46" s="1280"/>
      <c r="D46" s="1187"/>
      <c r="E46" s="1171"/>
      <c r="F46" s="1188" t="e">
        <f>E46/D46</f>
        <v>#DIV/0!</v>
      </c>
      <c r="G46" s="1189" t="e">
        <f>E46/C46</f>
        <v>#DIV/0!</v>
      </c>
      <c r="H46" s="2805"/>
      <c r="I46" s="2805"/>
      <c r="J46" s="2805"/>
      <c r="K46" s="1699"/>
      <c r="L46" s="1378"/>
      <c r="M46" s="1449"/>
      <c r="N46" s="1449"/>
      <c r="O46" s="1449"/>
      <c r="P46" s="1449"/>
      <c r="Q46" s="1449"/>
      <c r="R46" s="1449"/>
      <c r="S46" s="1449"/>
      <c r="T46" s="1449"/>
      <c r="U46" s="1449"/>
      <c r="V46" s="1449"/>
      <c r="W46" s="1449"/>
      <c r="X46" s="1449"/>
      <c r="Y46" s="1449"/>
      <c r="Z46" s="1449"/>
      <c r="AA46" s="1449"/>
      <c r="AB46" s="1449"/>
      <c r="AC46" s="1449"/>
      <c r="AD46" s="1449"/>
      <c r="AE46" s="1449"/>
      <c r="AF46" s="1449"/>
      <c r="AG46" s="1449"/>
      <c r="AH46" s="1449"/>
      <c r="AI46" s="1449"/>
      <c r="AJ46" s="1449"/>
      <c r="AK46" s="1449"/>
      <c r="AL46" s="1449"/>
      <c r="AM46" s="1449"/>
      <c r="AN46" s="1449"/>
      <c r="AO46" s="1449"/>
      <c r="AP46" s="1449"/>
      <c r="AQ46" s="1449"/>
      <c r="AR46" s="1449"/>
      <c r="AS46" s="1449"/>
      <c r="AT46" s="1449"/>
      <c r="AU46" s="1449"/>
      <c r="AV46" s="1449"/>
      <c r="AW46" s="1449"/>
      <c r="AX46" s="1449"/>
      <c r="AY46" s="1449"/>
      <c r="AZ46" s="1449"/>
      <c r="BA46" s="1449"/>
      <c r="BB46" s="1449"/>
      <c r="BC46" s="1449"/>
      <c r="BD46" s="1449"/>
      <c r="BE46" s="1449"/>
      <c r="BF46" s="1449"/>
      <c r="BG46" s="1449"/>
      <c r="BH46" s="1449"/>
      <c r="BI46" s="1449"/>
      <c r="BJ46" s="1449"/>
      <c r="BK46" s="1449"/>
      <c r="BL46" s="1449"/>
      <c r="BM46" s="1449"/>
      <c r="BN46" s="1449"/>
      <c r="BO46" s="1449"/>
      <c r="BP46" s="1449"/>
      <c r="BQ46" s="1449"/>
      <c r="BR46" s="1449"/>
      <c r="BS46" s="1449"/>
      <c r="BT46" s="1449"/>
      <c r="BU46" s="1449"/>
    </row>
    <row r="47" spans="1:73" s="1460" customFormat="1" ht="29.25" customHeight="1">
      <c r="A47" s="1449"/>
      <c r="B47" s="1280"/>
      <c r="C47" s="1280"/>
      <c r="D47" s="1187"/>
      <c r="E47" s="1171"/>
      <c r="F47" s="1188" t="e">
        <f t="shared" ref="F47:F54" si="0">E47/D47</f>
        <v>#DIV/0!</v>
      </c>
      <c r="G47" s="1189" t="e">
        <f t="shared" ref="G47:G54" si="1">E47/C47</f>
        <v>#DIV/0!</v>
      </c>
      <c r="H47" s="2805"/>
      <c r="I47" s="2805"/>
      <c r="J47" s="2805"/>
      <c r="K47" s="1511"/>
      <c r="L47" s="1378"/>
      <c r="M47" s="1449"/>
      <c r="N47" s="1449"/>
      <c r="O47" s="1449"/>
      <c r="P47" s="1449"/>
      <c r="Q47" s="1449"/>
      <c r="R47" s="1449"/>
      <c r="S47" s="1449"/>
      <c r="T47" s="1449"/>
      <c r="U47" s="1449"/>
      <c r="V47" s="1449"/>
      <c r="W47" s="1449"/>
      <c r="X47" s="1449"/>
      <c r="Y47" s="1449"/>
      <c r="Z47" s="1449"/>
      <c r="AA47" s="1449"/>
      <c r="AB47" s="1449"/>
      <c r="AC47" s="1449"/>
      <c r="AD47" s="1449"/>
      <c r="AE47" s="1449"/>
      <c r="AF47" s="1449"/>
      <c r="AG47" s="1449"/>
      <c r="AH47" s="1449"/>
      <c r="AI47" s="1449"/>
      <c r="AJ47" s="1449"/>
      <c r="AK47" s="1449"/>
      <c r="AL47" s="1449"/>
      <c r="AM47" s="1449"/>
      <c r="AN47" s="1449"/>
      <c r="AO47" s="1449"/>
      <c r="AP47" s="1449"/>
      <c r="AQ47" s="1449"/>
      <c r="AR47" s="1449"/>
      <c r="AS47" s="1449"/>
      <c r="AT47" s="1449"/>
      <c r="AU47" s="1449"/>
      <c r="AV47" s="1449"/>
      <c r="AW47" s="1449"/>
      <c r="AX47" s="1449"/>
      <c r="AY47" s="1449"/>
      <c r="AZ47" s="1449"/>
      <c r="BA47" s="1449"/>
      <c r="BB47" s="1449"/>
      <c r="BC47" s="1449"/>
      <c r="BD47" s="1449"/>
      <c r="BE47" s="1449"/>
      <c r="BF47" s="1449"/>
      <c r="BG47" s="1449"/>
      <c r="BH47" s="1449"/>
      <c r="BI47" s="1449"/>
      <c r="BJ47" s="1449"/>
      <c r="BK47" s="1449"/>
      <c r="BL47" s="1449"/>
      <c r="BM47" s="1449"/>
      <c r="BN47" s="1449"/>
      <c r="BO47" s="1449"/>
      <c r="BP47" s="1449"/>
      <c r="BQ47" s="1449"/>
      <c r="BR47" s="1449"/>
      <c r="BS47" s="1449"/>
      <c r="BT47" s="1449"/>
      <c r="BU47" s="1449"/>
    </row>
    <row r="48" spans="1:73" s="1460" customFormat="1" ht="29.25" customHeight="1">
      <c r="A48" s="1449"/>
      <c r="B48" s="1280"/>
      <c r="C48" s="1280"/>
      <c r="D48" s="1187"/>
      <c r="E48" s="1171"/>
      <c r="F48" s="1188" t="e">
        <f t="shared" si="0"/>
        <v>#DIV/0!</v>
      </c>
      <c r="G48" s="1189" t="e">
        <f t="shared" si="1"/>
        <v>#DIV/0!</v>
      </c>
      <c r="H48" s="2805"/>
      <c r="I48" s="2805"/>
      <c r="J48" s="2805"/>
      <c r="K48" s="1511"/>
      <c r="L48" s="1378"/>
      <c r="M48" s="1449"/>
      <c r="N48" s="1449"/>
      <c r="O48" s="1449"/>
      <c r="P48" s="1449"/>
      <c r="Q48" s="1449"/>
      <c r="R48" s="1449"/>
      <c r="S48" s="1449"/>
      <c r="T48" s="1449"/>
      <c r="U48" s="1449"/>
      <c r="V48" s="1449"/>
      <c r="W48" s="1449"/>
      <c r="X48" s="1449"/>
      <c r="Y48" s="1449"/>
      <c r="Z48" s="1449"/>
      <c r="AA48" s="1449"/>
      <c r="AB48" s="1449"/>
      <c r="AC48" s="1449"/>
      <c r="AD48" s="1449"/>
      <c r="AE48" s="1449"/>
      <c r="AF48" s="1449"/>
      <c r="AG48" s="1449"/>
      <c r="AH48" s="1449"/>
      <c r="AI48" s="1449"/>
      <c r="AJ48" s="1449"/>
      <c r="AK48" s="1449"/>
      <c r="AL48" s="1449"/>
      <c r="AM48" s="1449"/>
      <c r="AN48" s="1449"/>
      <c r="AO48" s="1449"/>
      <c r="AP48" s="1449"/>
      <c r="AQ48" s="1449"/>
      <c r="AR48" s="1449"/>
      <c r="AS48" s="1449"/>
      <c r="AT48" s="1449"/>
      <c r="AU48" s="1449"/>
      <c r="AV48" s="1449"/>
      <c r="AW48" s="1449"/>
      <c r="AX48" s="1449"/>
      <c r="AY48" s="1449"/>
      <c r="AZ48" s="1449"/>
      <c r="BA48" s="1449"/>
      <c r="BB48" s="1449"/>
      <c r="BC48" s="1449"/>
      <c r="BD48" s="1449"/>
      <c r="BE48" s="1449"/>
      <c r="BF48" s="1449"/>
      <c r="BG48" s="1449"/>
      <c r="BH48" s="1449"/>
      <c r="BI48" s="1449"/>
      <c r="BJ48" s="1449"/>
      <c r="BK48" s="1449"/>
      <c r="BL48" s="1449"/>
      <c r="BM48" s="1449"/>
      <c r="BN48" s="1449"/>
      <c r="BO48" s="1449"/>
      <c r="BP48" s="1449"/>
      <c r="BQ48" s="1449"/>
      <c r="BR48" s="1449"/>
      <c r="BS48" s="1449"/>
      <c r="BT48" s="1449"/>
      <c r="BU48" s="1449"/>
    </row>
    <row r="49" spans="1:73" s="1612" customFormat="1" ht="29.25" customHeight="1">
      <c r="A49" s="1475"/>
      <c r="B49" s="1280"/>
      <c r="C49" s="1280"/>
      <c r="D49" s="1187"/>
      <c r="E49" s="1171"/>
      <c r="F49" s="1188" t="e">
        <f t="shared" si="0"/>
        <v>#DIV/0!</v>
      </c>
      <c r="G49" s="1189" t="e">
        <f t="shared" si="1"/>
        <v>#DIV/0!</v>
      </c>
      <c r="H49" s="2805"/>
      <c r="I49" s="2805"/>
      <c r="J49" s="2805"/>
      <c r="K49" s="1475"/>
      <c r="L49" s="1657"/>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c r="AL49" s="1475"/>
      <c r="AM49" s="1475"/>
      <c r="AN49" s="1475"/>
      <c r="AO49" s="1475"/>
      <c r="AP49" s="1475"/>
      <c r="AQ49" s="1475"/>
      <c r="AR49" s="1475"/>
      <c r="AS49" s="1475"/>
      <c r="AT49" s="1475"/>
      <c r="AU49" s="1475"/>
      <c r="AV49" s="1475"/>
      <c r="AW49" s="1475"/>
      <c r="AX49" s="1475"/>
      <c r="AY49" s="1475"/>
      <c r="AZ49" s="1475"/>
      <c r="BA49" s="1475"/>
      <c r="BB49" s="1475"/>
      <c r="BC49" s="1475"/>
      <c r="BD49" s="1475"/>
      <c r="BE49" s="1475"/>
      <c r="BF49" s="1475"/>
      <c r="BG49" s="1475"/>
      <c r="BH49" s="1475"/>
      <c r="BI49" s="1475"/>
      <c r="BJ49" s="1475"/>
      <c r="BK49" s="1475"/>
      <c r="BL49" s="1475"/>
      <c r="BM49" s="1475"/>
      <c r="BN49" s="1475"/>
      <c r="BO49" s="1475"/>
      <c r="BP49" s="1475"/>
      <c r="BQ49" s="1475"/>
      <c r="BR49" s="1475"/>
      <c r="BS49" s="1475"/>
      <c r="BT49" s="1475"/>
      <c r="BU49" s="1475"/>
    </row>
    <row r="50" spans="1:73" ht="29.25" customHeight="1">
      <c r="A50" s="1439"/>
      <c r="B50" s="1172"/>
      <c r="C50" s="1280"/>
      <c r="D50" s="1187"/>
      <c r="E50" s="1171"/>
      <c r="F50" s="1188" t="e">
        <f t="shared" si="0"/>
        <v>#DIV/0!</v>
      </c>
      <c r="G50" s="1189" t="e">
        <f t="shared" si="1"/>
        <v>#DIV/0!</v>
      </c>
      <c r="H50" s="2805"/>
      <c r="I50" s="2805"/>
      <c r="J50" s="2805"/>
      <c r="K50" s="1439"/>
      <c r="L50" s="1657"/>
      <c r="M50" s="1439"/>
      <c r="N50" s="1439"/>
      <c r="O50" s="1439"/>
      <c r="P50" s="1439"/>
      <c r="Q50" s="1439"/>
      <c r="R50" s="1439"/>
      <c r="S50" s="1439"/>
      <c r="T50" s="1439"/>
      <c r="U50" s="1439"/>
      <c r="V50" s="1439"/>
      <c r="W50" s="1439"/>
      <c r="X50" s="1439"/>
      <c r="Y50" s="1439"/>
      <c r="Z50" s="1439"/>
      <c r="AA50" s="1439"/>
      <c r="AB50" s="1439"/>
      <c r="AC50" s="1439"/>
      <c r="AD50" s="1439"/>
      <c r="AE50" s="1439"/>
      <c r="AF50" s="1439"/>
      <c r="AG50" s="1439"/>
      <c r="AH50" s="1439"/>
      <c r="AI50" s="1439"/>
      <c r="AJ50" s="1439"/>
      <c r="AK50" s="1439"/>
      <c r="AL50" s="1439"/>
      <c r="AM50" s="1439"/>
      <c r="AN50" s="1439"/>
      <c r="AO50" s="1439"/>
      <c r="AP50" s="1439"/>
      <c r="AQ50" s="1439"/>
      <c r="AR50" s="1439"/>
      <c r="AS50" s="1439"/>
      <c r="AT50" s="1439"/>
      <c r="AU50" s="1439"/>
      <c r="AV50" s="1439"/>
      <c r="AW50" s="1439"/>
      <c r="AX50" s="1439"/>
      <c r="AY50" s="1439"/>
      <c r="AZ50" s="1439"/>
      <c r="BA50" s="1439"/>
      <c r="BB50" s="1439"/>
      <c r="BC50" s="1439"/>
      <c r="BD50" s="1439"/>
      <c r="BE50" s="1439"/>
      <c r="BF50" s="1439"/>
      <c r="BG50" s="1439"/>
      <c r="BH50" s="1439"/>
      <c r="BI50" s="1439"/>
      <c r="BJ50" s="1439"/>
      <c r="BK50" s="1439"/>
      <c r="BL50" s="1439"/>
      <c r="BM50" s="1439"/>
      <c r="BN50" s="1439"/>
      <c r="BO50" s="1439"/>
      <c r="BP50" s="1439"/>
      <c r="BQ50" s="1439"/>
      <c r="BR50" s="1439"/>
      <c r="BS50" s="1439"/>
      <c r="BT50" s="1439"/>
      <c r="BU50" s="1439"/>
    </row>
    <row r="51" spans="1:73" ht="29.25" customHeight="1">
      <c r="A51" s="1439"/>
      <c r="B51" s="1172"/>
      <c r="C51" s="1280"/>
      <c r="D51" s="1187"/>
      <c r="E51" s="1171"/>
      <c r="F51" s="1188" t="e">
        <f t="shared" si="0"/>
        <v>#DIV/0!</v>
      </c>
      <c r="G51" s="1189" t="e">
        <f t="shared" si="1"/>
        <v>#DIV/0!</v>
      </c>
      <c r="H51" s="2805"/>
      <c r="I51" s="2805"/>
      <c r="J51" s="2805"/>
      <c r="K51" s="1439"/>
      <c r="L51" s="1657"/>
      <c r="M51" s="1439"/>
      <c r="N51" s="1439"/>
      <c r="O51" s="1439"/>
      <c r="P51" s="1439"/>
      <c r="Q51" s="1439"/>
      <c r="R51" s="1439"/>
      <c r="S51" s="1439"/>
      <c r="T51" s="1439"/>
      <c r="U51" s="1439"/>
      <c r="V51" s="1439"/>
      <c r="W51" s="1439"/>
      <c r="X51" s="1439"/>
      <c r="Y51" s="1439"/>
      <c r="Z51" s="1439"/>
      <c r="AA51" s="1439"/>
      <c r="AB51" s="1439"/>
      <c r="AC51" s="1439"/>
      <c r="AD51" s="1439"/>
      <c r="AE51" s="1439"/>
      <c r="AF51" s="1439"/>
      <c r="AG51" s="1439"/>
      <c r="AH51" s="1439"/>
      <c r="AI51" s="1439"/>
      <c r="AJ51" s="1439"/>
      <c r="AK51" s="1439"/>
      <c r="AL51" s="1439"/>
      <c r="AM51" s="1439"/>
      <c r="AN51" s="1439"/>
      <c r="AO51" s="1439"/>
      <c r="AP51" s="1439"/>
      <c r="AQ51" s="1439"/>
      <c r="AR51" s="1439"/>
      <c r="AS51" s="1439"/>
      <c r="AT51" s="1439"/>
      <c r="AU51" s="1439"/>
      <c r="AV51" s="1439"/>
      <c r="AW51" s="1439"/>
      <c r="AX51" s="1439"/>
      <c r="AY51" s="1439"/>
      <c r="AZ51" s="1439"/>
      <c r="BA51" s="1439"/>
      <c r="BB51" s="1439"/>
      <c r="BC51" s="1439"/>
      <c r="BD51" s="1439"/>
      <c r="BE51" s="1439"/>
      <c r="BF51" s="1439"/>
      <c r="BG51" s="1439"/>
      <c r="BH51" s="1439"/>
      <c r="BI51" s="1439"/>
      <c r="BJ51" s="1439"/>
      <c r="BK51" s="1439"/>
      <c r="BL51" s="1439"/>
      <c r="BM51" s="1439"/>
      <c r="BN51" s="1439"/>
      <c r="BO51" s="1439"/>
      <c r="BP51" s="1439"/>
      <c r="BQ51" s="1439"/>
      <c r="BR51" s="1439"/>
      <c r="BS51" s="1439"/>
      <c r="BT51" s="1439"/>
      <c r="BU51" s="1439"/>
    </row>
    <row r="52" spans="1:73" ht="29.25" customHeight="1">
      <c r="A52" s="1439"/>
      <c r="B52" s="1172"/>
      <c r="C52" s="1280"/>
      <c r="D52" s="1187"/>
      <c r="E52" s="1171"/>
      <c r="F52" s="1188" t="e">
        <f t="shared" si="0"/>
        <v>#DIV/0!</v>
      </c>
      <c r="G52" s="1189" t="e">
        <f t="shared" si="1"/>
        <v>#DIV/0!</v>
      </c>
      <c r="H52" s="2805"/>
      <c r="I52" s="2805"/>
      <c r="J52" s="2805"/>
      <c r="K52" s="1439"/>
      <c r="L52" s="1657"/>
      <c r="M52" s="1439"/>
      <c r="N52" s="1439"/>
      <c r="O52" s="1439"/>
      <c r="P52" s="1439"/>
      <c r="Q52" s="1439"/>
      <c r="R52" s="1439"/>
      <c r="S52" s="1439"/>
      <c r="T52" s="1439"/>
      <c r="U52" s="1439"/>
      <c r="V52" s="1439"/>
      <c r="W52" s="1439"/>
      <c r="X52" s="1439"/>
      <c r="Y52" s="1439"/>
      <c r="Z52" s="1439"/>
      <c r="AA52" s="1439"/>
      <c r="AB52" s="1439"/>
      <c r="AC52" s="1439"/>
      <c r="AD52" s="1439"/>
      <c r="AE52" s="1439"/>
      <c r="AF52" s="1439"/>
      <c r="AG52" s="1439"/>
      <c r="AH52" s="1439"/>
      <c r="AI52" s="1439"/>
      <c r="AJ52" s="1439"/>
      <c r="AK52" s="1439"/>
      <c r="AL52" s="1439"/>
      <c r="AM52" s="1439"/>
      <c r="AN52" s="1439"/>
      <c r="AO52" s="1439"/>
      <c r="AP52" s="1439"/>
      <c r="AQ52" s="1439"/>
      <c r="AR52" s="1439"/>
      <c r="AS52" s="1439"/>
      <c r="AT52" s="1439"/>
      <c r="AU52" s="1439"/>
      <c r="AV52" s="1439"/>
      <c r="AW52" s="1439"/>
      <c r="AX52" s="1439"/>
      <c r="AY52" s="1439"/>
      <c r="AZ52" s="1439"/>
      <c r="BA52" s="1439"/>
      <c r="BB52" s="1439"/>
      <c r="BC52" s="1439"/>
      <c r="BD52" s="1439"/>
      <c r="BE52" s="1439"/>
      <c r="BF52" s="1439"/>
      <c r="BG52" s="1439"/>
      <c r="BH52" s="1439"/>
      <c r="BI52" s="1439"/>
      <c r="BJ52" s="1439"/>
      <c r="BK52" s="1439"/>
      <c r="BL52" s="1439"/>
      <c r="BM52" s="1439"/>
      <c r="BN52" s="1439"/>
      <c r="BO52" s="1439"/>
      <c r="BP52" s="1439"/>
      <c r="BQ52" s="1439"/>
      <c r="BR52" s="1439"/>
      <c r="BS52" s="1439"/>
      <c r="BT52" s="1439"/>
      <c r="BU52" s="1439"/>
    </row>
    <row r="53" spans="1:73" ht="29.25" customHeight="1">
      <c r="A53" s="1439"/>
      <c r="B53" s="1172"/>
      <c r="C53" s="1280"/>
      <c r="D53" s="1187"/>
      <c r="E53" s="1171"/>
      <c r="F53" s="1188" t="e">
        <f t="shared" si="0"/>
        <v>#DIV/0!</v>
      </c>
      <c r="G53" s="1189" t="e">
        <f t="shared" si="1"/>
        <v>#DIV/0!</v>
      </c>
      <c r="H53" s="2805"/>
      <c r="I53" s="2805"/>
      <c r="J53" s="2805"/>
      <c r="K53" s="1439"/>
      <c r="L53" s="1657"/>
      <c r="M53" s="1439"/>
      <c r="N53" s="1439"/>
      <c r="O53" s="1439"/>
      <c r="P53" s="1439"/>
      <c r="Q53" s="1439"/>
      <c r="R53" s="1439"/>
      <c r="S53" s="1439"/>
      <c r="T53" s="1439"/>
      <c r="U53" s="1439"/>
      <c r="V53" s="1439"/>
      <c r="W53" s="1439"/>
      <c r="X53" s="1439"/>
      <c r="Y53" s="1439"/>
      <c r="Z53" s="1439"/>
      <c r="AA53" s="1439"/>
      <c r="AB53" s="1439"/>
      <c r="AC53" s="1439"/>
      <c r="AD53" s="1439"/>
      <c r="AE53" s="1439"/>
      <c r="AF53" s="1439"/>
      <c r="AG53" s="1439"/>
      <c r="AH53" s="1439"/>
      <c r="AI53" s="1439"/>
      <c r="AJ53" s="1439"/>
      <c r="AK53" s="1439"/>
      <c r="AL53" s="1439"/>
      <c r="AM53" s="1439"/>
      <c r="AN53" s="1439"/>
      <c r="AO53" s="1439"/>
      <c r="AP53" s="1439"/>
      <c r="AQ53" s="1439"/>
      <c r="AR53" s="1439"/>
      <c r="AS53" s="1439"/>
      <c r="AT53" s="1439"/>
      <c r="AU53" s="1439"/>
      <c r="AV53" s="1439"/>
      <c r="AW53" s="1439"/>
      <c r="AX53" s="1439"/>
      <c r="AY53" s="1439"/>
      <c r="AZ53" s="1439"/>
      <c r="BA53" s="1439"/>
      <c r="BB53" s="1439"/>
      <c r="BC53" s="1439"/>
      <c r="BD53" s="1439"/>
      <c r="BE53" s="1439"/>
      <c r="BF53" s="1439"/>
      <c r="BG53" s="1439"/>
      <c r="BH53" s="1439"/>
      <c r="BI53" s="1439"/>
      <c r="BJ53" s="1439"/>
      <c r="BK53" s="1439"/>
      <c r="BL53" s="1439"/>
      <c r="BM53" s="1439"/>
      <c r="BN53" s="1439"/>
      <c r="BO53" s="1439"/>
      <c r="BP53" s="1439"/>
      <c r="BQ53" s="1439"/>
      <c r="BR53" s="1439"/>
      <c r="BS53" s="1439"/>
      <c r="BT53" s="1439"/>
      <c r="BU53" s="1439"/>
    </row>
    <row r="54" spans="1:73" ht="29.25" customHeight="1">
      <c r="A54" s="1439"/>
      <c r="B54" s="1172"/>
      <c r="C54" s="1280"/>
      <c r="D54" s="1187"/>
      <c r="E54" s="1171"/>
      <c r="F54" s="1188" t="e">
        <f t="shared" si="0"/>
        <v>#DIV/0!</v>
      </c>
      <c r="G54" s="1189" t="e">
        <f t="shared" si="1"/>
        <v>#DIV/0!</v>
      </c>
      <c r="H54" s="2805"/>
      <c r="I54" s="2805"/>
      <c r="J54" s="2805"/>
      <c r="K54" s="1439"/>
      <c r="L54" s="1657"/>
      <c r="M54" s="1439"/>
      <c r="N54" s="1439"/>
      <c r="O54" s="1439"/>
      <c r="P54" s="1439"/>
      <c r="Q54" s="1439"/>
      <c r="R54" s="1439"/>
      <c r="S54" s="1439"/>
      <c r="T54" s="1439"/>
      <c r="U54" s="1439"/>
      <c r="V54" s="1439"/>
      <c r="W54" s="1439"/>
      <c r="X54" s="1439"/>
      <c r="Y54" s="1439"/>
      <c r="Z54" s="1439"/>
      <c r="AA54" s="1439"/>
      <c r="AB54" s="1439"/>
      <c r="AC54" s="1439"/>
      <c r="AD54" s="1439"/>
      <c r="AE54" s="1439"/>
      <c r="AF54" s="1439"/>
      <c r="AG54" s="1439"/>
      <c r="AH54" s="1439"/>
      <c r="AI54" s="1439"/>
      <c r="AJ54" s="1439"/>
      <c r="AK54" s="1439"/>
      <c r="AL54" s="1439"/>
      <c r="AM54" s="1439"/>
      <c r="AN54" s="1439"/>
      <c r="AO54" s="1439"/>
      <c r="AP54" s="1439"/>
      <c r="AQ54" s="1439"/>
      <c r="AR54" s="1439"/>
      <c r="AS54" s="1439"/>
      <c r="AT54" s="1439"/>
      <c r="AU54" s="1439"/>
      <c r="AV54" s="1439"/>
      <c r="AW54" s="1439"/>
      <c r="AX54" s="1439"/>
      <c r="AY54" s="1439"/>
      <c r="AZ54" s="1439"/>
      <c r="BA54" s="1439"/>
      <c r="BB54" s="1439"/>
      <c r="BC54" s="1439"/>
      <c r="BD54" s="1439"/>
      <c r="BE54" s="1439"/>
      <c r="BF54" s="1439"/>
      <c r="BG54" s="1439"/>
      <c r="BH54" s="1439"/>
      <c r="BI54" s="1439"/>
      <c r="BJ54" s="1439"/>
      <c r="BK54" s="1439"/>
      <c r="BL54" s="1439"/>
      <c r="BM54" s="1439"/>
      <c r="BN54" s="1439"/>
      <c r="BO54" s="1439"/>
      <c r="BP54" s="1439"/>
      <c r="BQ54" s="1439"/>
      <c r="BR54" s="1439"/>
      <c r="BS54" s="1439"/>
      <c r="BT54" s="1439"/>
      <c r="BU54" s="1439"/>
    </row>
    <row r="55" spans="1:73" ht="15.75">
      <c r="C55" s="1700"/>
      <c r="E55" s="1467"/>
      <c r="F55" s="1701"/>
    </row>
    <row r="56" spans="1:73" ht="15.75">
      <c r="C56" s="1700"/>
      <c r="E56" s="1467"/>
      <c r="F56" s="1701"/>
    </row>
    <row r="57" spans="1:73" ht="20.25">
      <c r="B57" s="1702" t="s">
        <v>2223</v>
      </c>
      <c r="D57" s="1703"/>
    </row>
    <row r="58" spans="1:73">
      <c r="D58" s="1703"/>
    </row>
    <row r="59" spans="1:73">
      <c r="C59" s="2806" t="s">
        <v>2224</v>
      </c>
      <c r="D59" s="2806"/>
      <c r="E59" s="1190"/>
    </row>
    <row r="60" spans="1:73">
      <c r="A60" s="1321"/>
      <c r="C60" s="2806" t="s">
        <v>2225</v>
      </c>
      <c r="D60" s="2806"/>
      <c r="E60" s="1190"/>
    </row>
    <row r="61" spans="1:73">
      <c r="C61" s="2806" t="s">
        <v>2226</v>
      </c>
      <c r="D61" s="2806"/>
      <c r="E61" s="1190"/>
    </row>
    <row r="63" spans="1:73" ht="51">
      <c r="C63" s="1704" t="s">
        <v>2227</v>
      </c>
      <c r="D63" s="1704" t="s">
        <v>2228</v>
      </c>
      <c r="E63" s="1704" t="s">
        <v>2229</v>
      </c>
      <c r="F63" s="1704" t="s">
        <v>2230</v>
      </c>
      <c r="G63" s="1704" t="s">
        <v>2231</v>
      </c>
      <c r="H63" s="1704" t="s">
        <v>2232</v>
      </c>
      <c r="I63" s="1704" t="s">
        <v>2233</v>
      </c>
      <c r="J63" s="1705"/>
    </row>
    <row r="64" spans="1:73">
      <c r="B64" s="1467"/>
      <c r="C64" s="1191"/>
      <c r="D64" s="1191"/>
      <c r="E64" s="1191"/>
      <c r="F64" s="1192" t="str">
        <f>IF(E64=1,ABS(D64-$E$61)^0.5*41.42,IF(E64=2,ABS(D64-$E$61)^0.5*15.8,IF(E64=3,ABS(D64-$E$61)^0.5*6.33,IF(E64="O",ABS(D64-$E$61)^0.5*108.5,"Enter Plate Position"))))</f>
        <v>Enter Plate Position</v>
      </c>
      <c r="G64" s="1192" t="e">
        <f>F64*SQRT(($E$60+460)/($E$59+460))</f>
        <v>#VALUE!</v>
      </c>
      <c r="H64" s="1193" t="e">
        <f>LOG(ABS(C64-$E$61))</f>
        <v>#NUM!</v>
      </c>
      <c r="I64" s="1193" t="e">
        <f>LOG(G64)</f>
        <v>#VALUE!</v>
      </c>
      <c r="J64" s="1706"/>
    </row>
    <row r="65" spans="2:10">
      <c r="B65" s="1467"/>
      <c r="C65" s="1191"/>
      <c r="D65" s="1191"/>
      <c r="E65" s="1191"/>
      <c r="F65" s="1192" t="str">
        <f>IF(E65=1,ABS(D65-$E$61)^0.5*41.42,IF(E65=2,ABS(D65-$E$61)^0.5*15.8,IF(E65=3,ABS(D65-$E$61)^0.5*6.33,IF(E65="O",ABS(D65-$E$61)^0.5*108.5,"Enter Plate Position"))))</f>
        <v>Enter Plate Position</v>
      </c>
      <c r="G65" s="1192" t="e">
        <f>F65*SQRT(($E$60+460)/($E$59+460))</f>
        <v>#VALUE!</v>
      </c>
      <c r="H65" s="1193" t="e">
        <f>LOG(ABS(C65-$E$61))</f>
        <v>#NUM!</v>
      </c>
      <c r="I65" s="1193" t="e">
        <f>LOG(G65)</f>
        <v>#VALUE!</v>
      </c>
      <c r="J65" s="1706"/>
    </row>
    <row r="66" spans="2:10">
      <c r="B66" s="1467"/>
      <c r="C66" s="1191"/>
      <c r="D66" s="1191"/>
      <c r="E66" s="1191"/>
      <c r="F66" s="1192" t="str">
        <f>IF(E66=1,ABS(D66-$E$61)^0.5*41.42,IF(E66=2,ABS(D66-$E$61)^0.5*15.8,IF(E66=3,ABS(D66-$E$61)^0.5*6.33,IF(E66="O",ABS(D66-$E$61)^0.5*108.5,"Enter Plate Position"))))</f>
        <v>Enter Plate Position</v>
      </c>
      <c r="G66" s="1192" t="e">
        <f>F66*SQRT(($E$60+460)/($E$59+460))</f>
        <v>#VALUE!</v>
      </c>
      <c r="H66" s="1193" t="e">
        <f>LOG(ABS(C66-$E$61))</f>
        <v>#NUM!</v>
      </c>
      <c r="I66" s="1193" t="e">
        <f>LOG(G66)</f>
        <v>#VALUE!</v>
      </c>
      <c r="J66" s="1706"/>
    </row>
    <row r="67" spans="2:10">
      <c r="B67" s="1467"/>
      <c r="C67" s="1191"/>
      <c r="D67" s="1191"/>
      <c r="E67" s="1191"/>
      <c r="F67" s="1192" t="str">
        <f>IF(E67=1,ABS(D67-$E$61)^0.5*41.42,IF(E67=2,ABS(D67-$E$61)^0.5*15.8,IF(E67=3,ABS(D67-$E$61)^0.5*6.33,IF(E67="O",ABS(D67-$E$61)^0.5*108.5,"Enter Plate Position"))))</f>
        <v>Enter Plate Position</v>
      </c>
      <c r="G67" s="1192" t="e">
        <f>F67*SQRT(($E$60+460)/($E$59+460))</f>
        <v>#VALUE!</v>
      </c>
      <c r="H67" s="1193" t="e">
        <f>LOG(ABS(C67-$E$61))</f>
        <v>#NUM!</v>
      </c>
      <c r="I67" s="1193" t="e">
        <f>LOG(G67)</f>
        <v>#VALUE!</v>
      </c>
      <c r="J67" s="1706"/>
    </row>
    <row r="68" spans="2:10">
      <c r="B68" s="1467"/>
      <c r="C68" s="1191"/>
      <c r="D68" s="1191"/>
      <c r="E68" s="1191"/>
      <c r="F68" s="1192" t="str">
        <f>IF(E68=1,ABS(D68-$E$61)^0.5*41.42,IF(E68=2,ABS(D68-$E$61)^0.5*15.8,IF(E68=3,ABS(D68-$E$61)^0.5*6.33,IF(E68="O",ABS(D68-$E$61)^0.5*108.5,"Enter Plate Position"))))</f>
        <v>Enter Plate Position</v>
      </c>
      <c r="G68" s="1192" t="e">
        <f>F68*SQRT(($E$60+460)/($E$59+460))</f>
        <v>#VALUE!</v>
      </c>
      <c r="H68" s="1193" t="e">
        <f>LOG(ABS(C68-$E$61))</f>
        <v>#NUM!</v>
      </c>
      <c r="I68" s="1193" t="e">
        <f>LOG(G68)</f>
        <v>#VALUE!</v>
      </c>
      <c r="J68" s="1706"/>
    </row>
    <row r="69" spans="2:10">
      <c r="H69" s="1707"/>
    </row>
    <row r="73" spans="2:10">
      <c r="C73" s="1708" t="s">
        <v>2234</v>
      </c>
      <c r="D73" s="1194" t="e">
        <f>INDEX(LINEST(I64:I68,H64:H68),1)</f>
        <v>#VALUE!</v>
      </c>
    </row>
    <row r="74" spans="2:10">
      <c r="C74" s="1709" t="s">
        <v>2235</v>
      </c>
      <c r="D74" s="1195" t="e">
        <f>INDEX(LINEST(I64:I68,H64:H68),2)</f>
        <v>#VALUE!</v>
      </c>
    </row>
    <row r="75" spans="2:10">
      <c r="C75" s="956"/>
      <c r="D75" s="1710"/>
    </row>
    <row r="76" spans="2:10">
      <c r="C76" s="1711" t="s">
        <v>2236</v>
      </c>
      <c r="D76" s="1196" t="e">
        <f>10^D74</f>
        <v>#VALUE!</v>
      </c>
    </row>
    <row r="77" spans="2:10">
      <c r="C77" s="1708" t="s">
        <v>2237</v>
      </c>
      <c r="D77" s="1194" t="e">
        <f>D73</f>
        <v>#VALUE!</v>
      </c>
    </row>
    <row r="78" spans="2:10">
      <c r="C78" s="1709" t="s">
        <v>2238</v>
      </c>
      <c r="D78" s="1195" t="e">
        <f>INDEX(LINEST(I64:I68,H64:H68,TRUE,TRUE),3)</f>
        <v>#VALUE!</v>
      </c>
    </row>
    <row r="79" spans="2:10">
      <c r="C79" s="956"/>
      <c r="D79" s="1710"/>
      <c r="E79" s="1712"/>
      <c r="J79" s="1712"/>
    </row>
    <row r="80" spans="2:10">
      <c r="C80" s="1711" t="s">
        <v>2239</v>
      </c>
      <c r="D80" s="1713"/>
    </row>
    <row r="81" spans="3:16" ht="24.75" customHeight="1">
      <c r="C81" s="1709" t="s">
        <v>2240</v>
      </c>
      <c r="D81" s="1197" t="e">
        <f>D76*50^D77</f>
        <v>#VALUE!</v>
      </c>
    </row>
    <row r="82" spans="3:16">
      <c r="C82" s="956"/>
      <c r="D82" s="1710"/>
      <c r="G82" s="1714"/>
      <c r="H82" s="1715"/>
    </row>
    <row r="83" spans="3:16">
      <c r="G83" s="1714"/>
      <c r="H83" s="1715"/>
    </row>
    <row r="85" spans="3:16">
      <c r="G85" s="1714"/>
    </row>
    <row r="86" spans="3:16">
      <c r="G86" s="1716"/>
      <c r="H86" s="1717"/>
      <c r="I86" s="1623"/>
      <c r="J86" s="1623"/>
    </row>
    <row r="87" spans="3:16">
      <c r="G87" s="1716"/>
      <c r="H87" s="1718"/>
      <c r="I87" s="1623"/>
      <c r="J87" s="1623"/>
    </row>
    <row r="88" spans="3:16">
      <c r="G88" s="1716"/>
      <c r="H88" s="1719"/>
      <c r="I88" s="1623"/>
      <c r="J88" s="1623"/>
    </row>
    <row r="89" spans="3:16">
      <c r="G89" s="1720"/>
      <c r="H89" s="1721"/>
      <c r="I89" s="1623"/>
      <c r="J89" s="1623"/>
    </row>
    <row r="90" spans="3:16">
      <c r="G90" s="1720"/>
      <c r="H90" s="1721"/>
      <c r="I90" s="1623"/>
      <c r="J90" s="1623"/>
    </row>
    <row r="95" spans="3:16">
      <c r="O95" s="1321"/>
    </row>
    <row r="96" spans="3:16">
      <c r="N96" s="1321" t="s">
        <v>403</v>
      </c>
      <c r="O96" s="1321"/>
      <c r="P96" s="1321" t="s">
        <v>2241</v>
      </c>
    </row>
    <row r="97" spans="14:16">
      <c r="N97" s="1321" t="s">
        <v>405</v>
      </c>
      <c r="O97" s="1321"/>
      <c r="P97" s="1321" t="s">
        <v>2242</v>
      </c>
    </row>
    <row r="98" spans="14:16">
      <c r="N98" s="1321" t="s">
        <v>404</v>
      </c>
    </row>
    <row r="171" spans="2:2" ht="18">
      <c r="B171" s="1323"/>
    </row>
  </sheetData>
  <sheetProtection sheet="1" objects="1" scenarios="1" formatCells="0" formatColumns="0" formatRows="0" insertColumns="0" insertRows="0"/>
  <mergeCells count="37">
    <mergeCell ref="B26:F26"/>
    <mergeCell ref="H5:I5"/>
    <mergeCell ref="H6:I6"/>
    <mergeCell ref="H7:I7"/>
    <mergeCell ref="H8:I8"/>
    <mergeCell ref="B9:G9"/>
    <mergeCell ref="B39:H39"/>
    <mergeCell ref="B27:F27"/>
    <mergeCell ref="B28:F28"/>
    <mergeCell ref="B30:E30"/>
    <mergeCell ref="C31:D31"/>
    <mergeCell ref="B32:B33"/>
    <mergeCell ref="C32:D32"/>
    <mergeCell ref="E32:E33"/>
    <mergeCell ref="C33:D33"/>
    <mergeCell ref="B34:H34"/>
    <mergeCell ref="B35:H35"/>
    <mergeCell ref="B36:H36"/>
    <mergeCell ref="B37:H37"/>
    <mergeCell ref="B38:H38"/>
    <mergeCell ref="H52:J52"/>
    <mergeCell ref="B40:H40"/>
    <mergeCell ref="B41:H41"/>
    <mergeCell ref="G42:H42"/>
    <mergeCell ref="I42:J42"/>
    <mergeCell ref="H45:J45"/>
    <mergeCell ref="H46:J46"/>
    <mergeCell ref="H47:J47"/>
    <mergeCell ref="H48:J48"/>
    <mergeCell ref="H49:J49"/>
    <mergeCell ref="H50:J50"/>
    <mergeCell ref="H51:J51"/>
    <mergeCell ref="H53:J53"/>
    <mergeCell ref="H54:J54"/>
    <mergeCell ref="C59:D59"/>
    <mergeCell ref="C60:D60"/>
    <mergeCell ref="C61:D61"/>
  </mergeCells>
  <dataValidations count="3">
    <dataValidation type="list" allowBlank="1" showInputMessage="1" showErrorMessage="1" sqref="H32:I33 JD32:JE33 SZ32:TA33 ACV32:ACW33 AMR32:AMS33 AWN32:AWO33 BGJ32:BGK33 BQF32:BQG33 CAB32:CAC33 CJX32:CJY33 CTT32:CTU33 DDP32:DDQ33 DNL32:DNM33 DXH32:DXI33 EHD32:EHE33 EQZ32:ERA33 FAV32:FAW33 FKR32:FKS33 FUN32:FUO33 GEJ32:GEK33 GOF32:GOG33 GYB32:GYC33 HHX32:HHY33 HRT32:HRU33 IBP32:IBQ33 ILL32:ILM33 IVH32:IVI33 JFD32:JFE33 JOZ32:JPA33 JYV32:JYW33 KIR32:KIS33 KSN32:KSO33 LCJ32:LCK33 LMF32:LMG33 LWB32:LWC33 MFX32:MFY33 MPT32:MPU33 MZP32:MZQ33 NJL32:NJM33 NTH32:NTI33 ODD32:ODE33 OMZ32:ONA33 OWV32:OWW33 PGR32:PGS33 PQN32:PQO33 QAJ32:QAK33 QKF32:QKG33 QUB32:QUC33 RDX32:RDY33 RNT32:RNU33 RXP32:RXQ33 SHL32:SHM33 SRH32:SRI33 TBD32:TBE33 TKZ32:TLA33 TUV32:TUW33 UER32:UES33 UON32:UOO33 UYJ32:UYK33 VIF32:VIG33 VSB32:VSC33 WBX32:WBY33 WLT32:WLU33 WVP32:WVQ33 H65568:I65569 JD65568:JE65569 SZ65568:TA65569 ACV65568:ACW65569 AMR65568:AMS65569 AWN65568:AWO65569 BGJ65568:BGK65569 BQF65568:BQG65569 CAB65568:CAC65569 CJX65568:CJY65569 CTT65568:CTU65569 DDP65568:DDQ65569 DNL65568:DNM65569 DXH65568:DXI65569 EHD65568:EHE65569 EQZ65568:ERA65569 FAV65568:FAW65569 FKR65568:FKS65569 FUN65568:FUO65569 GEJ65568:GEK65569 GOF65568:GOG65569 GYB65568:GYC65569 HHX65568:HHY65569 HRT65568:HRU65569 IBP65568:IBQ65569 ILL65568:ILM65569 IVH65568:IVI65569 JFD65568:JFE65569 JOZ65568:JPA65569 JYV65568:JYW65569 KIR65568:KIS65569 KSN65568:KSO65569 LCJ65568:LCK65569 LMF65568:LMG65569 LWB65568:LWC65569 MFX65568:MFY65569 MPT65568:MPU65569 MZP65568:MZQ65569 NJL65568:NJM65569 NTH65568:NTI65569 ODD65568:ODE65569 OMZ65568:ONA65569 OWV65568:OWW65569 PGR65568:PGS65569 PQN65568:PQO65569 QAJ65568:QAK65569 QKF65568:QKG65569 QUB65568:QUC65569 RDX65568:RDY65569 RNT65568:RNU65569 RXP65568:RXQ65569 SHL65568:SHM65569 SRH65568:SRI65569 TBD65568:TBE65569 TKZ65568:TLA65569 TUV65568:TUW65569 UER65568:UES65569 UON65568:UOO65569 UYJ65568:UYK65569 VIF65568:VIG65569 VSB65568:VSC65569 WBX65568:WBY65569 WLT65568:WLU65569 WVP65568:WVQ65569 H131104:I131105 JD131104:JE131105 SZ131104:TA131105 ACV131104:ACW131105 AMR131104:AMS131105 AWN131104:AWO131105 BGJ131104:BGK131105 BQF131104:BQG131105 CAB131104:CAC131105 CJX131104:CJY131105 CTT131104:CTU131105 DDP131104:DDQ131105 DNL131104:DNM131105 DXH131104:DXI131105 EHD131104:EHE131105 EQZ131104:ERA131105 FAV131104:FAW131105 FKR131104:FKS131105 FUN131104:FUO131105 GEJ131104:GEK131105 GOF131104:GOG131105 GYB131104:GYC131105 HHX131104:HHY131105 HRT131104:HRU131105 IBP131104:IBQ131105 ILL131104:ILM131105 IVH131104:IVI131105 JFD131104:JFE131105 JOZ131104:JPA131105 JYV131104:JYW131105 KIR131104:KIS131105 KSN131104:KSO131105 LCJ131104:LCK131105 LMF131104:LMG131105 LWB131104:LWC131105 MFX131104:MFY131105 MPT131104:MPU131105 MZP131104:MZQ131105 NJL131104:NJM131105 NTH131104:NTI131105 ODD131104:ODE131105 OMZ131104:ONA131105 OWV131104:OWW131105 PGR131104:PGS131105 PQN131104:PQO131105 QAJ131104:QAK131105 QKF131104:QKG131105 QUB131104:QUC131105 RDX131104:RDY131105 RNT131104:RNU131105 RXP131104:RXQ131105 SHL131104:SHM131105 SRH131104:SRI131105 TBD131104:TBE131105 TKZ131104:TLA131105 TUV131104:TUW131105 UER131104:UES131105 UON131104:UOO131105 UYJ131104:UYK131105 VIF131104:VIG131105 VSB131104:VSC131105 WBX131104:WBY131105 WLT131104:WLU131105 WVP131104:WVQ131105 H196640:I196641 JD196640:JE196641 SZ196640:TA196641 ACV196640:ACW196641 AMR196640:AMS196641 AWN196640:AWO196641 BGJ196640:BGK196641 BQF196640:BQG196641 CAB196640:CAC196641 CJX196640:CJY196641 CTT196640:CTU196641 DDP196640:DDQ196641 DNL196640:DNM196641 DXH196640:DXI196641 EHD196640:EHE196641 EQZ196640:ERA196641 FAV196640:FAW196641 FKR196640:FKS196641 FUN196640:FUO196641 GEJ196640:GEK196641 GOF196640:GOG196641 GYB196640:GYC196641 HHX196640:HHY196641 HRT196640:HRU196641 IBP196640:IBQ196641 ILL196640:ILM196641 IVH196640:IVI196641 JFD196640:JFE196641 JOZ196640:JPA196641 JYV196640:JYW196641 KIR196640:KIS196641 KSN196640:KSO196641 LCJ196640:LCK196641 LMF196640:LMG196641 LWB196640:LWC196641 MFX196640:MFY196641 MPT196640:MPU196641 MZP196640:MZQ196641 NJL196640:NJM196641 NTH196640:NTI196641 ODD196640:ODE196641 OMZ196640:ONA196641 OWV196640:OWW196641 PGR196640:PGS196641 PQN196640:PQO196641 QAJ196640:QAK196641 QKF196640:QKG196641 QUB196640:QUC196641 RDX196640:RDY196641 RNT196640:RNU196641 RXP196640:RXQ196641 SHL196640:SHM196641 SRH196640:SRI196641 TBD196640:TBE196641 TKZ196640:TLA196641 TUV196640:TUW196641 UER196640:UES196641 UON196640:UOO196641 UYJ196640:UYK196641 VIF196640:VIG196641 VSB196640:VSC196641 WBX196640:WBY196641 WLT196640:WLU196641 WVP196640:WVQ196641 H262176:I262177 JD262176:JE262177 SZ262176:TA262177 ACV262176:ACW262177 AMR262176:AMS262177 AWN262176:AWO262177 BGJ262176:BGK262177 BQF262176:BQG262177 CAB262176:CAC262177 CJX262176:CJY262177 CTT262176:CTU262177 DDP262176:DDQ262177 DNL262176:DNM262177 DXH262176:DXI262177 EHD262176:EHE262177 EQZ262176:ERA262177 FAV262176:FAW262177 FKR262176:FKS262177 FUN262176:FUO262177 GEJ262176:GEK262177 GOF262176:GOG262177 GYB262176:GYC262177 HHX262176:HHY262177 HRT262176:HRU262177 IBP262176:IBQ262177 ILL262176:ILM262177 IVH262176:IVI262177 JFD262176:JFE262177 JOZ262176:JPA262177 JYV262176:JYW262177 KIR262176:KIS262177 KSN262176:KSO262177 LCJ262176:LCK262177 LMF262176:LMG262177 LWB262176:LWC262177 MFX262176:MFY262177 MPT262176:MPU262177 MZP262176:MZQ262177 NJL262176:NJM262177 NTH262176:NTI262177 ODD262176:ODE262177 OMZ262176:ONA262177 OWV262176:OWW262177 PGR262176:PGS262177 PQN262176:PQO262177 QAJ262176:QAK262177 QKF262176:QKG262177 QUB262176:QUC262177 RDX262176:RDY262177 RNT262176:RNU262177 RXP262176:RXQ262177 SHL262176:SHM262177 SRH262176:SRI262177 TBD262176:TBE262177 TKZ262176:TLA262177 TUV262176:TUW262177 UER262176:UES262177 UON262176:UOO262177 UYJ262176:UYK262177 VIF262176:VIG262177 VSB262176:VSC262177 WBX262176:WBY262177 WLT262176:WLU262177 WVP262176:WVQ262177 H327712:I327713 JD327712:JE327713 SZ327712:TA327713 ACV327712:ACW327713 AMR327712:AMS327713 AWN327712:AWO327713 BGJ327712:BGK327713 BQF327712:BQG327713 CAB327712:CAC327713 CJX327712:CJY327713 CTT327712:CTU327713 DDP327712:DDQ327713 DNL327712:DNM327713 DXH327712:DXI327713 EHD327712:EHE327713 EQZ327712:ERA327713 FAV327712:FAW327713 FKR327712:FKS327713 FUN327712:FUO327713 GEJ327712:GEK327713 GOF327712:GOG327713 GYB327712:GYC327713 HHX327712:HHY327713 HRT327712:HRU327713 IBP327712:IBQ327713 ILL327712:ILM327713 IVH327712:IVI327713 JFD327712:JFE327713 JOZ327712:JPA327713 JYV327712:JYW327713 KIR327712:KIS327713 KSN327712:KSO327713 LCJ327712:LCK327713 LMF327712:LMG327713 LWB327712:LWC327713 MFX327712:MFY327713 MPT327712:MPU327713 MZP327712:MZQ327713 NJL327712:NJM327713 NTH327712:NTI327713 ODD327712:ODE327713 OMZ327712:ONA327713 OWV327712:OWW327713 PGR327712:PGS327713 PQN327712:PQO327713 QAJ327712:QAK327713 QKF327712:QKG327713 QUB327712:QUC327713 RDX327712:RDY327713 RNT327712:RNU327713 RXP327712:RXQ327713 SHL327712:SHM327713 SRH327712:SRI327713 TBD327712:TBE327713 TKZ327712:TLA327713 TUV327712:TUW327713 UER327712:UES327713 UON327712:UOO327713 UYJ327712:UYK327713 VIF327712:VIG327713 VSB327712:VSC327713 WBX327712:WBY327713 WLT327712:WLU327713 WVP327712:WVQ327713 H393248:I393249 JD393248:JE393249 SZ393248:TA393249 ACV393248:ACW393249 AMR393248:AMS393249 AWN393248:AWO393249 BGJ393248:BGK393249 BQF393248:BQG393249 CAB393248:CAC393249 CJX393248:CJY393249 CTT393248:CTU393249 DDP393248:DDQ393249 DNL393248:DNM393249 DXH393248:DXI393249 EHD393248:EHE393249 EQZ393248:ERA393249 FAV393248:FAW393249 FKR393248:FKS393249 FUN393248:FUO393249 GEJ393248:GEK393249 GOF393248:GOG393249 GYB393248:GYC393249 HHX393248:HHY393249 HRT393248:HRU393249 IBP393248:IBQ393249 ILL393248:ILM393249 IVH393248:IVI393249 JFD393248:JFE393249 JOZ393248:JPA393249 JYV393248:JYW393249 KIR393248:KIS393249 KSN393248:KSO393249 LCJ393248:LCK393249 LMF393248:LMG393249 LWB393248:LWC393249 MFX393248:MFY393249 MPT393248:MPU393249 MZP393248:MZQ393249 NJL393248:NJM393249 NTH393248:NTI393249 ODD393248:ODE393249 OMZ393248:ONA393249 OWV393248:OWW393249 PGR393248:PGS393249 PQN393248:PQO393249 QAJ393248:QAK393249 QKF393248:QKG393249 QUB393248:QUC393249 RDX393248:RDY393249 RNT393248:RNU393249 RXP393248:RXQ393249 SHL393248:SHM393249 SRH393248:SRI393249 TBD393248:TBE393249 TKZ393248:TLA393249 TUV393248:TUW393249 UER393248:UES393249 UON393248:UOO393249 UYJ393248:UYK393249 VIF393248:VIG393249 VSB393248:VSC393249 WBX393248:WBY393249 WLT393248:WLU393249 WVP393248:WVQ393249 H458784:I458785 JD458784:JE458785 SZ458784:TA458785 ACV458784:ACW458785 AMR458784:AMS458785 AWN458784:AWO458785 BGJ458784:BGK458785 BQF458784:BQG458785 CAB458784:CAC458785 CJX458784:CJY458785 CTT458784:CTU458785 DDP458784:DDQ458785 DNL458784:DNM458785 DXH458784:DXI458785 EHD458784:EHE458785 EQZ458784:ERA458785 FAV458784:FAW458785 FKR458784:FKS458785 FUN458784:FUO458785 GEJ458784:GEK458785 GOF458784:GOG458785 GYB458784:GYC458785 HHX458784:HHY458785 HRT458784:HRU458785 IBP458784:IBQ458785 ILL458784:ILM458785 IVH458784:IVI458785 JFD458784:JFE458785 JOZ458784:JPA458785 JYV458784:JYW458785 KIR458784:KIS458785 KSN458784:KSO458785 LCJ458784:LCK458785 LMF458784:LMG458785 LWB458784:LWC458785 MFX458784:MFY458785 MPT458784:MPU458785 MZP458784:MZQ458785 NJL458784:NJM458785 NTH458784:NTI458785 ODD458784:ODE458785 OMZ458784:ONA458785 OWV458784:OWW458785 PGR458784:PGS458785 PQN458784:PQO458785 QAJ458784:QAK458785 QKF458784:QKG458785 QUB458784:QUC458785 RDX458784:RDY458785 RNT458784:RNU458785 RXP458784:RXQ458785 SHL458784:SHM458785 SRH458784:SRI458785 TBD458784:TBE458785 TKZ458784:TLA458785 TUV458784:TUW458785 UER458784:UES458785 UON458784:UOO458785 UYJ458784:UYK458785 VIF458784:VIG458785 VSB458784:VSC458785 WBX458784:WBY458785 WLT458784:WLU458785 WVP458784:WVQ458785 H524320:I524321 JD524320:JE524321 SZ524320:TA524321 ACV524320:ACW524321 AMR524320:AMS524321 AWN524320:AWO524321 BGJ524320:BGK524321 BQF524320:BQG524321 CAB524320:CAC524321 CJX524320:CJY524321 CTT524320:CTU524321 DDP524320:DDQ524321 DNL524320:DNM524321 DXH524320:DXI524321 EHD524320:EHE524321 EQZ524320:ERA524321 FAV524320:FAW524321 FKR524320:FKS524321 FUN524320:FUO524321 GEJ524320:GEK524321 GOF524320:GOG524321 GYB524320:GYC524321 HHX524320:HHY524321 HRT524320:HRU524321 IBP524320:IBQ524321 ILL524320:ILM524321 IVH524320:IVI524321 JFD524320:JFE524321 JOZ524320:JPA524321 JYV524320:JYW524321 KIR524320:KIS524321 KSN524320:KSO524321 LCJ524320:LCK524321 LMF524320:LMG524321 LWB524320:LWC524321 MFX524320:MFY524321 MPT524320:MPU524321 MZP524320:MZQ524321 NJL524320:NJM524321 NTH524320:NTI524321 ODD524320:ODE524321 OMZ524320:ONA524321 OWV524320:OWW524321 PGR524320:PGS524321 PQN524320:PQO524321 QAJ524320:QAK524321 QKF524320:QKG524321 QUB524320:QUC524321 RDX524320:RDY524321 RNT524320:RNU524321 RXP524320:RXQ524321 SHL524320:SHM524321 SRH524320:SRI524321 TBD524320:TBE524321 TKZ524320:TLA524321 TUV524320:TUW524321 UER524320:UES524321 UON524320:UOO524321 UYJ524320:UYK524321 VIF524320:VIG524321 VSB524320:VSC524321 WBX524320:WBY524321 WLT524320:WLU524321 WVP524320:WVQ524321 H589856:I589857 JD589856:JE589857 SZ589856:TA589857 ACV589856:ACW589857 AMR589856:AMS589857 AWN589856:AWO589857 BGJ589856:BGK589857 BQF589856:BQG589857 CAB589856:CAC589857 CJX589856:CJY589857 CTT589856:CTU589857 DDP589856:DDQ589857 DNL589856:DNM589857 DXH589856:DXI589857 EHD589856:EHE589857 EQZ589856:ERA589857 FAV589856:FAW589857 FKR589856:FKS589857 FUN589856:FUO589857 GEJ589856:GEK589857 GOF589856:GOG589857 GYB589856:GYC589857 HHX589856:HHY589857 HRT589856:HRU589857 IBP589856:IBQ589857 ILL589856:ILM589857 IVH589856:IVI589857 JFD589856:JFE589857 JOZ589856:JPA589857 JYV589856:JYW589857 KIR589856:KIS589857 KSN589856:KSO589857 LCJ589856:LCK589857 LMF589856:LMG589857 LWB589856:LWC589857 MFX589856:MFY589857 MPT589856:MPU589857 MZP589856:MZQ589857 NJL589856:NJM589857 NTH589856:NTI589857 ODD589856:ODE589857 OMZ589856:ONA589857 OWV589856:OWW589857 PGR589856:PGS589857 PQN589856:PQO589857 QAJ589856:QAK589857 QKF589856:QKG589857 QUB589856:QUC589857 RDX589856:RDY589857 RNT589856:RNU589857 RXP589856:RXQ589857 SHL589856:SHM589857 SRH589856:SRI589857 TBD589856:TBE589857 TKZ589856:TLA589857 TUV589856:TUW589857 UER589856:UES589857 UON589856:UOO589857 UYJ589856:UYK589857 VIF589856:VIG589857 VSB589856:VSC589857 WBX589856:WBY589857 WLT589856:WLU589857 WVP589856:WVQ589857 H655392:I655393 JD655392:JE655393 SZ655392:TA655393 ACV655392:ACW655393 AMR655392:AMS655393 AWN655392:AWO655393 BGJ655392:BGK655393 BQF655392:BQG655393 CAB655392:CAC655393 CJX655392:CJY655393 CTT655392:CTU655393 DDP655392:DDQ655393 DNL655392:DNM655393 DXH655392:DXI655393 EHD655392:EHE655393 EQZ655392:ERA655393 FAV655392:FAW655393 FKR655392:FKS655393 FUN655392:FUO655393 GEJ655392:GEK655393 GOF655392:GOG655393 GYB655392:GYC655393 HHX655392:HHY655393 HRT655392:HRU655393 IBP655392:IBQ655393 ILL655392:ILM655393 IVH655392:IVI655393 JFD655392:JFE655393 JOZ655392:JPA655393 JYV655392:JYW655393 KIR655392:KIS655393 KSN655392:KSO655393 LCJ655392:LCK655393 LMF655392:LMG655393 LWB655392:LWC655393 MFX655392:MFY655393 MPT655392:MPU655393 MZP655392:MZQ655393 NJL655392:NJM655393 NTH655392:NTI655393 ODD655392:ODE655393 OMZ655392:ONA655393 OWV655392:OWW655393 PGR655392:PGS655393 PQN655392:PQO655393 QAJ655392:QAK655393 QKF655392:QKG655393 QUB655392:QUC655393 RDX655392:RDY655393 RNT655392:RNU655393 RXP655392:RXQ655393 SHL655392:SHM655393 SRH655392:SRI655393 TBD655392:TBE655393 TKZ655392:TLA655393 TUV655392:TUW655393 UER655392:UES655393 UON655392:UOO655393 UYJ655392:UYK655393 VIF655392:VIG655393 VSB655392:VSC655393 WBX655392:WBY655393 WLT655392:WLU655393 WVP655392:WVQ655393 H720928:I720929 JD720928:JE720929 SZ720928:TA720929 ACV720928:ACW720929 AMR720928:AMS720929 AWN720928:AWO720929 BGJ720928:BGK720929 BQF720928:BQG720929 CAB720928:CAC720929 CJX720928:CJY720929 CTT720928:CTU720929 DDP720928:DDQ720929 DNL720928:DNM720929 DXH720928:DXI720929 EHD720928:EHE720929 EQZ720928:ERA720929 FAV720928:FAW720929 FKR720928:FKS720929 FUN720928:FUO720929 GEJ720928:GEK720929 GOF720928:GOG720929 GYB720928:GYC720929 HHX720928:HHY720929 HRT720928:HRU720929 IBP720928:IBQ720929 ILL720928:ILM720929 IVH720928:IVI720929 JFD720928:JFE720929 JOZ720928:JPA720929 JYV720928:JYW720929 KIR720928:KIS720929 KSN720928:KSO720929 LCJ720928:LCK720929 LMF720928:LMG720929 LWB720928:LWC720929 MFX720928:MFY720929 MPT720928:MPU720929 MZP720928:MZQ720929 NJL720928:NJM720929 NTH720928:NTI720929 ODD720928:ODE720929 OMZ720928:ONA720929 OWV720928:OWW720929 PGR720928:PGS720929 PQN720928:PQO720929 QAJ720928:QAK720929 QKF720928:QKG720929 QUB720928:QUC720929 RDX720928:RDY720929 RNT720928:RNU720929 RXP720928:RXQ720929 SHL720928:SHM720929 SRH720928:SRI720929 TBD720928:TBE720929 TKZ720928:TLA720929 TUV720928:TUW720929 UER720928:UES720929 UON720928:UOO720929 UYJ720928:UYK720929 VIF720928:VIG720929 VSB720928:VSC720929 WBX720928:WBY720929 WLT720928:WLU720929 WVP720928:WVQ720929 H786464:I786465 JD786464:JE786465 SZ786464:TA786465 ACV786464:ACW786465 AMR786464:AMS786465 AWN786464:AWO786465 BGJ786464:BGK786465 BQF786464:BQG786465 CAB786464:CAC786465 CJX786464:CJY786465 CTT786464:CTU786465 DDP786464:DDQ786465 DNL786464:DNM786465 DXH786464:DXI786465 EHD786464:EHE786465 EQZ786464:ERA786465 FAV786464:FAW786465 FKR786464:FKS786465 FUN786464:FUO786465 GEJ786464:GEK786465 GOF786464:GOG786465 GYB786464:GYC786465 HHX786464:HHY786465 HRT786464:HRU786465 IBP786464:IBQ786465 ILL786464:ILM786465 IVH786464:IVI786465 JFD786464:JFE786465 JOZ786464:JPA786465 JYV786464:JYW786465 KIR786464:KIS786465 KSN786464:KSO786465 LCJ786464:LCK786465 LMF786464:LMG786465 LWB786464:LWC786465 MFX786464:MFY786465 MPT786464:MPU786465 MZP786464:MZQ786465 NJL786464:NJM786465 NTH786464:NTI786465 ODD786464:ODE786465 OMZ786464:ONA786465 OWV786464:OWW786465 PGR786464:PGS786465 PQN786464:PQO786465 QAJ786464:QAK786465 QKF786464:QKG786465 QUB786464:QUC786465 RDX786464:RDY786465 RNT786464:RNU786465 RXP786464:RXQ786465 SHL786464:SHM786465 SRH786464:SRI786465 TBD786464:TBE786465 TKZ786464:TLA786465 TUV786464:TUW786465 UER786464:UES786465 UON786464:UOO786465 UYJ786464:UYK786465 VIF786464:VIG786465 VSB786464:VSC786465 WBX786464:WBY786465 WLT786464:WLU786465 WVP786464:WVQ786465 H852000:I852001 JD852000:JE852001 SZ852000:TA852001 ACV852000:ACW852001 AMR852000:AMS852001 AWN852000:AWO852001 BGJ852000:BGK852001 BQF852000:BQG852001 CAB852000:CAC852001 CJX852000:CJY852001 CTT852000:CTU852001 DDP852000:DDQ852001 DNL852000:DNM852001 DXH852000:DXI852001 EHD852000:EHE852001 EQZ852000:ERA852001 FAV852000:FAW852001 FKR852000:FKS852001 FUN852000:FUO852001 GEJ852000:GEK852001 GOF852000:GOG852001 GYB852000:GYC852001 HHX852000:HHY852001 HRT852000:HRU852001 IBP852000:IBQ852001 ILL852000:ILM852001 IVH852000:IVI852001 JFD852000:JFE852001 JOZ852000:JPA852001 JYV852000:JYW852001 KIR852000:KIS852001 KSN852000:KSO852001 LCJ852000:LCK852001 LMF852000:LMG852001 LWB852000:LWC852001 MFX852000:MFY852001 MPT852000:MPU852001 MZP852000:MZQ852001 NJL852000:NJM852001 NTH852000:NTI852001 ODD852000:ODE852001 OMZ852000:ONA852001 OWV852000:OWW852001 PGR852000:PGS852001 PQN852000:PQO852001 QAJ852000:QAK852001 QKF852000:QKG852001 QUB852000:QUC852001 RDX852000:RDY852001 RNT852000:RNU852001 RXP852000:RXQ852001 SHL852000:SHM852001 SRH852000:SRI852001 TBD852000:TBE852001 TKZ852000:TLA852001 TUV852000:TUW852001 UER852000:UES852001 UON852000:UOO852001 UYJ852000:UYK852001 VIF852000:VIG852001 VSB852000:VSC852001 WBX852000:WBY852001 WLT852000:WLU852001 WVP852000:WVQ852001 H917536:I917537 JD917536:JE917537 SZ917536:TA917537 ACV917536:ACW917537 AMR917536:AMS917537 AWN917536:AWO917537 BGJ917536:BGK917537 BQF917536:BQG917537 CAB917536:CAC917537 CJX917536:CJY917537 CTT917536:CTU917537 DDP917536:DDQ917537 DNL917536:DNM917537 DXH917536:DXI917537 EHD917536:EHE917537 EQZ917536:ERA917537 FAV917536:FAW917537 FKR917536:FKS917537 FUN917536:FUO917537 GEJ917536:GEK917537 GOF917536:GOG917537 GYB917536:GYC917537 HHX917536:HHY917537 HRT917536:HRU917537 IBP917536:IBQ917537 ILL917536:ILM917537 IVH917536:IVI917537 JFD917536:JFE917537 JOZ917536:JPA917537 JYV917536:JYW917537 KIR917536:KIS917537 KSN917536:KSO917537 LCJ917536:LCK917537 LMF917536:LMG917537 LWB917536:LWC917537 MFX917536:MFY917537 MPT917536:MPU917537 MZP917536:MZQ917537 NJL917536:NJM917537 NTH917536:NTI917537 ODD917536:ODE917537 OMZ917536:ONA917537 OWV917536:OWW917537 PGR917536:PGS917537 PQN917536:PQO917537 QAJ917536:QAK917537 QKF917536:QKG917537 QUB917536:QUC917537 RDX917536:RDY917537 RNT917536:RNU917537 RXP917536:RXQ917537 SHL917536:SHM917537 SRH917536:SRI917537 TBD917536:TBE917537 TKZ917536:TLA917537 TUV917536:TUW917537 UER917536:UES917537 UON917536:UOO917537 UYJ917536:UYK917537 VIF917536:VIG917537 VSB917536:VSC917537 WBX917536:WBY917537 WLT917536:WLU917537 WVP917536:WVQ917537 H983072:I983073 JD983072:JE983073 SZ983072:TA983073 ACV983072:ACW983073 AMR983072:AMS983073 AWN983072:AWO983073 BGJ983072:BGK983073 BQF983072:BQG983073 CAB983072:CAC983073 CJX983072:CJY983073 CTT983072:CTU983073 DDP983072:DDQ983073 DNL983072:DNM983073 DXH983072:DXI983073 EHD983072:EHE983073 EQZ983072:ERA983073 FAV983072:FAW983073 FKR983072:FKS983073 FUN983072:FUO983073 GEJ983072:GEK983073 GOF983072:GOG983073 GYB983072:GYC983073 HHX983072:HHY983073 HRT983072:HRU983073 IBP983072:IBQ983073 ILL983072:ILM983073 IVH983072:IVI983073 JFD983072:JFE983073 JOZ983072:JPA983073 JYV983072:JYW983073 KIR983072:KIS983073 KSN983072:KSO983073 LCJ983072:LCK983073 LMF983072:LMG983073 LWB983072:LWC983073 MFX983072:MFY983073 MPT983072:MPU983073 MZP983072:MZQ983073 NJL983072:NJM983073 NTH983072:NTI983073 ODD983072:ODE983073 OMZ983072:ONA983073 OWV983072:OWW983073 PGR983072:PGS983073 PQN983072:PQO983073 QAJ983072:QAK983073 QKF983072:QKG983073 QUB983072:QUC983073 RDX983072:RDY983073 RNT983072:RNU983073 RXP983072:RXQ983073 SHL983072:SHM983073 SRH983072:SRI983073 TBD983072:TBE983073 TKZ983072:TLA983073 TUV983072:TUW983073 UER983072:UES983073 UON983072:UOO983073 UYJ983072:UYK983073 VIF983072:VIG983073 VSB983072:VSC983073 WBX983072:WBY983073 WLT983072:WLU983073 WVP983072:WVQ983073 I34:I41 JE34:JE41 TA34:TA41 ACW34:ACW41 AMS34:AMS41 AWO34:AWO41 BGK34:BGK41 BQG34:BQG41 CAC34:CAC41 CJY34:CJY41 CTU34:CTU41 DDQ34:DDQ41 DNM34:DNM41 DXI34:DXI41 EHE34:EHE41 ERA34:ERA41 FAW34:FAW41 FKS34:FKS41 FUO34:FUO41 GEK34:GEK41 GOG34:GOG41 GYC34:GYC41 HHY34:HHY41 HRU34:HRU41 IBQ34:IBQ41 ILM34:ILM41 IVI34:IVI41 JFE34:JFE41 JPA34:JPA41 JYW34:JYW41 KIS34:KIS41 KSO34:KSO41 LCK34:LCK41 LMG34:LMG41 LWC34:LWC41 MFY34:MFY41 MPU34:MPU41 MZQ34:MZQ41 NJM34:NJM41 NTI34:NTI41 ODE34:ODE41 ONA34:ONA41 OWW34:OWW41 PGS34:PGS41 PQO34:PQO41 QAK34:QAK41 QKG34:QKG41 QUC34:QUC41 RDY34:RDY41 RNU34:RNU41 RXQ34:RXQ41 SHM34:SHM41 SRI34:SRI41 TBE34:TBE41 TLA34:TLA41 TUW34:TUW41 UES34:UES41 UOO34:UOO41 UYK34:UYK41 VIG34:VIG41 VSC34:VSC41 WBY34:WBY41 WLU34:WLU41 WVQ34:WVQ41 I65570:I65577 JE65570:JE65577 TA65570:TA65577 ACW65570:ACW65577 AMS65570:AMS65577 AWO65570:AWO65577 BGK65570:BGK65577 BQG65570:BQG65577 CAC65570:CAC65577 CJY65570:CJY65577 CTU65570:CTU65577 DDQ65570:DDQ65577 DNM65570:DNM65577 DXI65570:DXI65577 EHE65570:EHE65577 ERA65570:ERA65577 FAW65570:FAW65577 FKS65570:FKS65577 FUO65570:FUO65577 GEK65570:GEK65577 GOG65570:GOG65577 GYC65570:GYC65577 HHY65570:HHY65577 HRU65570:HRU65577 IBQ65570:IBQ65577 ILM65570:ILM65577 IVI65570:IVI65577 JFE65570:JFE65577 JPA65570:JPA65577 JYW65570:JYW65577 KIS65570:KIS65577 KSO65570:KSO65577 LCK65570:LCK65577 LMG65570:LMG65577 LWC65570:LWC65577 MFY65570:MFY65577 MPU65570:MPU65577 MZQ65570:MZQ65577 NJM65570:NJM65577 NTI65570:NTI65577 ODE65570:ODE65577 ONA65570:ONA65577 OWW65570:OWW65577 PGS65570:PGS65577 PQO65570:PQO65577 QAK65570:QAK65577 QKG65570:QKG65577 QUC65570:QUC65577 RDY65570:RDY65577 RNU65570:RNU65577 RXQ65570:RXQ65577 SHM65570:SHM65577 SRI65570:SRI65577 TBE65570:TBE65577 TLA65570:TLA65577 TUW65570:TUW65577 UES65570:UES65577 UOO65570:UOO65577 UYK65570:UYK65577 VIG65570:VIG65577 VSC65570:VSC65577 WBY65570:WBY65577 WLU65570:WLU65577 WVQ65570:WVQ65577 I131106:I131113 JE131106:JE131113 TA131106:TA131113 ACW131106:ACW131113 AMS131106:AMS131113 AWO131106:AWO131113 BGK131106:BGK131113 BQG131106:BQG131113 CAC131106:CAC131113 CJY131106:CJY131113 CTU131106:CTU131113 DDQ131106:DDQ131113 DNM131106:DNM131113 DXI131106:DXI131113 EHE131106:EHE131113 ERA131106:ERA131113 FAW131106:FAW131113 FKS131106:FKS131113 FUO131106:FUO131113 GEK131106:GEK131113 GOG131106:GOG131113 GYC131106:GYC131113 HHY131106:HHY131113 HRU131106:HRU131113 IBQ131106:IBQ131113 ILM131106:ILM131113 IVI131106:IVI131113 JFE131106:JFE131113 JPA131106:JPA131113 JYW131106:JYW131113 KIS131106:KIS131113 KSO131106:KSO131113 LCK131106:LCK131113 LMG131106:LMG131113 LWC131106:LWC131113 MFY131106:MFY131113 MPU131106:MPU131113 MZQ131106:MZQ131113 NJM131106:NJM131113 NTI131106:NTI131113 ODE131106:ODE131113 ONA131106:ONA131113 OWW131106:OWW131113 PGS131106:PGS131113 PQO131106:PQO131113 QAK131106:QAK131113 QKG131106:QKG131113 QUC131106:QUC131113 RDY131106:RDY131113 RNU131106:RNU131113 RXQ131106:RXQ131113 SHM131106:SHM131113 SRI131106:SRI131113 TBE131106:TBE131113 TLA131106:TLA131113 TUW131106:TUW131113 UES131106:UES131113 UOO131106:UOO131113 UYK131106:UYK131113 VIG131106:VIG131113 VSC131106:VSC131113 WBY131106:WBY131113 WLU131106:WLU131113 WVQ131106:WVQ131113 I196642:I196649 JE196642:JE196649 TA196642:TA196649 ACW196642:ACW196649 AMS196642:AMS196649 AWO196642:AWO196649 BGK196642:BGK196649 BQG196642:BQG196649 CAC196642:CAC196649 CJY196642:CJY196649 CTU196642:CTU196649 DDQ196642:DDQ196649 DNM196642:DNM196649 DXI196642:DXI196649 EHE196642:EHE196649 ERA196642:ERA196649 FAW196642:FAW196649 FKS196642:FKS196649 FUO196642:FUO196649 GEK196642:GEK196649 GOG196642:GOG196649 GYC196642:GYC196649 HHY196642:HHY196649 HRU196642:HRU196649 IBQ196642:IBQ196649 ILM196642:ILM196649 IVI196642:IVI196649 JFE196642:JFE196649 JPA196642:JPA196649 JYW196642:JYW196649 KIS196642:KIS196649 KSO196642:KSO196649 LCK196642:LCK196649 LMG196642:LMG196649 LWC196642:LWC196649 MFY196642:MFY196649 MPU196642:MPU196649 MZQ196642:MZQ196649 NJM196642:NJM196649 NTI196642:NTI196649 ODE196642:ODE196649 ONA196642:ONA196649 OWW196642:OWW196649 PGS196642:PGS196649 PQO196642:PQO196649 QAK196642:QAK196649 QKG196642:QKG196649 QUC196642:QUC196649 RDY196642:RDY196649 RNU196642:RNU196649 RXQ196642:RXQ196649 SHM196642:SHM196649 SRI196642:SRI196649 TBE196642:TBE196649 TLA196642:TLA196649 TUW196642:TUW196649 UES196642:UES196649 UOO196642:UOO196649 UYK196642:UYK196649 VIG196642:VIG196649 VSC196642:VSC196649 WBY196642:WBY196649 WLU196642:WLU196649 WVQ196642:WVQ196649 I262178:I262185 JE262178:JE262185 TA262178:TA262185 ACW262178:ACW262185 AMS262178:AMS262185 AWO262178:AWO262185 BGK262178:BGK262185 BQG262178:BQG262185 CAC262178:CAC262185 CJY262178:CJY262185 CTU262178:CTU262185 DDQ262178:DDQ262185 DNM262178:DNM262185 DXI262178:DXI262185 EHE262178:EHE262185 ERA262178:ERA262185 FAW262178:FAW262185 FKS262178:FKS262185 FUO262178:FUO262185 GEK262178:GEK262185 GOG262178:GOG262185 GYC262178:GYC262185 HHY262178:HHY262185 HRU262178:HRU262185 IBQ262178:IBQ262185 ILM262178:ILM262185 IVI262178:IVI262185 JFE262178:JFE262185 JPA262178:JPA262185 JYW262178:JYW262185 KIS262178:KIS262185 KSO262178:KSO262185 LCK262178:LCK262185 LMG262178:LMG262185 LWC262178:LWC262185 MFY262178:MFY262185 MPU262178:MPU262185 MZQ262178:MZQ262185 NJM262178:NJM262185 NTI262178:NTI262185 ODE262178:ODE262185 ONA262178:ONA262185 OWW262178:OWW262185 PGS262178:PGS262185 PQO262178:PQO262185 QAK262178:QAK262185 QKG262178:QKG262185 QUC262178:QUC262185 RDY262178:RDY262185 RNU262178:RNU262185 RXQ262178:RXQ262185 SHM262178:SHM262185 SRI262178:SRI262185 TBE262178:TBE262185 TLA262178:TLA262185 TUW262178:TUW262185 UES262178:UES262185 UOO262178:UOO262185 UYK262178:UYK262185 VIG262178:VIG262185 VSC262178:VSC262185 WBY262178:WBY262185 WLU262178:WLU262185 WVQ262178:WVQ262185 I327714:I327721 JE327714:JE327721 TA327714:TA327721 ACW327714:ACW327721 AMS327714:AMS327721 AWO327714:AWO327721 BGK327714:BGK327721 BQG327714:BQG327721 CAC327714:CAC327721 CJY327714:CJY327721 CTU327714:CTU327721 DDQ327714:DDQ327721 DNM327714:DNM327721 DXI327714:DXI327721 EHE327714:EHE327721 ERA327714:ERA327721 FAW327714:FAW327721 FKS327714:FKS327721 FUO327714:FUO327721 GEK327714:GEK327721 GOG327714:GOG327721 GYC327714:GYC327721 HHY327714:HHY327721 HRU327714:HRU327721 IBQ327714:IBQ327721 ILM327714:ILM327721 IVI327714:IVI327721 JFE327714:JFE327721 JPA327714:JPA327721 JYW327714:JYW327721 KIS327714:KIS327721 KSO327714:KSO327721 LCK327714:LCK327721 LMG327714:LMG327721 LWC327714:LWC327721 MFY327714:MFY327721 MPU327714:MPU327721 MZQ327714:MZQ327721 NJM327714:NJM327721 NTI327714:NTI327721 ODE327714:ODE327721 ONA327714:ONA327721 OWW327714:OWW327721 PGS327714:PGS327721 PQO327714:PQO327721 QAK327714:QAK327721 QKG327714:QKG327721 QUC327714:QUC327721 RDY327714:RDY327721 RNU327714:RNU327721 RXQ327714:RXQ327721 SHM327714:SHM327721 SRI327714:SRI327721 TBE327714:TBE327721 TLA327714:TLA327721 TUW327714:TUW327721 UES327714:UES327721 UOO327714:UOO327721 UYK327714:UYK327721 VIG327714:VIG327721 VSC327714:VSC327721 WBY327714:WBY327721 WLU327714:WLU327721 WVQ327714:WVQ327721 I393250:I393257 JE393250:JE393257 TA393250:TA393257 ACW393250:ACW393257 AMS393250:AMS393257 AWO393250:AWO393257 BGK393250:BGK393257 BQG393250:BQG393257 CAC393250:CAC393257 CJY393250:CJY393257 CTU393250:CTU393257 DDQ393250:DDQ393257 DNM393250:DNM393257 DXI393250:DXI393257 EHE393250:EHE393257 ERA393250:ERA393257 FAW393250:FAW393257 FKS393250:FKS393257 FUO393250:FUO393257 GEK393250:GEK393257 GOG393250:GOG393257 GYC393250:GYC393257 HHY393250:HHY393257 HRU393250:HRU393257 IBQ393250:IBQ393257 ILM393250:ILM393257 IVI393250:IVI393257 JFE393250:JFE393257 JPA393250:JPA393257 JYW393250:JYW393257 KIS393250:KIS393257 KSO393250:KSO393257 LCK393250:LCK393257 LMG393250:LMG393257 LWC393250:LWC393257 MFY393250:MFY393257 MPU393250:MPU393257 MZQ393250:MZQ393257 NJM393250:NJM393257 NTI393250:NTI393257 ODE393250:ODE393257 ONA393250:ONA393257 OWW393250:OWW393257 PGS393250:PGS393257 PQO393250:PQO393257 QAK393250:QAK393257 QKG393250:QKG393257 QUC393250:QUC393257 RDY393250:RDY393257 RNU393250:RNU393257 RXQ393250:RXQ393257 SHM393250:SHM393257 SRI393250:SRI393257 TBE393250:TBE393257 TLA393250:TLA393257 TUW393250:TUW393257 UES393250:UES393257 UOO393250:UOO393257 UYK393250:UYK393257 VIG393250:VIG393257 VSC393250:VSC393257 WBY393250:WBY393257 WLU393250:WLU393257 WVQ393250:WVQ393257 I458786:I458793 JE458786:JE458793 TA458786:TA458793 ACW458786:ACW458793 AMS458786:AMS458793 AWO458786:AWO458793 BGK458786:BGK458793 BQG458786:BQG458793 CAC458786:CAC458793 CJY458786:CJY458793 CTU458786:CTU458793 DDQ458786:DDQ458793 DNM458786:DNM458793 DXI458786:DXI458793 EHE458786:EHE458793 ERA458786:ERA458793 FAW458786:FAW458793 FKS458786:FKS458793 FUO458786:FUO458793 GEK458786:GEK458793 GOG458786:GOG458793 GYC458786:GYC458793 HHY458786:HHY458793 HRU458786:HRU458793 IBQ458786:IBQ458793 ILM458786:ILM458793 IVI458786:IVI458793 JFE458786:JFE458793 JPA458786:JPA458793 JYW458786:JYW458793 KIS458786:KIS458793 KSO458786:KSO458793 LCK458786:LCK458793 LMG458786:LMG458793 LWC458786:LWC458793 MFY458786:MFY458793 MPU458786:MPU458793 MZQ458786:MZQ458793 NJM458786:NJM458793 NTI458786:NTI458793 ODE458786:ODE458793 ONA458786:ONA458793 OWW458786:OWW458793 PGS458786:PGS458793 PQO458786:PQO458793 QAK458786:QAK458793 QKG458786:QKG458793 QUC458786:QUC458793 RDY458786:RDY458793 RNU458786:RNU458793 RXQ458786:RXQ458793 SHM458786:SHM458793 SRI458786:SRI458793 TBE458786:TBE458793 TLA458786:TLA458793 TUW458786:TUW458793 UES458786:UES458793 UOO458786:UOO458793 UYK458786:UYK458793 VIG458786:VIG458793 VSC458786:VSC458793 WBY458786:WBY458793 WLU458786:WLU458793 WVQ458786:WVQ458793 I524322:I524329 JE524322:JE524329 TA524322:TA524329 ACW524322:ACW524329 AMS524322:AMS524329 AWO524322:AWO524329 BGK524322:BGK524329 BQG524322:BQG524329 CAC524322:CAC524329 CJY524322:CJY524329 CTU524322:CTU524329 DDQ524322:DDQ524329 DNM524322:DNM524329 DXI524322:DXI524329 EHE524322:EHE524329 ERA524322:ERA524329 FAW524322:FAW524329 FKS524322:FKS524329 FUO524322:FUO524329 GEK524322:GEK524329 GOG524322:GOG524329 GYC524322:GYC524329 HHY524322:HHY524329 HRU524322:HRU524329 IBQ524322:IBQ524329 ILM524322:ILM524329 IVI524322:IVI524329 JFE524322:JFE524329 JPA524322:JPA524329 JYW524322:JYW524329 KIS524322:KIS524329 KSO524322:KSO524329 LCK524322:LCK524329 LMG524322:LMG524329 LWC524322:LWC524329 MFY524322:MFY524329 MPU524322:MPU524329 MZQ524322:MZQ524329 NJM524322:NJM524329 NTI524322:NTI524329 ODE524322:ODE524329 ONA524322:ONA524329 OWW524322:OWW524329 PGS524322:PGS524329 PQO524322:PQO524329 QAK524322:QAK524329 QKG524322:QKG524329 QUC524322:QUC524329 RDY524322:RDY524329 RNU524322:RNU524329 RXQ524322:RXQ524329 SHM524322:SHM524329 SRI524322:SRI524329 TBE524322:TBE524329 TLA524322:TLA524329 TUW524322:TUW524329 UES524322:UES524329 UOO524322:UOO524329 UYK524322:UYK524329 VIG524322:VIG524329 VSC524322:VSC524329 WBY524322:WBY524329 WLU524322:WLU524329 WVQ524322:WVQ524329 I589858:I589865 JE589858:JE589865 TA589858:TA589865 ACW589858:ACW589865 AMS589858:AMS589865 AWO589858:AWO589865 BGK589858:BGK589865 BQG589858:BQG589865 CAC589858:CAC589865 CJY589858:CJY589865 CTU589858:CTU589865 DDQ589858:DDQ589865 DNM589858:DNM589865 DXI589858:DXI589865 EHE589858:EHE589865 ERA589858:ERA589865 FAW589858:FAW589865 FKS589858:FKS589865 FUO589858:FUO589865 GEK589858:GEK589865 GOG589858:GOG589865 GYC589858:GYC589865 HHY589858:HHY589865 HRU589858:HRU589865 IBQ589858:IBQ589865 ILM589858:ILM589865 IVI589858:IVI589865 JFE589858:JFE589865 JPA589858:JPA589865 JYW589858:JYW589865 KIS589858:KIS589865 KSO589858:KSO589865 LCK589858:LCK589865 LMG589858:LMG589865 LWC589858:LWC589865 MFY589858:MFY589865 MPU589858:MPU589865 MZQ589858:MZQ589865 NJM589858:NJM589865 NTI589858:NTI589865 ODE589858:ODE589865 ONA589858:ONA589865 OWW589858:OWW589865 PGS589858:PGS589865 PQO589858:PQO589865 QAK589858:QAK589865 QKG589858:QKG589865 QUC589858:QUC589865 RDY589858:RDY589865 RNU589858:RNU589865 RXQ589858:RXQ589865 SHM589858:SHM589865 SRI589858:SRI589865 TBE589858:TBE589865 TLA589858:TLA589865 TUW589858:TUW589865 UES589858:UES589865 UOO589858:UOO589865 UYK589858:UYK589865 VIG589858:VIG589865 VSC589858:VSC589865 WBY589858:WBY589865 WLU589858:WLU589865 WVQ589858:WVQ589865 I655394:I655401 JE655394:JE655401 TA655394:TA655401 ACW655394:ACW655401 AMS655394:AMS655401 AWO655394:AWO655401 BGK655394:BGK655401 BQG655394:BQG655401 CAC655394:CAC655401 CJY655394:CJY655401 CTU655394:CTU655401 DDQ655394:DDQ655401 DNM655394:DNM655401 DXI655394:DXI655401 EHE655394:EHE655401 ERA655394:ERA655401 FAW655394:FAW655401 FKS655394:FKS655401 FUO655394:FUO655401 GEK655394:GEK655401 GOG655394:GOG655401 GYC655394:GYC655401 HHY655394:HHY655401 HRU655394:HRU655401 IBQ655394:IBQ655401 ILM655394:ILM655401 IVI655394:IVI655401 JFE655394:JFE655401 JPA655394:JPA655401 JYW655394:JYW655401 KIS655394:KIS655401 KSO655394:KSO655401 LCK655394:LCK655401 LMG655394:LMG655401 LWC655394:LWC655401 MFY655394:MFY655401 MPU655394:MPU655401 MZQ655394:MZQ655401 NJM655394:NJM655401 NTI655394:NTI655401 ODE655394:ODE655401 ONA655394:ONA655401 OWW655394:OWW655401 PGS655394:PGS655401 PQO655394:PQO655401 QAK655394:QAK655401 QKG655394:QKG655401 QUC655394:QUC655401 RDY655394:RDY655401 RNU655394:RNU655401 RXQ655394:RXQ655401 SHM655394:SHM655401 SRI655394:SRI655401 TBE655394:TBE655401 TLA655394:TLA655401 TUW655394:TUW655401 UES655394:UES655401 UOO655394:UOO655401 UYK655394:UYK655401 VIG655394:VIG655401 VSC655394:VSC655401 WBY655394:WBY655401 WLU655394:WLU655401 WVQ655394:WVQ655401 I720930:I720937 JE720930:JE720937 TA720930:TA720937 ACW720930:ACW720937 AMS720930:AMS720937 AWO720930:AWO720937 BGK720930:BGK720937 BQG720930:BQG720937 CAC720930:CAC720937 CJY720930:CJY720937 CTU720930:CTU720937 DDQ720930:DDQ720937 DNM720930:DNM720937 DXI720930:DXI720937 EHE720930:EHE720937 ERA720930:ERA720937 FAW720930:FAW720937 FKS720930:FKS720937 FUO720930:FUO720937 GEK720930:GEK720937 GOG720930:GOG720937 GYC720930:GYC720937 HHY720930:HHY720937 HRU720930:HRU720937 IBQ720930:IBQ720937 ILM720930:ILM720937 IVI720930:IVI720937 JFE720930:JFE720937 JPA720930:JPA720937 JYW720930:JYW720937 KIS720930:KIS720937 KSO720930:KSO720937 LCK720930:LCK720937 LMG720930:LMG720937 LWC720930:LWC720937 MFY720930:MFY720937 MPU720930:MPU720937 MZQ720930:MZQ720937 NJM720930:NJM720937 NTI720930:NTI720937 ODE720930:ODE720937 ONA720930:ONA720937 OWW720930:OWW720937 PGS720930:PGS720937 PQO720930:PQO720937 QAK720930:QAK720937 QKG720930:QKG720937 QUC720930:QUC720937 RDY720930:RDY720937 RNU720930:RNU720937 RXQ720930:RXQ720937 SHM720930:SHM720937 SRI720930:SRI720937 TBE720930:TBE720937 TLA720930:TLA720937 TUW720930:TUW720937 UES720930:UES720937 UOO720930:UOO720937 UYK720930:UYK720937 VIG720930:VIG720937 VSC720930:VSC720937 WBY720930:WBY720937 WLU720930:WLU720937 WVQ720930:WVQ720937 I786466:I786473 JE786466:JE786473 TA786466:TA786473 ACW786466:ACW786473 AMS786466:AMS786473 AWO786466:AWO786473 BGK786466:BGK786473 BQG786466:BQG786473 CAC786466:CAC786473 CJY786466:CJY786473 CTU786466:CTU786473 DDQ786466:DDQ786473 DNM786466:DNM786473 DXI786466:DXI786473 EHE786466:EHE786473 ERA786466:ERA786473 FAW786466:FAW786473 FKS786466:FKS786473 FUO786466:FUO786473 GEK786466:GEK786473 GOG786466:GOG786473 GYC786466:GYC786473 HHY786466:HHY786473 HRU786466:HRU786473 IBQ786466:IBQ786473 ILM786466:ILM786473 IVI786466:IVI786473 JFE786466:JFE786473 JPA786466:JPA786473 JYW786466:JYW786473 KIS786466:KIS786473 KSO786466:KSO786473 LCK786466:LCK786473 LMG786466:LMG786473 LWC786466:LWC786473 MFY786466:MFY786473 MPU786466:MPU786473 MZQ786466:MZQ786473 NJM786466:NJM786473 NTI786466:NTI786473 ODE786466:ODE786473 ONA786466:ONA786473 OWW786466:OWW786473 PGS786466:PGS786473 PQO786466:PQO786473 QAK786466:QAK786473 QKG786466:QKG786473 QUC786466:QUC786473 RDY786466:RDY786473 RNU786466:RNU786473 RXQ786466:RXQ786473 SHM786466:SHM786473 SRI786466:SRI786473 TBE786466:TBE786473 TLA786466:TLA786473 TUW786466:TUW786473 UES786466:UES786473 UOO786466:UOO786473 UYK786466:UYK786473 VIG786466:VIG786473 VSC786466:VSC786473 WBY786466:WBY786473 WLU786466:WLU786473 WVQ786466:WVQ786473 I852002:I852009 JE852002:JE852009 TA852002:TA852009 ACW852002:ACW852009 AMS852002:AMS852009 AWO852002:AWO852009 BGK852002:BGK852009 BQG852002:BQG852009 CAC852002:CAC852009 CJY852002:CJY852009 CTU852002:CTU852009 DDQ852002:DDQ852009 DNM852002:DNM852009 DXI852002:DXI852009 EHE852002:EHE852009 ERA852002:ERA852009 FAW852002:FAW852009 FKS852002:FKS852009 FUO852002:FUO852009 GEK852002:GEK852009 GOG852002:GOG852009 GYC852002:GYC852009 HHY852002:HHY852009 HRU852002:HRU852009 IBQ852002:IBQ852009 ILM852002:ILM852009 IVI852002:IVI852009 JFE852002:JFE852009 JPA852002:JPA852009 JYW852002:JYW852009 KIS852002:KIS852009 KSO852002:KSO852009 LCK852002:LCK852009 LMG852002:LMG852009 LWC852002:LWC852009 MFY852002:MFY852009 MPU852002:MPU852009 MZQ852002:MZQ852009 NJM852002:NJM852009 NTI852002:NTI852009 ODE852002:ODE852009 ONA852002:ONA852009 OWW852002:OWW852009 PGS852002:PGS852009 PQO852002:PQO852009 QAK852002:QAK852009 QKG852002:QKG852009 QUC852002:QUC852009 RDY852002:RDY852009 RNU852002:RNU852009 RXQ852002:RXQ852009 SHM852002:SHM852009 SRI852002:SRI852009 TBE852002:TBE852009 TLA852002:TLA852009 TUW852002:TUW852009 UES852002:UES852009 UOO852002:UOO852009 UYK852002:UYK852009 VIG852002:VIG852009 VSC852002:VSC852009 WBY852002:WBY852009 WLU852002:WLU852009 WVQ852002:WVQ852009 I917538:I917545 JE917538:JE917545 TA917538:TA917545 ACW917538:ACW917545 AMS917538:AMS917545 AWO917538:AWO917545 BGK917538:BGK917545 BQG917538:BQG917545 CAC917538:CAC917545 CJY917538:CJY917545 CTU917538:CTU917545 DDQ917538:DDQ917545 DNM917538:DNM917545 DXI917538:DXI917545 EHE917538:EHE917545 ERA917538:ERA917545 FAW917538:FAW917545 FKS917538:FKS917545 FUO917538:FUO917545 GEK917538:GEK917545 GOG917538:GOG917545 GYC917538:GYC917545 HHY917538:HHY917545 HRU917538:HRU917545 IBQ917538:IBQ917545 ILM917538:ILM917545 IVI917538:IVI917545 JFE917538:JFE917545 JPA917538:JPA917545 JYW917538:JYW917545 KIS917538:KIS917545 KSO917538:KSO917545 LCK917538:LCK917545 LMG917538:LMG917545 LWC917538:LWC917545 MFY917538:MFY917545 MPU917538:MPU917545 MZQ917538:MZQ917545 NJM917538:NJM917545 NTI917538:NTI917545 ODE917538:ODE917545 ONA917538:ONA917545 OWW917538:OWW917545 PGS917538:PGS917545 PQO917538:PQO917545 QAK917538:QAK917545 QKG917538:QKG917545 QUC917538:QUC917545 RDY917538:RDY917545 RNU917538:RNU917545 RXQ917538:RXQ917545 SHM917538:SHM917545 SRI917538:SRI917545 TBE917538:TBE917545 TLA917538:TLA917545 TUW917538:TUW917545 UES917538:UES917545 UOO917538:UOO917545 UYK917538:UYK917545 VIG917538:VIG917545 VSC917538:VSC917545 WBY917538:WBY917545 WLU917538:WLU917545 WVQ917538:WVQ917545 I983074:I983081 JE983074:JE983081 TA983074:TA983081 ACW983074:ACW983081 AMS983074:AMS983081 AWO983074:AWO983081 BGK983074:BGK983081 BQG983074:BQG983081 CAC983074:CAC983081 CJY983074:CJY983081 CTU983074:CTU983081 DDQ983074:DDQ983081 DNM983074:DNM983081 DXI983074:DXI983081 EHE983074:EHE983081 ERA983074:ERA983081 FAW983074:FAW983081 FKS983074:FKS983081 FUO983074:FUO983081 GEK983074:GEK983081 GOG983074:GOG983081 GYC983074:GYC983081 HHY983074:HHY983081 HRU983074:HRU983081 IBQ983074:IBQ983081 ILM983074:ILM983081 IVI983074:IVI983081 JFE983074:JFE983081 JPA983074:JPA983081 JYW983074:JYW983081 KIS983074:KIS983081 KSO983074:KSO983081 LCK983074:LCK983081 LMG983074:LMG983081 LWC983074:LWC983081 MFY983074:MFY983081 MPU983074:MPU983081 MZQ983074:MZQ983081 NJM983074:NJM983081 NTI983074:NTI983081 ODE983074:ODE983081 ONA983074:ONA983081 OWW983074:OWW983081 PGS983074:PGS983081 PQO983074:PQO983081 QAK983074:QAK983081 QKG983074:QKG983081 QUC983074:QUC983081 RDY983074:RDY983081 RNU983074:RNU983081 RXQ983074:RXQ983081 SHM983074:SHM983081 SRI983074:SRI983081 TBE983074:TBE983081 TLA983074:TLA983081 TUW983074:TUW983081 UES983074:UES983081 UOO983074:UOO983081 UYK983074:UYK983081 VIG983074:VIG983081 VSC983074:VSC983081 WBY983074:WBY983081 WLU983074:WLU983081 WVQ983074:WVQ983081">
      <formula1>"Yes,No,NA"</formula1>
    </dataValidation>
    <dataValidation type="list" allowBlank="1" showInputMessage="1" showErrorMessage="1" sqref="WVP98307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formula1>$N$95:$N$98</formula1>
    </dataValidation>
    <dataValidation type="list" allowBlank="1" showInputMessage="1" showErrorMessage="1" sqref="H30">
      <formula1>YesNo</formula1>
    </dataValidation>
  </dataValidations>
  <hyperlinks>
    <hyperlink ref="A1" location="'Table Of Contents'!A1" display="TOC"/>
  </hyperlinks>
  <pageMargins left="0.25" right="0.25" top="0.75" bottom="0.75" header="0.3" footer="0.3"/>
  <pageSetup scale="47" orientation="portrait" r:id="rId1"/>
  <headerFooter alignWithMargins="0"/>
  <rowBreaks count="2" manualBreakCount="2">
    <brk id="33" min="1" max="9" man="1"/>
    <brk id="41" min="1" max="9"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FF00"/>
  </sheetPr>
  <dimension ref="A1:R176"/>
  <sheetViews>
    <sheetView showGridLines="0" view="pageBreakPreview" zoomScaleNormal="75" zoomScaleSheetLayoutView="100" workbookViewId="0">
      <selection activeCell="B1" sqref="B1"/>
    </sheetView>
  </sheetViews>
  <sheetFormatPr defaultRowHeight="12.75"/>
  <cols>
    <col min="1" max="1" width="9.140625" style="953"/>
    <col min="2" max="2" width="20" style="953" customWidth="1"/>
    <col min="3" max="10" width="16.140625" style="953" customWidth="1"/>
    <col min="11" max="12" width="7" style="953" customWidth="1"/>
    <col min="13" max="13" width="6.85546875" style="953" customWidth="1"/>
    <col min="14" max="14" width="32.28515625" style="953" customWidth="1"/>
    <col min="15" max="17" width="9.140625" style="953"/>
    <col min="18" max="18" width="9.140625" style="953" hidden="1" customWidth="1"/>
    <col min="19" max="257" width="9.140625" style="953"/>
    <col min="258" max="258" width="20" style="953" customWidth="1"/>
    <col min="259" max="266" width="16.140625" style="953" customWidth="1"/>
    <col min="267" max="268" width="7" style="953" customWidth="1"/>
    <col min="269" max="269" width="6.85546875" style="953" customWidth="1"/>
    <col min="270" max="270" width="32.28515625" style="953" customWidth="1"/>
    <col min="271" max="273" width="9.140625" style="953"/>
    <col min="274" max="274" width="0" style="953" hidden="1" customWidth="1"/>
    <col min="275" max="513" width="9.140625" style="953"/>
    <col min="514" max="514" width="20" style="953" customWidth="1"/>
    <col min="515" max="522" width="16.140625" style="953" customWidth="1"/>
    <col min="523" max="524" width="7" style="953" customWidth="1"/>
    <col min="525" max="525" width="6.85546875" style="953" customWidth="1"/>
    <col min="526" max="526" width="32.28515625" style="953" customWidth="1"/>
    <col min="527" max="529" width="9.140625" style="953"/>
    <col min="530" max="530" width="0" style="953" hidden="1" customWidth="1"/>
    <col min="531" max="769" width="9.140625" style="953"/>
    <col min="770" max="770" width="20" style="953" customWidth="1"/>
    <col min="771" max="778" width="16.140625" style="953" customWidth="1"/>
    <col min="779" max="780" width="7" style="953" customWidth="1"/>
    <col min="781" max="781" width="6.85546875" style="953" customWidth="1"/>
    <col min="782" max="782" width="32.28515625" style="953" customWidth="1"/>
    <col min="783" max="785" width="9.140625" style="953"/>
    <col min="786" max="786" width="0" style="953" hidden="1" customWidth="1"/>
    <col min="787" max="1025" width="9.140625" style="953"/>
    <col min="1026" max="1026" width="20" style="953" customWidth="1"/>
    <col min="1027" max="1034" width="16.140625" style="953" customWidth="1"/>
    <col min="1035" max="1036" width="7" style="953" customWidth="1"/>
    <col min="1037" max="1037" width="6.85546875" style="953" customWidth="1"/>
    <col min="1038" max="1038" width="32.28515625" style="953" customWidth="1"/>
    <col min="1039" max="1041" width="9.140625" style="953"/>
    <col min="1042" max="1042" width="0" style="953" hidden="1" customWidth="1"/>
    <col min="1043" max="1281" width="9.140625" style="953"/>
    <col min="1282" max="1282" width="20" style="953" customWidth="1"/>
    <col min="1283" max="1290" width="16.140625" style="953" customWidth="1"/>
    <col min="1291" max="1292" width="7" style="953" customWidth="1"/>
    <col min="1293" max="1293" width="6.85546875" style="953" customWidth="1"/>
    <col min="1294" max="1294" width="32.28515625" style="953" customWidth="1"/>
    <col min="1295" max="1297" width="9.140625" style="953"/>
    <col min="1298" max="1298" width="0" style="953" hidden="1" customWidth="1"/>
    <col min="1299" max="1537" width="9.140625" style="953"/>
    <col min="1538" max="1538" width="20" style="953" customWidth="1"/>
    <col min="1539" max="1546" width="16.140625" style="953" customWidth="1"/>
    <col min="1547" max="1548" width="7" style="953" customWidth="1"/>
    <col min="1549" max="1549" width="6.85546875" style="953" customWidth="1"/>
    <col min="1550" max="1550" width="32.28515625" style="953" customWidth="1"/>
    <col min="1551" max="1553" width="9.140625" style="953"/>
    <col min="1554" max="1554" width="0" style="953" hidden="1" customWidth="1"/>
    <col min="1555" max="1793" width="9.140625" style="953"/>
    <col min="1794" max="1794" width="20" style="953" customWidth="1"/>
    <col min="1795" max="1802" width="16.140625" style="953" customWidth="1"/>
    <col min="1803" max="1804" width="7" style="953" customWidth="1"/>
    <col min="1805" max="1805" width="6.85546875" style="953" customWidth="1"/>
    <col min="1806" max="1806" width="32.28515625" style="953" customWidth="1"/>
    <col min="1807" max="1809" width="9.140625" style="953"/>
    <col min="1810" max="1810" width="0" style="953" hidden="1" customWidth="1"/>
    <col min="1811" max="2049" width="9.140625" style="953"/>
    <col min="2050" max="2050" width="20" style="953" customWidth="1"/>
    <col min="2051" max="2058" width="16.140625" style="953" customWidth="1"/>
    <col min="2059" max="2060" width="7" style="953" customWidth="1"/>
    <col min="2061" max="2061" width="6.85546875" style="953" customWidth="1"/>
    <col min="2062" max="2062" width="32.28515625" style="953" customWidth="1"/>
    <col min="2063" max="2065" width="9.140625" style="953"/>
    <col min="2066" max="2066" width="0" style="953" hidden="1" customWidth="1"/>
    <col min="2067" max="2305" width="9.140625" style="953"/>
    <col min="2306" max="2306" width="20" style="953" customWidth="1"/>
    <col min="2307" max="2314" width="16.140625" style="953" customWidth="1"/>
    <col min="2315" max="2316" width="7" style="953" customWidth="1"/>
    <col min="2317" max="2317" width="6.85546875" style="953" customWidth="1"/>
    <col min="2318" max="2318" width="32.28515625" style="953" customWidth="1"/>
    <col min="2319" max="2321" width="9.140625" style="953"/>
    <col min="2322" max="2322" width="0" style="953" hidden="1" customWidth="1"/>
    <col min="2323" max="2561" width="9.140625" style="953"/>
    <col min="2562" max="2562" width="20" style="953" customWidth="1"/>
    <col min="2563" max="2570" width="16.140625" style="953" customWidth="1"/>
    <col min="2571" max="2572" width="7" style="953" customWidth="1"/>
    <col min="2573" max="2573" width="6.85546875" style="953" customWidth="1"/>
    <col min="2574" max="2574" width="32.28515625" style="953" customWidth="1"/>
    <col min="2575" max="2577" width="9.140625" style="953"/>
    <col min="2578" max="2578" width="0" style="953" hidden="1" customWidth="1"/>
    <col min="2579" max="2817" width="9.140625" style="953"/>
    <col min="2818" max="2818" width="20" style="953" customWidth="1"/>
    <col min="2819" max="2826" width="16.140625" style="953" customWidth="1"/>
    <col min="2827" max="2828" width="7" style="953" customWidth="1"/>
    <col min="2829" max="2829" width="6.85546875" style="953" customWidth="1"/>
    <col min="2830" max="2830" width="32.28515625" style="953" customWidth="1"/>
    <col min="2831" max="2833" width="9.140625" style="953"/>
    <col min="2834" max="2834" width="0" style="953" hidden="1" customWidth="1"/>
    <col min="2835" max="3073" width="9.140625" style="953"/>
    <col min="3074" max="3074" width="20" style="953" customWidth="1"/>
    <col min="3075" max="3082" width="16.140625" style="953" customWidth="1"/>
    <col min="3083" max="3084" width="7" style="953" customWidth="1"/>
    <col min="3085" max="3085" width="6.85546875" style="953" customWidth="1"/>
    <col min="3086" max="3086" width="32.28515625" style="953" customWidth="1"/>
    <col min="3087" max="3089" width="9.140625" style="953"/>
    <col min="3090" max="3090" width="0" style="953" hidden="1" customWidth="1"/>
    <col min="3091" max="3329" width="9.140625" style="953"/>
    <col min="3330" max="3330" width="20" style="953" customWidth="1"/>
    <col min="3331" max="3338" width="16.140625" style="953" customWidth="1"/>
    <col min="3339" max="3340" width="7" style="953" customWidth="1"/>
    <col min="3341" max="3341" width="6.85546875" style="953" customWidth="1"/>
    <col min="3342" max="3342" width="32.28515625" style="953" customWidth="1"/>
    <col min="3343" max="3345" width="9.140625" style="953"/>
    <col min="3346" max="3346" width="0" style="953" hidden="1" customWidth="1"/>
    <col min="3347" max="3585" width="9.140625" style="953"/>
    <col min="3586" max="3586" width="20" style="953" customWidth="1"/>
    <col min="3587" max="3594" width="16.140625" style="953" customWidth="1"/>
    <col min="3595" max="3596" width="7" style="953" customWidth="1"/>
    <col min="3597" max="3597" width="6.85546875" style="953" customWidth="1"/>
    <col min="3598" max="3598" width="32.28515625" style="953" customWidth="1"/>
    <col min="3599" max="3601" width="9.140625" style="953"/>
    <col min="3602" max="3602" width="0" style="953" hidden="1" customWidth="1"/>
    <col min="3603" max="3841" width="9.140625" style="953"/>
    <col min="3842" max="3842" width="20" style="953" customWidth="1"/>
    <col min="3843" max="3850" width="16.140625" style="953" customWidth="1"/>
    <col min="3851" max="3852" width="7" style="953" customWidth="1"/>
    <col min="3853" max="3853" width="6.85546875" style="953" customWidth="1"/>
    <col min="3854" max="3854" width="32.28515625" style="953" customWidth="1"/>
    <col min="3855" max="3857" width="9.140625" style="953"/>
    <col min="3858" max="3858" width="0" style="953" hidden="1" customWidth="1"/>
    <col min="3859" max="4097" width="9.140625" style="953"/>
    <col min="4098" max="4098" width="20" style="953" customWidth="1"/>
    <col min="4099" max="4106" width="16.140625" style="953" customWidth="1"/>
    <col min="4107" max="4108" width="7" style="953" customWidth="1"/>
    <col min="4109" max="4109" width="6.85546875" style="953" customWidth="1"/>
    <col min="4110" max="4110" width="32.28515625" style="953" customWidth="1"/>
    <col min="4111" max="4113" width="9.140625" style="953"/>
    <col min="4114" max="4114" width="0" style="953" hidden="1" customWidth="1"/>
    <col min="4115" max="4353" width="9.140625" style="953"/>
    <col min="4354" max="4354" width="20" style="953" customWidth="1"/>
    <col min="4355" max="4362" width="16.140625" style="953" customWidth="1"/>
    <col min="4363" max="4364" width="7" style="953" customWidth="1"/>
    <col min="4365" max="4365" width="6.85546875" style="953" customWidth="1"/>
    <col min="4366" max="4366" width="32.28515625" style="953" customWidth="1"/>
    <col min="4367" max="4369" width="9.140625" style="953"/>
    <col min="4370" max="4370" width="0" style="953" hidden="1" customWidth="1"/>
    <col min="4371" max="4609" width="9.140625" style="953"/>
    <col min="4610" max="4610" width="20" style="953" customWidth="1"/>
    <col min="4611" max="4618" width="16.140625" style="953" customWidth="1"/>
    <col min="4619" max="4620" width="7" style="953" customWidth="1"/>
    <col min="4621" max="4621" width="6.85546875" style="953" customWidth="1"/>
    <col min="4622" max="4622" width="32.28515625" style="953" customWidth="1"/>
    <col min="4623" max="4625" width="9.140625" style="953"/>
    <col min="4626" max="4626" width="0" style="953" hidden="1" customWidth="1"/>
    <col min="4627" max="4865" width="9.140625" style="953"/>
    <col min="4866" max="4866" width="20" style="953" customWidth="1"/>
    <col min="4867" max="4874" width="16.140625" style="953" customWidth="1"/>
    <col min="4875" max="4876" width="7" style="953" customWidth="1"/>
    <col min="4877" max="4877" width="6.85546875" style="953" customWidth="1"/>
    <col min="4878" max="4878" width="32.28515625" style="953" customWidth="1"/>
    <col min="4879" max="4881" width="9.140625" style="953"/>
    <col min="4882" max="4882" width="0" style="953" hidden="1" customWidth="1"/>
    <col min="4883" max="5121" width="9.140625" style="953"/>
    <col min="5122" max="5122" width="20" style="953" customWidth="1"/>
    <col min="5123" max="5130" width="16.140625" style="953" customWidth="1"/>
    <col min="5131" max="5132" width="7" style="953" customWidth="1"/>
    <col min="5133" max="5133" width="6.85546875" style="953" customWidth="1"/>
    <col min="5134" max="5134" width="32.28515625" style="953" customWidth="1"/>
    <col min="5135" max="5137" width="9.140625" style="953"/>
    <col min="5138" max="5138" width="0" style="953" hidden="1" customWidth="1"/>
    <col min="5139" max="5377" width="9.140625" style="953"/>
    <col min="5378" max="5378" width="20" style="953" customWidth="1"/>
    <col min="5379" max="5386" width="16.140625" style="953" customWidth="1"/>
    <col min="5387" max="5388" width="7" style="953" customWidth="1"/>
    <col min="5389" max="5389" width="6.85546875" style="953" customWidth="1"/>
    <col min="5390" max="5390" width="32.28515625" style="953" customWidth="1"/>
    <col min="5391" max="5393" width="9.140625" style="953"/>
    <col min="5394" max="5394" width="0" style="953" hidden="1" customWidth="1"/>
    <col min="5395" max="5633" width="9.140625" style="953"/>
    <col min="5634" max="5634" width="20" style="953" customWidth="1"/>
    <col min="5635" max="5642" width="16.140625" style="953" customWidth="1"/>
    <col min="5643" max="5644" width="7" style="953" customWidth="1"/>
    <col min="5645" max="5645" width="6.85546875" style="953" customWidth="1"/>
    <col min="5646" max="5646" width="32.28515625" style="953" customWidth="1"/>
    <col min="5647" max="5649" width="9.140625" style="953"/>
    <col min="5650" max="5650" width="0" style="953" hidden="1" customWidth="1"/>
    <col min="5651" max="5889" width="9.140625" style="953"/>
    <col min="5890" max="5890" width="20" style="953" customWidth="1"/>
    <col min="5891" max="5898" width="16.140625" style="953" customWidth="1"/>
    <col min="5899" max="5900" width="7" style="953" customWidth="1"/>
    <col min="5901" max="5901" width="6.85546875" style="953" customWidth="1"/>
    <col min="5902" max="5902" width="32.28515625" style="953" customWidth="1"/>
    <col min="5903" max="5905" width="9.140625" style="953"/>
    <col min="5906" max="5906" width="0" style="953" hidden="1" customWidth="1"/>
    <col min="5907" max="6145" width="9.140625" style="953"/>
    <col min="6146" max="6146" width="20" style="953" customWidth="1"/>
    <col min="6147" max="6154" width="16.140625" style="953" customWidth="1"/>
    <col min="6155" max="6156" width="7" style="953" customWidth="1"/>
    <col min="6157" max="6157" width="6.85546875" style="953" customWidth="1"/>
    <col min="6158" max="6158" width="32.28515625" style="953" customWidth="1"/>
    <col min="6159" max="6161" width="9.140625" style="953"/>
    <col min="6162" max="6162" width="0" style="953" hidden="1" customWidth="1"/>
    <col min="6163" max="6401" width="9.140625" style="953"/>
    <col min="6402" max="6402" width="20" style="953" customWidth="1"/>
    <col min="6403" max="6410" width="16.140625" style="953" customWidth="1"/>
    <col min="6411" max="6412" width="7" style="953" customWidth="1"/>
    <col min="6413" max="6413" width="6.85546875" style="953" customWidth="1"/>
    <col min="6414" max="6414" width="32.28515625" style="953" customWidth="1"/>
    <col min="6415" max="6417" width="9.140625" style="953"/>
    <col min="6418" max="6418" width="0" style="953" hidden="1" customWidth="1"/>
    <col min="6419" max="6657" width="9.140625" style="953"/>
    <col min="6658" max="6658" width="20" style="953" customWidth="1"/>
    <col min="6659" max="6666" width="16.140625" style="953" customWidth="1"/>
    <col min="6667" max="6668" width="7" style="953" customWidth="1"/>
    <col min="6669" max="6669" width="6.85546875" style="953" customWidth="1"/>
    <col min="6670" max="6670" width="32.28515625" style="953" customWidth="1"/>
    <col min="6671" max="6673" width="9.140625" style="953"/>
    <col min="6674" max="6674" width="0" style="953" hidden="1" customWidth="1"/>
    <col min="6675" max="6913" width="9.140625" style="953"/>
    <col min="6914" max="6914" width="20" style="953" customWidth="1"/>
    <col min="6915" max="6922" width="16.140625" style="953" customWidth="1"/>
    <col min="6923" max="6924" width="7" style="953" customWidth="1"/>
    <col min="6925" max="6925" width="6.85546875" style="953" customWidth="1"/>
    <col min="6926" max="6926" width="32.28515625" style="953" customWidth="1"/>
    <col min="6927" max="6929" width="9.140625" style="953"/>
    <col min="6930" max="6930" width="0" style="953" hidden="1" customWidth="1"/>
    <col min="6931" max="7169" width="9.140625" style="953"/>
    <col min="7170" max="7170" width="20" style="953" customWidth="1"/>
    <col min="7171" max="7178" width="16.140625" style="953" customWidth="1"/>
    <col min="7179" max="7180" width="7" style="953" customWidth="1"/>
    <col min="7181" max="7181" width="6.85546875" style="953" customWidth="1"/>
    <col min="7182" max="7182" width="32.28515625" style="953" customWidth="1"/>
    <col min="7183" max="7185" width="9.140625" style="953"/>
    <col min="7186" max="7186" width="0" style="953" hidden="1" customWidth="1"/>
    <col min="7187" max="7425" width="9.140625" style="953"/>
    <col min="7426" max="7426" width="20" style="953" customWidth="1"/>
    <col min="7427" max="7434" width="16.140625" style="953" customWidth="1"/>
    <col min="7435" max="7436" width="7" style="953" customWidth="1"/>
    <col min="7437" max="7437" width="6.85546875" style="953" customWidth="1"/>
    <col min="7438" max="7438" width="32.28515625" style="953" customWidth="1"/>
    <col min="7439" max="7441" width="9.140625" style="953"/>
    <col min="7442" max="7442" width="0" style="953" hidden="1" customWidth="1"/>
    <col min="7443" max="7681" width="9.140625" style="953"/>
    <col min="7682" max="7682" width="20" style="953" customWidth="1"/>
    <col min="7683" max="7690" width="16.140625" style="953" customWidth="1"/>
    <col min="7691" max="7692" width="7" style="953" customWidth="1"/>
    <col min="7693" max="7693" width="6.85546875" style="953" customWidth="1"/>
    <col min="7694" max="7694" width="32.28515625" style="953" customWidth="1"/>
    <col min="7695" max="7697" width="9.140625" style="953"/>
    <col min="7698" max="7698" width="0" style="953" hidden="1" customWidth="1"/>
    <col min="7699" max="7937" width="9.140625" style="953"/>
    <col min="7938" max="7938" width="20" style="953" customWidth="1"/>
    <col min="7939" max="7946" width="16.140625" style="953" customWidth="1"/>
    <col min="7947" max="7948" width="7" style="953" customWidth="1"/>
    <col min="7949" max="7949" width="6.85546875" style="953" customWidth="1"/>
    <col min="7950" max="7950" width="32.28515625" style="953" customWidth="1"/>
    <col min="7951" max="7953" width="9.140625" style="953"/>
    <col min="7954" max="7954" width="0" style="953" hidden="1" customWidth="1"/>
    <col min="7955" max="8193" width="9.140625" style="953"/>
    <col min="8194" max="8194" width="20" style="953" customWidth="1"/>
    <col min="8195" max="8202" width="16.140625" style="953" customWidth="1"/>
    <col min="8203" max="8204" width="7" style="953" customWidth="1"/>
    <col min="8205" max="8205" width="6.85546875" style="953" customWidth="1"/>
    <col min="8206" max="8206" width="32.28515625" style="953" customWidth="1"/>
    <col min="8207" max="8209" width="9.140625" style="953"/>
    <col min="8210" max="8210" width="0" style="953" hidden="1" customWidth="1"/>
    <col min="8211" max="8449" width="9.140625" style="953"/>
    <col min="8450" max="8450" width="20" style="953" customWidth="1"/>
    <col min="8451" max="8458" width="16.140625" style="953" customWidth="1"/>
    <col min="8459" max="8460" width="7" style="953" customWidth="1"/>
    <col min="8461" max="8461" width="6.85546875" style="953" customWidth="1"/>
    <col min="8462" max="8462" width="32.28515625" style="953" customWidth="1"/>
    <col min="8463" max="8465" width="9.140625" style="953"/>
    <col min="8466" max="8466" width="0" style="953" hidden="1" customWidth="1"/>
    <col min="8467" max="8705" width="9.140625" style="953"/>
    <col min="8706" max="8706" width="20" style="953" customWidth="1"/>
    <col min="8707" max="8714" width="16.140625" style="953" customWidth="1"/>
    <col min="8715" max="8716" width="7" style="953" customWidth="1"/>
    <col min="8717" max="8717" width="6.85546875" style="953" customWidth="1"/>
    <col min="8718" max="8718" width="32.28515625" style="953" customWidth="1"/>
    <col min="8719" max="8721" width="9.140625" style="953"/>
    <col min="8722" max="8722" width="0" style="953" hidden="1" customWidth="1"/>
    <col min="8723" max="8961" width="9.140625" style="953"/>
    <col min="8962" max="8962" width="20" style="953" customWidth="1"/>
    <col min="8963" max="8970" width="16.140625" style="953" customWidth="1"/>
    <col min="8971" max="8972" width="7" style="953" customWidth="1"/>
    <col min="8973" max="8973" width="6.85546875" style="953" customWidth="1"/>
    <col min="8974" max="8974" width="32.28515625" style="953" customWidth="1"/>
    <col min="8975" max="8977" width="9.140625" style="953"/>
    <col min="8978" max="8978" width="0" style="953" hidden="1" customWidth="1"/>
    <col min="8979" max="9217" width="9.140625" style="953"/>
    <col min="9218" max="9218" width="20" style="953" customWidth="1"/>
    <col min="9219" max="9226" width="16.140625" style="953" customWidth="1"/>
    <col min="9227" max="9228" width="7" style="953" customWidth="1"/>
    <col min="9229" max="9229" width="6.85546875" style="953" customWidth="1"/>
    <col min="9230" max="9230" width="32.28515625" style="953" customWidth="1"/>
    <col min="9231" max="9233" width="9.140625" style="953"/>
    <col min="9234" max="9234" width="0" style="953" hidden="1" customWidth="1"/>
    <col min="9235" max="9473" width="9.140625" style="953"/>
    <col min="9474" max="9474" width="20" style="953" customWidth="1"/>
    <col min="9475" max="9482" width="16.140625" style="953" customWidth="1"/>
    <col min="9483" max="9484" width="7" style="953" customWidth="1"/>
    <col min="9485" max="9485" width="6.85546875" style="953" customWidth="1"/>
    <col min="9486" max="9486" width="32.28515625" style="953" customWidth="1"/>
    <col min="9487" max="9489" width="9.140625" style="953"/>
    <col min="9490" max="9490" width="0" style="953" hidden="1" customWidth="1"/>
    <col min="9491" max="9729" width="9.140625" style="953"/>
    <col min="9730" max="9730" width="20" style="953" customWidth="1"/>
    <col min="9731" max="9738" width="16.140625" style="953" customWidth="1"/>
    <col min="9739" max="9740" width="7" style="953" customWidth="1"/>
    <col min="9741" max="9741" width="6.85546875" style="953" customWidth="1"/>
    <col min="9742" max="9742" width="32.28515625" style="953" customWidth="1"/>
    <col min="9743" max="9745" width="9.140625" style="953"/>
    <col min="9746" max="9746" width="0" style="953" hidden="1" customWidth="1"/>
    <col min="9747" max="9985" width="9.140625" style="953"/>
    <col min="9986" max="9986" width="20" style="953" customWidth="1"/>
    <col min="9987" max="9994" width="16.140625" style="953" customWidth="1"/>
    <col min="9995" max="9996" width="7" style="953" customWidth="1"/>
    <col min="9997" max="9997" width="6.85546875" style="953" customWidth="1"/>
    <col min="9998" max="9998" width="32.28515625" style="953" customWidth="1"/>
    <col min="9999" max="10001" width="9.140625" style="953"/>
    <col min="10002" max="10002" width="0" style="953" hidden="1" customWidth="1"/>
    <col min="10003" max="10241" width="9.140625" style="953"/>
    <col min="10242" max="10242" width="20" style="953" customWidth="1"/>
    <col min="10243" max="10250" width="16.140625" style="953" customWidth="1"/>
    <col min="10251" max="10252" width="7" style="953" customWidth="1"/>
    <col min="10253" max="10253" width="6.85546875" style="953" customWidth="1"/>
    <col min="10254" max="10254" width="32.28515625" style="953" customWidth="1"/>
    <col min="10255" max="10257" width="9.140625" style="953"/>
    <col min="10258" max="10258" width="0" style="953" hidden="1" customWidth="1"/>
    <col min="10259" max="10497" width="9.140625" style="953"/>
    <col min="10498" max="10498" width="20" style="953" customWidth="1"/>
    <col min="10499" max="10506" width="16.140625" style="953" customWidth="1"/>
    <col min="10507" max="10508" width="7" style="953" customWidth="1"/>
    <col min="10509" max="10509" width="6.85546875" style="953" customWidth="1"/>
    <col min="10510" max="10510" width="32.28515625" style="953" customWidth="1"/>
    <col min="10511" max="10513" width="9.140625" style="953"/>
    <col min="10514" max="10514" width="0" style="953" hidden="1" customWidth="1"/>
    <col min="10515" max="10753" width="9.140625" style="953"/>
    <col min="10754" max="10754" width="20" style="953" customWidth="1"/>
    <col min="10755" max="10762" width="16.140625" style="953" customWidth="1"/>
    <col min="10763" max="10764" width="7" style="953" customWidth="1"/>
    <col min="10765" max="10765" width="6.85546875" style="953" customWidth="1"/>
    <col min="10766" max="10766" width="32.28515625" style="953" customWidth="1"/>
    <col min="10767" max="10769" width="9.140625" style="953"/>
    <col min="10770" max="10770" width="0" style="953" hidden="1" customWidth="1"/>
    <col min="10771" max="11009" width="9.140625" style="953"/>
    <col min="11010" max="11010" width="20" style="953" customWidth="1"/>
    <col min="11011" max="11018" width="16.140625" style="953" customWidth="1"/>
    <col min="11019" max="11020" width="7" style="953" customWidth="1"/>
    <col min="11021" max="11021" width="6.85546875" style="953" customWidth="1"/>
    <col min="11022" max="11022" width="32.28515625" style="953" customWidth="1"/>
    <col min="11023" max="11025" width="9.140625" style="953"/>
    <col min="11026" max="11026" width="0" style="953" hidden="1" customWidth="1"/>
    <col min="11027" max="11265" width="9.140625" style="953"/>
    <col min="11266" max="11266" width="20" style="953" customWidth="1"/>
    <col min="11267" max="11274" width="16.140625" style="953" customWidth="1"/>
    <col min="11275" max="11276" width="7" style="953" customWidth="1"/>
    <col min="11277" max="11277" width="6.85546875" style="953" customWidth="1"/>
    <col min="11278" max="11278" width="32.28515625" style="953" customWidth="1"/>
    <col min="11279" max="11281" width="9.140625" style="953"/>
    <col min="11282" max="11282" width="0" style="953" hidden="1" customWidth="1"/>
    <col min="11283" max="11521" width="9.140625" style="953"/>
    <col min="11522" max="11522" width="20" style="953" customWidth="1"/>
    <col min="11523" max="11530" width="16.140625" style="953" customWidth="1"/>
    <col min="11531" max="11532" width="7" style="953" customWidth="1"/>
    <col min="11533" max="11533" width="6.85546875" style="953" customWidth="1"/>
    <col min="11534" max="11534" width="32.28515625" style="953" customWidth="1"/>
    <col min="11535" max="11537" width="9.140625" style="953"/>
    <col min="11538" max="11538" width="0" style="953" hidden="1" customWidth="1"/>
    <col min="11539" max="11777" width="9.140625" style="953"/>
    <col min="11778" max="11778" width="20" style="953" customWidth="1"/>
    <col min="11779" max="11786" width="16.140625" style="953" customWidth="1"/>
    <col min="11787" max="11788" width="7" style="953" customWidth="1"/>
    <col min="11789" max="11789" width="6.85546875" style="953" customWidth="1"/>
    <col min="11790" max="11790" width="32.28515625" style="953" customWidth="1"/>
    <col min="11791" max="11793" width="9.140625" style="953"/>
    <col min="11794" max="11794" width="0" style="953" hidden="1" customWidth="1"/>
    <col min="11795" max="12033" width="9.140625" style="953"/>
    <col min="12034" max="12034" width="20" style="953" customWidth="1"/>
    <col min="12035" max="12042" width="16.140625" style="953" customWidth="1"/>
    <col min="12043" max="12044" width="7" style="953" customWidth="1"/>
    <col min="12045" max="12045" width="6.85546875" style="953" customWidth="1"/>
    <col min="12046" max="12046" width="32.28515625" style="953" customWidth="1"/>
    <col min="12047" max="12049" width="9.140625" style="953"/>
    <col min="12050" max="12050" width="0" style="953" hidden="1" customWidth="1"/>
    <col min="12051" max="12289" width="9.140625" style="953"/>
    <col min="12290" max="12290" width="20" style="953" customWidth="1"/>
    <col min="12291" max="12298" width="16.140625" style="953" customWidth="1"/>
    <col min="12299" max="12300" width="7" style="953" customWidth="1"/>
    <col min="12301" max="12301" width="6.85546875" style="953" customWidth="1"/>
    <col min="12302" max="12302" width="32.28515625" style="953" customWidth="1"/>
    <col min="12303" max="12305" width="9.140625" style="953"/>
    <col min="12306" max="12306" width="0" style="953" hidden="1" customWidth="1"/>
    <col min="12307" max="12545" width="9.140625" style="953"/>
    <col min="12546" max="12546" width="20" style="953" customWidth="1"/>
    <col min="12547" max="12554" width="16.140625" style="953" customWidth="1"/>
    <col min="12555" max="12556" width="7" style="953" customWidth="1"/>
    <col min="12557" max="12557" width="6.85546875" style="953" customWidth="1"/>
    <col min="12558" max="12558" width="32.28515625" style="953" customWidth="1"/>
    <col min="12559" max="12561" width="9.140625" style="953"/>
    <col min="12562" max="12562" width="0" style="953" hidden="1" customWidth="1"/>
    <col min="12563" max="12801" width="9.140625" style="953"/>
    <col min="12802" max="12802" width="20" style="953" customWidth="1"/>
    <col min="12803" max="12810" width="16.140625" style="953" customWidth="1"/>
    <col min="12811" max="12812" width="7" style="953" customWidth="1"/>
    <col min="12813" max="12813" width="6.85546875" style="953" customWidth="1"/>
    <col min="12814" max="12814" width="32.28515625" style="953" customWidth="1"/>
    <col min="12815" max="12817" width="9.140625" style="953"/>
    <col min="12818" max="12818" width="0" style="953" hidden="1" customWidth="1"/>
    <col min="12819" max="13057" width="9.140625" style="953"/>
    <col min="13058" max="13058" width="20" style="953" customWidth="1"/>
    <col min="13059" max="13066" width="16.140625" style="953" customWidth="1"/>
    <col min="13067" max="13068" width="7" style="953" customWidth="1"/>
    <col min="13069" max="13069" width="6.85546875" style="953" customWidth="1"/>
    <col min="13070" max="13070" width="32.28515625" style="953" customWidth="1"/>
    <col min="13071" max="13073" width="9.140625" style="953"/>
    <col min="13074" max="13074" width="0" style="953" hidden="1" customWidth="1"/>
    <col min="13075" max="13313" width="9.140625" style="953"/>
    <col min="13314" max="13314" width="20" style="953" customWidth="1"/>
    <col min="13315" max="13322" width="16.140625" style="953" customWidth="1"/>
    <col min="13323" max="13324" width="7" style="953" customWidth="1"/>
    <col min="13325" max="13325" width="6.85546875" style="953" customWidth="1"/>
    <col min="13326" max="13326" width="32.28515625" style="953" customWidth="1"/>
    <col min="13327" max="13329" width="9.140625" style="953"/>
    <col min="13330" max="13330" width="0" style="953" hidden="1" customWidth="1"/>
    <col min="13331" max="13569" width="9.140625" style="953"/>
    <col min="13570" max="13570" width="20" style="953" customWidth="1"/>
    <col min="13571" max="13578" width="16.140625" style="953" customWidth="1"/>
    <col min="13579" max="13580" width="7" style="953" customWidth="1"/>
    <col min="13581" max="13581" width="6.85546875" style="953" customWidth="1"/>
    <col min="13582" max="13582" width="32.28515625" style="953" customWidth="1"/>
    <col min="13583" max="13585" width="9.140625" style="953"/>
    <col min="13586" max="13586" width="0" style="953" hidden="1" customWidth="1"/>
    <col min="13587" max="13825" width="9.140625" style="953"/>
    <col min="13826" max="13826" width="20" style="953" customWidth="1"/>
    <col min="13827" max="13834" width="16.140625" style="953" customWidth="1"/>
    <col min="13835" max="13836" width="7" style="953" customWidth="1"/>
    <col min="13837" max="13837" width="6.85546875" style="953" customWidth="1"/>
    <col min="13838" max="13838" width="32.28515625" style="953" customWidth="1"/>
    <col min="13839" max="13841" width="9.140625" style="953"/>
    <col min="13842" max="13842" width="0" style="953" hidden="1" customWidth="1"/>
    <col min="13843" max="14081" width="9.140625" style="953"/>
    <col min="14082" max="14082" width="20" style="953" customWidth="1"/>
    <col min="14083" max="14090" width="16.140625" style="953" customWidth="1"/>
    <col min="14091" max="14092" width="7" style="953" customWidth="1"/>
    <col min="14093" max="14093" width="6.85546875" style="953" customWidth="1"/>
    <col min="14094" max="14094" width="32.28515625" style="953" customWidth="1"/>
    <col min="14095" max="14097" width="9.140625" style="953"/>
    <col min="14098" max="14098" width="0" style="953" hidden="1" customWidth="1"/>
    <col min="14099" max="14337" width="9.140625" style="953"/>
    <col min="14338" max="14338" width="20" style="953" customWidth="1"/>
    <col min="14339" max="14346" width="16.140625" style="953" customWidth="1"/>
    <col min="14347" max="14348" width="7" style="953" customWidth="1"/>
    <col min="14349" max="14349" width="6.85546875" style="953" customWidth="1"/>
    <col min="14350" max="14350" width="32.28515625" style="953" customWidth="1"/>
    <col min="14351" max="14353" width="9.140625" style="953"/>
    <col min="14354" max="14354" width="0" style="953" hidden="1" customWidth="1"/>
    <col min="14355" max="14593" width="9.140625" style="953"/>
    <col min="14594" max="14594" width="20" style="953" customWidth="1"/>
    <col min="14595" max="14602" width="16.140625" style="953" customWidth="1"/>
    <col min="14603" max="14604" width="7" style="953" customWidth="1"/>
    <col min="14605" max="14605" width="6.85546875" style="953" customWidth="1"/>
    <col min="14606" max="14606" width="32.28515625" style="953" customWidth="1"/>
    <col min="14607" max="14609" width="9.140625" style="953"/>
    <col min="14610" max="14610" width="0" style="953" hidden="1" customWidth="1"/>
    <col min="14611" max="14849" width="9.140625" style="953"/>
    <col min="14850" max="14850" width="20" style="953" customWidth="1"/>
    <col min="14851" max="14858" width="16.140625" style="953" customWidth="1"/>
    <col min="14859" max="14860" width="7" style="953" customWidth="1"/>
    <col min="14861" max="14861" width="6.85546875" style="953" customWidth="1"/>
    <col min="14862" max="14862" width="32.28515625" style="953" customWidth="1"/>
    <col min="14863" max="14865" width="9.140625" style="953"/>
    <col min="14866" max="14866" width="0" style="953" hidden="1" customWidth="1"/>
    <col min="14867" max="15105" width="9.140625" style="953"/>
    <col min="15106" max="15106" width="20" style="953" customWidth="1"/>
    <col min="15107" max="15114" width="16.140625" style="953" customWidth="1"/>
    <col min="15115" max="15116" width="7" style="953" customWidth="1"/>
    <col min="15117" max="15117" width="6.85546875" style="953" customWidth="1"/>
    <col min="15118" max="15118" width="32.28515625" style="953" customWidth="1"/>
    <col min="15119" max="15121" width="9.140625" style="953"/>
    <col min="15122" max="15122" width="0" style="953" hidden="1" customWidth="1"/>
    <col min="15123" max="15361" width="9.140625" style="953"/>
    <col min="15362" max="15362" width="20" style="953" customWidth="1"/>
    <col min="15363" max="15370" width="16.140625" style="953" customWidth="1"/>
    <col min="15371" max="15372" width="7" style="953" customWidth="1"/>
    <col min="15373" max="15373" width="6.85546875" style="953" customWidth="1"/>
    <col min="15374" max="15374" width="32.28515625" style="953" customWidth="1"/>
    <col min="15375" max="15377" width="9.140625" style="953"/>
    <col min="15378" max="15378" width="0" style="953" hidden="1" customWidth="1"/>
    <col min="15379" max="15617" width="9.140625" style="953"/>
    <col min="15618" max="15618" width="20" style="953" customWidth="1"/>
    <col min="15619" max="15626" width="16.140625" style="953" customWidth="1"/>
    <col min="15627" max="15628" width="7" style="953" customWidth="1"/>
    <col min="15629" max="15629" width="6.85546875" style="953" customWidth="1"/>
    <col min="15630" max="15630" width="32.28515625" style="953" customWidth="1"/>
    <col min="15631" max="15633" width="9.140625" style="953"/>
    <col min="15634" max="15634" width="0" style="953" hidden="1" customWidth="1"/>
    <col min="15635" max="15873" width="9.140625" style="953"/>
    <col min="15874" max="15874" width="20" style="953" customWidth="1"/>
    <col min="15875" max="15882" width="16.140625" style="953" customWidth="1"/>
    <col min="15883" max="15884" width="7" style="953" customWidth="1"/>
    <col min="15885" max="15885" width="6.85546875" style="953" customWidth="1"/>
    <col min="15886" max="15886" width="32.28515625" style="953" customWidth="1"/>
    <col min="15887" max="15889" width="9.140625" style="953"/>
    <col min="15890" max="15890" width="0" style="953" hidden="1" customWidth="1"/>
    <col min="15891" max="16129" width="9.140625" style="953"/>
    <col min="16130" max="16130" width="20" style="953" customWidth="1"/>
    <col min="16131" max="16138" width="16.140625" style="953" customWidth="1"/>
    <col min="16139" max="16140" width="7" style="953" customWidth="1"/>
    <col min="16141" max="16141" width="6.85546875" style="953" customWidth="1"/>
    <col min="16142" max="16142" width="32.28515625" style="953" customWidth="1"/>
    <col min="16143" max="16145" width="9.140625" style="953"/>
    <col min="16146" max="16146" width="0" style="953" hidden="1" customWidth="1"/>
    <col min="16147" max="16384" width="9.140625" style="953"/>
  </cols>
  <sheetData>
    <row r="1" spans="1:14" ht="26.25" customHeight="1">
      <c r="A1" s="1437" t="s">
        <v>1597</v>
      </c>
      <c r="B1" s="1438" t="s">
        <v>1598</v>
      </c>
      <c r="C1" s="1439"/>
      <c r="D1" s="1439"/>
      <c r="E1" s="1439"/>
      <c r="F1" s="1441"/>
      <c r="G1" s="1441"/>
      <c r="H1" s="1441"/>
      <c r="I1" s="1441"/>
      <c r="J1" s="1439"/>
      <c r="K1" s="1439"/>
      <c r="L1" s="1439"/>
      <c r="M1" s="1439"/>
      <c r="N1" s="1439"/>
    </row>
    <row r="2" spans="1:14" ht="26.25" customHeight="1">
      <c r="B2" s="1438" t="s">
        <v>1599</v>
      </c>
      <c r="C2" s="1439"/>
      <c r="D2" s="1439"/>
      <c r="E2" s="1439"/>
      <c r="F2" s="1441"/>
      <c r="G2" s="1441"/>
      <c r="H2" s="1441"/>
      <c r="I2" s="1441"/>
      <c r="J2" s="1439"/>
      <c r="K2" s="1439"/>
      <c r="L2" s="1439"/>
      <c r="M2" s="1439"/>
      <c r="N2" s="1439"/>
    </row>
    <row r="3" spans="1:14" ht="26.25" customHeight="1">
      <c r="B3" s="1440" t="s">
        <v>409</v>
      </c>
      <c r="C3" s="1440">
        <f>'Project Info'!$C$3</f>
        <v>0</v>
      </c>
      <c r="D3" s="1440"/>
      <c r="E3" s="1439"/>
      <c r="F3" s="1441"/>
      <c r="G3" s="1441"/>
      <c r="H3" s="1441"/>
      <c r="I3" s="1441"/>
      <c r="J3" s="1439"/>
      <c r="K3" s="1439"/>
      <c r="L3" s="1439"/>
      <c r="M3" s="1439"/>
      <c r="N3" s="1439"/>
    </row>
    <row r="4" spans="1:14" ht="26.25" customHeight="1">
      <c r="B4" s="1439"/>
      <c r="C4" s="1440"/>
      <c r="D4" s="1440"/>
      <c r="E4" s="1439"/>
      <c r="F4" s="1441"/>
      <c r="G4" s="1441"/>
      <c r="H4" s="1441"/>
      <c r="I4" s="1441"/>
      <c r="J4" s="1439"/>
      <c r="K4" s="1439"/>
      <c r="L4" s="1439"/>
      <c r="M4" s="1439"/>
      <c r="N4" s="1439"/>
    </row>
    <row r="5" spans="1:14" ht="15.75">
      <c r="B5" s="1443" t="s">
        <v>2243</v>
      </c>
      <c r="C5" s="1444"/>
      <c r="D5" s="1445"/>
      <c r="E5" s="1618"/>
      <c r="F5" s="1617"/>
      <c r="G5" s="1617"/>
      <c r="H5" s="1617"/>
      <c r="I5" s="1617"/>
      <c r="J5" s="1617"/>
      <c r="K5" s="2626" t="s">
        <v>1601</v>
      </c>
      <c r="L5" s="2819"/>
      <c r="M5" s="2627"/>
      <c r="N5" s="1447" t="s">
        <v>1602</v>
      </c>
    </row>
    <row r="6" spans="1:14">
      <c r="B6" s="1449"/>
      <c r="C6" s="1449"/>
      <c r="D6" s="1449"/>
      <c r="E6" s="1449"/>
      <c r="F6" s="1449"/>
      <c r="G6" s="1449"/>
      <c r="H6" s="1449"/>
      <c r="I6" s="1449"/>
      <c r="J6" s="1449"/>
      <c r="K6" s="2632" t="s">
        <v>1603</v>
      </c>
      <c r="L6" s="2820"/>
      <c r="M6" s="2651"/>
      <c r="N6" s="1137"/>
    </row>
    <row r="7" spans="1:14">
      <c r="B7" s="1451"/>
      <c r="C7" s="1449"/>
      <c r="D7" s="1449"/>
      <c r="E7" s="1449"/>
      <c r="F7" s="1449"/>
      <c r="G7" s="1449"/>
      <c r="H7" s="1449"/>
      <c r="I7" s="1449"/>
      <c r="J7" s="1449"/>
      <c r="K7" s="2669"/>
      <c r="L7" s="2820"/>
      <c r="M7" s="2651"/>
      <c r="N7" s="1111"/>
    </row>
    <row r="8" spans="1:14" ht="10.5" customHeight="1">
      <c r="B8" s="1449"/>
      <c r="C8" s="1449"/>
      <c r="D8" s="1449"/>
      <c r="E8" s="1449"/>
      <c r="F8" s="1449"/>
      <c r="G8" s="1449"/>
      <c r="H8" s="1449"/>
      <c r="I8" s="1449"/>
      <c r="J8" s="1449"/>
      <c r="K8" s="2669"/>
      <c r="L8" s="2820"/>
      <c r="M8" s="2651"/>
      <c r="N8" s="1111"/>
    </row>
    <row r="9" spans="1:14">
      <c r="B9" s="1451" t="s">
        <v>1604</v>
      </c>
      <c r="C9" s="1449"/>
      <c r="D9" s="1449"/>
      <c r="E9" s="1449"/>
      <c r="F9" s="1449"/>
      <c r="G9" s="1449"/>
      <c r="H9" s="1449"/>
      <c r="I9" s="1449"/>
      <c r="J9" s="1449"/>
      <c r="K9" s="1449"/>
      <c r="L9" s="1449"/>
      <c r="M9" s="1449"/>
      <c r="N9" s="1452"/>
    </row>
    <row r="10" spans="1:14" ht="11.25" customHeight="1">
      <c r="B10" s="1455" t="s">
        <v>2244</v>
      </c>
      <c r="C10" s="1449"/>
      <c r="D10" s="1449"/>
      <c r="E10" s="1449"/>
      <c r="F10" s="1449"/>
      <c r="G10" s="1449"/>
      <c r="H10" s="1449"/>
      <c r="I10" s="1449"/>
      <c r="J10" s="1449"/>
      <c r="K10" s="1449"/>
      <c r="L10" s="1449"/>
      <c r="M10" s="1449"/>
      <c r="N10" s="1452"/>
    </row>
    <row r="11" spans="1:14" ht="11.25" customHeight="1">
      <c r="B11" s="1455" t="s">
        <v>2245</v>
      </c>
      <c r="C11" s="1449"/>
      <c r="D11" s="1449"/>
      <c r="E11" s="1449"/>
      <c r="F11" s="1449"/>
      <c r="G11" s="1449"/>
      <c r="H11" s="1449"/>
      <c r="I11" s="1449"/>
      <c r="J11" s="1449"/>
      <c r="K11" s="1449"/>
      <c r="L11" s="1449"/>
      <c r="M11" s="1449"/>
      <c r="N11" s="1452"/>
    </row>
    <row r="12" spans="1:14" ht="10.5" customHeight="1">
      <c r="B12" s="1449"/>
      <c r="C12" s="1449"/>
      <c r="D12" s="1449"/>
      <c r="E12" s="1449"/>
      <c r="F12" s="1449"/>
      <c r="G12" s="1449"/>
      <c r="H12" s="1449"/>
      <c r="I12" s="1449"/>
      <c r="J12" s="1449"/>
      <c r="K12" s="1449"/>
      <c r="L12" s="1449"/>
      <c r="M12" s="1449"/>
      <c r="N12" s="1452"/>
    </row>
    <row r="13" spans="1:14">
      <c r="B13" s="1451" t="s">
        <v>1607</v>
      </c>
      <c r="C13" s="1449"/>
      <c r="D13" s="1449"/>
      <c r="E13" s="1449"/>
      <c r="F13" s="1449"/>
      <c r="G13" s="1449"/>
      <c r="H13" s="1449"/>
      <c r="I13" s="1449"/>
      <c r="J13" s="1449"/>
      <c r="K13" s="1449"/>
      <c r="L13" s="1449"/>
      <c r="M13" s="1449"/>
      <c r="N13" s="1452"/>
    </row>
    <row r="14" spans="1:14" ht="12.75" customHeight="1">
      <c r="B14" s="1449" t="s">
        <v>1608</v>
      </c>
      <c r="C14" s="1449"/>
      <c r="D14" s="1449"/>
      <c r="E14" s="1449"/>
      <c r="F14" s="1449"/>
      <c r="G14" s="1449"/>
      <c r="H14" s="1449"/>
      <c r="I14" s="1449"/>
      <c r="J14" s="1449"/>
      <c r="K14" s="1449"/>
      <c r="L14" s="1449"/>
      <c r="M14" s="1449"/>
      <c r="N14" s="1449"/>
    </row>
    <row r="15" spans="1:14">
      <c r="B15" s="1455" t="s">
        <v>2246</v>
      </c>
      <c r="C15" s="1449"/>
      <c r="D15" s="1449"/>
      <c r="E15" s="1449"/>
      <c r="F15" s="1449"/>
      <c r="G15" s="1449"/>
      <c r="H15" s="1449"/>
      <c r="I15" s="1449"/>
      <c r="J15" s="1449"/>
      <c r="K15" s="1449"/>
      <c r="L15" s="1449"/>
      <c r="M15" s="1449"/>
      <c r="N15" s="1449"/>
    </row>
    <row r="16" spans="1:14">
      <c r="B16" s="1449"/>
      <c r="C16" s="1449"/>
      <c r="D16" s="1449"/>
      <c r="E16" s="1449"/>
      <c r="F16" s="1449"/>
      <c r="G16" s="1449"/>
      <c r="H16" s="1449"/>
      <c r="I16" s="1449"/>
      <c r="J16" s="1449"/>
      <c r="K16" s="1449"/>
      <c r="L16" s="1449"/>
      <c r="M16" s="1449"/>
      <c r="N16" s="1449"/>
    </row>
    <row r="17" spans="2:14">
      <c r="B17" s="1454" t="s">
        <v>1611</v>
      </c>
      <c r="C17" s="1449"/>
      <c r="D17" s="1449"/>
      <c r="E17" s="1449"/>
      <c r="F17" s="1449"/>
      <c r="G17" s="1449"/>
      <c r="H17" s="1449"/>
      <c r="I17" s="1449"/>
      <c r="J17" s="1449"/>
      <c r="K17" s="1449"/>
      <c r="L17" s="1449"/>
      <c r="M17" s="1449"/>
      <c r="N17" s="1449"/>
    </row>
    <row r="18" spans="2:14" ht="39.75" customHeight="1">
      <c r="B18" s="2585" t="s">
        <v>2247</v>
      </c>
      <c r="C18" s="2585"/>
      <c r="D18" s="2585"/>
      <c r="E18" s="2585"/>
      <c r="F18" s="2585"/>
      <c r="G18" s="2585"/>
      <c r="H18" s="2585"/>
      <c r="I18" s="2585"/>
      <c r="J18" s="2585"/>
      <c r="K18" s="1449"/>
      <c r="L18" s="1449"/>
      <c r="M18" s="1449"/>
      <c r="N18" s="1449"/>
    </row>
    <row r="19" spans="2:14">
      <c r="B19" s="1582" t="s">
        <v>2206</v>
      </c>
      <c r="C19" s="1449"/>
      <c r="D19" s="1449"/>
      <c r="E19" s="1449"/>
      <c r="F19" s="1449"/>
      <c r="G19" s="1449"/>
      <c r="H19" s="1449"/>
      <c r="I19" s="1449"/>
      <c r="J19" s="1449"/>
      <c r="K19" s="1449"/>
      <c r="L19" s="1449"/>
      <c r="M19" s="1449"/>
      <c r="N19" s="1449"/>
    </row>
    <row r="20" spans="2:14" ht="24.75" customHeight="1">
      <c r="B20" s="2694" t="s">
        <v>2248</v>
      </c>
      <c r="C20" s="2694"/>
      <c r="D20" s="2694"/>
      <c r="E20" s="2694"/>
      <c r="F20" s="2694"/>
      <c r="G20" s="2694"/>
      <c r="H20" s="2694"/>
      <c r="I20" s="2694"/>
      <c r="J20" s="2694"/>
      <c r="K20" s="1449"/>
      <c r="L20" s="1449"/>
      <c r="M20" s="1449"/>
      <c r="N20" s="1449"/>
    </row>
    <row r="21" spans="2:14" ht="82.5" customHeight="1" collapsed="1">
      <c r="B21" s="1459" t="s">
        <v>2249</v>
      </c>
      <c r="C21" s="1456" t="s">
        <v>2250</v>
      </c>
      <c r="D21" s="1456" t="s">
        <v>2251</v>
      </c>
      <c r="E21" s="1456" t="s">
        <v>2252</v>
      </c>
      <c r="F21" s="1456" t="s">
        <v>2253</v>
      </c>
      <c r="G21" s="1456" t="s">
        <v>2254</v>
      </c>
      <c r="H21" s="1456" t="s">
        <v>2255</v>
      </c>
      <c r="I21" s="1459" t="s">
        <v>1626</v>
      </c>
      <c r="J21" s="1459" t="s">
        <v>1703</v>
      </c>
      <c r="K21" s="1722" t="s">
        <v>1628</v>
      </c>
      <c r="L21" s="1457"/>
    </row>
    <row r="22" spans="2:14" ht="32.25" customHeight="1">
      <c r="B22" s="1723" t="s">
        <v>2256</v>
      </c>
      <c r="C22" s="1274"/>
      <c r="D22" s="1274"/>
      <c r="E22" s="1274"/>
      <c r="F22" s="1274"/>
      <c r="G22" s="1274"/>
      <c r="H22" s="1274"/>
      <c r="I22" s="1143"/>
      <c r="J22" s="1135"/>
      <c r="K22" s="1198"/>
      <c r="L22" s="1457"/>
    </row>
    <row r="23" spans="2:14" ht="32.25" customHeight="1">
      <c r="B23" s="1724" t="s">
        <v>2257</v>
      </c>
      <c r="C23" s="1274"/>
      <c r="D23" s="1274"/>
      <c r="E23" s="1274"/>
      <c r="F23" s="1274"/>
      <c r="G23" s="1274"/>
      <c r="H23" s="1274"/>
      <c r="I23" s="1143"/>
      <c r="J23" s="1135"/>
      <c r="K23" s="1198"/>
      <c r="L23" s="1457"/>
    </row>
    <row r="24" spans="2:14" ht="32.25" customHeight="1">
      <c r="B24" s="1723" t="s">
        <v>2258</v>
      </c>
      <c r="C24" s="1117"/>
      <c r="D24" s="1274"/>
      <c r="E24" s="1274"/>
      <c r="F24" s="1274"/>
      <c r="G24" s="1274"/>
      <c r="H24" s="1274"/>
      <c r="I24" s="1143"/>
      <c r="J24" s="1135"/>
      <c r="K24" s="1198"/>
      <c r="L24" s="1457"/>
    </row>
    <row r="25" spans="2:14" ht="32.25" customHeight="1">
      <c r="B25" s="1723" t="s">
        <v>2259</v>
      </c>
      <c r="C25" s="1275"/>
      <c r="D25" s="1275"/>
      <c r="E25" s="1274"/>
      <c r="F25" s="1275"/>
      <c r="G25" s="1274"/>
      <c r="H25" s="1274"/>
      <c r="I25" s="1143"/>
      <c r="J25" s="1135"/>
      <c r="K25" s="1198"/>
      <c r="L25" s="1457"/>
    </row>
    <row r="26" spans="2:14" ht="39" customHeight="1">
      <c r="B26" s="1724" t="s">
        <v>2260</v>
      </c>
      <c r="C26" s="1274"/>
      <c r="D26" s="1274"/>
      <c r="E26" s="1274"/>
      <c r="F26" s="1274"/>
      <c r="G26" s="1274"/>
      <c r="H26" s="1274"/>
      <c r="I26" s="1117"/>
      <c r="J26" s="1135"/>
      <c r="K26" s="1198"/>
      <c r="L26" s="1457"/>
      <c r="M26" s="1457"/>
    </row>
    <row r="27" spans="2:14" ht="84" customHeight="1">
      <c r="B27" s="1459" t="s">
        <v>1633</v>
      </c>
      <c r="C27" s="1725"/>
      <c r="D27" s="1725"/>
      <c r="E27" s="1725"/>
      <c r="F27" s="1725"/>
      <c r="G27" s="1725"/>
      <c r="H27" s="1725"/>
      <c r="I27" s="1459" t="s">
        <v>1626</v>
      </c>
      <c r="J27" s="1459" t="s">
        <v>1703</v>
      </c>
      <c r="K27" s="1726" t="s">
        <v>1628</v>
      </c>
      <c r="L27" s="1465" t="s">
        <v>1629</v>
      </c>
      <c r="M27" s="2704" t="s">
        <v>2134</v>
      </c>
      <c r="N27" s="2704"/>
    </row>
    <row r="28" spans="2:14" ht="45.75" customHeight="1">
      <c r="B28" s="2586" t="s">
        <v>2261</v>
      </c>
      <c r="C28" s="2586"/>
      <c r="D28" s="2586"/>
      <c r="E28" s="2586"/>
      <c r="F28" s="2586"/>
      <c r="G28" s="2586"/>
      <c r="H28" s="2586"/>
      <c r="I28" s="1117"/>
      <c r="J28" s="1135"/>
      <c r="K28" s="1198"/>
      <c r="L28" s="1199"/>
      <c r="M28" s="2581"/>
      <c r="N28" s="2582"/>
    </row>
    <row r="29" spans="2:14" ht="54.75" customHeight="1">
      <c r="B29" s="2586" t="s">
        <v>2262</v>
      </c>
      <c r="C29" s="2586"/>
      <c r="D29" s="2586"/>
      <c r="E29" s="2586"/>
      <c r="F29" s="2586"/>
      <c r="G29" s="2586"/>
      <c r="H29" s="2586"/>
      <c r="I29" s="1117"/>
      <c r="J29" s="1135"/>
      <c r="K29" s="1198"/>
      <c r="L29" s="1199"/>
      <c r="M29" s="2581"/>
      <c r="N29" s="2582"/>
    </row>
    <row r="30" spans="2:14" ht="27.75" customHeight="1">
      <c r="B30" s="2586" t="s">
        <v>2263</v>
      </c>
      <c r="C30" s="2586"/>
      <c r="D30" s="2586"/>
      <c r="E30" s="2586"/>
      <c r="F30" s="2586"/>
      <c r="G30" s="2586"/>
      <c r="H30" s="2586"/>
      <c r="I30" s="2586"/>
      <c r="J30" s="2586"/>
      <c r="K30" s="2575"/>
      <c r="L30" s="1199"/>
      <c r="M30" s="2581"/>
      <c r="N30" s="2582"/>
    </row>
    <row r="31" spans="2:14" ht="27.75" customHeight="1">
      <c r="B31" s="2586" t="s">
        <v>2264</v>
      </c>
      <c r="C31" s="2586"/>
      <c r="D31" s="2586"/>
      <c r="E31" s="2586"/>
      <c r="F31" s="2586"/>
      <c r="G31" s="2586"/>
      <c r="H31" s="2586"/>
      <c r="I31" s="2586"/>
      <c r="J31" s="2586"/>
      <c r="K31" s="2575"/>
      <c r="L31" s="1199"/>
      <c r="M31" s="2581"/>
      <c r="N31" s="2582"/>
    </row>
    <row r="32" spans="2:14" ht="53.25" customHeight="1">
      <c r="B32" s="2586" t="s">
        <v>2265</v>
      </c>
      <c r="C32" s="2586"/>
      <c r="D32" s="2586"/>
      <c r="E32" s="2586"/>
      <c r="F32" s="2586"/>
      <c r="G32" s="2586"/>
      <c r="H32" s="2586"/>
      <c r="I32" s="2586"/>
      <c r="J32" s="2586"/>
      <c r="K32" s="2575"/>
      <c r="L32" s="1199"/>
      <c r="M32" s="2581"/>
      <c r="N32" s="2582"/>
    </row>
    <row r="33" spans="2:18" ht="55.5" customHeight="1">
      <c r="B33" s="2586" t="s">
        <v>1635</v>
      </c>
      <c r="C33" s="2586"/>
      <c r="D33" s="2586"/>
      <c r="E33" s="2586"/>
      <c r="F33" s="2586"/>
      <c r="G33" s="2586"/>
      <c r="H33" s="2586"/>
      <c r="I33" s="2586"/>
      <c r="J33" s="2586"/>
      <c r="K33" s="2575"/>
      <c r="L33" s="1199"/>
      <c r="M33" s="2581"/>
      <c r="N33" s="2582"/>
    </row>
    <row r="34" spans="2:18" ht="39" customHeight="1"/>
    <row r="35" spans="2:18" ht="26.25" customHeight="1"/>
    <row r="36" spans="2:18" ht="26.25" customHeight="1"/>
    <row r="37" spans="2:18">
      <c r="R37" s="1321" t="s">
        <v>403</v>
      </c>
    </row>
    <row r="38" spans="2:18">
      <c r="R38" s="1321" t="s">
        <v>405</v>
      </c>
    </row>
    <row r="39" spans="2:18">
      <c r="R39" s="1321" t="s">
        <v>404</v>
      </c>
    </row>
    <row r="176" spans="2:2" ht="18">
      <c r="B176" s="1323"/>
    </row>
  </sheetData>
  <sheetProtection sheet="1" objects="1" scenarios="1" formatCells="0" formatColumns="0" formatRows="0" insertColumns="0" insertRows="0"/>
  <mergeCells count="19">
    <mergeCell ref="B30:K30"/>
    <mergeCell ref="M30:N30"/>
    <mergeCell ref="K5:M5"/>
    <mergeCell ref="K6:M6"/>
    <mergeCell ref="K7:M7"/>
    <mergeCell ref="K8:M8"/>
    <mergeCell ref="B18:J18"/>
    <mergeCell ref="B20:J20"/>
    <mergeCell ref="M27:N27"/>
    <mergeCell ref="B28:H28"/>
    <mergeCell ref="M28:N28"/>
    <mergeCell ref="B29:H29"/>
    <mergeCell ref="M29:N29"/>
    <mergeCell ref="B31:K31"/>
    <mergeCell ref="M31:N31"/>
    <mergeCell ref="B32:K32"/>
    <mergeCell ref="M32:N32"/>
    <mergeCell ref="B33:K33"/>
    <mergeCell ref="M33:N33"/>
  </mergeCells>
  <dataValidations count="2">
    <dataValidation type="list" allowBlank="1" showInputMessage="1" showErrorMessage="1" sqref="K22:K26 JG22:JG26 TC22:TC26 ACY22:ACY26 AMU22:AMU26 AWQ22:AWQ26 BGM22:BGM26 BQI22:BQI26 CAE22:CAE26 CKA22:CKA26 CTW22:CTW26 DDS22:DDS26 DNO22:DNO26 DXK22:DXK26 EHG22:EHG26 ERC22:ERC26 FAY22:FAY26 FKU22:FKU26 FUQ22:FUQ26 GEM22:GEM26 GOI22:GOI26 GYE22:GYE26 HIA22:HIA26 HRW22:HRW26 IBS22:IBS26 ILO22:ILO26 IVK22:IVK26 JFG22:JFG26 JPC22:JPC26 JYY22:JYY26 KIU22:KIU26 KSQ22:KSQ26 LCM22:LCM26 LMI22:LMI26 LWE22:LWE26 MGA22:MGA26 MPW22:MPW26 MZS22:MZS26 NJO22:NJO26 NTK22:NTK26 ODG22:ODG26 ONC22:ONC26 OWY22:OWY26 PGU22:PGU26 PQQ22:PQQ26 QAM22:QAM26 QKI22:QKI26 QUE22:QUE26 REA22:REA26 RNW22:RNW26 RXS22:RXS26 SHO22:SHO26 SRK22:SRK26 TBG22:TBG26 TLC22:TLC26 TUY22:TUY26 UEU22:UEU26 UOQ22:UOQ26 UYM22:UYM26 VII22:VII26 VSE22:VSE26 WCA22:WCA26 WLW22:WLW26 WVS22:WVS26 K65558:K65562 JG65558:JG65562 TC65558:TC65562 ACY65558:ACY65562 AMU65558:AMU65562 AWQ65558:AWQ65562 BGM65558:BGM65562 BQI65558:BQI65562 CAE65558:CAE65562 CKA65558:CKA65562 CTW65558:CTW65562 DDS65558:DDS65562 DNO65558:DNO65562 DXK65558:DXK65562 EHG65558:EHG65562 ERC65558:ERC65562 FAY65558:FAY65562 FKU65558:FKU65562 FUQ65558:FUQ65562 GEM65558:GEM65562 GOI65558:GOI65562 GYE65558:GYE65562 HIA65558:HIA65562 HRW65558:HRW65562 IBS65558:IBS65562 ILO65558:ILO65562 IVK65558:IVK65562 JFG65558:JFG65562 JPC65558:JPC65562 JYY65558:JYY65562 KIU65558:KIU65562 KSQ65558:KSQ65562 LCM65558:LCM65562 LMI65558:LMI65562 LWE65558:LWE65562 MGA65558:MGA65562 MPW65558:MPW65562 MZS65558:MZS65562 NJO65558:NJO65562 NTK65558:NTK65562 ODG65558:ODG65562 ONC65558:ONC65562 OWY65558:OWY65562 PGU65558:PGU65562 PQQ65558:PQQ65562 QAM65558:QAM65562 QKI65558:QKI65562 QUE65558:QUE65562 REA65558:REA65562 RNW65558:RNW65562 RXS65558:RXS65562 SHO65558:SHO65562 SRK65558:SRK65562 TBG65558:TBG65562 TLC65558:TLC65562 TUY65558:TUY65562 UEU65558:UEU65562 UOQ65558:UOQ65562 UYM65558:UYM65562 VII65558:VII65562 VSE65558:VSE65562 WCA65558:WCA65562 WLW65558:WLW65562 WVS65558:WVS65562 K131094:K131098 JG131094:JG131098 TC131094:TC131098 ACY131094:ACY131098 AMU131094:AMU131098 AWQ131094:AWQ131098 BGM131094:BGM131098 BQI131094:BQI131098 CAE131094:CAE131098 CKA131094:CKA131098 CTW131094:CTW131098 DDS131094:DDS131098 DNO131094:DNO131098 DXK131094:DXK131098 EHG131094:EHG131098 ERC131094:ERC131098 FAY131094:FAY131098 FKU131094:FKU131098 FUQ131094:FUQ131098 GEM131094:GEM131098 GOI131094:GOI131098 GYE131094:GYE131098 HIA131094:HIA131098 HRW131094:HRW131098 IBS131094:IBS131098 ILO131094:ILO131098 IVK131094:IVK131098 JFG131094:JFG131098 JPC131094:JPC131098 JYY131094:JYY131098 KIU131094:KIU131098 KSQ131094:KSQ131098 LCM131094:LCM131098 LMI131094:LMI131098 LWE131094:LWE131098 MGA131094:MGA131098 MPW131094:MPW131098 MZS131094:MZS131098 NJO131094:NJO131098 NTK131094:NTK131098 ODG131094:ODG131098 ONC131094:ONC131098 OWY131094:OWY131098 PGU131094:PGU131098 PQQ131094:PQQ131098 QAM131094:QAM131098 QKI131094:QKI131098 QUE131094:QUE131098 REA131094:REA131098 RNW131094:RNW131098 RXS131094:RXS131098 SHO131094:SHO131098 SRK131094:SRK131098 TBG131094:TBG131098 TLC131094:TLC131098 TUY131094:TUY131098 UEU131094:UEU131098 UOQ131094:UOQ131098 UYM131094:UYM131098 VII131094:VII131098 VSE131094:VSE131098 WCA131094:WCA131098 WLW131094:WLW131098 WVS131094:WVS131098 K196630:K196634 JG196630:JG196634 TC196630:TC196634 ACY196630:ACY196634 AMU196630:AMU196634 AWQ196630:AWQ196634 BGM196630:BGM196634 BQI196630:BQI196634 CAE196630:CAE196634 CKA196630:CKA196634 CTW196630:CTW196634 DDS196630:DDS196634 DNO196630:DNO196634 DXK196630:DXK196634 EHG196630:EHG196634 ERC196630:ERC196634 FAY196630:FAY196634 FKU196630:FKU196634 FUQ196630:FUQ196634 GEM196630:GEM196634 GOI196630:GOI196634 GYE196630:GYE196634 HIA196630:HIA196634 HRW196630:HRW196634 IBS196630:IBS196634 ILO196630:ILO196634 IVK196630:IVK196634 JFG196630:JFG196634 JPC196630:JPC196634 JYY196630:JYY196634 KIU196630:KIU196634 KSQ196630:KSQ196634 LCM196630:LCM196634 LMI196630:LMI196634 LWE196630:LWE196634 MGA196630:MGA196634 MPW196630:MPW196634 MZS196630:MZS196634 NJO196630:NJO196634 NTK196630:NTK196634 ODG196630:ODG196634 ONC196630:ONC196634 OWY196630:OWY196634 PGU196630:PGU196634 PQQ196630:PQQ196634 QAM196630:QAM196634 QKI196630:QKI196634 QUE196630:QUE196634 REA196630:REA196634 RNW196630:RNW196634 RXS196630:RXS196634 SHO196630:SHO196634 SRK196630:SRK196634 TBG196630:TBG196634 TLC196630:TLC196634 TUY196630:TUY196634 UEU196630:UEU196634 UOQ196630:UOQ196634 UYM196630:UYM196634 VII196630:VII196634 VSE196630:VSE196634 WCA196630:WCA196634 WLW196630:WLW196634 WVS196630:WVS196634 K262166:K262170 JG262166:JG262170 TC262166:TC262170 ACY262166:ACY262170 AMU262166:AMU262170 AWQ262166:AWQ262170 BGM262166:BGM262170 BQI262166:BQI262170 CAE262166:CAE262170 CKA262166:CKA262170 CTW262166:CTW262170 DDS262166:DDS262170 DNO262166:DNO262170 DXK262166:DXK262170 EHG262166:EHG262170 ERC262166:ERC262170 FAY262166:FAY262170 FKU262166:FKU262170 FUQ262166:FUQ262170 GEM262166:GEM262170 GOI262166:GOI262170 GYE262166:GYE262170 HIA262166:HIA262170 HRW262166:HRW262170 IBS262166:IBS262170 ILO262166:ILO262170 IVK262166:IVK262170 JFG262166:JFG262170 JPC262166:JPC262170 JYY262166:JYY262170 KIU262166:KIU262170 KSQ262166:KSQ262170 LCM262166:LCM262170 LMI262166:LMI262170 LWE262166:LWE262170 MGA262166:MGA262170 MPW262166:MPW262170 MZS262166:MZS262170 NJO262166:NJO262170 NTK262166:NTK262170 ODG262166:ODG262170 ONC262166:ONC262170 OWY262166:OWY262170 PGU262166:PGU262170 PQQ262166:PQQ262170 QAM262166:QAM262170 QKI262166:QKI262170 QUE262166:QUE262170 REA262166:REA262170 RNW262166:RNW262170 RXS262166:RXS262170 SHO262166:SHO262170 SRK262166:SRK262170 TBG262166:TBG262170 TLC262166:TLC262170 TUY262166:TUY262170 UEU262166:UEU262170 UOQ262166:UOQ262170 UYM262166:UYM262170 VII262166:VII262170 VSE262166:VSE262170 WCA262166:WCA262170 WLW262166:WLW262170 WVS262166:WVS262170 K327702:K327706 JG327702:JG327706 TC327702:TC327706 ACY327702:ACY327706 AMU327702:AMU327706 AWQ327702:AWQ327706 BGM327702:BGM327706 BQI327702:BQI327706 CAE327702:CAE327706 CKA327702:CKA327706 CTW327702:CTW327706 DDS327702:DDS327706 DNO327702:DNO327706 DXK327702:DXK327706 EHG327702:EHG327706 ERC327702:ERC327706 FAY327702:FAY327706 FKU327702:FKU327706 FUQ327702:FUQ327706 GEM327702:GEM327706 GOI327702:GOI327706 GYE327702:GYE327706 HIA327702:HIA327706 HRW327702:HRW327706 IBS327702:IBS327706 ILO327702:ILO327706 IVK327702:IVK327706 JFG327702:JFG327706 JPC327702:JPC327706 JYY327702:JYY327706 KIU327702:KIU327706 KSQ327702:KSQ327706 LCM327702:LCM327706 LMI327702:LMI327706 LWE327702:LWE327706 MGA327702:MGA327706 MPW327702:MPW327706 MZS327702:MZS327706 NJO327702:NJO327706 NTK327702:NTK327706 ODG327702:ODG327706 ONC327702:ONC327706 OWY327702:OWY327706 PGU327702:PGU327706 PQQ327702:PQQ327706 QAM327702:QAM327706 QKI327702:QKI327706 QUE327702:QUE327706 REA327702:REA327706 RNW327702:RNW327706 RXS327702:RXS327706 SHO327702:SHO327706 SRK327702:SRK327706 TBG327702:TBG327706 TLC327702:TLC327706 TUY327702:TUY327706 UEU327702:UEU327706 UOQ327702:UOQ327706 UYM327702:UYM327706 VII327702:VII327706 VSE327702:VSE327706 WCA327702:WCA327706 WLW327702:WLW327706 WVS327702:WVS327706 K393238:K393242 JG393238:JG393242 TC393238:TC393242 ACY393238:ACY393242 AMU393238:AMU393242 AWQ393238:AWQ393242 BGM393238:BGM393242 BQI393238:BQI393242 CAE393238:CAE393242 CKA393238:CKA393242 CTW393238:CTW393242 DDS393238:DDS393242 DNO393238:DNO393242 DXK393238:DXK393242 EHG393238:EHG393242 ERC393238:ERC393242 FAY393238:FAY393242 FKU393238:FKU393242 FUQ393238:FUQ393242 GEM393238:GEM393242 GOI393238:GOI393242 GYE393238:GYE393242 HIA393238:HIA393242 HRW393238:HRW393242 IBS393238:IBS393242 ILO393238:ILO393242 IVK393238:IVK393242 JFG393238:JFG393242 JPC393238:JPC393242 JYY393238:JYY393242 KIU393238:KIU393242 KSQ393238:KSQ393242 LCM393238:LCM393242 LMI393238:LMI393242 LWE393238:LWE393242 MGA393238:MGA393242 MPW393238:MPW393242 MZS393238:MZS393242 NJO393238:NJO393242 NTK393238:NTK393242 ODG393238:ODG393242 ONC393238:ONC393242 OWY393238:OWY393242 PGU393238:PGU393242 PQQ393238:PQQ393242 QAM393238:QAM393242 QKI393238:QKI393242 QUE393238:QUE393242 REA393238:REA393242 RNW393238:RNW393242 RXS393238:RXS393242 SHO393238:SHO393242 SRK393238:SRK393242 TBG393238:TBG393242 TLC393238:TLC393242 TUY393238:TUY393242 UEU393238:UEU393242 UOQ393238:UOQ393242 UYM393238:UYM393242 VII393238:VII393242 VSE393238:VSE393242 WCA393238:WCA393242 WLW393238:WLW393242 WVS393238:WVS393242 K458774:K458778 JG458774:JG458778 TC458774:TC458778 ACY458774:ACY458778 AMU458774:AMU458778 AWQ458774:AWQ458778 BGM458774:BGM458778 BQI458774:BQI458778 CAE458774:CAE458778 CKA458774:CKA458778 CTW458774:CTW458778 DDS458774:DDS458778 DNO458774:DNO458778 DXK458774:DXK458778 EHG458774:EHG458778 ERC458774:ERC458778 FAY458774:FAY458778 FKU458774:FKU458778 FUQ458774:FUQ458778 GEM458774:GEM458778 GOI458774:GOI458778 GYE458774:GYE458778 HIA458774:HIA458778 HRW458774:HRW458778 IBS458774:IBS458778 ILO458774:ILO458778 IVK458774:IVK458778 JFG458774:JFG458778 JPC458774:JPC458778 JYY458774:JYY458778 KIU458774:KIU458778 KSQ458774:KSQ458778 LCM458774:LCM458778 LMI458774:LMI458778 LWE458774:LWE458778 MGA458774:MGA458778 MPW458774:MPW458778 MZS458774:MZS458778 NJO458774:NJO458778 NTK458774:NTK458778 ODG458774:ODG458778 ONC458774:ONC458778 OWY458774:OWY458778 PGU458774:PGU458778 PQQ458774:PQQ458778 QAM458774:QAM458778 QKI458774:QKI458778 QUE458774:QUE458778 REA458774:REA458778 RNW458774:RNW458778 RXS458774:RXS458778 SHO458774:SHO458778 SRK458774:SRK458778 TBG458774:TBG458778 TLC458774:TLC458778 TUY458774:TUY458778 UEU458774:UEU458778 UOQ458774:UOQ458778 UYM458774:UYM458778 VII458774:VII458778 VSE458774:VSE458778 WCA458774:WCA458778 WLW458774:WLW458778 WVS458774:WVS458778 K524310:K524314 JG524310:JG524314 TC524310:TC524314 ACY524310:ACY524314 AMU524310:AMU524314 AWQ524310:AWQ524314 BGM524310:BGM524314 BQI524310:BQI524314 CAE524310:CAE524314 CKA524310:CKA524314 CTW524310:CTW524314 DDS524310:DDS524314 DNO524310:DNO524314 DXK524310:DXK524314 EHG524310:EHG524314 ERC524310:ERC524314 FAY524310:FAY524314 FKU524310:FKU524314 FUQ524310:FUQ524314 GEM524310:GEM524314 GOI524310:GOI524314 GYE524310:GYE524314 HIA524310:HIA524314 HRW524310:HRW524314 IBS524310:IBS524314 ILO524310:ILO524314 IVK524310:IVK524314 JFG524310:JFG524314 JPC524310:JPC524314 JYY524310:JYY524314 KIU524310:KIU524314 KSQ524310:KSQ524314 LCM524310:LCM524314 LMI524310:LMI524314 LWE524310:LWE524314 MGA524310:MGA524314 MPW524310:MPW524314 MZS524310:MZS524314 NJO524310:NJO524314 NTK524310:NTK524314 ODG524310:ODG524314 ONC524310:ONC524314 OWY524310:OWY524314 PGU524310:PGU524314 PQQ524310:PQQ524314 QAM524310:QAM524314 QKI524310:QKI524314 QUE524310:QUE524314 REA524310:REA524314 RNW524310:RNW524314 RXS524310:RXS524314 SHO524310:SHO524314 SRK524310:SRK524314 TBG524310:TBG524314 TLC524310:TLC524314 TUY524310:TUY524314 UEU524310:UEU524314 UOQ524310:UOQ524314 UYM524310:UYM524314 VII524310:VII524314 VSE524310:VSE524314 WCA524310:WCA524314 WLW524310:WLW524314 WVS524310:WVS524314 K589846:K589850 JG589846:JG589850 TC589846:TC589850 ACY589846:ACY589850 AMU589846:AMU589850 AWQ589846:AWQ589850 BGM589846:BGM589850 BQI589846:BQI589850 CAE589846:CAE589850 CKA589846:CKA589850 CTW589846:CTW589850 DDS589846:DDS589850 DNO589846:DNO589850 DXK589846:DXK589850 EHG589846:EHG589850 ERC589846:ERC589850 FAY589846:FAY589850 FKU589846:FKU589850 FUQ589846:FUQ589850 GEM589846:GEM589850 GOI589846:GOI589850 GYE589846:GYE589850 HIA589846:HIA589850 HRW589846:HRW589850 IBS589846:IBS589850 ILO589846:ILO589850 IVK589846:IVK589850 JFG589846:JFG589850 JPC589846:JPC589850 JYY589846:JYY589850 KIU589846:KIU589850 KSQ589846:KSQ589850 LCM589846:LCM589850 LMI589846:LMI589850 LWE589846:LWE589850 MGA589846:MGA589850 MPW589846:MPW589850 MZS589846:MZS589850 NJO589846:NJO589850 NTK589846:NTK589850 ODG589846:ODG589850 ONC589846:ONC589850 OWY589846:OWY589850 PGU589846:PGU589850 PQQ589846:PQQ589850 QAM589846:QAM589850 QKI589846:QKI589850 QUE589846:QUE589850 REA589846:REA589850 RNW589846:RNW589850 RXS589846:RXS589850 SHO589846:SHO589850 SRK589846:SRK589850 TBG589846:TBG589850 TLC589846:TLC589850 TUY589846:TUY589850 UEU589846:UEU589850 UOQ589846:UOQ589850 UYM589846:UYM589850 VII589846:VII589850 VSE589846:VSE589850 WCA589846:WCA589850 WLW589846:WLW589850 WVS589846:WVS589850 K655382:K655386 JG655382:JG655386 TC655382:TC655386 ACY655382:ACY655386 AMU655382:AMU655386 AWQ655382:AWQ655386 BGM655382:BGM655386 BQI655382:BQI655386 CAE655382:CAE655386 CKA655382:CKA655386 CTW655382:CTW655386 DDS655382:DDS655386 DNO655382:DNO655386 DXK655382:DXK655386 EHG655382:EHG655386 ERC655382:ERC655386 FAY655382:FAY655386 FKU655382:FKU655386 FUQ655382:FUQ655386 GEM655382:GEM655386 GOI655382:GOI655386 GYE655382:GYE655386 HIA655382:HIA655386 HRW655382:HRW655386 IBS655382:IBS655386 ILO655382:ILO655386 IVK655382:IVK655386 JFG655382:JFG655386 JPC655382:JPC655386 JYY655382:JYY655386 KIU655382:KIU655386 KSQ655382:KSQ655386 LCM655382:LCM655386 LMI655382:LMI655386 LWE655382:LWE655386 MGA655382:MGA655386 MPW655382:MPW655386 MZS655382:MZS655386 NJO655382:NJO655386 NTK655382:NTK655386 ODG655382:ODG655386 ONC655382:ONC655386 OWY655382:OWY655386 PGU655382:PGU655386 PQQ655382:PQQ655386 QAM655382:QAM655386 QKI655382:QKI655386 QUE655382:QUE655386 REA655382:REA655386 RNW655382:RNW655386 RXS655382:RXS655386 SHO655382:SHO655386 SRK655382:SRK655386 TBG655382:TBG655386 TLC655382:TLC655386 TUY655382:TUY655386 UEU655382:UEU655386 UOQ655382:UOQ655386 UYM655382:UYM655386 VII655382:VII655386 VSE655382:VSE655386 WCA655382:WCA655386 WLW655382:WLW655386 WVS655382:WVS655386 K720918:K720922 JG720918:JG720922 TC720918:TC720922 ACY720918:ACY720922 AMU720918:AMU720922 AWQ720918:AWQ720922 BGM720918:BGM720922 BQI720918:BQI720922 CAE720918:CAE720922 CKA720918:CKA720922 CTW720918:CTW720922 DDS720918:DDS720922 DNO720918:DNO720922 DXK720918:DXK720922 EHG720918:EHG720922 ERC720918:ERC720922 FAY720918:FAY720922 FKU720918:FKU720922 FUQ720918:FUQ720922 GEM720918:GEM720922 GOI720918:GOI720922 GYE720918:GYE720922 HIA720918:HIA720922 HRW720918:HRW720922 IBS720918:IBS720922 ILO720918:ILO720922 IVK720918:IVK720922 JFG720918:JFG720922 JPC720918:JPC720922 JYY720918:JYY720922 KIU720918:KIU720922 KSQ720918:KSQ720922 LCM720918:LCM720922 LMI720918:LMI720922 LWE720918:LWE720922 MGA720918:MGA720922 MPW720918:MPW720922 MZS720918:MZS720922 NJO720918:NJO720922 NTK720918:NTK720922 ODG720918:ODG720922 ONC720918:ONC720922 OWY720918:OWY720922 PGU720918:PGU720922 PQQ720918:PQQ720922 QAM720918:QAM720922 QKI720918:QKI720922 QUE720918:QUE720922 REA720918:REA720922 RNW720918:RNW720922 RXS720918:RXS720922 SHO720918:SHO720922 SRK720918:SRK720922 TBG720918:TBG720922 TLC720918:TLC720922 TUY720918:TUY720922 UEU720918:UEU720922 UOQ720918:UOQ720922 UYM720918:UYM720922 VII720918:VII720922 VSE720918:VSE720922 WCA720918:WCA720922 WLW720918:WLW720922 WVS720918:WVS720922 K786454:K786458 JG786454:JG786458 TC786454:TC786458 ACY786454:ACY786458 AMU786454:AMU786458 AWQ786454:AWQ786458 BGM786454:BGM786458 BQI786454:BQI786458 CAE786454:CAE786458 CKA786454:CKA786458 CTW786454:CTW786458 DDS786454:DDS786458 DNO786454:DNO786458 DXK786454:DXK786458 EHG786454:EHG786458 ERC786454:ERC786458 FAY786454:FAY786458 FKU786454:FKU786458 FUQ786454:FUQ786458 GEM786454:GEM786458 GOI786454:GOI786458 GYE786454:GYE786458 HIA786454:HIA786458 HRW786454:HRW786458 IBS786454:IBS786458 ILO786454:ILO786458 IVK786454:IVK786458 JFG786454:JFG786458 JPC786454:JPC786458 JYY786454:JYY786458 KIU786454:KIU786458 KSQ786454:KSQ786458 LCM786454:LCM786458 LMI786454:LMI786458 LWE786454:LWE786458 MGA786454:MGA786458 MPW786454:MPW786458 MZS786454:MZS786458 NJO786454:NJO786458 NTK786454:NTK786458 ODG786454:ODG786458 ONC786454:ONC786458 OWY786454:OWY786458 PGU786454:PGU786458 PQQ786454:PQQ786458 QAM786454:QAM786458 QKI786454:QKI786458 QUE786454:QUE786458 REA786454:REA786458 RNW786454:RNW786458 RXS786454:RXS786458 SHO786454:SHO786458 SRK786454:SRK786458 TBG786454:TBG786458 TLC786454:TLC786458 TUY786454:TUY786458 UEU786454:UEU786458 UOQ786454:UOQ786458 UYM786454:UYM786458 VII786454:VII786458 VSE786454:VSE786458 WCA786454:WCA786458 WLW786454:WLW786458 WVS786454:WVS786458 K851990:K851994 JG851990:JG851994 TC851990:TC851994 ACY851990:ACY851994 AMU851990:AMU851994 AWQ851990:AWQ851994 BGM851990:BGM851994 BQI851990:BQI851994 CAE851990:CAE851994 CKA851990:CKA851994 CTW851990:CTW851994 DDS851990:DDS851994 DNO851990:DNO851994 DXK851990:DXK851994 EHG851990:EHG851994 ERC851990:ERC851994 FAY851990:FAY851994 FKU851990:FKU851994 FUQ851990:FUQ851994 GEM851990:GEM851994 GOI851990:GOI851994 GYE851990:GYE851994 HIA851990:HIA851994 HRW851990:HRW851994 IBS851990:IBS851994 ILO851990:ILO851994 IVK851990:IVK851994 JFG851990:JFG851994 JPC851990:JPC851994 JYY851990:JYY851994 KIU851990:KIU851994 KSQ851990:KSQ851994 LCM851990:LCM851994 LMI851990:LMI851994 LWE851990:LWE851994 MGA851990:MGA851994 MPW851990:MPW851994 MZS851990:MZS851994 NJO851990:NJO851994 NTK851990:NTK851994 ODG851990:ODG851994 ONC851990:ONC851994 OWY851990:OWY851994 PGU851990:PGU851994 PQQ851990:PQQ851994 QAM851990:QAM851994 QKI851990:QKI851994 QUE851990:QUE851994 REA851990:REA851994 RNW851990:RNW851994 RXS851990:RXS851994 SHO851990:SHO851994 SRK851990:SRK851994 TBG851990:TBG851994 TLC851990:TLC851994 TUY851990:TUY851994 UEU851990:UEU851994 UOQ851990:UOQ851994 UYM851990:UYM851994 VII851990:VII851994 VSE851990:VSE851994 WCA851990:WCA851994 WLW851990:WLW851994 WVS851990:WVS851994 K917526:K917530 JG917526:JG917530 TC917526:TC917530 ACY917526:ACY917530 AMU917526:AMU917530 AWQ917526:AWQ917530 BGM917526:BGM917530 BQI917526:BQI917530 CAE917526:CAE917530 CKA917526:CKA917530 CTW917526:CTW917530 DDS917526:DDS917530 DNO917526:DNO917530 DXK917526:DXK917530 EHG917526:EHG917530 ERC917526:ERC917530 FAY917526:FAY917530 FKU917526:FKU917530 FUQ917526:FUQ917530 GEM917526:GEM917530 GOI917526:GOI917530 GYE917526:GYE917530 HIA917526:HIA917530 HRW917526:HRW917530 IBS917526:IBS917530 ILO917526:ILO917530 IVK917526:IVK917530 JFG917526:JFG917530 JPC917526:JPC917530 JYY917526:JYY917530 KIU917526:KIU917530 KSQ917526:KSQ917530 LCM917526:LCM917530 LMI917526:LMI917530 LWE917526:LWE917530 MGA917526:MGA917530 MPW917526:MPW917530 MZS917526:MZS917530 NJO917526:NJO917530 NTK917526:NTK917530 ODG917526:ODG917530 ONC917526:ONC917530 OWY917526:OWY917530 PGU917526:PGU917530 PQQ917526:PQQ917530 QAM917526:QAM917530 QKI917526:QKI917530 QUE917526:QUE917530 REA917526:REA917530 RNW917526:RNW917530 RXS917526:RXS917530 SHO917526:SHO917530 SRK917526:SRK917530 TBG917526:TBG917530 TLC917526:TLC917530 TUY917526:TUY917530 UEU917526:UEU917530 UOQ917526:UOQ917530 UYM917526:UYM917530 VII917526:VII917530 VSE917526:VSE917530 WCA917526:WCA917530 WLW917526:WLW917530 WVS917526:WVS917530 K983062:K983066 JG983062:JG983066 TC983062:TC983066 ACY983062:ACY983066 AMU983062:AMU983066 AWQ983062:AWQ983066 BGM983062:BGM983066 BQI983062:BQI983066 CAE983062:CAE983066 CKA983062:CKA983066 CTW983062:CTW983066 DDS983062:DDS983066 DNO983062:DNO983066 DXK983062:DXK983066 EHG983062:EHG983066 ERC983062:ERC983066 FAY983062:FAY983066 FKU983062:FKU983066 FUQ983062:FUQ983066 GEM983062:GEM983066 GOI983062:GOI983066 GYE983062:GYE983066 HIA983062:HIA983066 HRW983062:HRW983066 IBS983062:IBS983066 ILO983062:ILO983066 IVK983062:IVK983066 JFG983062:JFG983066 JPC983062:JPC983066 JYY983062:JYY983066 KIU983062:KIU983066 KSQ983062:KSQ983066 LCM983062:LCM983066 LMI983062:LMI983066 LWE983062:LWE983066 MGA983062:MGA983066 MPW983062:MPW983066 MZS983062:MZS983066 NJO983062:NJO983066 NTK983062:NTK983066 ODG983062:ODG983066 ONC983062:ONC983066 OWY983062:OWY983066 PGU983062:PGU983066 PQQ983062:PQQ983066 QAM983062:QAM983066 QKI983062:QKI983066 QUE983062:QUE983066 REA983062:REA983066 RNW983062:RNW983066 RXS983062:RXS983066 SHO983062:SHO983066 SRK983062:SRK983066 TBG983062:TBG983066 TLC983062:TLC983066 TUY983062:TUY983066 UEU983062:UEU983066 UOQ983062:UOQ983066 UYM983062:UYM983066 VII983062:VII983066 VSE983062:VSE983066 WCA983062:WCA983066 WLW983062:WLW983066 WVS983062:WVS983066 K28:L29 JG28:JH29 TC28:TD29 ACY28:ACZ29 AMU28:AMV29 AWQ28:AWR29 BGM28:BGN29 BQI28:BQJ29 CAE28:CAF29 CKA28:CKB29 CTW28:CTX29 DDS28:DDT29 DNO28:DNP29 DXK28:DXL29 EHG28:EHH29 ERC28:ERD29 FAY28:FAZ29 FKU28:FKV29 FUQ28:FUR29 GEM28:GEN29 GOI28:GOJ29 GYE28:GYF29 HIA28:HIB29 HRW28:HRX29 IBS28:IBT29 ILO28:ILP29 IVK28:IVL29 JFG28:JFH29 JPC28:JPD29 JYY28:JYZ29 KIU28:KIV29 KSQ28:KSR29 LCM28:LCN29 LMI28:LMJ29 LWE28:LWF29 MGA28:MGB29 MPW28:MPX29 MZS28:MZT29 NJO28:NJP29 NTK28:NTL29 ODG28:ODH29 ONC28:OND29 OWY28:OWZ29 PGU28:PGV29 PQQ28:PQR29 QAM28:QAN29 QKI28:QKJ29 QUE28:QUF29 REA28:REB29 RNW28:RNX29 RXS28:RXT29 SHO28:SHP29 SRK28:SRL29 TBG28:TBH29 TLC28:TLD29 TUY28:TUZ29 UEU28:UEV29 UOQ28:UOR29 UYM28:UYN29 VII28:VIJ29 VSE28:VSF29 WCA28:WCB29 WLW28:WLX29 WVS28:WVT29 K65564:L65565 JG65564:JH65565 TC65564:TD65565 ACY65564:ACZ65565 AMU65564:AMV65565 AWQ65564:AWR65565 BGM65564:BGN65565 BQI65564:BQJ65565 CAE65564:CAF65565 CKA65564:CKB65565 CTW65564:CTX65565 DDS65564:DDT65565 DNO65564:DNP65565 DXK65564:DXL65565 EHG65564:EHH65565 ERC65564:ERD65565 FAY65564:FAZ65565 FKU65564:FKV65565 FUQ65564:FUR65565 GEM65564:GEN65565 GOI65564:GOJ65565 GYE65564:GYF65565 HIA65564:HIB65565 HRW65564:HRX65565 IBS65564:IBT65565 ILO65564:ILP65565 IVK65564:IVL65565 JFG65564:JFH65565 JPC65564:JPD65565 JYY65564:JYZ65565 KIU65564:KIV65565 KSQ65564:KSR65565 LCM65564:LCN65565 LMI65564:LMJ65565 LWE65564:LWF65565 MGA65564:MGB65565 MPW65564:MPX65565 MZS65564:MZT65565 NJO65564:NJP65565 NTK65564:NTL65565 ODG65564:ODH65565 ONC65564:OND65565 OWY65564:OWZ65565 PGU65564:PGV65565 PQQ65564:PQR65565 QAM65564:QAN65565 QKI65564:QKJ65565 QUE65564:QUF65565 REA65564:REB65565 RNW65564:RNX65565 RXS65564:RXT65565 SHO65564:SHP65565 SRK65564:SRL65565 TBG65564:TBH65565 TLC65564:TLD65565 TUY65564:TUZ65565 UEU65564:UEV65565 UOQ65564:UOR65565 UYM65564:UYN65565 VII65564:VIJ65565 VSE65564:VSF65565 WCA65564:WCB65565 WLW65564:WLX65565 WVS65564:WVT65565 K131100:L131101 JG131100:JH131101 TC131100:TD131101 ACY131100:ACZ131101 AMU131100:AMV131101 AWQ131100:AWR131101 BGM131100:BGN131101 BQI131100:BQJ131101 CAE131100:CAF131101 CKA131100:CKB131101 CTW131100:CTX131101 DDS131100:DDT131101 DNO131100:DNP131101 DXK131100:DXL131101 EHG131100:EHH131101 ERC131100:ERD131101 FAY131100:FAZ131101 FKU131100:FKV131101 FUQ131100:FUR131101 GEM131100:GEN131101 GOI131100:GOJ131101 GYE131100:GYF131101 HIA131100:HIB131101 HRW131100:HRX131101 IBS131100:IBT131101 ILO131100:ILP131101 IVK131100:IVL131101 JFG131100:JFH131101 JPC131100:JPD131101 JYY131100:JYZ131101 KIU131100:KIV131101 KSQ131100:KSR131101 LCM131100:LCN131101 LMI131100:LMJ131101 LWE131100:LWF131101 MGA131100:MGB131101 MPW131100:MPX131101 MZS131100:MZT131101 NJO131100:NJP131101 NTK131100:NTL131101 ODG131100:ODH131101 ONC131100:OND131101 OWY131100:OWZ131101 PGU131100:PGV131101 PQQ131100:PQR131101 QAM131100:QAN131101 QKI131100:QKJ131101 QUE131100:QUF131101 REA131100:REB131101 RNW131100:RNX131101 RXS131100:RXT131101 SHO131100:SHP131101 SRK131100:SRL131101 TBG131100:TBH131101 TLC131100:TLD131101 TUY131100:TUZ131101 UEU131100:UEV131101 UOQ131100:UOR131101 UYM131100:UYN131101 VII131100:VIJ131101 VSE131100:VSF131101 WCA131100:WCB131101 WLW131100:WLX131101 WVS131100:WVT131101 K196636:L196637 JG196636:JH196637 TC196636:TD196637 ACY196636:ACZ196637 AMU196636:AMV196637 AWQ196636:AWR196637 BGM196636:BGN196637 BQI196636:BQJ196637 CAE196636:CAF196637 CKA196636:CKB196637 CTW196636:CTX196637 DDS196636:DDT196637 DNO196636:DNP196637 DXK196636:DXL196637 EHG196636:EHH196637 ERC196636:ERD196637 FAY196636:FAZ196637 FKU196636:FKV196637 FUQ196636:FUR196637 GEM196636:GEN196637 GOI196636:GOJ196637 GYE196636:GYF196637 HIA196636:HIB196637 HRW196636:HRX196637 IBS196636:IBT196637 ILO196636:ILP196637 IVK196636:IVL196637 JFG196636:JFH196637 JPC196636:JPD196637 JYY196636:JYZ196637 KIU196636:KIV196637 KSQ196636:KSR196637 LCM196636:LCN196637 LMI196636:LMJ196637 LWE196636:LWF196637 MGA196636:MGB196637 MPW196636:MPX196637 MZS196636:MZT196637 NJO196636:NJP196637 NTK196636:NTL196637 ODG196636:ODH196637 ONC196636:OND196637 OWY196636:OWZ196637 PGU196636:PGV196637 PQQ196636:PQR196637 QAM196636:QAN196637 QKI196636:QKJ196637 QUE196636:QUF196637 REA196636:REB196637 RNW196636:RNX196637 RXS196636:RXT196637 SHO196636:SHP196637 SRK196636:SRL196637 TBG196636:TBH196637 TLC196636:TLD196637 TUY196636:TUZ196637 UEU196636:UEV196637 UOQ196636:UOR196637 UYM196636:UYN196637 VII196636:VIJ196637 VSE196636:VSF196637 WCA196636:WCB196637 WLW196636:WLX196637 WVS196636:WVT196637 K262172:L262173 JG262172:JH262173 TC262172:TD262173 ACY262172:ACZ262173 AMU262172:AMV262173 AWQ262172:AWR262173 BGM262172:BGN262173 BQI262172:BQJ262173 CAE262172:CAF262173 CKA262172:CKB262173 CTW262172:CTX262173 DDS262172:DDT262173 DNO262172:DNP262173 DXK262172:DXL262173 EHG262172:EHH262173 ERC262172:ERD262173 FAY262172:FAZ262173 FKU262172:FKV262173 FUQ262172:FUR262173 GEM262172:GEN262173 GOI262172:GOJ262173 GYE262172:GYF262173 HIA262172:HIB262173 HRW262172:HRX262173 IBS262172:IBT262173 ILO262172:ILP262173 IVK262172:IVL262173 JFG262172:JFH262173 JPC262172:JPD262173 JYY262172:JYZ262173 KIU262172:KIV262173 KSQ262172:KSR262173 LCM262172:LCN262173 LMI262172:LMJ262173 LWE262172:LWF262173 MGA262172:MGB262173 MPW262172:MPX262173 MZS262172:MZT262173 NJO262172:NJP262173 NTK262172:NTL262173 ODG262172:ODH262173 ONC262172:OND262173 OWY262172:OWZ262173 PGU262172:PGV262173 PQQ262172:PQR262173 QAM262172:QAN262173 QKI262172:QKJ262173 QUE262172:QUF262173 REA262172:REB262173 RNW262172:RNX262173 RXS262172:RXT262173 SHO262172:SHP262173 SRK262172:SRL262173 TBG262172:TBH262173 TLC262172:TLD262173 TUY262172:TUZ262173 UEU262172:UEV262173 UOQ262172:UOR262173 UYM262172:UYN262173 VII262172:VIJ262173 VSE262172:VSF262173 WCA262172:WCB262173 WLW262172:WLX262173 WVS262172:WVT262173 K327708:L327709 JG327708:JH327709 TC327708:TD327709 ACY327708:ACZ327709 AMU327708:AMV327709 AWQ327708:AWR327709 BGM327708:BGN327709 BQI327708:BQJ327709 CAE327708:CAF327709 CKA327708:CKB327709 CTW327708:CTX327709 DDS327708:DDT327709 DNO327708:DNP327709 DXK327708:DXL327709 EHG327708:EHH327709 ERC327708:ERD327709 FAY327708:FAZ327709 FKU327708:FKV327709 FUQ327708:FUR327709 GEM327708:GEN327709 GOI327708:GOJ327709 GYE327708:GYF327709 HIA327708:HIB327709 HRW327708:HRX327709 IBS327708:IBT327709 ILO327708:ILP327709 IVK327708:IVL327709 JFG327708:JFH327709 JPC327708:JPD327709 JYY327708:JYZ327709 KIU327708:KIV327709 KSQ327708:KSR327709 LCM327708:LCN327709 LMI327708:LMJ327709 LWE327708:LWF327709 MGA327708:MGB327709 MPW327708:MPX327709 MZS327708:MZT327709 NJO327708:NJP327709 NTK327708:NTL327709 ODG327708:ODH327709 ONC327708:OND327709 OWY327708:OWZ327709 PGU327708:PGV327709 PQQ327708:PQR327709 QAM327708:QAN327709 QKI327708:QKJ327709 QUE327708:QUF327709 REA327708:REB327709 RNW327708:RNX327709 RXS327708:RXT327709 SHO327708:SHP327709 SRK327708:SRL327709 TBG327708:TBH327709 TLC327708:TLD327709 TUY327708:TUZ327709 UEU327708:UEV327709 UOQ327708:UOR327709 UYM327708:UYN327709 VII327708:VIJ327709 VSE327708:VSF327709 WCA327708:WCB327709 WLW327708:WLX327709 WVS327708:WVT327709 K393244:L393245 JG393244:JH393245 TC393244:TD393245 ACY393244:ACZ393245 AMU393244:AMV393245 AWQ393244:AWR393245 BGM393244:BGN393245 BQI393244:BQJ393245 CAE393244:CAF393245 CKA393244:CKB393245 CTW393244:CTX393245 DDS393244:DDT393245 DNO393244:DNP393245 DXK393244:DXL393245 EHG393244:EHH393245 ERC393244:ERD393245 FAY393244:FAZ393245 FKU393244:FKV393245 FUQ393244:FUR393245 GEM393244:GEN393245 GOI393244:GOJ393245 GYE393244:GYF393245 HIA393244:HIB393245 HRW393244:HRX393245 IBS393244:IBT393245 ILO393244:ILP393245 IVK393244:IVL393245 JFG393244:JFH393245 JPC393244:JPD393245 JYY393244:JYZ393245 KIU393244:KIV393245 KSQ393244:KSR393245 LCM393244:LCN393245 LMI393244:LMJ393245 LWE393244:LWF393245 MGA393244:MGB393245 MPW393244:MPX393245 MZS393244:MZT393245 NJO393244:NJP393245 NTK393244:NTL393245 ODG393244:ODH393245 ONC393244:OND393245 OWY393244:OWZ393245 PGU393244:PGV393245 PQQ393244:PQR393245 QAM393244:QAN393245 QKI393244:QKJ393245 QUE393244:QUF393245 REA393244:REB393245 RNW393244:RNX393245 RXS393244:RXT393245 SHO393244:SHP393245 SRK393244:SRL393245 TBG393244:TBH393245 TLC393244:TLD393245 TUY393244:TUZ393245 UEU393244:UEV393245 UOQ393244:UOR393245 UYM393244:UYN393245 VII393244:VIJ393245 VSE393244:VSF393245 WCA393244:WCB393245 WLW393244:WLX393245 WVS393244:WVT393245 K458780:L458781 JG458780:JH458781 TC458780:TD458781 ACY458780:ACZ458781 AMU458780:AMV458781 AWQ458780:AWR458781 BGM458780:BGN458781 BQI458780:BQJ458781 CAE458780:CAF458781 CKA458780:CKB458781 CTW458780:CTX458781 DDS458780:DDT458781 DNO458780:DNP458781 DXK458780:DXL458781 EHG458780:EHH458781 ERC458780:ERD458781 FAY458780:FAZ458781 FKU458780:FKV458781 FUQ458780:FUR458781 GEM458780:GEN458781 GOI458780:GOJ458781 GYE458780:GYF458781 HIA458780:HIB458781 HRW458780:HRX458781 IBS458780:IBT458781 ILO458780:ILP458781 IVK458780:IVL458781 JFG458780:JFH458781 JPC458780:JPD458781 JYY458780:JYZ458781 KIU458780:KIV458781 KSQ458780:KSR458781 LCM458780:LCN458781 LMI458780:LMJ458781 LWE458780:LWF458781 MGA458780:MGB458781 MPW458780:MPX458781 MZS458780:MZT458781 NJO458780:NJP458781 NTK458780:NTL458781 ODG458780:ODH458781 ONC458780:OND458781 OWY458780:OWZ458781 PGU458780:PGV458781 PQQ458780:PQR458781 QAM458780:QAN458781 QKI458780:QKJ458781 QUE458780:QUF458781 REA458780:REB458781 RNW458780:RNX458781 RXS458780:RXT458781 SHO458780:SHP458781 SRK458780:SRL458781 TBG458780:TBH458781 TLC458780:TLD458781 TUY458780:TUZ458781 UEU458780:UEV458781 UOQ458780:UOR458781 UYM458780:UYN458781 VII458780:VIJ458781 VSE458780:VSF458781 WCA458780:WCB458781 WLW458780:WLX458781 WVS458780:WVT458781 K524316:L524317 JG524316:JH524317 TC524316:TD524317 ACY524316:ACZ524317 AMU524316:AMV524317 AWQ524316:AWR524317 BGM524316:BGN524317 BQI524316:BQJ524317 CAE524316:CAF524317 CKA524316:CKB524317 CTW524316:CTX524317 DDS524316:DDT524317 DNO524316:DNP524317 DXK524316:DXL524317 EHG524316:EHH524317 ERC524316:ERD524317 FAY524316:FAZ524317 FKU524316:FKV524317 FUQ524316:FUR524317 GEM524316:GEN524317 GOI524316:GOJ524317 GYE524316:GYF524317 HIA524316:HIB524317 HRW524316:HRX524317 IBS524316:IBT524317 ILO524316:ILP524317 IVK524316:IVL524317 JFG524316:JFH524317 JPC524316:JPD524317 JYY524316:JYZ524317 KIU524316:KIV524317 KSQ524316:KSR524317 LCM524316:LCN524317 LMI524316:LMJ524317 LWE524316:LWF524317 MGA524316:MGB524317 MPW524316:MPX524317 MZS524316:MZT524317 NJO524316:NJP524317 NTK524316:NTL524317 ODG524316:ODH524317 ONC524316:OND524317 OWY524316:OWZ524317 PGU524316:PGV524317 PQQ524316:PQR524317 QAM524316:QAN524317 QKI524316:QKJ524317 QUE524316:QUF524317 REA524316:REB524317 RNW524316:RNX524317 RXS524316:RXT524317 SHO524316:SHP524317 SRK524316:SRL524317 TBG524316:TBH524317 TLC524316:TLD524317 TUY524316:TUZ524317 UEU524316:UEV524317 UOQ524316:UOR524317 UYM524316:UYN524317 VII524316:VIJ524317 VSE524316:VSF524317 WCA524316:WCB524317 WLW524316:WLX524317 WVS524316:WVT524317 K589852:L589853 JG589852:JH589853 TC589852:TD589853 ACY589852:ACZ589853 AMU589852:AMV589853 AWQ589852:AWR589853 BGM589852:BGN589853 BQI589852:BQJ589853 CAE589852:CAF589853 CKA589852:CKB589853 CTW589852:CTX589853 DDS589852:DDT589853 DNO589852:DNP589853 DXK589852:DXL589853 EHG589852:EHH589853 ERC589852:ERD589853 FAY589852:FAZ589853 FKU589852:FKV589853 FUQ589852:FUR589853 GEM589852:GEN589853 GOI589852:GOJ589853 GYE589852:GYF589853 HIA589852:HIB589853 HRW589852:HRX589853 IBS589852:IBT589853 ILO589852:ILP589853 IVK589852:IVL589853 JFG589852:JFH589853 JPC589852:JPD589853 JYY589852:JYZ589853 KIU589852:KIV589853 KSQ589852:KSR589853 LCM589852:LCN589853 LMI589852:LMJ589853 LWE589852:LWF589853 MGA589852:MGB589853 MPW589852:MPX589853 MZS589852:MZT589853 NJO589852:NJP589853 NTK589852:NTL589853 ODG589852:ODH589853 ONC589852:OND589853 OWY589852:OWZ589853 PGU589852:PGV589853 PQQ589852:PQR589853 QAM589852:QAN589853 QKI589852:QKJ589853 QUE589852:QUF589853 REA589852:REB589853 RNW589852:RNX589853 RXS589852:RXT589853 SHO589852:SHP589853 SRK589852:SRL589853 TBG589852:TBH589853 TLC589852:TLD589853 TUY589852:TUZ589853 UEU589852:UEV589853 UOQ589852:UOR589853 UYM589852:UYN589853 VII589852:VIJ589853 VSE589852:VSF589853 WCA589852:WCB589853 WLW589852:WLX589853 WVS589852:WVT589853 K655388:L655389 JG655388:JH655389 TC655388:TD655389 ACY655388:ACZ655389 AMU655388:AMV655389 AWQ655388:AWR655389 BGM655388:BGN655389 BQI655388:BQJ655389 CAE655388:CAF655389 CKA655388:CKB655389 CTW655388:CTX655389 DDS655388:DDT655389 DNO655388:DNP655389 DXK655388:DXL655389 EHG655388:EHH655389 ERC655388:ERD655389 FAY655388:FAZ655389 FKU655388:FKV655389 FUQ655388:FUR655389 GEM655388:GEN655389 GOI655388:GOJ655389 GYE655388:GYF655389 HIA655388:HIB655389 HRW655388:HRX655389 IBS655388:IBT655389 ILO655388:ILP655389 IVK655388:IVL655389 JFG655388:JFH655389 JPC655388:JPD655389 JYY655388:JYZ655389 KIU655388:KIV655389 KSQ655388:KSR655389 LCM655388:LCN655389 LMI655388:LMJ655389 LWE655388:LWF655389 MGA655388:MGB655389 MPW655388:MPX655389 MZS655388:MZT655389 NJO655388:NJP655389 NTK655388:NTL655389 ODG655388:ODH655389 ONC655388:OND655389 OWY655388:OWZ655389 PGU655388:PGV655389 PQQ655388:PQR655389 QAM655388:QAN655389 QKI655388:QKJ655389 QUE655388:QUF655389 REA655388:REB655389 RNW655388:RNX655389 RXS655388:RXT655389 SHO655388:SHP655389 SRK655388:SRL655389 TBG655388:TBH655389 TLC655388:TLD655389 TUY655388:TUZ655389 UEU655388:UEV655389 UOQ655388:UOR655389 UYM655388:UYN655389 VII655388:VIJ655389 VSE655388:VSF655389 WCA655388:WCB655389 WLW655388:WLX655389 WVS655388:WVT655389 K720924:L720925 JG720924:JH720925 TC720924:TD720925 ACY720924:ACZ720925 AMU720924:AMV720925 AWQ720924:AWR720925 BGM720924:BGN720925 BQI720924:BQJ720925 CAE720924:CAF720925 CKA720924:CKB720925 CTW720924:CTX720925 DDS720924:DDT720925 DNO720924:DNP720925 DXK720924:DXL720925 EHG720924:EHH720925 ERC720924:ERD720925 FAY720924:FAZ720925 FKU720924:FKV720925 FUQ720924:FUR720925 GEM720924:GEN720925 GOI720924:GOJ720925 GYE720924:GYF720925 HIA720924:HIB720925 HRW720924:HRX720925 IBS720924:IBT720925 ILO720924:ILP720925 IVK720924:IVL720925 JFG720924:JFH720925 JPC720924:JPD720925 JYY720924:JYZ720925 KIU720924:KIV720925 KSQ720924:KSR720925 LCM720924:LCN720925 LMI720924:LMJ720925 LWE720924:LWF720925 MGA720924:MGB720925 MPW720924:MPX720925 MZS720924:MZT720925 NJO720924:NJP720925 NTK720924:NTL720925 ODG720924:ODH720925 ONC720924:OND720925 OWY720924:OWZ720925 PGU720924:PGV720925 PQQ720924:PQR720925 QAM720924:QAN720925 QKI720924:QKJ720925 QUE720924:QUF720925 REA720924:REB720925 RNW720924:RNX720925 RXS720924:RXT720925 SHO720924:SHP720925 SRK720924:SRL720925 TBG720924:TBH720925 TLC720924:TLD720925 TUY720924:TUZ720925 UEU720924:UEV720925 UOQ720924:UOR720925 UYM720924:UYN720925 VII720924:VIJ720925 VSE720924:VSF720925 WCA720924:WCB720925 WLW720924:WLX720925 WVS720924:WVT720925 K786460:L786461 JG786460:JH786461 TC786460:TD786461 ACY786460:ACZ786461 AMU786460:AMV786461 AWQ786460:AWR786461 BGM786460:BGN786461 BQI786460:BQJ786461 CAE786460:CAF786461 CKA786460:CKB786461 CTW786460:CTX786461 DDS786460:DDT786461 DNO786460:DNP786461 DXK786460:DXL786461 EHG786460:EHH786461 ERC786460:ERD786461 FAY786460:FAZ786461 FKU786460:FKV786461 FUQ786460:FUR786461 GEM786460:GEN786461 GOI786460:GOJ786461 GYE786460:GYF786461 HIA786460:HIB786461 HRW786460:HRX786461 IBS786460:IBT786461 ILO786460:ILP786461 IVK786460:IVL786461 JFG786460:JFH786461 JPC786460:JPD786461 JYY786460:JYZ786461 KIU786460:KIV786461 KSQ786460:KSR786461 LCM786460:LCN786461 LMI786460:LMJ786461 LWE786460:LWF786461 MGA786460:MGB786461 MPW786460:MPX786461 MZS786460:MZT786461 NJO786460:NJP786461 NTK786460:NTL786461 ODG786460:ODH786461 ONC786460:OND786461 OWY786460:OWZ786461 PGU786460:PGV786461 PQQ786460:PQR786461 QAM786460:QAN786461 QKI786460:QKJ786461 QUE786460:QUF786461 REA786460:REB786461 RNW786460:RNX786461 RXS786460:RXT786461 SHO786460:SHP786461 SRK786460:SRL786461 TBG786460:TBH786461 TLC786460:TLD786461 TUY786460:TUZ786461 UEU786460:UEV786461 UOQ786460:UOR786461 UYM786460:UYN786461 VII786460:VIJ786461 VSE786460:VSF786461 WCA786460:WCB786461 WLW786460:WLX786461 WVS786460:WVT786461 K851996:L851997 JG851996:JH851997 TC851996:TD851997 ACY851996:ACZ851997 AMU851996:AMV851997 AWQ851996:AWR851997 BGM851996:BGN851997 BQI851996:BQJ851997 CAE851996:CAF851997 CKA851996:CKB851997 CTW851996:CTX851997 DDS851996:DDT851997 DNO851996:DNP851997 DXK851996:DXL851997 EHG851996:EHH851997 ERC851996:ERD851997 FAY851996:FAZ851997 FKU851996:FKV851997 FUQ851996:FUR851997 GEM851996:GEN851997 GOI851996:GOJ851997 GYE851996:GYF851997 HIA851996:HIB851997 HRW851996:HRX851997 IBS851996:IBT851997 ILO851996:ILP851997 IVK851996:IVL851997 JFG851996:JFH851997 JPC851996:JPD851997 JYY851996:JYZ851997 KIU851996:KIV851997 KSQ851996:KSR851997 LCM851996:LCN851997 LMI851996:LMJ851997 LWE851996:LWF851997 MGA851996:MGB851997 MPW851996:MPX851997 MZS851996:MZT851997 NJO851996:NJP851997 NTK851996:NTL851997 ODG851996:ODH851997 ONC851996:OND851997 OWY851996:OWZ851997 PGU851996:PGV851997 PQQ851996:PQR851997 QAM851996:QAN851997 QKI851996:QKJ851997 QUE851996:QUF851997 REA851996:REB851997 RNW851996:RNX851997 RXS851996:RXT851997 SHO851996:SHP851997 SRK851996:SRL851997 TBG851996:TBH851997 TLC851996:TLD851997 TUY851996:TUZ851997 UEU851996:UEV851997 UOQ851996:UOR851997 UYM851996:UYN851997 VII851996:VIJ851997 VSE851996:VSF851997 WCA851996:WCB851997 WLW851996:WLX851997 WVS851996:WVT851997 K917532:L917533 JG917532:JH917533 TC917532:TD917533 ACY917532:ACZ917533 AMU917532:AMV917533 AWQ917532:AWR917533 BGM917532:BGN917533 BQI917532:BQJ917533 CAE917532:CAF917533 CKA917532:CKB917533 CTW917532:CTX917533 DDS917532:DDT917533 DNO917532:DNP917533 DXK917532:DXL917533 EHG917532:EHH917533 ERC917532:ERD917533 FAY917532:FAZ917533 FKU917532:FKV917533 FUQ917532:FUR917533 GEM917532:GEN917533 GOI917532:GOJ917533 GYE917532:GYF917533 HIA917532:HIB917533 HRW917532:HRX917533 IBS917532:IBT917533 ILO917532:ILP917533 IVK917532:IVL917533 JFG917532:JFH917533 JPC917532:JPD917533 JYY917532:JYZ917533 KIU917532:KIV917533 KSQ917532:KSR917533 LCM917532:LCN917533 LMI917532:LMJ917533 LWE917532:LWF917533 MGA917532:MGB917533 MPW917532:MPX917533 MZS917532:MZT917533 NJO917532:NJP917533 NTK917532:NTL917533 ODG917532:ODH917533 ONC917532:OND917533 OWY917532:OWZ917533 PGU917532:PGV917533 PQQ917532:PQR917533 QAM917532:QAN917533 QKI917532:QKJ917533 QUE917532:QUF917533 REA917532:REB917533 RNW917532:RNX917533 RXS917532:RXT917533 SHO917532:SHP917533 SRK917532:SRL917533 TBG917532:TBH917533 TLC917532:TLD917533 TUY917532:TUZ917533 UEU917532:UEV917533 UOQ917532:UOR917533 UYM917532:UYN917533 VII917532:VIJ917533 VSE917532:VSF917533 WCA917532:WCB917533 WLW917532:WLX917533 WVS917532:WVT917533 K983068:L983069 JG983068:JH983069 TC983068:TD983069 ACY983068:ACZ983069 AMU983068:AMV983069 AWQ983068:AWR983069 BGM983068:BGN983069 BQI983068:BQJ983069 CAE983068:CAF983069 CKA983068:CKB983069 CTW983068:CTX983069 DDS983068:DDT983069 DNO983068:DNP983069 DXK983068:DXL983069 EHG983068:EHH983069 ERC983068:ERD983069 FAY983068:FAZ983069 FKU983068:FKV983069 FUQ983068:FUR983069 GEM983068:GEN983069 GOI983068:GOJ983069 GYE983068:GYF983069 HIA983068:HIB983069 HRW983068:HRX983069 IBS983068:IBT983069 ILO983068:ILP983069 IVK983068:IVL983069 JFG983068:JFH983069 JPC983068:JPD983069 JYY983068:JYZ983069 KIU983068:KIV983069 KSQ983068:KSR983069 LCM983068:LCN983069 LMI983068:LMJ983069 LWE983068:LWF983069 MGA983068:MGB983069 MPW983068:MPX983069 MZS983068:MZT983069 NJO983068:NJP983069 NTK983068:NTL983069 ODG983068:ODH983069 ONC983068:OND983069 OWY983068:OWZ983069 PGU983068:PGV983069 PQQ983068:PQR983069 QAM983068:QAN983069 QKI983068:QKJ983069 QUE983068:QUF983069 REA983068:REB983069 RNW983068:RNX983069 RXS983068:RXT983069 SHO983068:SHP983069 SRK983068:SRL983069 TBG983068:TBH983069 TLC983068:TLD983069 TUY983068:TUZ983069 UEU983068:UEV983069 UOQ983068:UOR983069 UYM983068:UYN983069 VII983068:VIJ983069 VSE983068:VSF983069 WCA983068:WCB983069 WLW983068:WLX983069 WVS983068:WVT983069 L30:L33 JH30:JH33 TD30:TD33 ACZ30:ACZ33 AMV30:AMV33 AWR30:AWR33 BGN30:BGN33 BQJ30:BQJ33 CAF30:CAF33 CKB30:CKB33 CTX30:CTX33 DDT30:DDT33 DNP30:DNP33 DXL30:DXL33 EHH30:EHH33 ERD30:ERD33 FAZ30:FAZ33 FKV30:FKV33 FUR30:FUR33 GEN30:GEN33 GOJ30:GOJ33 GYF30:GYF33 HIB30:HIB33 HRX30:HRX33 IBT30:IBT33 ILP30:ILP33 IVL30:IVL33 JFH30:JFH33 JPD30:JPD33 JYZ30:JYZ33 KIV30:KIV33 KSR30:KSR33 LCN30:LCN33 LMJ30:LMJ33 LWF30:LWF33 MGB30:MGB33 MPX30:MPX33 MZT30:MZT33 NJP30:NJP33 NTL30:NTL33 ODH30:ODH33 OND30:OND33 OWZ30:OWZ33 PGV30:PGV33 PQR30:PQR33 QAN30:QAN33 QKJ30:QKJ33 QUF30:QUF33 REB30:REB33 RNX30:RNX33 RXT30:RXT33 SHP30:SHP33 SRL30:SRL33 TBH30:TBH33 TLD30:TLD33 TUZ30:TUZ33 UEV30:UEV33 UOR30:UOR33 UYN30:UYN33 VIJ30:VIJ33 VSF30:VSF33 WCB30:WCB33 WLX30:WLX33 WVT30:WVT33 L65566:L65569 JH65566:JH65569 TD65566:TD65569 ACZ65566:ACZ65569 AMV65566:AMV65569 AWR65566:AWR65569 BGN65566:BGN65569 BQJ65566:BQJ65569 CAF65566:CAF65569 CKB65566:CKB65569 CTX65566:CTX65569 DDT65566:DDT65569 DNP65566:DNP65569 DXL65566:DXL65569 EHH65566:EHH65569 ERD65566:ERD65569 FAZ65566:FAZ65569 FKV65566:FKV65569 FUR65566:FUR65569 GEN65566:GEN65569 GOJ65566:GOJ65569 GYF65566:GYF65569 HIB65566:HIB65569 HRX65566:HRX65569 IBT65566:IBT65569 ILP65566:ILP65569 IVL65566:IVL65569 JFH65566:JFH65569 JPD65566:JPD65569 JYZ65566:JYZ65569 KIV65566:KIV65569 KSR65566:KSR65569 LCN65566:LCN65569 LMJ65566:LMJ65569 LWF65566:LWF65569 MGB65566:MGB65569 MPX65566:MPX65569 MZT65566:MZT65569 NJP65566:NJP65569 NTL65566:NTL65569 ODH65566:ODH65569 OND65566:OND65569 OWZ65566:OWZ65569 PGV65566:PGV65569 PQR65566:PQR65569 QAN65566:QAN65569 QKJ65566:QKJ65569 QUF65566:QUF65569 REB65566:REB65569 RNX65566:RNX65569 RXT65566:RXT65569 SHP65566:SHP65569 SRL65566:SRL65569 TBH65566:TBH65569 TLD65566:TLD65569 TUZ65566:TUZ65569 UEV65566:UEV65569 UOR65566:UOR65569 UYN65566:UYN65569 VIJ65566:VIJ65569 VSF65566:VSF65569 WCB65566:WCB65569 WLX65566:WLX65569 WVT65566:WVT65569 L131102:L131105 JH131102:JH131105 TD131102:TD131105 ACZ131102:ACZ131105 AMV131102:AMV131105 AWR131102:AWR131105 BGN131102:BGN131105 BQJ131102:BQJ131105 CAF131102:CAF131105 CKB131102:CKB131105 CTX131102:CTX131105 DDT131102:DDT131105 DNP131102:DNP131105 DXL131102:DXL131105 EHH131102:EHH131105 ERD131102:ERD131105 FAZ131102:FAZ131105 FKV131102:FKV131105 FUR131102:FUR131105 GEN131102:GEN131105 GOJ131102:GOJ131105 GYF131102:GYF131105 HIB131102:HIB131105 HRX131102:HRX131105 IBT131102:IBT131105 ILP131102:ILP131105 IVL131102:IVL131105 JFH131102:JFH131105 JPD131102:JPD131105 JYZ131102:JYZ131105 KIV131102:KIV131105 KSR131102:KSR131105 LCN131102:LCN131105 LMJ131102:LMJ131105 LWF131102:LWF131105 MGB131102:MGB131105 MPX131102:MPX131105 MZT131102:MZT131105 NJP131102:NJP131105 NTL131102:NTL131105 ODH131102:ODH131105 OND131102:OND131105 OWZ131102:OWZ131105 PGV131102:PGV131105 PQR131102:PQR131105 QAN131102:QAN131105 QKJ131102:QKJ131105 QUF131102:QUF131105 REB131102:REB131105 RNX131102:RNX131105 RXT131102:RXT131105 SHP131102:SHP131105 SRL131102:SRL131105 TBH131102:TBH131105 TLD131102:TLD131105 TUZ131102:TUZ131105 UEV131102:UEV131105 UOR131102:UOR131105 UYN131102:UYN131105 VIJ131102:VIJ131105 VSF131102:VSF131105 WCB131102:WCB131105 WLX131102:WLX131105 WVT131102:WVT131105 L196638:L196641 JH196638:JH196641 TD196638:TD196641 ACZ196638:ACZ196641 AMV196638:AMV196641 AWR196638:AWR196641 BGN196638:BGN196641 BQJ196638:BQJ196641 CAF196638:CAF196641 CKB196638:CKB196641 CTX196638:CTX196641 DDT196638:DDT196641 DNP196638:DNP196641 DXL196638:DXL196641 EHH196638:EHH196641 ERD196638:ERD196641 FAZ196638:FAZ196641 FKV196638:FKV196641 FUR196638:FUR196641 GEN196638:GEN196641 GOJ196638:GOJ196641 GYF196638:GYF196641 HIB196638:HIB196641 HRX196638:HRX196641 IBT196638:IBT196641 ILP196638:ILP196641 IVL196638:IVL196641 JFH196638:JFH196641 JPD196638:JPD196641 JYZ196638:JYZ196641 KIV196638:KIV196641 KSR196638:KSR196641 LCN196638:LCN196641 LMJ196638:LMJ196641 LWF196638:LWF196641 MGB196638:MGB196641 MPX196638:MPX196641 MZT196638:MZT196641 NJP196638:NJP196641 NTL196638:NTL196641 ODH196638:ODH196641 OND196638:OND196641 OWZ196638:OWZ196641 PGV196638:PGV196641 PQR196638:PQR196641 QAN196638:QAN196641 QKJ196638:QKJ196641 QUF196638:QUF196641 REB196638:REB196641 RNX196638:RNX196641 RXT196638:RXT196641 SHP196638:SHP196641 SRL196638:SRL196641 TBH196638:TBH196641 TLD196638:TLD196641 TUZ196638:TUZ196641 UEV196638:UEV196641 UOR196638:UOR196641 UYN196638:UYN196641 VIJ196638:VIJ196641 VSF196638:VSF196641 WCB196638:WCB196641 WLX196638:WLX196641 WVT196638:WVT196641 L262174:L262177 JH262174:JH262177 TD262174:TD262177 ACZ262174:ACZ262177 AMV262174:AMV262177 AWR262174:AWR262177 BGN262174:BGN262177 BQJ262174:BQJ262177 CAF262174:CAF262177 CKB262174:CKB262177 CTX262174:CTX262177 DDT262174:DDT262177 DNP262174:DNP262177 DXL262174:DXL262177 EHH262174:EHH262177 ERD262174:ERD262177 FAZ262174:FAZ262177 FKV262174:FKV262177 FUR262174:FUR262177 GEN262174:GEN262177 GOJ262174:GOJ262177 GYF262174:GYF262177 HIB262174:HIB262177 HRX262174:HRX262177 IBT262174:IBT262177 ILP262174:ILP262177 IVL262174:IVL262177 JFH262174:JFH262177 JPD262174:JPD262177 JYZ262174:JYZ262177 KIV262174:KIV262177 KSR262174:KSR262177 LCN262174:LCN262177 LMJ262174:LMJ262177 LWF262174:LWF262177 MGB262174:MGB262177 MPX262174:MPX262177 MZT262174:MZT262177 NJP262174:NJP262177 NTL262174:NTL262177 ODH262174:ODH262177 OND262174:OND262177 OWZ262174:OWZ262177 PGV262174:PGV262177 PQR262174:PQR262177 QAN262174:QAN262177 QKJ262174:QKJ262177 QUF262174:QUF262177 REB262174:REB262177 RNX262174:RNX262177 RXT262174:RXT262177 SHP262174:SHP262177 SRL262174:SRL262177 TBH262174:TBH262177 TLD262174:TLD262177 TUZ262174:TUZ262177 UEV262174:UEV262177 UOR262174:UOR262177 UYN262174:UYN262177 VIJ262174:VIJ262177 VSF262174:VSF262177 WCB262174:WCB262177 WLX262174:WLX262177 WVT262174:WVT262177 L327710:L327713 JH327710:JH327713 TD327710:TD327713 ACZ327710:ACZ327713 AMV327710:AMV327713 AWR327710:AWR327713 BGN327710:BGN327713 BQJ327710:BQJ327713 CAF327710:CAF327713 CKB327710:CKB327713 CTX327710:CTX327713 DDT327710:DDT327713 DNP327710:DNP327713 DXL327710:DXL327713 EHH327710:EHH327713 ERD327710:ERD327713 FAZ327710:FAZ327713 FKV327710:FKV327713 FUR327710:FUR327713 GEN327710:GEN327713 GOJ327710:GOJ327713 GYF327710:GYF327713 HIB327710:HIB327713 HRX327710:HRX327713 IBT327710:IBT327713 ILP327710:ILP327713 IVL327710:IVL327713 JFH327710:JFH327713 JPD327710:JPD327713 JYZ327710:JYZ327713 KIV327710:KIV327713 KSR327710:KSR327713 LCN327710:LCN327713 LMJ327710:LMJ327713 LWF327710:LWF327713 MGB327710:MGB327713 MPX327710:MPX327713 MZT327710:MZT327713 NJP327710:NJP327713 NTL327710:NTL327713 ODH327710:ODH327713 OND327710:OND327713 OWZ327710:OWZ327713 PGV327710:PGV327713 PQR327710:PQR327713 QAN327710:QAN327713 QKJ327710:QKJ327713 QUF327710:QUF327713 REB327710:REB327713 RNX327710:RNX327713 RXT327710:RXT327713 SHP327710:SHP327713 SRL327710:SRL327713 TBH327710:TBH327713 TLD327710:TLD327713 TUZ327710:TUZ327713 UEV327710:UEV327713 UOR327710:UOR327713 UYN327710:UYN327713 VIJ327710:VIJ327713 VSF327710:VSF327713 WCB327710:WCB327713 WLX327710:WLX327713 WVT327710:WVT327713 L393246:L393249 JH393246:JH393249 TD393246:TD393249 ACZ393246:ACZ393249 AMV393246:AMV393249 AWR393246:AWR393249 BGN393246:BGN393249 BQJ393246:BQJ393249 CAF393246:CAF393249 CKB393246:CKB393249 CTX393246:CTX393249 DDT393246:DDT393249 DNP393246:DNP393249 DXL393246:DXL393249 EHH393246:EHH393249 ERD393246:ERD393249 FAZ393246:FAZ393249 FKV393246:FKV393249 FUR393246:FUR393249 GEN393246:GEN393249 GOJ393246:GOJ393249 GYF393246:GYF393249 HIB393246:HIB393249 HRX393246:HRX393249 IBT393246:IBT393249 ILP393246:ILP393249 IVL393246:IVL393249 JFH393246:JFH393249 JPD393246:JPD393249 JYZ393246:JYZ393249 KIV393246:KIV393249 KSR393246:KSR393249 LCN393246:LCN393249 LMJ393246:LMJ393249 LWF393246:LWF393249 MGB393246:MGB393249 MPX393246:MPX393249 MZT393246:MZT393249 NJP393246:NJP393249 NTL393246:NTL393249 ODH393246:ODH393249 OND393246:OND393249 OWZ393246:OWZ393249 PGV393246:PGV393249 PQR393246:PQR393249 QAN393246:QAN393249 QKJ393246:QKJ393249 QUF393246:QUF393249 REB393246:REB393249 RNX393246:RNX393249 RXT393246:RXT393249 SHP393246:SHP393249 SRL393246:SRL393249 TBH393246:TBH393249 TLD393246:TLD393249 TUZ393246:TUZ393249 UEV393246:UEV393249 UOR393246:UOR393249 UYN393246:UYN393249 VIJ393246:VIJ393249 VSF393246:VSF393249 WCB393246:WCB393249 WLX393246:WLX393249 WVT393246:WVT393249 L458782:L458785 JH458782:JH458785 TD458782:TD458785 ACZ458782:ACZ458785 AMV458782:AMV458785 AWR458782:AWR458785 BGN458782:BGN458785 BQJ458782:BQJ458785 CAF458782:CAF458785 CKB458782:CKB458785 CTX458782:CTX458785 DDT458782:DDT458785 DNP458782:DNP458785 DXL458782:DXL458785 EHH458782:EHH458785 ERD458782:ERD458785 FAZ458782:FAZ458785 FKV458782:FKV458785 FUR458782:FUR458785 GEN458782:GEN458785 GOJ458782:GOJ458785 GYF458782:GYF458785 HIB458782:HIB458785 HRX458782:HRX458785 IBT458782:IBT458785 ILP458782:ILP458785 IVL458782:IVL458785 JFH458782:JFH458785 JPD458782:JPD458785 JYZ458782:JYZ458785 KIV458782:KIV458785 KSR458782:KSR458785 LCN458782:LCN458785 LMJ458782:LMJ458785 LWF458782:LWF458785 MGB458782:MGB458785 MPX458782:MPX458785 MZT458782:MZT458785 NJP458782:NJP458785 NTL458782:NTL458785 ODH458782:ODH458785 OND458782:OND458785 OWZ458782:OWZ458785 PGV458782:PGV458785 PQR458782:PQR458785 QAN458782:QAN458785 QKJ458782:QKJ458785 QUF458782:QUF458785 REB458782:REB458785 RNX458782:RNX458785 RXT458782:RXT458785 SHP458782:SHP458785 SRL458782:SRL458785 TBH458782:TBH458785 TLD458782:TLD458785 TUZ458782:TUZ458785 UEV458782:UEV458785 UOR458782:UOR458785 UYN458782:UYN458785 VIJ458782:VIJ458785 VSF458782:VSF458785 WCB458782:WCB458785 WLX458782:WLX458785 WVT458782:WVT458785 L524318:L524321 JH524318:JH524321 TD524318:TD524321 ACZ524318:ACZ524321 AMV524318:AMV524321 AWR524318:AWR524321 BGN524318:BGN524321 BQJ524318:BQJ524321 CAF524318:CAF524321 CKB524318:CKB524321 CTX524318:CTX524321 DDT524318:DDT524321 DNP524318:DNP524321 DXL524318:DXL524321 EHH524318:EHH524321 ERD524318:ERD524321 FAZ524318:FAZ524321 FKV524318:FKV524321 FUR524318:FUR524321 GEN524318:GEN524321 GOJ524318:GOJ524321 GYF524318:GYF524321 HIB524318:HIB524321 HRX524318:HRX524321 IBT524318:IBT524321 ILP524318:ILP524321 IVL524318:IVL524321 JFH524318:JFH524321 JPD524318:JPD524321 JYZ524318:JYZ524321 KIV524318:KIV524321 KSR524318:KSR524321 LCN524318:LCN524321 LMJ524318:LMJ524321 LWF524318:LWF524321 MGB524318:MGB524321 MPX524318:MPX524321 MZT524318:MZT524321 NJP524318:NJP524321 NTL524318:NTL524321 ODH524318:ODH524321 OND524318:OND524321 OWZ524318:OWZ524321 PGV524318:PGV524321 PQR524318:PQR524321 QAN524318:QAN524321 QKJ524318:QKJ524321 QUF524318:QUF524321 REB524318:REB524321 RNX524318:RNX524321 RXT524318:RXT524321 SHP524318:SHP524321 SRL524318:SRL524321 TBH524318:TBH524321 TLD524318:TLD524321 TUZ524318:TUZ524321 UEV524318:UEV524321 UOR524318:UOR524321 UYN524318:UYN524321 VIJ524318:VIJ524321 VSF524318:VSF524321 WCB524318:WCB524321 WLX524318:WLX524321 WVT524318:WVT524321 L589854:L589857 JH589854:JH589857 TD589854:TD589857 ACZ589854:ACZ589857 AMV589854:AMV589857 AWR589854:AWR589857 BGN589854:BGN589857 BQJ589854:BQJ589857 CAF589854:CAF589857 CKB589854:CKB589857 CTX589854:CTX589857 DDT589854:DDT589857 DNP589854:DNP589857 DXL589854:DXL589857 EHH589854:EHH589857 ERD589854:ERD589857 FAZ589854:FAZ589857 FKV589854:FKV589857 FUR589854:FUR589857 GEN589854:GEN589857 GOJ589854:GOJ589857 GYF589854:GYF589857 HIB589854:HIB589857 HRX589854:HRX589857 IBT589854:IBT589857 ILP589854:ILP589857 IVL589854:IVL589857 JFH589854:JFH589857 JPD589854:JPD589857 JYZ589854:JYZ589857 KIV589854:KIV589857 KSR589854:KSR589857 LCN589854:LCN589857 LMJ589854:LMJ589857 LWF589854:LWF589857 MGB589854:MGB589857 MPX589854:MPX589857 MZT589854:MZT589857 NJP589854:NJP589857 NTL589854:NTL589857 ODH589854:ODH589857 OND589854:OND589857 OWZ589854:OWZ589857 PGV589854:PGV589857 PQR589854:PQR589857 QAN589854:QAN589857 QKJ589854:QKJ589857 QUF589854:QUF589857 REB589854:REB589857 RNX589854:RNX589857 RXT589854:RXT589857 SHP589854:SHP589857 SRL589854:SRL589857 TBH589854:TBH589857 TLD589854:TLD589857 TUZ589854:TUZ589857 UEV589854:UEV589857 UOR589854:UOR589857 UYN589854:UYN589857 VIJ589854:VIJ589857 VSF589854:VSF589857 WCB589854:WCB589857 WLX589854:WLX589857 WVT589854:WVT589857 L655390:L655393 JH655390:JH655393 TD655390:TD655393 ACZ655390:ACZ655393 AMV655390:AMV655393 AWR655390:AWR655393 BGN655390:BGN655393 BQJ655390:BQJ655393 CAF655390:CAF655393 CKB655390:CKB655393 CTX655390:CTX655393 DDT655390:DDT655393 DNP655390:DNP655393 DXL655390:DXL655393 EHH655390:EHH655393 ERD655390:ERD655393 FAZ655390:FAZ655393 FKV655390:FKV655393 FUR655390:FUR655393 GEN655390:GEN655393 GOJ655390:GOJ655393 GYF655390:GYF655393 HIB655390:HIB655393 HRX655390:HRX655393 IBT655390:IBT655393 ILP655390:ILP655393 IVL655390:IVL655393 JFH655390:JFH655393 JPD655390:JPD655393 JYZ655390:JYZ655393 KIV655390:KIV655393 KSR655390:KSR655393 LCN655390:LCN655393 LMJ655390:LMJ655393 LWF655390:LWF655393 MGB655390:MGB655393 MPX655390:MPX655393 MZT655390:MZT655393 NJP655390:NJP655393 NTL655390:NTL655393 ODH655390:ODH655393 OND655390:OND655393 OWZ655390:OWZ655393 PGV655390:PGV655393 PQR655390:PQR655393 QAN655390:QAN655393 QKJ655390:QKJ655393 QUF655390:QUF655393 REB655390:REB655393 RNX655390:RNX655393 RXT655390:RXT655393 SHP655390:SHP655393 SRL655390:SRL655393 TBH655390:TBH655393 TLD655390:TLD655393 TUZ655390:TUZ655393 UEV655390:UEV655393 UOR655390:UOR655393 UYN655390:UYN655393 VIJ655390:VIJ655393 VSF655390:VSF655393 WCB655390:WCB655393 WLX655390:WLX655393 WVT655390:WVT655393 L720926:L720929 JH720926:JH720929 TD720926:TD720929 ACZ720926:ACZ720929 AMV720926:AMV720929 AWR720926:AWR720929 BGN720926:BGN720929 BQJ720926:BQJ720929 CAF720926:CAF720929 CKB720926:CKB720929 CTX720926:CTX720929 DDT720926:DDT720929 DNP720926:DNP720929 DXL720926:DXL720929 EHH720926:EHH720929 ERD720926:ERD720929 FAZ720926:FAZ720929 FKV720926:FKV720929 FUR720926:FUR720929 GEN720926:GEN720929 GOJ720926:GOJ720929 GYF720926:GYF720929 HIB720926:HIB720929 HRX720926:HRX720929 IBT720926:IBT720929 ILP720926:ILP720929 IVL720926:IVL720929 JFH720926:JFH720929 JPD720926:JPD720929 JYZ720926:JYZ720929 KIV720926:KIV720929 KSR720926:KSR720929 LCN720926:LCN720929 LMJ720926:LMJ720929 LWF720926:LWF720929 MGB720926:MGB720929 MPX720926:MPX720929 MZT720926:MZT720929 NJP720926:NJP720929 NTL720926:NTL720929 ODH720926:ODH720929 OND720926:OND720929 OWZ720926:OWZ720929 PGV720926:PGV720929 PQR720926:PQR720929 QAN720926:QAN720929 QKJ720926:QKJ720929 QUF720926:QUF720929 REB720926:REB720929 RNX720926:RNX720929 RXT720926:RXT720929 SHP720926:SHP720929 SRL720926:SRL720929 TBH720926:TBH720929 TLD720926:TLD720929 TUZ720926:TUZ720929 UEV720926:UEV720929 UOR720926:UOR720929 UYN720926:UYN720929 VIJ720926:VIJ720929 VSF720926:VSF720929 WCB720926:WCB720929 WLX720926:WLX720929 WVT720926:WVT720929 L786462:L786465 JH786462:JH786465 TD786462:TD786465 ACZ786462:ACZ786465 AMV786462:AMV786465 AWR786462:AWR786465 BGN786462:BGN786465 BQJ786462:BQJ786465 CAF786462:CAF786465 CKB786462:CKB786465 CTX786462:CTX786465 DDT786462:DDT786465 DNP786462:DNP786465 DXL786462:DXL786465 EHH786462:EHH786465 ERD786462:ERD786465 FAZ786462:FAZ786465 FKV786462:FKV786465 FUR786462:FUR786465 GEN786462:GEN786465 GOJ786462:GOJ786465 GYF786462:GYF786465 HIB786462:HIB786465 HRX786462:HRX786465 IBT786462:IBT786465 ILP786462:ILP786465 IVL786462:IVL786465 JFH786462:JFH786465 JPD786462:JPD786465 JYZ786462:JYZ786465 KIV786462:KIV786465 KSR786462:KSR786465 LCN786462:LCN786465 LMJ786462:LMJ786465 LWF786462:LWF786465 MGB786462:MGB786465 MPX786462:MPX786465 MZT786462:MZT786465 NJP786462:NJP786465 NTL786462:NTL786465 ODH786462:ODH786465 OND786462:OND786465 OWZ786462:OWZ786465 PGV786462:PGV786465 PQR786462:PQR786465 QAN786462:QAN786465 QKJ786462:QKJ786465 QUF786462:QUF786465 REB786462:REB786465 RNX786462:RNX786465 RXT786462:RXT786465 SHP786462:SHP786465 SRL786462:SRL786465 TBH786462:TBH786465 TLD786462:TLD786465 TUZ786462:TUZ786465 UEV786462:UEV786465 UOR786462:UOR786465 UYN786462:UYN786465 VIJ786462:VIJ786465 VSF786462:VSF786465 WCB786462:WCB786465 WLX786462:WLX786465 WVT786462:WVT786465 L851998:L852001 JH851998:JH852001 TD851998:TD852001 ACZ851998:ACZ852001 AMV851998:AMV852001 AWR851998:AWR852001 BGN851998:BGN852001 BQJ851998:BQJ852001 CAF851998:CAF852001 CKB851998:CKB852001 CTX851998:CTX852001 DDT851998:DDT852001 DNP851998:DNP852001 DXL851998:DXL852001 EHH851998:EHH852001 ERD851998:ERD852001 FAZ851998:FAZ852001 FKV851998:FKV852001 FUR851998:FUR852001 GEN851998:GEN852001 GOJ851998:GOJ852001 GYF851998:GYF852001 HIB851998:HIB852001 HRX851998:HRX852001 IBT851998:IBT852001 ILP851998:ILP852001 IVL851998:IVL852001 JFH851998:JFH852001 JPD851998:JPD852001 JYZ851998:JYZ852001 KIV851998:KIV852001 KSR851998:KSR852001 LCN851998:LCN852001 LMJ851998:LMJ852001 LWF851998:LWF852001 MGB851998:MGB852001 MPX851998:MPX852001 MZT851998:MZT852001 NJP851998:NJP852001 NTL851998:NTL852001 ODH851998:ODH852001 OND851998:OND852001 OWZ851998:OWZ852001 PGV851998:PGV852001 PQR851998:PQR852001 QAN851998:QAN852001 QKJ851998:QKJ852001 QUF851998:QUF852001 REB851998:REB852001 RNX851998:RNX852001 RXT851998:RXT852001 SHP851998:SHP852001 SRL851998:SRL852001 TBH851998:TBH852001 TLD851998:TLD852001 TUZ851998:TUZ852001 UEV851998:UEV852001 UOR851998:UOR852001 UYN851998:UYN852001 VIJ851998:VIJ852001 VSF851998:VSF852001 WCB851998:WCB852001 WLX851998:WLX852001 WVT851998:WVT852001 L917534:L917537 JH917534:JH917537 TD917534:TD917537 ACZ917534:ACZ917537 AMV917534:AMV917537 AWR917534:AWR917537 BGN917534:BGN917537 BQJ917534:BQJ917537 CAF917534:CAF917537 CKB917534:CKB917537 CTX917534:CTX917537 DDT917534:DDT917537 DNP917534:DNP917537 DXL917534:DXL917537 EHH917534:EHH917537 ERD917534:ERD917537 FAZ917534:FAZ917537 FKV917534:FKV917537 FUR917534:FUR917537 GEN917534:GEN917537 GOJ917534:GOJ917537 GYF917534:GYF917537 HIB917534:HIB917537 HRX917534:HRX917537 IBT917534:IBT917537 ILP917534:ILP917537 IVL917534:IVL917537 JFH917534:JFH917537 JPD917534:JPD917537 JYZ917534:JYZ917537 KIV917534:KIV917537 KSR917534:KSR917537 LCN917534:LCN917537 LMJ917534:LMJ917537 LWF917534:LWF917537 MGB917534:MGB917537 MPX917534:MPX917537 MZT917534:MZT917537 NJP917534:NJP917537 NTL917534:NTL917537 ODH917534:ODH917537 OND917534:OND917537 OWZ917534:OWZ917537 PGV917534:PGV917537 PQR917534:PQR917537 QAN917534:QAN917537 QKJ917534:QKJ917537 QUF917534:QUF917537 REB917534:REB917537 RNX917534:RNX917537 RXT917534:RXT917537 SHP917534:SHP917537 SRL917534:SRL917537 TBH917534:TBH917537 TLD917534:TLD917537 TUZ917534:TUZ917537 UEV917534:UEV917537 UOR917534:UOR917537 UYN917534:UYN917537 VIJ917534:VIJ917537 VSF917534:VSF917537 WCB917534:WCB917537 WLX917534:WLX917537 WVT917534:WVT917537 L983070:L983073 JH983070:JH983073 TD983070:TD983073 ACZ983070:ACZ983073 AMV983070:AMV983073 AWR983070:AWR983073 BGN983070:BGN983073 BQJ983070:BQJ983073 CAF983070:CAF983073 CKB983070:CKB983073 CTX983070:CTX983073 DDT983070:DDT983073 DNP983070:DNP983073 DXL983070:DXL983073 EHH983070:EHH983073 ERD983070:ERD983073 FAZ983070:FAZ983073 FKV983070:FKV983073 FUR983070:FUR983073 GEN983070:GEN983073 GOJ983070:GOJ983073 GYF983070:GYF983073 HIB983070:HIB983073 HRX983070:HRX983073 IBT983070:IBT983073 ILP983070:ILP983073 IVL983070:IVL983073 JFH983070:JFH983073 JPD983070:JPD983073 JYZ983070:JYZ983073 KIV983070:KIV983073 KSR983070:KSR983073 LCN983070:LCN983073 LMJ983070:LMJ983073 LWF983070:LWF983073 MGB983070:MGB983073 MPX983070:MPX983073 MZT983070:MZT983073 NJP983070:NJP983073 NTL983070:NTL983073 ODH983070:ODH983073 OND983070:OND983073 OWZ983070:OWZ983073 PGV983070:PGV983073 PQR983070:PQR983073 QAN983070:QAN983073 QKJ983070:QKJ983073 QUF983070:QUF983073 REB983070:REB983073 RNX983070:RNX983073 RXT983070:RXT983073 SHP983070:SHP983073 SRL983070:SRL983073 TBH983070:TBH983073 TLD983070:TLD983073 TUZ983070:TUZ983073 UEV983070:UEV983073 UOR983070:UOR983073 UYN983070:UYN983073 VIJ983070:VIJ983073 VSF983070:VSF983073 WCB983070:WCB983073 WLX983070:WLX983073 WVT983070:WVT983073">
      <formula1>"Yes,No,NA"</formula1>
    </dataValidation>
    <dataValidation type="list" allowBlank="1" showInputMessage="1" showErrorMessage="1" sqref="WVS983070:WVS983073 JG30:JG33 TC30:TC33 ACY30:ACY33 AMU30:AMU33 AWQ30:AWQ33 BGM30:BGM33 BQI30:BQI33 CAE30:CAE33 CKA30:CKA33 CTW30:CTW33 DDS30:DDS33 DNO30:DNO33 DXK30:DXK33 EHG30:EHG33 ERC30:ERC33 FAY30:FAY33 FKU30:FKU33 FUQ30:FUQ33 GEM30:GEM33 GOI30:GOI33 GYE30:GYE33 HIA30:HIA33 HRW30:HRW33 IBS30:IBS33 ILO30:ILO33 IVK30:IVK33 JFG30:JFG33 JPC30:JPC33 JYY30:JYY33 KIU30:KIU33 KSQ30:KSQ33 LCM30:LCM33 LMI30:LMI33 LWE30:LWE33 MGA30:MGA33 MPW30:MPW33 MZS30:MZS33 NJO30:NJO33 NTK30:NTK33 ODG30:ODG33 ONC30:ONC33 OWY30:OWY33 PGU30:PGU33 PQQ30:PQQ33 QAM30:QAM33 QKI30:QKI33 QUE30:QUE33 REA30:REA33 RNW30:RNW33 RXS30:RXS33 SHO30:SHO33 SRK30:SRK33 TBG30:TBG33 TLC30:TLC33 TUY30:TUY33 UEU30:UEU33 UOQ30:UOQ33 UYM30:UYM33 VII30:VII33 VSE30:VSE33 WCA30:WCA33 WLW30:WLW33 WVS30:WVS33 K65566:K65569 JG65566:JG65569 TC65566:TC65569 ACY65566:ACY65569 AMU65566:AMU65569 AWQ65566:AWQ65569 BGM65566:BGM65569 BQI65566:BQI65569 CAE65566:CAE65569 CKA65566:CKA65569 CTW65566:CTW65569 DDS65566:DDS65569 DNO65566:DNO65569 DXK65566:DXK65569 EHG65566:EHG65569 ERC65566:ERC65569 FAY65566:FAY65569 FKU65566:FKU65569 FUQ65566:FUQ65569 GEM65566:GEM65569 GOI65566:GOI65569 GYE65566:GYE65569 HIA65566:HIA65569 HRW65566:HRW65569 IBS65566:IBS65569 ILO65566:ILO65569 IVK65566:IVK65569 JFG65566:JFG65569 JPC65566:JPC65569 JYY65566:JYY65569 KIU65566:KIU65569 KSQ65566:KSQ65569 LCM65566:LCM65569 LMI65566:LMI65569 LWE65566:LWE65569 MGA65566:MGA65569 MPW65566:MPW65569 MZS65566:MZS65569 NJO65566:NJO65569 NTK65566:NTK65569 ODG65566:ODG65569 ONC65566:ONC65569 OWY65566:OWY65569 PGU65566:PGU65569 PQQ65566:PQQ65569 QAM65566:QAM65569 QKI65566:QKI65569 QUE65566:QUE65569 REA65566:REA65569 RNW65566:RNW65569 RXS65566:RXS65569 SHO65566:SHO65569 SRK65566:SRK65569 TBG65566:TBG65569 TLC65566:TLC65569 TUY65566:TUY65569 UEU65566:UEU65569 UOQ65566:UOQ65569 UYM65566:UYM65569 VII65566:VII65569 VSE65566:VSE65569 WCA65566:WCA65569 WLW65566:WLW65569 WVS65566:WVS65569 K131102:K131105 JG131102:JG131105 TC131102:TC131105 ACY131102:ACY131105 AMU131102:AMU131105 AWQ131102:AWQ131105 BGM131102:BGM131105 BQI131102:BQI131105 CAE131102:CAE131105 CKA131102:CKA131105 CTW131102:CTW131105 DDS131102:DDS131105 DNO131102:DNO131105 DXK131102:DXK131105 EHG131102:EHG131105 ERC131102:ERC131105 FAY131102:FAY131105 FKU131102:FKU131105 FUQ131102:FUQ131105 GEM131102:GEM131105 GOI131102:GOI131105 GYE131102:GYE131105 HIA131102:HIA131105 HRW131102:HRW131105 IBS131102:IBS131105 ILO131102:ILO131105 IVK131102:IVK131105 JFG131102:JFG131105 JPC131102:JPC131105 JYY131102:JYY131105 KIU131102:KIU131105 KSQ131102:KSQ131105 LCM131102:LCM131105 LMI131102:LMI131105 LWE131102:LWE131105 MGA131102:MGA131105 MPW131102:MPW131105 MZS131102:MZS131105 NJO131102:NJO131105 NTK131102:NTK131105 ODG131102:ODG131105 ONC131102:ONC131105 OWY131102:OWY131105 PGU131102:PGU131105 PQQ131102:PQQ131105 QAM131102:QAM131105 QKI131102:QKI131105 QUE131102:QUE131105 REA131102:REA131105 RNW131102:RNW131105 RXS131102:RXS131105 SHO131102:SHO131105 SRK131102:SRK131105 TBG131102:TBG131105 TLC131102:TLC131105 TUY131102:TUY131105 UEU131102:UEU131105 UOQ131102:UOQ131105 UYM131102:UYM131105 VII131102:VII131105 VSE131102:VSE131105 WCA131102:WCA131105 WLW131102:WLW131105 WVS131102:WVS131105 K196638:K196641 JG196638:JG196641 TC196638:TC196641 ACY196638:ACY196641 AMU196638:AMU196641 AWQ196638:AWQ196641 BGM196638:BGM196641 BQI196638:BQI196641 CAE196638:CAE196641 CKA196638:CKA196641 CTW196638:CTW196641 DDS196638:DDS196641 DNO196638:DNO196641 DXK196638:DXK196641 EHG196638:EHG196641 ERC196638:ERC196641 FAY196638:FAY196641 FKU196638:FKU196641 FUQ196638:FUQ196641 GEM196638:GEM196641 GOI196638:GOI196641 GYE196638:GYE196641 HIA196638:HIA196641 HRW196638:HRW196641 IBS196638:IBS196641 ILO196638:ILO196641 IVK196638:IVK196641 JFG196638:JFG196641 JPC196638:JPC196641 JYY196638:JYY196641 KIU196638:KIU196641 KSQ196638:KSQ196641 LCM196638:LCM196641 LMI196638:LMI196641 LWE196638:LWE196641 MGA196638:MGA196641 MPW196638:MPW196641 MZS196638:MZS196641 NJO196638:NJO196641 NTK196638:NTK196641 ODG196638:ODG196641 ONC196638:ONC196641 OWY196638:OWY196641 PGU196638:PGU196641 PQQ196638:PQQ196641 QAM196638:QAM196641 QKI196638:QKI196641 QUE196638:QUE196641 REA196638:REA196641 RNW196638:RNW196641 RXS196638:RXS196641 SHO196638:SHO196641 SRK196638:SRK196641 TBG196638:TBG196641 TLC196638:TLC196641 TUY196638:TUY196641 UEU196638:UEU196641 UOQ196638:UOQ196641 UYM196638:UYM196641 VII196638:VII196641 VSE196638:VSE196641 WCA196638:WCA196641 WLW196638:WLW196641 WVS196638:WVS196641 K262174:K262177 JG262174:JG262177 TC262174:TC262177 ACY262174:ACY262177 AMU262174:AMU262177 AWQ262174:AWQ262177 BGM262174:BGM262177 BQI262174:BQI262177 CAE262174:CAE262177 CKA262174:CKA262177 CTW262174:CTW262177 DDS262174:DDS262177 DNO262174:DNO262177 DXK262174:DXK262177 EHG262174:EHG262177 ERC262174:ERC262177 FAY262174:FAY262177 FKU262174:FKU262177 FUQ262174:FUQ262177 GEM262174:GEM262177 GOI262174:GOI262177 GYE262174:GYE262177 HIA262174:HIA262177 HRW262174:HRW262177 IBS262174:IBS262177 ILO262174:ILO262177 IVK262174:IVK262177 JFG262174:JFG262177 JPC262174:JPC262177 JYY262174:JYY262177 KIU262174:KIU262177 KSQ262174:KSQ262177 LCM262174:LCM262177 LMI262174:LMI262177 LWE262174:LWE262177 MGA262174:MGA262177 MPW262174:MPW262177 MZS262174:MZS262177 NJO262174:NJO262177 NTK262174:NTK262177 ODG262174:ODG262177 ONC262174:ONC262177 OWY262174:OWY262177 PGU262174:PGU262177 PQQ262174:PQQ262177 QAM262174:QAM262177 QKI262174:QKI262177 QUE262174:QUE262177 REA262174:REA262177 RNW262174:RNW262177 RXS262174:RXS262177 SHO262174:SHO262177 SRK262174:SRK262177 TBG262174:TBG262177 TLC262174:TLC262177 TUY262174:TUY262177 UEU262174:UEU262177 UOQ262174:UOQ262177 UYM262174:UYM262177 VII262174:VII262177 VSE262174:VSE262177 WCA262174:WCA262177 WLW262174:WLW262177 WVS262174:WVS262177 K327710:K327713 JG327710:JG327713 TC327710:TC327713 ACY327710:ACY327713 AMU327710:AMU327713 AWQ327710:AWQ327713 BGM327710:BGM327713 BQI327710:BQI327713 CAE327710:CAE327713 CKA327710:CKA327713 CTW327710:CTW327713 DDS327710:DDS327713 DNO327710:DNO327713 DXK327710:DXK327713 EHG327710:EHG327713 ERC327710:ERC327713 FAY327710:FAY327713 FKU327710:FKU327713 FUQ327710:FUQ327713 GEM327710:GEM327713 GOI327710:GOI327713 GYE327710:GYE327713 HIA327710:HIA327713 HRW327710:HRW327713 IBS327710:IBS327713 ILO327710:ILO327713 IVK327710:IVK327713 JFG327710:JFG327713 JPC327710:JPC327713 JYY327710:JYY327713 KIU327710:KIU327713 KSQ327710:KSQ327713 LCM327710:LCM327713 LMI327710:LMI327713 LWE327710:LWE327713 MGA327710:MGA327713 MPW327710:MPW327713 MZS327710:MZS327713 NJO327710:NJO327713 NTK327710:NTK327713 ODG327710:ODG327713 ONC327710:ONC327713 OWY327710:OWY327713 PGU327710:PGU327713 PQQ327710:PQQ327713 QAM327710:QAM327713 QKI327710:QKI327713 QUE327710:QUE327713 REA327710:REA327713 RNW327710:RNW327713 RXS327710:RXS327713 SHO327710:SHO327713 SRK327710:SRK327713 TBG327710:TBG327713 TLC327710:TLC327713 TUY327710:TUY327713 UEU327710:UEU327713 UOQ327710:UOQ327713 UYM327710:UYM327713 VII327710:VII327713 VSE327710:VSE327713 WCA327710:WCA327713 WLW327710:WLW327713 WVS327710:WVS327713 K393246:K393249 JG393246:JG393249 TC393246:TC393249 ACY393246:ACY393249 AMU393246:AMU393249 AWQ393246:AWQ393249 BGM393246:BGM393249 BQI393246:BQI393249 CAE393246:CAE393249 CKA393246:CKA393249 CTW393246:CTW393249 DDS393246:DDS393249 DNO393246:DNO393249 DXK393246:DXK393249 EHG393246:EHG393249 ERC393246:ERC393249 FAY393246:FAY393249 FKU393246:FKU393249 FUQ393246:FUQ393249 GEM393246:GEM393249 GOI393246:GOI393249 GYE393246:GYE393249 HIA393246:HIA393249 HRW393246:HRW393249 IBS393246:IBS393249 ILO393246:ILO393249 IVK393246:IVK393249 JFG393246:JFG393249 JPC393246:JPC393249 JYY393246:JYY393249 KIU393246:KIU393249 KSQ393246:KSQ393249 LCM393246:LCM393249 LMI393246:LMI393249 LWE393246:LWE393249 MGA393246:MGA393249 MPW393246:MPW393249 MZS393246:MZS393249 NJO393246:NJO393249 NTK393246:NTK393249 ODG393246:ODG393249 ONC393246:ONC393249 OWY393246:OWY393249 PGU393246:PGU393249 PQQ393246:PQQ393249 QAM393246:QAM393249 QKI393246:QKI393249 QUE393246:QUE393249 REA393246:REA393249 RNW393246:RNW393249 RXS393246:RXS393249 SHO393246:SHO393249 SRK393246:SRK393249 TBG393246:TBG393249 TLC393246:TLC393249 TUY393246:TUY393249 UEU393246:UEU393249 UOQ393246:UOQ393249 UYM393246:UYM393249 VII393246:VII393249 VSE393246:VSE393249 WCA393246:WCA393249 WLW393246:WLW393249 WVS393246:WVS393249 K458782:K458785 JG458782:JG458785 TC458782:TC458785 ACY458782:ACY458785 AMU458782:AMU458785 AWQ458782:AWQ458785 BGM458782:BGM458785 BQI458782:BQI458785 CAE458782:CAE458785 CKA458782:CKA458785 CTW458782:CTW458785 DDS458782:DDS458785 DNO458782:DNO458785 DXK458782:DXK458785 EHG458782:EHG458785 ERC458782:ERC458785 FAY458782:FAY458785 FKU458782:FKU458785 FUQ458782:FUQ458785 GEM458782:GEM458785 GOI458782:GOI458785 GYE458782:GYE458785 HIA458782:HIA458785 HRW458782:HRW458785 IBS458782:IBS458785 ILO458782:ILO458785 IVK458782:IVK458785 JFG458782:JFG458785 JPC458782:JPC458785 JYY458782:JYY458785 KIU458782:KIU458785 KSQ458782:KSQ458785 LCM458782:LCM458785 LMI458782:LMI458785 LWE458782:LWE458785 MGA458782:MGA458785 MPW458782:MPW458785 MZS458782:MZS458785 NJO458782:NJO458785 NTK458782:NTK458785 ODG458782:ODG458785 ONC458782:ONC458785 OWY458782:OWY458785 PGU458782:PGU458785 PQQ458782:PQQ458785 QAM458782:QAM458785 QKI458782:QKI458785 QUE458782:QUE458785 REA458782:REA458785 RNW458782:RNW458785 RXS458782:RXS458785 SHO458782:SHO458785 SRK458782:SRK458785 TBG458782:TBG458785 TLC458782:TLC458785 TUY458782:TUY458785 UEU458782:UEU458785 UOQ458782:UOQ458785 UYM458782:UYM458785 VII458782:VII458785 VSE458782:VSE458785 WCA458782:WCA458785 WLW458782:WLW458785 WVS458782:WVS458785 K524318:K524321 JG524318:JG524321 TC524318:TC524321 ACY524318:ACY524321 AMU524318:AMU524321 AWQ524318:AWQ524321 BGM524318:BGM524321 BQI524318:BQI524321 CAE524318:CAE524321 CKA524318:CKA524321 CTW524318:CTW524321 DDS524318:DDS524321 DNO524318:DNO524321 DXK524318:DXK524321 EHG524318:EHG524321 ERC524318:ERC524321 FAY524318:FAY524321 FKU524318:FKU524321 FUQ524318:FUQ524321 GEM524318:GEM524321 GOI524318:GOI524321 GYE524318:GYE524321 HIA524318:HIA524321 HRW524318:HRW524321 IBS524318:IBS524321 ILO524318:ILO524321 IVK524318:IVK524321 JFG524318:JFG524321 JPC524318:JPC524321 JYY524318:JYY524321 KIU524318:KIU524321 KSQ524318:KSQ524321 LCM524318:LCM524321 LMI524318:LMI524321 LWE524318:LWE524321 MGA524318:MGA524321 MPW524318:MPW524321 MZS524318:MZS524321 NJO524318:NJO524321 NTK524318:NTK524321 ODG524318:ODG524321 ONC524318:ONC524321 OWY524318:OWY524321 PGU524318:PGU524321 PQQ524318:PQQ524321 QAM524318:QAM524321 QKI524318:QKI524321 QUE524318:QUE524321 REA524318:REA524321 RNW524318:RNW524321 RXS524318:RXS524321 SHO524318:SHO524321 SRK524318:SRK524321 TBG524318:TBG524321 TLC524318:TLC524321 TUY524318:TUY524321 UEU524318:UEU524321 UOQ524318:UOQ524321 UYM524318:UYM524321 VII524318:VII524321 VSE524318:VSE524321 WCA524318:WCA524321 WLW524318:WLW524321 WVS524318:WVS524321 K589854:K589857 JG589854:JG589857 TC589854:TC589857 ACY589854:ACY589857 AMU589854:AMU589857 AWQ589854:AWQ589857 BGM589854:BGM589857 BQI589854:BQI589857 CAE589854:CAE589857 CKA589854:CKA589857 CTW589854:CTW589857 DDS589854:DDS589857 DNO589854:DNO589857 DXK589854:DXK589857 EHG589854:EHG589857 ERC589854:ERC589857 FAY589854:FAY589857 FKU589854:FKU589857 FUQ589854:FUQ589857 GEM589854:GEM589857 GOI589854:GOI589857 GYE589854:GYE589857 HIA589854:HIA589857 HRW589854:HRW589857 IBS589854:IBS589857 ILO589854:ILO589857 IVK589854:IVK589857 JFG589854:JFG589857 JPC589854:JPC589857 JYY589854:JYY589857 KIU589854:KIU589857 KSQ589854:KSQ589857 LCM589854:LCM589857 LMI589854:LMI589857 LWE589854:LWE589857 MGA589854:MGA589857 MPW589854:MPW589857 MZS589854:MZS589857 NJO589854:NJO589857 NTK589854:NTK589857 ODG589854:ODG589857 ONC589854:ONC589857 OWY589854:OWY589857 PGU589854:PGU589857 PQQ589854:PQQ589857 QAM589854:QAM589857 QKI589854:QKI589857 QUE589854:QUE589857 REA589854:REA589857 RNW589854:RNW589857 RXS589854:RXS589857 SHO589854:SHO589857 SRK589854:SRK589857 TBG589854:TBG589857 TLC589854:TLC589857 TUY589854:TUY589857 UEU589854:UEU589857 UOQ589854:UOQ589857 UYM589854:UYM589857 VII589854:VII589857 VSE589854:VSE589857 WCA589854:WCA589857 WLW589854:WLW589857 WVS589854:WVS589857 K655390:K655393 JG655390:JG655393 TC655390:TC655393 ACY655390:ACY655393 AMU655390:AMU655393 AWQ655390:AWQ655393 BGM655390:BGM655393 BQI655390:BQI655393 CAE655390:CAE655393 CKA655390:CKA655393 CTW655390:CTW655393 DDS655390:DDS655393 DNO655390:DNO655393 DXK655390:DXK655393 EHG655390:EHG655393 ERC655390:ERC655393 FAY655390:FAY655393 FKU655390:FKU655393 FUQ655390:FUQ655393 GEM655390:GEM655393 GOI655390:GOI655393 GYE655390:GYE655393 HIA655390:HIA655393 HRW655390:HRW655393 IBS655390:IBS655393 ILO655390:ILO655393 IVK655390:IVK655393 JFG655390:JFG655393 JPC655390:JPC655393 JYY655390:JYY655393 KIU655390:KIU655393 KSQ655390:KSQ655393 LCM655390:LCM655393 LMI655390:LMI655393 LWE655390:LWE655393 MGA655390:MGA655393 MPW655390:MPW655393 MZS655390:MZS655393 NJO655390:NJO655393 NTK655390:NTK655393 ODG655390:ODG655393 ONC655390:ONC655393 OWY655390:OWY655393 PGU655390:PGU655393 PQQ655390:PQQ655393 QAM655390:QAM655393 QKI655390:QKI655393 QUE655390:QUE655393 REA655390:REA655393 RNW655390:RNW655393 RXS655390:RXS655393 SHO655390:SHO655393 SRK655390:SRK655393 TBG655390:TBG655393 TLC655390:TLC655393 TUY655390:TUY655393 UEU655390:UEU655393 UOQ655390:UOQ655393 UYM655390:UYM655393 VII655390:VII655393 VSE655390:VSE655393 WCA655390:WCA655393 WLW655390:WLW655393 WVS655390:WVS655393 K720926:K720929 JG720926:JG720929 TC720926:TC720929 ACY720926:ACY720929 AMU720926:AMU720929 AWQ720926:AWQ720929 BGM720926:BGM720929 BQI720926:BQI720929 CAE720926:CAE720929 CKA720926:CKA720929 CTW720926:CTW720929 DDS720926:DDS720929 DNO720926:DNO720929 DXK720926:DXK720929 EHG720926:EHG720929 ERC720926:ERC720929 FAY720926:FAY720929 FKU720926:FKU720929 FUQ720926:FUQ720929 GEM720926:GEM720929 GOI720926:GOI720929 GYE720926:GYE720929 HIA720926:HIA720929 HRW720926:HRW720929 IBS720926:IBS720929 ILO720926:ILO720929 IVK720926:IVK720929 JFG720926:JFG720929 JPC720926:JPC720929 JYY720926:JYY720929 KIU720926:KIU720929 KSQ720926:KSQ720929 LCM720926:LCM720929 LMI720926:LMI720929 LWE720926:LWE720929 MGA720926:MGA720929 MPW720926:MPW720929 MZS720926:MZS720929 NJO720926:NJO720929 NTK720926:NTK720929 ODG720926:ODG720929 ONC720926:ONC720929 OWY720926:OWY720929 PGU720926:PGU720929 PQQ720926:PQQ720929 QAM720926:QAM720929 QKI720926:QKI720929 QUE720926:QUE720929 REA720926:REA720929 RNW720926:RNW720929 RXS720926:RXS720929 SHO720926:SHO720929 SRK720926:SRK720929 TBG720926:TBG720929 TLC720926:TLC720929 TUY720926:TUY720929 UEU720926:UEU720929 UOQ720926:UOQ720929 UYM720926:UYM720929 VII720926:VII720929 VSE720926:VSE720929 WCA720926:WCA720929 WLW720926:WLW720929 WVS720926:WVS720929 K786462:K786465 JG786462:JG786465 TC786462:TC786465 ACY786462:ACY786465 AMU786462:AMU786465 AWQ786462:AWQ786465 BGM786462:BGM786465 BQI786462:BQI786465 CAE786462:CAE786465 CKA786462:CKA786465 CTW786462:CTW786465 DDS786462:DDS786465 DNO786462:DNO786465 DXK786462:DXK786465 EHG786462:EHG786465 ERC786462:ERC786465 FAY786462:FAY786465 FKU786462:FKU786465 FUQ786462:FUQ786465 GEM786462:GEM786465 GOI786462:GOI786465 GYE786462:GYE786465 HIA786462:HIA786465 HRW786462:HRW786465 IBS786462:IBS786465 ILO786462:ILO786465 IVK786462:IVK786465 JFG786462:JFG786465 JPC786462:JPC786465 JYY786462:JYY786465 KIU786462:KIU786465 KSQ786462:KSQ786465 LCM786462:LCM786465 LMI786462:LMI786465 LWE786462:LWE786465 MGA786462:MGA786465 MPW786462:MPW786465 MZS786462:MZS786465 NJO786462:NJO786465 NTK786462:NTK786465 ODG786462:ODG786465 ONC786462:ONC786465 OWY786462:OWY786465 PGU786462:PGU786465 PQQ786462:PQQ786465 QAM786462:QAM786465 QKI786462:QKI786465 QUE786462:QUE786465 REA786462:REA786465 RNW786462:RNW786465 RXS786462:RXS786465 SHO786462:SHO786465 SRK786462:SRK786465 TBG786462:TBG786465 TLC786462:TLC786465 TUY786462:TUY786465 UEU786462:UEU786465 UOQ786462:UOQ786465 UYM786462:UYM786465 VII786462:VII786465 VSE786462:VSE786465 WCA786462:WCA786465 WLW786462:WLW786465 WVS786462:WVS786465 K851998:K852001 JG851998:JG852001 TC851998:TC852001 ACY851998:ACY852001 AMU851998:AMU852001 AWQ851998:AWQ852001 BGM851998:BGM852001 BQI851998:BQI852001 CAE851998:CAE852001 CKA851998:CKA852001 CTW851998:CTW852001 DDS851998:DDS852001 DNO851998:DNO852001 DXK851998:DXK852001 EHG851998:EHG852001 ERC851998:ERC852001 FAY851998:FAY852001 FKU851998:FKU852001 FUQ851998:FUQ852001 GEM851998:GEM852001 GOI851998:GOI852001 GYE851998:GYE852001 HIA851998:HIA852001 HRW851998:HRW852001 IBS851998:IBS852001 ILO851998:ILO852001 IVK851998:IVK852001 JFG851998:JFG852001 JPC851998:JPC852001 JYY851998:JYY852001 KIU851998:KIU852001 KSQ851998:KSQ852001 LCM851998:LCM852001 LMI851998:LMI852001 LWE851998:LWE852001 MGA851998:MGA852001 MPW851998:MPW852001 MZS851998:MZS852001 NJO851998:NJO852001 NTK851998:NTK852001 ODG851998:ODG852001 ONC851998:ONC852001 OWY851998:OWY852001 PGU851998:PGU852001 PQQ851998:PQQ852001 QAM851998:QAM852001 QKI851998:QKI852001 QUE851998:QUE852001 REA851998:REA852001 RNW851998:RNW852001 RXS851998:RXS852001 SHO851998:SHO852001 SRK851998:SRK852001 TBG851998:TBG852001 TLC851998:TLC852001 TUY851998:TUY852001 UEU851998:UEU852001 UOQ851998:UOQ852001 UYM851998:UYM852001 VII851998:VII852001 VSE851998:VSE852001 WCA851998:WCA852001 WLW851998:WLW852001 WVS851998:WVS852001 K917534:K917537 JG917534:JG917537 TC917534:TC917537 ACY917534:ACY917537 AMU917534:AMU917537 AWQ917534:AWQ917537 BGM917534:BGM917537 BQI917534:BQI917537 CAE917534:CAE917537 CKA917534:CKA917537 CTW917534:CTW917537 DDS917534:DDS917537 DNO917534:DNO917537 DXK917534:DXK917537 EHG917534:EHG917537 ERC917534:ERC917537 FAY917534:FAY917537 FKU917534:FKU917537 FUQ917534:FUQ917537 GEM917534:GEM917537 GOI917534:GOI917537 GYE917534:GYE917537 HIA917534:HIA917537 HRW917534:HRW917537 IBS917534:IBS917537 ILO917534:ILO917537 IVK917534:IVK917537 JFG917534:JFG917537 JPC917534:JPC917537 JYY917534:JYY917537 KIU917534:KIU917537 KSQ917534:KSQ917537 LCM917534:LCM917537 LMI917534:LMI917537 LWE917534:LWE917537 MGA917534:MGA917537 MPW917534:MPW917537 MZS917534:MZS917537 NJO917534:NJO917537 NTK917534:NTK917537 ODG917534:ODG917537 ONC917534:ONC917537 OWY917534:OWY917537 PGU917534:PGU917537 PQQ917534:PQQ917537 QAM917534:QAM917537 QKI917534:QKI917537 QUE917534:QUE917537 REA917534:REA917537 RNW917534:RNW917537 RXS917534:RXS917537 SHO917534:SHO917537 SRK917534:SRK917537 TBG917534:TBG917537 TLC917534:TLC917537 TUY917534:TUY917537 UEU917534:UEU917537 UOQ917534:UOQ917537 UYM917534:UYM917537 VII917534:VII917537 VSE917534:VSE917537 WCA917534:WCA917537 WLW917534:WLW917537 WVS917534:WVS917537 K983070:K983073 JG983070:JG983073 TC983070:TC983073 ACY983070:ACY983073 AMU983070:AMU983073 AWQ983070:AWQ983073 BGM983070:BGM983073 BQI983070:BQI983073 CAE983070:CAE983073 CKA983070:CKA983073 CTW983070:CTW983073 DDS983070:DDS983073 DNO983070:DNO983073 DXK983070:DXK983073 EHG983070:EHG983073 ERC983070:ERC983073 FAY983070:FAY983073 FKU983070:FKU983073 FUQ983070:FUQ983073 GEM983070:GEM983073 GOI983070:GOI983073 GYE983070:GYE983073 HIA983070:HIA983073 HRW983070:HRW983073 IBS983070:IBS983073 ILO983070:ILO983073 IVK983070:IVK983073 JFG983070:JFG983073 JPC983070:JPC983073 JYY983070:JYY983073 KIU983070:KIU983073 KSQ983070:KSQ983073 LCM983070:LCM983073 LMI983070:LMI983073 LWE983070:LWE983073 MGA983070:MGA983073 MPW983070:MPW983073 MZS983070:MZS983073 NJO983070:NJO983073 NTK983070:NTK983073 ODG983070:ODG983073 ONC983070:ONC983073 OWY983070:OWY983073 PGU983070:PGU983073 PQQ983070:PQQ983073 QAM983070:QAM983073 QKI983070:QKI983073 QUE983070:QUE983073 REA983070:REA983073 RNW983070:RNW983073 RXS983070:RXS983073 SHO983070:SHO983073 SRK983070:SRK983073 TBG983070:TBG983073 TLC983070:TLC983073 TUY983070:TUY983073 UEU983070:UEU983073 UOQ983070:UOQ983073 UYM983070:UYM983073 VII983070:VII983073 VSE983070:VSE983073 WCA983070:WCA983073 WLW983070:WLW983073">
      <formula1>$T$59:$T$62</formula1>
    </dataValidation>
  </dataValidations>
  <hyperlinks>
    <hyperlink ref="A1" location="'Table Of Contents'!A1" display="TOC"/>
  </hyperlinks>
  <pageMargins left="0.25" right="0.25" top="0.75" bottom="0.75" header="0.3" footer="0.3"/>
  <pageSetup scale="47" orientation="portrait" r:id="rId1"/>
  <headerFooter alignWithMargins="0"/>
  <colBreaks count="1" manualBreakCount="1">
    <brk id="14" max="31" man="1"/>
  </colBreaks>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R106"/>
  <sheetViews>
    <sheetView showGridLines="0" zoomScale="75" zoomScaleNormal="75" workbookViewId="0">
      <selection activeCell="A15" sqref="A15:A17"/>
    </sheetView>
  </sheetViews>
  <sheetFormatPr defaultRowHeight="15"/>
  <cols>
    <col min="1" max="1" width="17" style="11" customWidth="1"/>
    <col min="2" max="2" width="52.85546875" style="512" customWidth="1"/>
    <col min="3" max="4" width="18.140625" style="12" customWidth="1"/>
    <col min="5" max="5" width="26.85546875" style="12" customWidth="1"/>
    <col min="6" max="7" width="18.140625" style="12" customWidth="1"/>
    <col min="8" max="8" width="27" style="12" customWidth="1"/>
    <col min="9" max="10" width="18.140625" style="12" customWidth="1"/>
    <col min="11" max="11" width="29" style="12" customWidth="1"/>
    <col min="12" max="12" width="14.5703125" style="12" customWidth="1"/>
    <col min="13" max="13" width="12.5703125" style="327" bestFit="1" customWidth="1"/>
    <col min="14" max="16" width="9.140625" style="13"/>
    <col min="17" max="16384" width="9.140625" style="12"/>
  </cols>
  <sheetData>
    <row r="1" spans="1:16" ht="54" customHeight="1" thickBot="1">
      <c r="A1" s="2315" t="s">
        <v>529</v>
      </c>
      <c r="B1" s="2332"/>
      <c r="C1" s="2314" t="s">
        <v>530</v>
      </c>
      <c r="D1" s="2315"/>
      <c r="E1" s="2332"/>
      <c r="F1" s="2314" t="s">
        <v>531</v>
      </c>
      <c r="G1" s="2315"/>
      <c r="H1" s="2332"/>
      <c r="I1" s="2314" t="s">
        <v>532</v>
      </c>
      <c r="J1" s="2315"/>
      <c r="K1" s="2315"/>
      <c r="L1" s="538" t="s">
        <v>523</v>
      </c>
      <c r="M1" s="540" t="s">
        <v>528</v>
      </c>
      <c r="N1" s="541" t="s">
        <v>524</v>
      </c>
      <c r="O1" s="539" t="s">
        <v>525</v>
      </c>
      <c r="P1" s="540" t="s">
        <v>526</v>
      </c>
    </row>
    <row r="2" spans="1:16">
      <c r="A2" s="2333" t="s">
        <v>522</v>
      </c>
      <c r="B2" s="559" t="s">
        <v>79</v>
      </c>
      <c r="C2" s="514"/>
      <c r="D2" s="515"/>
      <c r="E2" s="516"/>
      <c r="F2" s="515"/>
      <c r="G2" s="515"/>
      <c r="H2" s="516"/>
      <c r="I2" s="514"/>
      <c r="J2" s="515"/>
      <c r="K2" s="515"/>
      <c r="L2" s="639"/>
      <c r="M2" s="640">
        <v>1150</v>
      </c>
      <c r="N2" s="542"/>
      <c r="O2" s="530"/>
      <c r="P2" s="531"/>
    </row>
    <row r="3" spans="1:16">
      <c r="A3" s="2334"/>
      <c r="B3" s="560" t="s">
        <v>80</v>
      </c>
      <c r="C3" s="517"/>
      <c r="D3" s="518"/>
      <c r="E3" s="519"/>
      <c r="F3" s="518"/>
      <c r="G3" s="518"/>
      <c r="H3" s="519"/>
      <c r="I3" s="517"/>
      <c r="J3" s="518"/>
      <c r="K3" s="518"/>
      <c r="L3" s="641"/>
      <c r="M3" s="525">
        <v>553</v>
      </c>
      <c r="N3" s="536"/>
      <c r="O3" s="532"/>
      <c r="P3" s="533"/>
    </row>
    <row r="4" spans="1:16">
      <c r="A4" s="2334"/>
      <c r="B4" s="560" t="s">
        <v>406</v>
      </c>
      <c r="C4" s="517"/>
      <c r="D4" s="518"/>
      <c r="E4" s="519"/>
      <c r="F4" s="518"/>
      <c r="G4" s="518"/>
      <c r="H4" s="519"/>
      <c r="I4" s="517"/>
      <c r="J4" s="518"/>
      <c r="K4" s="518"/>
      <c r="L4" s="641"/>
      <c r="M4" s="525">
        <v>3500</v>
      </c>
      <c r="N4" s="536"/>
      <c r="O4" s="532"/>
      <c r="P4" s="533"/>
    </row>
    <row r="5" spans="1:16">
      <c r="A5" s="2334"/>
      <c r="B5" s="560" t="s">
        <v>232</v>
      </c>
      <c r="C5" s="517"/>
      <c r="D5" s="518"/>
      <c r="E5" s="519"/>
      <c r="F5" s="518"/>
      <c r="G5" s="518"/>
      <c r="H5" s="519"/>
      <c r="I5" s="517"/>
      <c r="J5" s="518"/>
      <c r="K5" s="518"/>
      <c r="L5" s="641"/>
      <c r="M5" s="525">
        <v>675</v>
      </c>
      <c r="N5" s="536"/>
      <c r="O5" s="532"/>
      <c r="P5" s="533"/>
    </row>
    <row r="6" spans="1:16">
      <c r="A6" s="2334"/>
      <c r="B6" s="560" t="s">
        <v>233</v>
      </c>
      <c r="C6" s="517"/>
      <c r="D6" s="518"/>
      <c r="E6" s="519"/>
      <c r="F6" s="518"/>
      <c r="G6" s="518"/>
      <c r="H6" s="519"/>
      <c r="I6" s="517"/>
      <c r="J6" s="518"/>
      <c r="K6" s="518"/>
      <c r="L6" s="641"/>
      <c r="M6" s="525">
        <v>492</v>
      </c>
      <c r="N6" s="536"/>
      <c r="O6" s="532"/>
      <c r="P6" s="533"/>
    </row>
    <row r="7" spans="1:16" ht="15.75" thickBot="1">
      <c r="A7" s="2334"/>
      <c r="B7" s="561" t="s">
        <v>509</v>
      </c>
      <c r="C7" s="522"/>
      <c r="D7" s="523"/>
      <c r="E7" s="524"/>
      <c r="F7" s="523"/>
      <c r="G7" s="523"/>
      <c r="H7" s="524"/>
      <c r="I7" s="522"/>
      <c r="J7" s="523"/>
      <c r="K7" s="523"/>
      <c r="L7" s="642"/>
      <c r="M7" s="643">
        <v>190</v>
      </c>
      <c r="N7" s="543"/>
      <c r="O7" s="534"/>
      <c r="P7" s="535"/>
    </row>
    <row r="8" spans="1:16" ht="60.75" thickBot="1">
      <c r="A8" s="2316" t="s">
        <v>48</v>
      </c>
      <c r="B8" s="562"/>
      <c r="C8" s="2320" t="s">
        <v>542</v>
      </c>
      <c r="D8" s="2321"/>
      <c r="E8" s="2328"/>
      <c r="F8" s="2320" t="s">
        <v>542</v>
      </c>
      <c r="G8" s="2321"/>
      <c r="H8" s="2328"/>
      <c r="I8" s="2320" t="s">
        <v>542</v>
      </c>
      <c r="J8" s="2321"/>
      <c r="K8" s="2321"/>
      <c r="L8" s="538" t="s">
        <v>523</v>
      </c>
      <c r="M8" s="540" t="s">
        <v>528</v>
      </c>
      <c r="N8" s="541" t="s">
        <v>524</v>
      </c>
      <c r="O8" s="539" t="s">
        <v>525</v>
      </c>
      <c r="P8" s="540" t="s">
        <v>526</v>
      </c>
    </row>
    <row r="9" spans="1:16">
      <c r="A9" s="2317"/>
      <c r="B9" s="563" t="s">
        <v>89</v>
      </c>
      <c r="C9" s="2322">
        <f>0.62-0.0019*'Prescriptive Path'!$H$39</f>
        <v>0.62</v>
      </c>
      <c r="D9" s="2323"/>
      <c r="E9" s="2329"/>
      <c r="F9" s="2322">
        <f>0.62-0.0019*'Prescriptive Path'!$H$39</f>
        <v>0.62</v>
      </c>
      <c r="G9" s="2323"/>
      <c r="H9" s="2329"/>
      <c r="I9" s="2322">
        <f>0.62-0.0019*'Prescriptive Path'!$H$39</f>
        <v>0.62</v>
      </c>
      <c r="J9" s="2323"/>
      <c r="K9" s="2323"/>
      <c r="L9" s="527">
        <f>IF('Prescriptive Path'!$K$1=4,Baseline!C9,IF('Prescriptive Path'!$K$1=5,Baseline!F9,Baseline!I9))</f>
        <v>0.62</v>
      </c>
      <c r="M9" s="525">
        <f>(15.05*'Prescriptive Path'!H39+697.5)</f>
        <v>697.5</v>
      </c>
      <c r="N9" s="536"/>
      <c r="O9" s="532"/>
      <c r="P9" s="533"/>
    </row>
    <row r="10" spans="1:16">
      <c r="A10" s="2317"/>
      <c r="B10" s="564" t="s">
        <v>90</v>
      </c>
      <c r="C10" s="2324">
        <f>0.93-0.00132*'Prescriptive Path'!$H$42</f>
        <v>0.93</v>
      </c>
      <c r="D10" s="2325"/>
      <c r="E10" s="2330"/>
      <c r="F10" s="2324">
        <f>0.93-0.00132*'Prescriptive Path'!$H$42</f>
        <v>0.93</v>
      </c>
      <c r="G10" s="2325"/>
      <c r="H10" s="2330"/>
      <c r="I10" s="2324">
        <f>0.93-0.00132*'Prescriptive Path'!$H$42</f>
        <v>0.93</v>
      </c>
      <c r="J10" s="2325"/>
      <c r="K10" s="2325"/>
      <c r="L10" s="527">
        <f>IF('Prescriptive Path'!$K$1=4,Baseline!C10,IF('Prescriptive Path'!$K$1=5,Baseline!F10,Baseline!I10))</f>
        <v>0.93</v>
      </c>
      <c r="M10" s="525">
        <f>(42*'Prescriptive Path'!H42-435)</f>
        <v>-435</v>
      </c>
      <c r="N10" s="536"/>
      <c r="O10" s="532"/>
      <c r="P10" s="533"/>
    </row>
    <row r="11" spans="1:16">
      <c r="A11" s="2317"/>
      <c r="B11" s="564" t="s">
        <v>91</v>
      </c>
      <c r="C11" s="2326">
        <v>0.8</v>
      </c>
      <c r="D11" s="2327"/>
      <c r="E11" s="2331"/>
      <c r="F11" s="2326">
        <v>0.8</v>
      </c>
      <c r="G11" s="2327"/>
      <c r="H11" s="2331"/>
      <c r="I11" s="2326">
        <v>0.8</v>
      </c>
      <c r="J11" s="2327"/>
      <c r="K11" s="2327"/>
      <c r="L11" s="527">
        <f>IF('Prescriptive Path'!$K$1=4,Baseline!C11,IF('Prescriptive Path'!$K$1=5,Baseline!F11,Baseline!I11))</f>
        <v>0.8</v>
      </c>
      <c r="M11" s="525">
        <v>34434.78</v>
      </c>
      <c r="N11" s="536"/>
      <c r="O11" s="532"/>
      <c r="P11" s="533"/>
    </row>
    <row r="12" spans="1:16">
      <c r="A12" s="2317"/>
      <c r="B12" s="670" t="s">
        <v>540</v>
      </c>
      <c r="C12" s="2326">
        <v>2.5</v>
      </c>
      <c r="D12" s="2327"/>
      <c r="E12" s="2331"/>
      <c r="F12" s="2326">
        <v>2.5</v>
      </c>
      <c r="G12" s="2327"/>
      <c r="H12" s="2331"/>
      <c r="I12" s="2326">
        <v>2.5</v>
      </c>
      <c r="J12" s="2327"/>
      <c r="K12" s="2327"/>
      <c r="L12" s="674">
        <v>2.5</v>
      </c>
      <c r="M12" s="525">
        <v>129.69999999999999</v>
      </c>
      <c r="N12" s="536"/>
      <c r="O12" s="532"/>
      <c r="P12" s="533"/>
    </row>
    <row r="13" spans="1:16" ht="15.75" thickBot="1">
      <c r="A13" s="2318"/>
      <c r="B13" s="669" t="s">
        <v>541</v>
      </c>
      <c r="C13" s="2326">
        <v>2.5</v>
      </c>
      <c r="D13" s="2327"/>
      <c r="E13" s="2331"/>
      <c r="F13" s="2326">
        <v>2.5</v>
      </c>
      <c r="G13" s="2327"/>
      <c r="H13" s="2331"/>
      <c r="I13" s="2326">
        <v>2.5</v>
      </c>
      <c r="J13" s="2327"/>
      <c r="K13" s="2327"/>
      <c r="L13" s="644">
        <v>2.5</v>
      </c>
      <c r="M13" s="649">
        <v>129.69999999999999</v>
      </c>
      <c r="N13" s="671"/>
      <c r="O13" s="672"/>
      <c r="P13" s="673"/>
    </row>
    <row r="14" spans="1:16" ht="60.75" thickBot="1">
      <c r="A14" s="574" t="s">
        <v>53</v>
      </c>
      <c r="B14" s="562"/>
      <c r="C14" s="553" t="s">
        <v>92</v>
      </c>
      <c r="D14" s="553" t="s">
        <v>93</v>
      </c>
      <c r="E14" s="553" t="s">
        <v>94</v>
      </c>
      <c r="F14" s="553" t="s">
        <v>92</v>
      </c>
      <c r="G14" s="553" t="s">
        <v>93</v>
      </c>
      <c r="H14" s="553" t="s">
        <v>94</v>
      </c>
      <c r="I14" s="553" t="s">
        <v>92</v>
      </c>
      <c r="J14" s="553" t="s">
        <v>93</v>
      </c>
      <c r="K14" s="558" t="s">
        <v>94</v>
      </c>
      <c r="L14" s="538" t="s">
        <v>523</v>
      </c>
      <c r="M14" s="540" t="s">
        <v>528</v>
      </c>
      <c r="N14" s="541" t="s">
        <v>524</v>
      </c>
      <c r="O14" s="539" t="s">
        <v>525</v>
      </c>
      <c r="P14" s="540" t="s">
        <v>526</v>
      </c>
    </row>
    <row r="15" spans="1:16">
      <c r="A15" s="2319" t="s">
        <v>36</v>
      </c>
      <c r="B15" s="563" t="s">
        <v>126</v>
      </c>
      <c r="C15" s="528" t="s">
        <v>203</v>
      </c>
      <c r="D15" s="528">
        <v>4.8000000000000001E-2</v>
      </c>
      <c r="E15" s="528" t="str">
        <f t="shared" ref="E15:E21" si="0">"U-"&amp;$D15</f>
        <v>U-0.048</v>
      </c>
      <c r="F15" s="528" t="s">
        <v>203</v>
      </c>
      <c r="G15" s="528">
        <v>4.8000000000000001E-2</v>
      </c>
      <c r="H15" s="528" t="str">
        <f>"U-"&amp;$G15</f>
        <v>U-0.048</v>
      </c>
      <c r="I15" s="528" t="s">
        <v>203</v>
      </c>
      <c r="J15" s="528">
        <v>4.8000000000000001E-2</v>
      </c>
      <c r="K15" s="513" t="str">
        <f>"U-"&amp;$J15</f>
        <v>U-0.048</v>
      </c>
      <c r="L15" s="527">
        <f>IF('Prescriptive Path'!$K$1=4,Baseline!D15,IF('Prescriptive Path'!$K$1=5,Baseline!G15,Baseline!J15))</f>
        <v>4.8000000000000001E-2</v>
      </c>
      <c r="M15" s="525">
        <v>1.98</v>
      </c>
      <c r="N15" s="536"/>
      <c r="O15" s="532"/>
      <c r="P15" s="533"/>
    </row>
    <row r="16" spans="1:16">
      <c r="A16" s="2319"/>
      <c r="B16" s="511" t="s">
        <v>66</v>
      </c>
      <c r="C16" s="293" t="s">
        <v>204</v>
      </c>
      <c r="D16" s="293">
        <v>6.5000000000000002E-2</v>
      </c>
      <c r="E16" s="293" t="str">
        <f t="shared" si="0"/>
        <v>U-0.065</v>
      </c>
      <c r="F16" s="293" t="s">
        <v>204</v>
      </c>
      <c r="G16" s="293">
        <v>6.5000000000000002E-2</v>
      </c>
      <c r="H16" s="293" t="str">
        <f t="shared" ref="H16:H26" si="1">"U-"&amp;$G16</f>
        <v>U-0.065</v>
      </c>
      <c r="I16" s="293" t="s">
        <v>204</v>
      </c>
      <c r="J16" s="293">
        <v>6.5000000000000002E-2</v>
      </c>
      <c r="K16" s="508" t="str">
        <f t="shared" ref="K16:K26" si="2">"U-"&amp;$J16</f>
        <v>U-0.065</v>
      </c>
      <c r="L16" s="527">
        <f>IF('Prescriptive Path'!$K$1=4,Baseline!D16,IF('Prescriptive Path'!$K$1=5,Baseline!G16,Baseline!J16))</f>
        <v>6.5000000000000002E-2</v>
      </c>
      <c r="M16" s="525">
        <v>0</v>
      </c>
      <c r="N16" s="536"/>
      <c r="O16" s="532"/>
      <c r="P16" s="533"/>
    </row>
    <row r="17" spans="1:16">
      <c r="A17" s="2319"/>
      <c r="B17" s="511" t="s">
        <v>68</v>
      </c>
      <c r="C17" s="293" t="s">
        <v>67</v>
      </c>
      <c r="D17" s="293">
        <v>2.7E-2</v>
      </c>
      <c r="E17" s="293" t="str">
        <f t="shared" si="0"/>
        <v>U-0.027</v>
      </c>
      <c r="F17" s="293" t="s">
        <v>67</v>
      </c>
      <c r="G17" s="293">
        <v>2.7E-2</v>
      </c>
      <c r="H17" s="293" t="str">
        <f t="shared" si="1"/>
        <v>U-0.027</v>
      </c>
      <c r="I17" s="293" t="s">
        <v>67</v>
      </c>
      <c r="J17" s="293">
        <v>2.7E-2</v>
      </c>
      <c r="K17" s="508" t="str">
        <f t="shared" si="2"/>
        <v>U-0.027</v>
      </c>
      <c r="L17" s="527">
        <f>IF('Prescriptive Path'!$K$1=4,Baseline!D17,IF('Prescriptive Path'!$K$1=5,Baseline!G17,Baseline!J17))</f>
        <v>2.7E-2</v>
      </c>
      <c r="M17" s="525">
        <v>1.62</v>
      </c>
      <c r="N17" s="536"/>
      <c r="O17" s="532"/>
      <c r="P17" s="533"/>
    </row>
    <row r="18" spans="1:16">
      <c r="A18" s="2319" t="s">
        <v>95</v>
      </c>
      <c r="B18" s="511" t="s">
        <v>124</v>
      </c>
      <c r="C18" s="293" t="s">
        <v>205</v>
      </c>
      <c r="D18" s="293">
        <v>0.09</v>
      </c>
      <c r="E18" s="293" t="str">
        <f t="shared" si="0"/>
        <v>U-0.09</v>
      </c>
      <c r="F18" s="293" t="s">
        <v>214</v>
      </c>
      <c r="G18" s="293">
        <v>0.08</v>
      </c>
      <c r="H18" s="293" t="str">
        <f t="shared" si="1"/>
        <v>U-0.08</v>
      </c>
      <c r="I18" s="293" t="s">
        <v>215</v>
      </c>
      <c r="J18" s="505">
        <v>7.0999999999999994E-2</v>
      </c>
      <c r="K18" s="508" t="str">
        <f t="shared" si="2"/>
        <v>U-0.071</v>
      </c>
      <c r="L18" s="527">
        <f>IF('Prescriptive Path'!$K$1=4,Baseline!D18,IF('Prescriptive Path'!$K$1=5,Baseline!G18,Baseline!J18))</f>
        <v>0.09</v>
      </c>
      <c r="M18" s="525">
        <f>IF('Prescriptive Path'!$K$1=4,N18,IF('Prescriptive Path'!$K$1=5,O18,P18))</f>
        <v>1.84</v>
      </c>
      <c r="N18" s="529">
        <v>1.84</v>
      </c>
      <c r="O18" s="293">
        <f>1.84+(2.32-1.84)/2</f>
        <v>2.08</v>
      </c>
      <c r="P18" s="75">
        <v>1.6</v>
      </c>
    </row>
    <row r="19" spans="1:16">
      <c r="A19" s="2319"/>
      <c r="B19" s="511" t="s">
        <v>127</v>
      </c>
      <c r="C19" s="293" t="s">
        <v>206</v>
      </c>
      <c r="D19" s="293">
        <v>6.4000000000000001E-2</v>
      </c>
      <c r="E19" s="293" t="str">
        <f t="shared" si="0"/>
        <v>U-0.064</v>
      </c>
      <c r="F19" s="293" t="s">
        <v>206</v>
      </c>
      <c r="G19" s="505">
        <v>6.4000000000000001E-2</v>
      </c>
      <c r="H19" s="293" t="str">
        <f t="shared" si="1"/>
        <v>U-0.064</v>
      </c>
      <c r="I19" s="293" t="s">
        <v>206</v>
      </c>
      <c r="J19" s="505">
        <v>6.4000000000000001E-2</v>
      </c>
      <c r="K19" s="508" t="str">
        <f t="shared" si="2"/>
        <v>U-0.064</v>
      </c>
      <c r="L19" s="527">
        <f>IF('Prescriptive Path'!$K$1=4,Baseline!D19,IF('Prescriptive Path'!$K$1=5,Baseline!G19,Baseline!J19))</f>
        <v>6.4000000000000001E-2</v>
      </c>
      <c r="M19" s="525">
        <v>1.24</v>
      </c>
      <c r="N19" s="536"/>
      <c r="O19" s="532"/>
      <c r="P19" s="533"/>
    </row>
    <row r="20" spans="1:16">
      <c r="A20" s="2319"/>
      <c r="B20" s="511" t="s">
        <v>285</v>
      </c>
      <c r="C20" s="293" t="s">
        <v>204</v>
      </c>
      <c r="D20" s="293">
        <v>8.4000000000000005E-2</v>
      </c>
      <c r="E20" s="293" t="str">
        <f t="shared" si="0"/>
        <v>U-0.084</v>
      </c>
      <c r="F20" s="293" t="s">
        <v>441</v>
      </c>
      <c r="G20" s="505">
        <v>6.9000000000000006E-2</v>
      </c>
      <c r="H20" s="293" t="str">
        <f t="shared" si="1"/>
        <v>U-0.069</v>
      </c>
      <c r="I20" s="293" t="str">
        <f>F20</f>
        <v>R-13.0 + R-5.6 c.i.</v>
      </c>
      <c r="J20" s="505">
        <f>G20</f>
        <v>6.9000000000000006E-2</v>
      </c>
      <c r="K20" s="508" t="str">
        <f t="shared" si="2"/>
        <v>U-0.069</v>
      </c>
      <c r="L20" s="527">
        <f>IF('Prescriptive Path'!$K$1=4,Baseline!D20,IF('Prescriptive Path'!$K$1=5,Baseline!G20,Baseline!J20))</f>
        <v>8.4000000000000005E-2</v>
      </c>
      <c r="M20" s="525">
        <v>1</v>
      </c>
      <c r="N20" s="536"/>
      <c r="O20" s="532"/>
      <c r="P20" s="533"/>
    </row>
    <row r="21" spans="1:16">
      <c r="A21" s="2319"/>
      <c r="B21" s="511" t="s">
        <v>310</v>
      </c>
      <c r="C21" s="293" t="s">
        <v>207</v>
      </c>
      <c r="D21" s="293">
        <v>6.4000000000000001E-2</v>
      </c>
      <c r="E21" s="293" t="str">
        <f t="shared" si="0"/>
        <v>U-0.064</v>
      </c>
      <c r="F21" s="293" t="s">
        <v>206</v>
      </c>
      <c r="G21" s="505">
        <v>5.0999999999999997E-2</v>
      </c>
      <c r="H21" s="293" t="str">
        <f t="shared" si="1"/>
        <v>U-0.051</v>
      </c>
      <c r="I21" s="293" t="s">
        <v>206</v>
      </c>
      <c r="J21" s="505">
        <v>5.0999999999999997E-2</v>
      </c>
      <c r="K21" s="508" t="str">
        <f t="shared" si="2"/>
        <v>U-0.051</v>
      </c>
      <c r="L21" s="527">
        <f>IF('Prescriptive Path'!$K$1=4,Baseline!D21,IF('Prescriptive Path'!$K$1=5,Baseline!G21,Baseline!J21))</f>
        <v>6.4000000000000001E-2</v>
      </c>
      <c r="M21" s="525">
        <f>IF('Prescriptive Path'!$K$1=4,N21,IF('Prescriptive Path'!$K$1=5,O21,P21))</f>
        <v>0.99</v>
      </c>
      <c r="N21" s="529">
        <v>0.99</v>
      </c>
      <c r="O21" s="293">
        <v>1.36</v>
      </c>
      <c r="P21" s="75">
        <v>1.36</v>
      </c>
    </row>
    <row r="22" spans="1:16">
      <c r="A22" s="2319" t="s">
        <v>96</v>
      </c>
      <c r="B22" s="511" t="s">
        <v>5</v>
      </c>
      <c r="C22" s="506" t="s">
        <v>208</v>
      </c>
      <c r="D22" s="505">
        <v>0.11899999999999999</v>
      </c>
      <c r="E22" s="293" t="str">
        <f>"C-"&amp;$D22</f>
        <v>C-0.119</v>
      </c>
      <c r="F22" s="506" t="s">
        <v>208</v>
      </c>
      <c r="G22" s="505">
        <v>0.11899999999999999</v>
      </c>
      <c r="H22" s="293" t="str">
        <f>"C-"&amp;$G22</f>
        <v>C-0.119</v>
      </c>
      <c r="I22" s="506" t="s">
        <v>208</v>
      </c>
      <c r="J22" s="505">
        <v>0.11899999999999999</v>
      </c>
      <c r="K22" s="508" t="str">
        <f>"C-"&amp;$J22</f>
        <v>C-0.119</v>
      </c>
      <c r="L22" s="527">
        <f>IF('Prescriptive Path'!$K$1=4,Baseline!D22,IF('Prescriptive Path'!$K$1=5,Baseline!G22,Baseline!J22))</f>
        <v>0.11899999999999999</v>
      </c>
      <c r="M22" s="525">
        <v>1.36</v>
      </c>
      <c r="N22" s="536"/>
      <c r="O22" s="532"/>
      <c r="P22" s="533"/>
    </row>
    <row r="23" spans="1:16">
      <c r="A23" s="2319"/>
      <c r="B23" s="511" t="s">
        <v>97</v>
      </c>
      <c r="C23" s="2335" t="s">
        <v>7</v>
      </c>
      <c r="D23" s="2335"/>
      <c r="E23" s="2335"/>
      <c r="F23" s="2335" t="s">
        <v>7</v>
      </c>
      <c r="G23" s="2335"/>
      <c r="H23" s="2335"/>
      <c r="I23" s="2335" t="s">
        <v>7</v>
      </c>
      <c r="J23" s="2335"/>
      <c r="K23" s="2336"/>
      <c r="L23" s="641"/>
      <c r="M23" s="624"/>
      <c r="N23" s="536"/>
      <c r="O23" s="532"/>
      <c r="P23" s="533"/>
    </row>
    <row r="24" spans="1:16">
      <c r="A24" s="2319" t="s">
        <v>83</v>
      </c>
      <c r="B24" s="511" t="s">
        <v>125</v>
      </c>
      <c r="C24" s="293" t="s">
        <v>209</v>
      </c>
      <c r="D24" s="293">
        <v>7.3999999999999996E-2</v>
      </c>
      <c r="E24" s="293" t="str">
        <f>"U-"&amp;$D24</f>
        <v>U-0.074</v>
      </c>
      <c r="F24" s="293" t="s">
        <v>212</v>
      </c>
      <c r="G24" s="293">
        <v>6.4000000000000001E-2</v>
      </c>
      <c r="H24" s="293" t="str">
        <f t="shared" si="1"/>
        <v>U-0.064</v>
      </c>
      <c r="I24" s="293" t="s">
        <v>216</v>
      </c>
      <c r="J24" s="293">
        <v>5.7000000000000002E-2</v>
      </c>
      <c r="K24" s="508" t="str">
        <f t="shared" si="2"/>
        <v>U-0.057</v>
      </c>
      <c r="L24" s="527">
        <f>IF('Prescriptive Path'!$K$1=4,Baseline!D24,IF('Prescriptive Path'!$K$1=5,Baseline!G24,Baseline!J24))</f>
        <v>7.3999999999999996E-2</v>
      </c>
      <c r="M24" s="525">
        <f>IF('Prescriptive Path'!$K$1=4,N24,IF('Prescriptive Path'!$K$1=5,O24,P24))</f>
        <v>1.24</v>
      </c>
      <c r="N24" s="529">
        <v>1.24</v>
      </c>
      <c r="O24" s="293">
        <v>1.44</v>
      </c>
      <c r="P24" s="75">
        <f>1.44+(1.6-1.44)/2</f>
        <v>1.52</v>
      </c>
    </row>
    <row r="25" spans="1:16">
      <c r="A25" s="2319"/>
      <c r="B25" s="511" t="s">
        <v>87</v>
      </c>
      <c r="C25" s="293" t="s">
        <v>70</v>
      </c>
      <c r="D25" s="293">
        <v>3.7999999999999999E-2</v>
      </c>
      <c r="E25" s="293" t="str">
        <f>"U-"&amp;$D25</f>
        <v>U-0.038</v>
      </c>
      <c r="F25" s="293" t="s">
        <v>70</v>
      </c>
      <c r="G25" s="293">
        <v>3.7999999999999999E-2</v>
      </c>
      <c r="H25" s="293" t="str">
        <f t="shared" si="1"/>
        <v>U-0.038</v>
      </c>
      <c r="I25" s="293" t="s">
        <v>67</v>
      </c>
      <c r="J25" s="293">
        <v>3.2000000000000001E-2</v>
      </c>
      <c r="K25" s="508" t="str">
        <f t="shared" si="2"/>
        <v>U-0.032</v>
      </c>
      <c r="L25" s="527">
        <f>IF('Prescriptive Path'!$K$1=4,Baseline!D25,IF('Prescriptive Path'!$K$1=5,Baseline!G25,Baseline!J25))</f>
        <v>3.7999999999999999E-2</v>
      </c>
      <c r="M25" s="525">
        <f>IF('Prescriptive Path'!$K$1=4,N25,IF('Prescriptive Path'!$K$1=5,O25,P25))</f>
        <v>1.89</v>
      </c>
      <c r="N25" s="529">
        <v>1.89</v>
      </c>
      <c r="O25" s="293">
        <v>1.89</v>
      </c>
      <c r="P25" s="75">
        <v>2.06</v>
      </c>
    </row>
    <row r="26" spans="1:16">
      <c r="A26" s="2319"/>
      <c r="B26" s="511" t="s">
        <v>98</v>
      </c>
      <c r="C26" s="293" t="s">
        <v>70</v>
      </c>
      <c r="D26" s="293">
        <v>3.3000000000000002E-2</v>
      </c>
      <c r="E26" s="293" t="str">
        <f>"U-"&amp;$D26</f>
        <v>U-0.033</v>
      </c>
      <c r="F26" s="293" t="s">
        <v>70</v>
      </c>
      <c r="G26" s="293">
        <v>3.3000000000000002E-2</v>
      </c>
      <c r="H26" s="293" t="str">
        <f t="shared" si="1"/>
        <v>U-0.033</v>
      </c>
      <c r="I26" s="293" t="s">
        <v>70</v>
      </c>
      <c r="J26" s="293">
        <v>3.3000000000000002E-2</v>
      </c>
      <c r="K26" s="508" t="str">
        <f t="shared" si="2"/>
        <v>U-0.033</v>
      </c>
      <c r="L26" s="527">
        <f>IF('Prescriptive Path'!$K$1=4,Baseline!D26,IF('Prescriptive Path'!$K$1=5,Baseline!G26,Baseline!J26))</f>
        <v>3.3000000000000002E-2</v>
      </c>
      <c r="M26" s="525">
        <v>0</v>
      </c>
      <c r="N26" s="536"/>
      <c r="O26" s="532"/>
      <c r="P26" s="533"/>
    </row>
    <row r="27" spans="1:16">
      <c r="A27" s="2319" t="s">
        <v>84</v>
      </c>
      <c r="B27" s="565" t="s">
        <v>40</v>
      </c>
      <c r="C27" s="2336" t="s">
        <v>32</v>
      </c>
      <c r="D27" s="2337"/>
      <c r="E27" s="2338"/>
      <c r="F27" s="2336" t="s">
        <v>32</v>
      </c>
      <c r="G27" s="2337"/>
      <c r="H27" s="2338"/>
      <c r="I27" s="2335" t="s">
        <v>72</v>
      </c>
      <c r="J27" s="2335"/>
      <c r="K27" s="2336"/>
      <c r="L27" s="641"/>
      <c r="M27" s="645"/>
      <c r="N27" s="536"/>
      <c r="O27" s="532"/>
      <c r="P27" s="533"/>
    </row>
    <row r="28" spans="1:16">
      <c r="A28" s="2319"/>
      <c r="B28" s="511" t="s">
        <v>34</v>
      </c>
      <c r="C28" s="2335" t="s">
        <v>73</v>
      </c>
      <c r="D28" s="2335"/>
      <c r="E28" s="2335"/>
      <c r="F28" s="2335" t="s">
        <v>72</v>
      </c>
      <c r="G28" s="2335"/>
      <c r="H28" s="2335"/>
      <c r="I28" s="2335" t="s">
        <v>74</v>
      </c>
      <c r="J28" s="2335"/>
      <c r="K28" s="2336"/>
      <c r="L28" s="641"/>
      <c r="M28" s="624"/>
      <c r="N28" s="536"/>
      <c r="O28" s="532"/>
      <c r="P28" s="533"/>
    </row>
    <row r="29" spans="1:16">
      <c r="A29" s="575" t="s">
        <v>13</v>
      </c>
      <c r="B29" s="511" t="s">
        <v>8</v>
      </c>
      <c r="C29" s="293" t="s">
        <v>401</v>
      </c>
      <c r="D29" s="293">
        <v>0.7</v>
      </c>
      <c r="E29" s="293" t="str">
        <f>"U-"&amp;$D29</f>
        <v>U-0.7</v>
      </c>
      <c r="F29" s="293" t="s">
        <v>71</v>
      </c>
      <c r="G29" s="293">
        <v>0.5</v>
      </c>
      <c r="H29" s="293" t="str">
        <f>"U-"&amp;$G29</f>
        <v>U-0.5</v>
      </c>
      <c r="I29" s="293" t="s">
        <v>71</v>
      </c>
      <c r="J29" s="293">
        <v>0.5</v>
      </c>
      <c r="K29" s="508" t="str">
        <f>"U-"&amp;$J29</f>
        <v>U-0.5</v>
      </c>
      <c r="L29" s="527">
        <f>IF('Prescriptive Path'!$K$1=4,Baseline!D29,IF('Prescriptive Path'!$K$1=5,Baseline!G29,Baseline!J29))</f>
        <v>0.7</v>
      </c>
      <c r="M29" s="544">
        <v>519.55999999999995</v>
      </c>
      <c r="N29" s="536"/>
      <c r="O29" s="532"/>
      <c r="P29" s="533"/>
    </row>
    <row r="30" spans="1:16" ht="15" customHeight="1" thickBot="1">
      <c r="A30" s="735" t="s">
        <v>99</v>
      </c>
      <c r="B30" s="511" t="s">
        <v>9</v>
      </c>
      <c r="C30" s="532"/>
      <c r="D30" s="532"/>
      <c r="E30" s="293" t="s">
        <v>527</v>
      </c>
      <c r="F30" s="532"/>
      <c r="G30" s="532"/>
      <c r="H30" s="293" t="s">
        <v>527</v>
      </c>
      <c r="I30" s="532"/>
      <c r="J30" s="532"/>
      <c r="K30" s="508" t="s">
        <v>527</v>
      </c>
      <c r="L30" s="641"/>
      <c r="M30" s="624"/>
      <c r="N30" s="536"/>
      <c r="O30" s="532"/>
      <c r="P30" s="533"/>
    </row>
    <row r="31" spans="1:16" ht="60.75" thickBot="1">
      <c r="A31" s="736"/>
      <c r="B31" s="567"/>
      <c r="C31" s="553" t="s">
        <v>101</v>
      </c>
      <c r="D31" s="553" t="s">
        <v>93</v>
      </c>
      <c r="E31" s="553" t="s">
        <v>94</v>
      </c>
      <c r="F31" s="553" t="s">
        <v>101</v>
      </c>
      <c r="G31" s="553" t="s">
        <v>93</v>
      </c>
      <c r="H31" s="553" t="s">
        <v>94</v>
      </c>
      <c r="I31" s="553" t="s">
        <v>101</v>
      </c>
      <c r="J31" s="553" t="s">
        <v>93</v>
      </c>
      <c r="K31" s="558" t="s">
        <v>94</v>
      </c>
      <c r="L31" s="538" t="s">
        <v>523</v>
      </c>
      <c r="M31" s="540" t="s">
        <v>528</v>
      </c>
      <c r="N31" s="541" t="s">
        <v>524</v>
      </c>
      <c r="O31" s="539" t="s">
        <v>525</v>
      </c>
      <c r="P31" s="540" t="s">
        <v>526</v>
      </c>
    </row>
    <row r="32" spans="1:16">
      <c r="A32" s="736"/>
      <c r="B32" s="566" t="s">
        <v>10</v>
      </c>
      <c r="C32" s="555">
        <v>0.4</v>
      </c>
      <c r="D32" s="555">
        <v>0.4</v>
      </c>
      <c r="E32" s="555" t="s">
        <v>100</v>
      </c>
      <c r="F32" s="555">
        <v>0.4</v>
      </c>
      <c r="G32" s="555">
        <v>0.35</v>
      </c>
      <c r="H32" s="555" t="s">
        <v>100</v>
      </c>
      <c r="I32" s="555">
        <v>0.4</v>
      </c>
      <c r="J32" s="555">
        <v>0.35</v>
      </c>
      <c r="K32" s="556" t="s">
        <v>100</v>
      </c>
      <c r="L32" s="527">
        <f>IF('Prescriptive Path'!$K$1=4,Baseline!D32,IF('Prescriptive Path'!$K$1=5,Baseline!G32,Baseline!J32))</f>
        <v>0.4</v>
      </c>
      <c r="M32" s="525">
        <v>39.25</v>
      </c>
      <c r="N32" s="536"/>
      <c r="O32" s="532"/>
      <c r="P32" s="533"/>
    </row>
    <row r="33" spans="1:16">
      <c r="A33" s="736"/>
      <c r="B33" s="568" t="s">
        <v>49</v>
      </c>
      <c r="C33" s="528">
        <v>0.4</v>
      </c>
      <c r="D33" s="528">
        <v>0.5</v>
      </c>
      <c r="E33" s="528" t="s">
        <v>210</v>
      </c>
      <c r="F33" s="528">
        <v>0.4</v>
      </c>
      <c r="G33" s="528">
        <v>0.45</v>
      </c>
      <c r="H33" s="528" t="s">
        <v>213</v>
      </c>
      <c r="I33" s="528">
        <v>0.4</v>
      </c>
      <c r="J33" s="528">
        <v>0.45</v>
      </c>
      <c r="K33" s="513" t="s">
        <v>213</v>
      </c>
      <c r="L33" s="646">
        <f>IF('Prescriptive Path'!$K$1=4,Baseline!D33,IF('Prescriptive Path'!$K$1=5,Baseline!G33,Baseline!J33))</f>
        <v>0.5</v>
      </c>
      <c r="M33" s="647">
        <v>19.21</v>
      </c>
      <c r="N33" s="536"/>
      <c r="O33" s="532"/>
      <c r="P33" s="533"/>
    </row>
    <row r="34" spans="1:16">
      <c r="A34" s="736"/>
      <c r="B34" s="511" t="s">
        <v>11</v>
      </c>
      <c r="C34" s="293">
        <v>0.4</v>
      </c>
      <c r="D34" s="293">
        <v>0.85</v>
      </c>
      <c r="E34" s="293" t="s">
        <v>102</v>
      </c>
      <c r="F34" s="293">
        <v>0.4</v>
      </c>
      <c r="G34" s="293">
        <v>0.8</v>
      </c>
      <c r="H34" s="293" t="s">
        <v>103</v>
      </c>
      <c r="I34" s="293">
        <v>0.4</v>
      </c>
      <c r="J34" s="293">
        <v>0.8</v>
      </c>
      <c r="K34" s="508" t="s">
        <v>103</v>
      </c>
      <c r="L34" s="527">
        <f>IF('Prescriptive Path'!$K$1=4,Baseline!D34,IF('Prescriptive Path'!$K$1=5,Baseline!G34,Baseline!J34))</f>
        <v>0.85</v>
      </c>
      <c r="M34" s="533"/>
      <c r="N34" s="536"/>
      <c r="O34" s="532"/>
      <c r="P34" s="533"/>
    </row>
    <row r="35" spans="1:16" ht="15.75" thickBot="1">
      <c r="A35" s="737"/>
      <c r="B35" s="569" t="s">
        <v>12</v>
      </c>
      <c r="C35" s="526">
        <v>0.4</v>
      </c>
      <c r="D35" s="526">
        <v>0.55000000000000004</v>
      </c>
      <c r="E35" s="526" t="s">
        <v>211</v>
      </c>
      <c r="F35" s="526">
        <v>0.4</v>
      </c>
      <c r="G35" s="526">
        <v>0.55000000000000004</v>
      </c>
      <c r="H35" s="526" t="s">
        <v>211</v>
      </c>
      <c r="I35" s="526">
        <v>0.4</v>
      </c>
      <c r="J35" s="526">
        <v>0.55000000000000004</v>
      </c>
      <c r="K35" s="636" t="s">
        <v>211</v>
      </c>
      <c r="L35" s="648">
        <f>IF('Prescriptive Path'!$K$1=4,Baseline!D35,IF('Prescriptive Path'!$K$1=5,Baseline!G35,Baseline!J35))</f>
        <v>0.55000000000000004</v>
      </c>
      <c r="M35" s="649">
        <v>19.21</v>
      </c>
      <c r="N35" s="536"/>
      <c r="O35" s="532"/>
      <c r="P35" s="533"/>
    </row>
    <row r="36" spans="1:16" ht="15.75" thickBot="1">
      <c r="A36" s="682" t="s">
        <v>555</v>
      </c>
      <c r="B36" s="677" t="s">
        <v>550</v>
      </c>
      <c r="C36" s="672"/>
      <c r="D36" s="672"/>
      <c r="E36" s="672"/>
      <c r="F36" s="672"/>
      <c r="G36" s="672"/>
      <c r="H36" s="672"/>
      <c r="I36" s="672"/>
      <c r="J36" s="672"/>
      <c r="K36" s="681"/>
      <c r="L36" s="683"/>
      <c r="M36" s="649">
        <v>0</v>
      </c>
      <c r="N36" s="678"/>
      <c r="O36" s="679"/>
      <c r="P36" s="680"/>
    </row>
    <row r="37" spans="1:16" ht="60.75" thickBot="1">
      <c r="A37" s="2350" t="s">
        <v>88</v>
      </c>
      <c r="B37" s="567"/>
      <c r="C37" s="553" t="s">
        <v>543</v>
      </c>
      <c r="D37" s="553" t="s">
        <v>105</v>
      </c>
      <c r="E37" s="553" t="s">
        <v>94</v>
      </c>
      <c r="F37" s="557" t="s">
        <v>543</v>
      </c>
      <c r="G37" s="553" t="s">
        <v>105</v>
      </c>
      <c r="H37" s="553" t="s">
        <v>94</v>
      </c>
      <c r="I37" s="557" t="s">
        <v>543</v>
      </c>
      <c r="J37" s="553" t="s">
        <v>105</v>
      </c>
      <c r="K37" s="558" t="s">
        <v>94</v>
      </c>
      <c r="L37" s="538" t="s">
        <v>523</v>
      </c>
      <c r="M37" s="540" t="s">
        <v>528</v>
      </c>
      <c r="N37" s="541" t="s">
        <v>524</v>
      </c>
      <c r="O37" s="539" t="s">
        <v>525</v>
      </c>
      <c r="P37" s="540" t="s">
        <v>526</v>
      </c>
    </row>
    <row r="38" spans="1:16" ht="30.75" customHeight="1">
      <c r="A38" s="2351"/>
      <c r="B38" s="570" t="s">
        <v>338</v>
      </c>
      <c r="C38" s="550"/>
      <c r="D38" s="551">
        <f>12*0.875</f>
        <v>10.5</v>
      </c>
      <c r="E38" s="528" t="s">
        <v>286</v>
      </c>
      <c r="F38" s="550"/>
      <c r="G38" s="551">
        <f>12*0.875</f>
        <v>10.5</v>
      </c>
      <c r="H38" s="528" t="s">
        <v>286</v>
      </c>
      <c r="I38" s="550"/>
      <c r="J38" s="551">
        <f>12*0.875</f>
        <v>10.5</v>
      </c>
      <c r="K38" s="552" t="s">
        <v>286</v>
      </c>
      <c r="L38" s="527">
        <f>IF('Prescriptive Path'!$K$1=4,Baseline!D38,IF('Prescriptive Path'!$K$1=5,Baseline!G38,Baseline!J38))</f>
        <v>10.5</v>
      </c>
      <c r="M38" s="650">
        <f>Proposed!U38-16.54</f>
        <v>899</v>
      </c>
      <c r="N38" s="536"/>
      <c r="O38" s="532"/>
      <c r="P38" s="533"/>
    </row>
    <row r="39" spans="1:16" ht="30.75" customHeight="1">
      <c r="A39" s="2351"/>
      <c r="B39" s="571" t="s">
        <v>359</v>
      </c>
      <c r="C39" s="532"/>
      <c r="D39" s="294">
        <f>13*0.875</f>
        <v>11.375</v>
      </c>
      <c r="E39" s="293" t="s">
        <v>286</v>
      </c>
      <c r="F39" s="532"/>
      <c r="G39" s="294">
        <f>13*0.875</f>
        <v>11.375</v>
      </c>
      <c r="H39" s="293" t="s">
        <v>286</v>
      </c>
      <c r="I39" s="532"/>
      <c r="J39" s="294">
        <f>13*0.875</f>
        <v>11.375</v>
      </c>
      <c r="K39" s="296" t="s">
        <v>286</v>
      </c>
      <c r="L39" s="527">
        <f>IF('Prescriptive Path'!$K$1=4,Baseline!D39,IF('Prescriptive Path'!$K$1=5,Baseline!G39,Baseline!J39))</f>
        <v>11.375</v>
      </c>
      <c r="M39" s="650">
        <f>Proposed!U39-80</f>
        <v>2247.94</v>
      </c>
      <c r="N39" s="536"/>
      <c r="O39" s="532"/>
      <c r="P39" s="533"/>
    </row>
    <row r="40" spans="1:16" ht="30.75" customHeight="1">
      <c r="A40" s="2351"/>
      <c r="B40" s="572" t="s">
        <v>360</v>
      </c>
      <c r="C40" s="532"/>
      <c r="D40" s="294">
        <f>13*0.875</f>
        <v>11.375</v>
      </c>
      <c r="E40" s="293" t="s">
        <v>286</v>
      </c>
      <c r="F40" s="532"/>
      <c r="G40" s="294">
        <f>13*0.875</f>
        <v>11.375</v>
      </c>
      <c r="H40" s="293" t="s">
        <v>286</v>
      </c>
      <c r="I40" s="532"/>
      <c r="J40" s="294">
        <f>13*0.875</f>
        <v>11.375</v>
      </c>
      <c r="K40" s="296" t="s">
        <v>286</v>
      </c>
      <c r="L40" s="527">
        <f>IF('Prescriptive Path'!$K$1=4,Baseline!D40,IF('Prescriptive Path'!$K$1=5,Baseline!G40,Baseline!J40))</f>
        <v>11.375</v>
      </c>
      <c r="M40" s="650">
        <f>Proposed!U40-155</f>
        <v>2172.94</v>
      </c>
      <c r="N40" s="536"/>
      <c r="O40" s="532"/>
      <c r="P40" s="533"/>
    </row>
    <row r="41" spans="1:16" ht="30.75" customHeight="1">
      <c r="A41" s="2351"/>
      <c r="B41" s="560" t="s">
        <v>361</v>
      </c>
      <c r="C41" s="532"/>
      <c r="D41" s="293">
        <v>11</v>
      </c>
      <c r="E41" s="293" t="s">
        <v>217</v>
      </c>
      <c r="F41" s="532"/>
      <c r="G41" s="507">
        <v>11</v>
      </c>
      <c r="H41" s="293" t="s">
        <v>217</v>
      </c>
      <c r="I41" s="532"/>
      <c r="J41" s="507">
        <v>11</v>
      </c>
      <c r="K41" s="296" t="s">
        <v>217</v>
      </c>
      <c r="L41" s="527">
        <f>IF('Prescriptive Path'!$K$1=4,Baseline!D41,IF('Prescriptive Path'!$K$1=5,Baseline!G41,Baseline!J41))</f>
        <v>11</v>
      </c>
      <c r="M41" s="650">
        <f>Proposed!U41-30</f>
        <v>2297.94</v>
      </c>
      <c r="N41" s="536"/>
      <c r="O41" s="532"/>
      <c r="P41" s="533"/>
    </row>
    <row r="42" spans="1:16" ht="30.75" customHeight="1">
      <c r="A42" s="2351"/>
      <c r="B42" s="560" t="s">
        <v>362</v>
      </c>
      <c r="C42" s="532"/>
      <c r="D42" s="293">
        <v>10.8</v>
      </c>
      <c r="E42" s="293" t="s">
        <v>464</v>
      </c>
      <c r="F42" s="532"/>
      <c r="G42" s="507">
        <v>10.8</v>
      </c>
      <c r="H42" s="293" t="s">
        <v>464</v>
      </c>
      <c r="I42" s="532"/>
      <c r="J42" s="507">
        <v>10.8</v>
      </c>
      <c r="K42" s="296" t="s">
        <v>464</v>
      </c>
      <c r="L42" s="527">
        <f>IF('Prescriptive Path'!$K$1=4,Baseline!D42,IF('Prescriptive Path'!$K$1=5,Baseline!G42,Baseline!J42))</f>
        <v>10.8</v>
      </c>
      <c r="M42" s="650">
        <f>Proposed!U42-27.4</f>
        <v>2300.54</v>
      </c>
      <c r="N42" s="536"/>
      <c r="O42" s="532"/>
      <c r="P42" s="533"/>
    </row>
    <row r="43" spans="1:16" ht="30.75" customHeight="1">
      <c r="A43" s="2351"/>
      <c r="B43" s="560" t="s">
        <v>363</v>
      </c>
      <c r="C43" s="532"/>
      <c r="D43" s="293">
        <v>9.8000000000000007</v>
      </c>
      <c r="E43" s="293" t="s">
        <v>465</v>
      </c>
      <c r="F43" s="532"/>
      <c r="G43" s="507">
        <v>9.8000000000000007</v>
      </c>
      <c r="H43" s="293" t="s">
        <v>465</v>
      </c>
      <c r="I43" s="532"/>
      <c r="J43" s="507">
        <v>9.8000000000000007</v>
      </c>
      <c r="K43" s="296" t="s">
        <v>465</v>
      </c>
      <c r="L43" s="527">
        <f>IF('Prescriptive Path'!$K$1=4,Baseline!D43,IF('Prescriptive Path'!$K$1=5,Baseline!G43,Baseline!J43))</f>
        <v>9.8000000000000007</v>
      </c>
      <c r="M43" s="650">
        <f>Proposed!U43-185</f>
        <v>2142.94</v>
      </c>
      <c r="N43" s="536"/>
      <c r="O43" s="532"/>
      <c r="P43" s="533"/>
    </row>
    <row r="44" spans="1:16" ht="30.75" customHeight="1">
      <c r="A44" s="2351"/>
      <c r="B44" s="675" t="s">
        <v>42</v>
      </c>
      <c r="C44" s="532"/>
      <c r="D44" s="532"/>
      <c r="E44" s="506" t="s">
        <v>544</v>
      </c>
      <c r="F44" s="532"/>
      <c r="G44" s="532"/>
      <c r="H44" s="506" t="s">
        <v>544</v>
      </c>
      <c r="I44" s="532"/>
      <c r="J44" s="532"/>
      <c r="K44" s="506" t="s">
        <v>544</v>
      </c>
      <c r="L44" s="527">
        <f>IF('Prescriptive Path'!$K$1=4,Baseline!D44,IF('Prescriptive Path'!$K$1=5,Baseline!G44,Baseline!J44))</f>
        <v>0</v>
      </c>
      <c r="M44" s="650">
        <v>0</v>
      </c>
      <c r="N44" s="536"/>
      <c r="O44" s="532"/>
      <c r="P44" s="533"/>
    </row>
    <row r="45" spans="1:16" ht="30.75" customHeight="1">
      <c r="A45" s="2351"/>
      <c r="B45" s="560" t="s">
        <v>341</v>
      </c>
      <c r="C45" s="532"/>
      <c r="D45" s="293">
        <v>0.78</v>
      </c>
      <c r="E45" s="293" t="s">
        <v>4</v>
      </c>
      <c r="F45" s="532"/>
      <c r="G45" s="507">
        <v>0.78</v>
      </c>
      <c r="H45" s="293" t="s">
        <v>4</v>
      </c>
      <c r="I45" s="532"/>
      <c r="J45" s="507">
        <v>0.78</v>
      </c>
      <c r="K45" s="295" t="s">
        <v>4</v>
      </c>
      <c r="L45" s="527">
        <f>IF('Prescriptive Path'!$K$1=4,Baseline!D45,IF('Prescriptive Path'!$K$1=5,Baseline!G45,Baseline!J45))</f>
        <v>0.78</v>
      </c>
      <c r="M45" s="650">
        <f>Proposed!U45-5518.14</f>
        <v>27251.559999999998</v>
      </c>
      <c r="N45" s="536"/>
      <c r="O45" s="532"/>
      <c r="P45" s="533"/>
    </row>
    <row r="46" spans="1:16" ht="30.75" customHeight="1">
      <c r="A46" s="2351"/>
      <c r="B46" s="560" t="s">
        <v>342</v>
      </c>
      <c r="C46" s="532"/>
      <c r="D46" s="293">
        <v>0.78</v>
      </c>
      <c r="E46" s="293" t="s">
        <v>4</v>
      </c>
      <c r="F46" s="532"/>
      <c r="G46" s="507">
        <v>0.78</v>
      </c>
      <c r="H46" s="293" t="s">
        <v>4</v>
      </c>
      <c r="I46" s="532"/>
      <c r="J46" s="507">
        <v>0.78</v>
      </c>
      <c r="K46" s="295" t="s">
        <v>4</v>
      </c>
      <c r="L46" s="527">
        <f>IF('Prescriptive Path'!$K$1=4,Baseline!D46,IF('Prescriptive Path'!$K$1=5,Baseline!G46,Baseline!J46))</f>
        <v>0.78</v>
      </c>
      <c r="M46" s="650">
        <f>Proposed!U46-5518.14</f>
        <v>41327.340000000004</v>
      </c>
      <c r="N46" s="536"/>
      <c r="O46" s="532"/>
      <c r="P46" s="533"/>
    </row>
    <row r="47" spans="1:16" ht="30.75" customHeight="1">
      <c r="A47" s="2351"/>
      <c r="B47" s="560" t="s">
        <v>343</v>
      </c>
      <c r="C47" s="532"/>
      <c r="D47" s="293">
        <v>0.8</v>
      </c>
      <c r="E47" s="293" t="s">
        <v>218</v>
      </c>
      <c r="F47" s="532"/>
      <c r="G47" s="507">
        <v>0.8</v>
      </c>
      <c r="H47" s="293" t="s">
        <v>218</v>
      </c>
      <c r="I47" s="532"/>
      <c r="J47" s="507">
        <v>0.8</v>
      </c>
      <c r="K47" s="295" t="s">
        <v>218</v>
      </c>
      <c r="L47" s="527">
        <f>IF('Prescriptive Path'!$K$1=4,Baseline!D47,IF('Prescriptive Path'!$K$1=5,Baseline!G47,Baseline!J47))</f>
        <v>0.8</v>
      </c>
      <c r="M47" s="650">
        <f>Proposed!U47-1264.99</f>
        <v>48893.01</v>
      </c>
      <c r="N47" s="536"/>
      <c r="O47" s="532"/>
      <c r="P47" s="533"/>
    </row>
    <row r="48" spans="1:16" ht="30.75" customHeight="1">
      <c r="A48" s="2351"/>
      <c r="B48" s="676" t="s">
        <v>347</v>
      </c>
      <c r="C48" s="509">
        <f>ROUND(D48/0.875,1)</f>
        <v>12.6</v>
      </c>
      <c r="D48" s="668">
        <f>ROUND(IF('Prescriptive Path'!H59*12000&lt;7000,12.5-(0.213*(7000/1000)),IF('Prescriptive Path'!H59*12000&gt;15000,12.5-(0.213*(15000/1000)),12.5-(0.213*('Prescriptive Path'!H59*12000/1000)))),1)</f>
        <v>11</v>
      </c>
      <c r="E48" s="506" t="s">
        <v>466</v>
      </c>
      <c r="F48" s="509">
        <f>ROUND(G48/0.875,1)</f>
        <v>12.6</v>
      </c>
      <c r="G48" s="668">
        <f>IF('Prescriptive Path'!H59*12000&lt;7000,12.5-(0.213*(7000/1000)),IF('Prescriptive Path'!H59*12000&gt;15000,12.5-(0.213*(15000/1000)),12.5-(0.213*('Prescriptive Path'!H59*12000/1000))))</f>
        <v>11.009</v>
      </c>
      <c r="H48" s="506" t="s">
        <v>466</v>
      </c>
      <c r="I48" s="509">
        <f>ROUND(J48/0.875,1)</f>
        <v>12.6</v>
      </c>
      <c r="J48" s="668">
        <f>IF('Prescriptive Path'!H59*12000&lt;7000,12.5-(0.213*(7000/1000)),IF('Prescriptive Path'!H59*12000&gt;15000,12.5-(0.213*(15000/1000)),12.5-(0.213*('Prescriptive Path'!H59*12000/1000))))</f>
        <v>11.009</v>
      </c>
      <c r="K48" s="545" t="s">
        <v>466</v>
      </c>
      <c r="L48" s="547"/>
      <c r="M48" s="650">
        <f>Proposed!U48-234</f>
        <v>1138.27</v>
      </c>
      <c r="N48" s="536"/>
      <c r="O48" s="532"/>
      <c r="P48" s="533"/>
    </row>
    <row r="49" spans="1:18" ht="30">
      <c r="A49" s="2351"/>
      <c r="B49" s="676" t="s">
        <v>348</v>
      </c>
      <c r="C49" s="1247">
        <f>IF('Prescriptive Path'!H61*12000&lt;7000,3.2-(0.026*(7000/1000)),IF('Prescriptive Path'!H61*12000&gt;15000,3.2-(0.026*(15000/1000)),3.2-(0.026*('Prescriptive Path'!H61*12000/1000))))</f>
        <v>3.0180000000000002</v>
      </c>
      <c r="D49" s="668">
        <f>IF('Prescriptive Path'!H61*12000&lt;7000,12.3-(0.213*(7000/1000)),IF('Prescriptive Path'!H61*12000&gt;15000,12.3-(0.213*(15000/1000)),12.3-(0.213*('Prescriptive Path'!H61*12000/1000))))</f>
        <v>10.809000000000001</v>
      </c>
      <c r="E49" s="506" t="s">
        <v>467</v>
      </c>
      <c r="F49" s="1247">
        <f>IF('Prescriptive Path'!H61*12000&lt;7000,3.2-(0.026*(7000/1000)),IF('Prescriptive Path'!H61*12000&gt;15000,3.2-(0.026*(15000/1000)),3.2-(0.026*('Prescriptive Path'!H61*12000/1000))))</f>
        <v>3.0180000000000002</v>
      </c>
      <c r="G49" s="668">
        <f>IF('Prescriptive Path'!H61*12000&lt;7000,12.3-(0.213*(7000/1000)),IF('Prescriptive Path'!H61*12000&gt;15000,12.3-(0.213*(15000/1000)),12.3-(0.213*('Prescriptive Path'!H61*12000/1000))))</f>
        <v>10.809000000000001</v>
      </c>
      <c r="H49" s="506" t="s">
        <v>467</v>
      </c>
      <c r="I49" s="1247">
        <f>IF('Prescriptive Path'!H61*12000&lt;7000,3.2-(0.026*(7000/1000)),IF('Prescriptive Path'!H61*12000&gt;15000,3.2-(0.026*(15000/1000)),3.2-(0.026*('Prescriptive Path'!H61*12000/1000))))</f>
        <v>3.0180000000000002</v>
      </c>
      <c r="J49" s="668">
        <f>IF('Prescriptive Path'!H61*12000&lt;7000,12.3-(0.213*(7000/1000)),IF('Prescriptive Path'!H61*12000&gt;15000,12.3-(0.213*(15000/1000)),12.3-(0.213*('Prescriptive Path'!H61*12000/1000))))</f>
        <v>10.809000000000001</v>
      </c>
      <c r="K49" s="545" t="s">
        <v>467</v>
      </c>
      <c r="L49" s="548"/>
      <c r="M49" s="650">
        <f>Proposed!U49-145</f>
        <v>1683</v>
      </c>
      <c r="N49" s="536"/>
      <c r="O49" s="532"/>
      <c r="P49" s="533"/>
    </row>
    <row r="50" spans="1:18" ht="30.75" customHeight="1">
      <c r="A50" s="2351"/>
      <c r="B50" s="560" t="s">
        <v>349</v>
      </c>
      <c r="C50" s="1249">
        <f>7.7/3.412</f>
        <v>2.2567409144196953</v>
      </c>
      <c r="D50" s="1249">
        <f>13*0.875</f>
        <v>11.375</v>
      </c>
      <c r="E50" s="506" t="s">
        <v>220</v>
      </c>
      <c r="F50" s="49">
        <f>7.7/3.412</f>
        <v>2.2567409144196953</v>
      </c>
      <c r="G50" s="1249">
        <f>13*0.875</f>
        <v>11.375</v>
      </c>
      <c r="H50" s="506" t="s">
        <v>220</v>
      </c>
      <c r="I50" s="49">
        <f>7.7/3.412</f>
        <v>2.2567409144196953</v>
      </c>
      <c r="J50" s="1249">
        <f>13*0.875</f>
        <v>11.375</v>
      </c>
      <c r="K50" s="545" t="s">
        <v>220</v>
      </c>
      <c r="L50" s="548"/>
      <c r="M50" s="650">
        <f>Proposed!U50-1682.25</f>
        <v>358.02</v>
      </c>
      <c r="N50" s="536"/>
      <c r="O50" s="532"/>
      <c r="P50" s="533"/>
    </row>
    <row r="51" spans="1:18" ht="30.75" customHeight="1">
      <c r="A51" s="2351"/>
      <c r="B51" s="560" t="s">
        <v>365</v>
      </c>
      <c r="C51" s="293">
        <v>3.3</v>
      </c>
      <c r="D51" s="293">
        <v>10.8</v>
      </c>
      <c r="E51" s="506" t="s">
        <v>468</v>
      </c>
      <c r="F51" s="507">
        <v>3.3</v>
      </c>
      <c r="G51" s="507">
        <v>10.8</v>
      </c>
      <c r="H51" s="506" t="s">
        <v>468</v>
      </c>
      <c r="I51" s="507">
        <v>3.3</v>
      </c>
      <c r="J51" s="507">
        <v>10.8</v>
      </c>
      <c r="K51" s="545" t="s">
        <v>468</v>
      </c>
      <c r="L51" s="548"/>
      <c r="M51" s="650">
        <f>Proposed!U51-1733.3</f>
        <v>306.97000000000003</v>
      </c>
      <c r="N51" s="536"/>
      <c r="O51" s="532"/>
      <c r="P51" s="533"/>
    </row>
    <row r="52" spans="1:18" ht="30.75" customHeight="1">
      <c r="A52" s="2351"/>
      <c r="B52" s="560" t="s">
        <v>366</v>
      </c>
      <c r="C52" s="293">
        <v>3.2</v>
      </c>
      <c r="D52" s="293">
        <v>10.4</v>
      </c>
      <c r="E52" s="506" t="s">
        <v>469</v>
      </c>
      <c r="F52" s="507">
        <v>3.2</v>
      </c>
      <c r="G52" s="507">
        <v>10.4</v>
      </c>
      <c r="H52" s="506" t="s">
        <v>469</v>
      </c>
      <c r="I52" s="507">
        <v>3.2</v>
      </c>
      <c r="J52" s="507">
        <v>10.4</v>
      </c>
      <c r="K52" s="545" t="s">
        <v>469</v>
      </c>
      <c r="L52" s="548"/>
      <c r="M52" s="650">
        <f>Proposed!U52-85</f>
        <v>1955.27</v>
      </c>
      <c r="N52" s="536"/>
      <c r="O52" s="532"/>
      <c r="P52" s="533"/>
    </row>
    <row r="53" spans="1:18" ht="30.75" customHeight="1">
      <c r="A53" s="2351"/>
      <c r="B53" s="560" t="s">
        <v>350</v>
      </c>
      <c r="C53" s="293">
        <v>3.2</v>
      </c>
      <c r="D53" s="294">
        <v>9.3000000000000007</v>
      </c>
      <c r="E53" s="506" t="s">
        <v>470</v>
      </c>
      <c r="F53" s="507">
        <v>3.2</v>
      </c>
      <c r="G53" s="294">
        <v>9.3000000000000007</v>
      </c>
      <c r="H53" s="506" t="s">
        <v>470</v>
      </c>
      <c r="I53" s="507">
        <v>3.2</v>
      </c>
      <c r="J53" s="294">
        <v>9.3000000000000007</v>
      </c>
      <c r="K53" s="545" t="s">
        <v>470</v>
      </c>
      <c r="L53" s="548"/>
      <c r="M53" s="650">
        <f>Proposed!U53-727.51</f>
        <v>1312.76</v>
      </c>
      <c r="N53" s="536"/>
      <c r="O53" s="532"/>
      <c r="P53" s="533"/>
    </row>
    <row r="54" spans="1:18" ht="30.75" customHeight="1">
      <c r="A54" s="2351"/>
      <c r="B54" s="560" t="s">
        <v>353</v>
      </c>
      <c r="C54" s="293">
        <v>4.2</v>
      </c>
      <c r="D54" s="293">
        <v>12</v>
      </c>
      <c r="E54" s="506" t="s">
        <v>221</v>
      </c>
      <c r="F54" s="507">
        <v>4.2</v>
      </c>
      <c r="G54" s="507">
        <v>12</v>
      </c>
      <c r="H54" s="506" t="s">
        <v>221</v>
      </c>
      <c r="I54" s="507">
        <v>4.2</v>
      </c>
      <c r="J54" s="507">
        <v>12</v>
      </c>
      <c r="K54" s="545" t="s">
        <v>221</v>
      </c>
      <c r="L54" s="548"/>
      <c r="M54" s="650">
        <f>Proposed!U54-862.8</f>
        <v>1653.2100000000003</v>
      </c>
      <c r="N54" s="536"/>
      <c r="O54" s="532"/>
      <c r="P54" s="533"/>
    </row>
    <row r="55" spans="1:18" ht="30.75" customHeight="1">
      <c r="A55" s="2351"/>
      <c r="B55" s="560" t="s">
        <v>355</v>
      </c>
      <c r="C55" s="537"/>
      <c r="D55" s="294">
        <v>0.8</v>
      </c>
      <c r="E55" s="290" t="s">
        <v>400</v>
      </c>
      <c r="F55" s="537"/>
      <c r="G55" s="294">
        <v>0.8</v>
      </c>
      <c r="H55" s="290" t="s">
        <v>400</v>
      </c>
      <c r="I55" s="537"/>
      <c r="J55" s="294">
        <v>0.8</v>
      </c>
      <c r="K55" s="546" t="s">
        <v>400</v>
      </c>
      <c r="L55" s="527">
        <f>IF('Prescriptive Path'!$K$1=4,Baseline!D55,IF('Prescriptive Path'!$K$1=5,Baseline!G55,Baseline!J55))</f>
        <v>0.8</v>
      </c>
      <c r="M55" s="651">
        <v>29614.560000000001</v>
      </c>
      <c r="N55" s="536"/>
      <c r="O55" s="532"/>
      <c r="P55" s="533"/>
    </row>
    <row r="56" spans="1:18" ht="30.75" customHeight="1">
      <c r="A56" s="2351"/>
      <c r="B56" s="560" t="s">
        <v>356</v>
      </c>
      <c r="C56" s="537"/>
      <c r="D56" s="294">
        <v>0.8</v>
      </c>
      <c r="E56" s="290" t="s">
        <v>33</v>
      </c>
      <c r="F56" s="537"/>
      <c r="G56" s="294">
        <v>0.8</v>
      </c>
      <c r="H56" s="290" t="s">
        <v>33</v>
      </c>
      <c r="I56" s="537"/>
      <c r="J56" s="294">
        <v>0.8</v>
      </c>
      <c r="K56" s="546" t="s">
        <v>33</v>
      </c>
      <c r="L56" s="527">
        <f>IF('Prescriptive Path'!$K$1=4,Baseline!D56,IF('Prescriptive Path'!$K$1=5,Baseline!G56,Baseline!J56))</f>
        <v>0.8</v>
      </c>
      <c r="M56" s="651">
        <v>25310.83</v>
      </c>
      <c r="N56" s="536"/>
      <c r="O56" s="532"/>
      <c r="P56" s="533"/>
      <c r="Q56" s="12" t="s">
        <v>2464</v>
      </c>
      <c r="R56" s="12" t="s">
        <v>2465</v>
      </c>
    </row>
    <row r="57" spans="1:18" ht="30.75" customHeight="1" thickBot="1">
      <c r="A57" s="2351"/>
      <c r="B57" s="561" t="s">
        <v>357</v>
      </c>
      <c r="C57" s="2110">
        <f>(3.2-0.026*MIN(15000,'Prescriptive Path'!H70*12000)/1000)</f>
        <v>3.2</v>
      </c>
      <c r="D57" s="2109">
        <f>12.3-(0.213*(MIN(15000,'Prescriptive Path'!H70*12000)/1000))</f>
        <v>12.3</v>
      </c>
      <c r="E57" s="658" t="s">
        <v>2466</v>
      </c>
      <c r="F57" s="657"/>
      <c r="G57" s="657"/>
      <c r="H57" s="658"/>
      <c r="I57" s="657"/>
      <c r="J57" s="657"/>
      <c r="K57" s="658"/>
      <c r="L57" s="549"/>
      <c r="M57" s="684"/>
      <c r="N57" s="536"/>
      <c r="O57" s="532"/>
      <c r="P57" s="533"/>
      <c r="Q57" s="12">
        <f>VLOOKUP('Prescriptive Path'!D4,ClimateZoneLookup!A4:AW65,48)</f>
        <v>0.15</v>
      </c>
      <c r="R57" s="12">
        <f>VLOOKUP('Prescriptive Path'!$D$4,ClimateZoneLookup!$A$1:$AW$65,49)</f>
        <v>0.85</v>
      </c>
    </row>
    <row r="58" spans="1:18" ht="60.75" thickBot="1">
      <c r="A58" s="2351"/>
      <c r="B58" s="594"/>
      <c r="C58" s="557" t="s">
        <v>104</v>
      </c>
      <c r="D58" s="557" t="s">
        <v>106</v>
      </c>
      <c r="E58" s="557"/>
      <c r="F58" s="557" t="s">
        <v>104</v>
      </c>
      <c r="G58" s="557" t="s">
        <v>106</v>
      </c>
      <c r="H58" s="557"/>
      <c r="I58" s="557" t="s">
        <v>104</v>
      </c>
      <c r="J58" s="557" t="s">
        <v>106</v>
      </c>
      <c r="K58" s="554"/>
      <c r="L58" s="538" t="s">
        <v>523</v>
      </c>
      <c r="M58" s="540" t="s">
        <v>528</v>
      </c>
      <c r="N58" s="541" t="s">
        <v>524</v>
      </c>
      <c r="O58" s="539" t="s">
        <v>525</v>
      </c>
      <c r="P58" s="540" t="s">
        <v>526</v>
      </c>
    </row>
    <row r="59" spans="1:18">
      <c r="A59" s="2351"/>
      <c r="B59" s="659" t="s">
        <v>2</v>
      </c>
      <c r="C59" s="528">
        <v>3.05</v>
      </c>
      <c r="D59" s="528">
        <v>2.8</v>
      </c>
      <c r="E59" s="528" t="s">
        <v>18</v>
      </c>
      <c r="F59" s="528">
        <v>3.05</v>
      </c>
      <c r="G59" s="528">
        <v>2.8</v>
      </c>
      <c r="H59" s="528" t="s">
        <v>18</v>
      </c>
      <c r="I59" s="528">
        <v>3.05</v>
      </c>
      <c r="J59" s="528">
        <v>2.8</v>
      </c>
      <c r="K59" s="513" t="s">
        <v>18</v>
      </c>
      <c r="L59" s="628"/>
      <c r="M59" s="685"/>
      <c r="N59" s="536"/>
      <c r="O59" s="532"/>
      <c r="P59" s="533"/>
    </row>
    <row r="60" spans="1:18">
      <c r="A60" s="2351"/>
      <c r="B60" s="573" t="s">
        <v>3</v>
      </c>
      <c r="C60" s="294">
        <v>3.45</v>
      </c>
      <c r="D60" s="294">
        <v>3.1</v>
      </c>
      <c r="E60" s="294" t="s">
        <v>222</v>
      </c>
      <c r="F60" s="294">
        <v>3.45</v>
      </c>
      <c r="G60" s="294">
        <v>3.1</v>
      </c>
      <c r="H60" s="294" t="s">
        <v>222</v>
      </c>
      <c r="I60" s="294">
        <v>3.45</v>
      </c>
      <c r="J60" s="294">
        <v>3.1</v>
      </c>
      <c r="K60" s="296" t="s">
        <v>222</v>
      </c>
      <c r="L60" s="549"/>
      <c r="M60" s="684"/>
      <c r="N60" s="536"/>
      <c r="O60" s="532"/>
      <c r="P60" s="533"/>
    </row>
    <row r="61" spans="1:18">
      <c r="A61" s="2351"/>
      <c r="B61" s="573" t="s">
        <v>368</v>
      </c>
      <c r="C61" s="293">
        <v>5.05</v>
      </c>
      <c r="D61" s="293">
        <v>4.2</v>
      </c>
      <c r="E61" s="293" t="s">
        <v>19</v>
      </c>
      <c r="F61" s="293">
        <v>5.05</v>
      </c>
      <c r="G61" s="293">
        <v>4.2</v>
      </c>
      <c r="H61" s="293" t="s">
        <v>19</v>
      </c>
      <c r="I61" s="293">
        <v>5.05</v>
      </c>
      <c r="J61" s="293">
        <v>4.2</v>
      </c>
      <c r="K61" s="295" t="s">
        <v>19</v>
      </c>
      <c r="L61" s="549"/>
      <c r="M61" s="684"/>
      <c r="N61" s="536"/>
      <c r="O61" s="532"/>
      <c r="P61" s="533"/>
    </row>
    <row r="62" spans="1:18">
      <c r="A62" s="2351"/>
      <c r="B62" s="573" t="s">
        <v>369</v>
      </c>
      <c r="C62" s="293">
        <v>5.05</v>
      </c>
      <c r="D62" s="293">
        <v>4.2</v>
      </c>
      <c r="E62" s="293" t="s">
        <v>19</v>
      </c>
      <c r="F62" s="293">
        <v>5.05</v>
      </c>
      <c r="G62" s="293">
        <v>4.9000000000000004</v>
      </c>
      <c r="H62" s="293" t="s">
        <v>19</v>
      </c>
      <c r="I62" s="293">
        <v>5.05</v>
      </c>
      <c r="J62" s="293">
        <v>4.2</v>
      </c>
      <c r="K62" s="295" t="s">
        <v>19</v>
      </c>
      <c r="L62" s="549"/>
      <c r="M62" s="684"/>
      <c r="N62" s="536"/>
      <c r="O62" s="532"/>
      <c r="P62" s="533"/>
    </row>
    <row r="63" spans="1:18">
      <c r="A63" s="2351"/>
      <c r="B63" s="573" t="s">
        <v>370</v>
      </c>
      <c r="C63" s="293">
        <v>5.6</v>
      </c>
      <c r="D63" s="293">
        <v>4.9000000000000004</v>
      </c>
      <c r="E63" s="293" t="s">
        <v>471</v>
      </c>
      <c r="F63" s="293">
        <v>5.6</v>
      </c>
      <c r="G63" s="293">
        <v>5.5</v>
      </c>
      <c r="H63" s="293" t="s">
        <v>20</v>
      </c>
      <c r="I63" s="293">
        <v>5.6</v>
      </c>
      <c r="J63" s="293">
        <v>4.9000000000000004</v>
      </c>
      <c r="K63" s="295" t="s">
        <v>471</v>
      </c>
      <c r="L63" s="549"/>
      <c r="M63" s="684"/>
      <c r="N63" s="536"/>
      <c r="O63" s="532"/>
      <c r="P63" s="533"/>
    </row>
    <row r="64" spans="1:18">
      <c r="A64" s="2351"/>
      <c r="B64" s="573" t="s">
        <v>371</v>
      </c>
      <c r="C64" s="293">
        <v>6.15</v>
      </c>
      <c r="D64" s="293">
        <v>5.5</v>
      </c>
      <c r="E64" s="293" t="s">
        <v>472</v>
      </c>
      <c r="F64" s="293">
        <v>6.15</v>
      </c>
      <c r="G64" s="293">
        <v>4.2</v>
      </c>
      <c r="H64" s="293" t="s">
        <v>21</v>
      </c>
      <c r="I64" s="293">
        <v>6.15</v>
      </c>
      <c r="J64" s="293">
        <v>5.5</v>
      </c>
      <c r="K64" s="295" t="s">
        <v>472</v>
      </c>
      <c r="L64" s="549"/>
      <c r="M64" s="684"/>
      <c r="N64" s="536"/>
      <c r="O64" s="532"/>
      <c r="P64" s="533"/>
    </row>
    <row r="65" spans="1:16">
      <c r="A65" s="2351"/>
      <c r="B65" s="573" t="s">
        <v>393</v>
      </c>
      <c r="C65" s="293">
        <v>5.25</v>
      </c>
      <c r="D65" s="293">
        <v>5</v>
      </c>
      <c r="E65" s="293" t="s">
        <v>22</v>
      </c>
      <c r="F65" s="293">
        <v>5.25</v>
      </c>
      <c r="G65" s="293">
        <v>5</v>
      </c>
      <c r="H65" s="294" t="s">
        <v>22</v>
      </c>
      <c r="I65" s="293">
        <v>5.25</v>
      </c>
      <c r="J65" s="293">
        <v>5</v>
      </c>
      <c r="K65" s="295" t="s">
        <v>22</v>
      </c>
      <c r="L65" s="549"/>
      <c r="M65" s="684"/>
      <c r="N65" s="536"/>
      <c r="O65" s="532"/>
      <c r="P65" s="533"/>
    </row>
    <row r="66" spans="1:16">
      <c r="A66" s="2351"/>
      <c r="B66" s="573" t="s">
        <v>394</v>
      </c>
      <c r="C66" s="293">
        <v>5.9</v>
      </c>
      <c r="D66" s="293">
        <v>5.55</v>
      </c>
      <c r="E66" s="293" t="s">
        <v>23</v>
      </c>
      <c r="F66" s="293">
        <v>5.9</v>
      </c>
      <c r="G66" s="293">
        <v>5.55</v>
      </c>
      <c r="H66" s="294" t="s">
        <v>23</v>
      </c>
      <c r="I66" s="293">
        <v>5.9</v>
      </c>
      <c r="J66" s="293">
        <v>5.55</v>
      </c>
      <c r="K66" s="295" t="s">
        <v>23</v>
      </c>
      <c r="L66" s="549"/>
      <c r="M66" s="684"/>
      <c r="N66" s="536"/>
      <c r="O66" s="532"/>
      <c r="P66" s="533"/>
    </row>
    <row r="67" spans="1:16">
      <c r="A67" s="2351"/>
      <c r="B67" s="573" t="s">
        <v>372</v>
      </c>
      <c r="C67" s="293">
        <v>6.4</v>
      </c>
      <c r="D67" s="49">
        <v>6.1</v>
      </c>
      <c r="E67" s="293" t="s">
        <v>24</v>
      </c>
      <c r="F67" s="293">
        <v>5.9</v>
      </c>
      <c r="G67" s="293">
        <v>5.55</v>
      </c>
      <c r="H67" s="294" t="s">
        <v>23</v>
      </c>
      <c r="I67" s="293">
        <v>5.9</v>
      </c>
      <c r="J67" s="293">
        <v>5.55</v>
      </c>
      <c r="K67" s="295" t="s">
        <v>23</v>
      </c>
      <c r="L67" s="549"/>
      <c r="M67" s="684"/>
      <c r="N67" s="536"/>
      <c r="O67" s="532"/>
      <c r="P67" s="533"/>
    </row>
    <row r="68" spans="1:16">
      <c r="A68" s="2351"/>
      <c r="B68" s="573" t="s">
        <v>373</v>
      </c>
      <c r="C68" s="293">
        <v>6.4</v>
      </c>
      <c r="D68" s="49">
        <v>6.1</v>
      </c>
      <c r="E68" s="293" t="s">
        <v>24</v>
      </c>
      <c r="F68" s="293">
        <v>6.4</v>
      </c>
      <c r="G68" s="293">
        <v>6.1</v>
      </c>
      <c r="H68" s="293" t="s">
        <v>24</v>
      </c>
      <c r="I68" s="293">
        <v>6.4</v>
      </c>
      <c r="J68" s="293">
        <v>6.1</v>
      </c>
      <c r="K68" s="295" t="s">
        <v>24</v>
      </c>
      <c r="L68" s="549"/>
      <c r="M68" s="684"/>
      <c r="N68" s="536"/>
      <c r="O68" s="532"/>
      <c r="P68" s="533"/>
    </row>
    <row r="69" spans="1:16">
      <c r="A69" s="2351"/>
      <c r="B69" s="573" t="s">
        <v>374</v>
      </c>
      <c r="C69" s="532"/>
      <c r="D69" s="293">
        <v>0.6</v>
      </c>
      <c r="E69" s="293" t="s">
        <v>25</v>
      </c>
      <c r="F69" s="532"/>
      <c r="G69" s="293">
        <v>0.6</v>
      </c>
      <c r="H69" s="293" t="s">
        <v>25</v>
      </c>
      <c r="I69" s="532"/>
      <c r="J69" s="293">
        <v>0.6</v>
      </c>
      <c r="K69" s="295" t="s">
        <v>25</v>
      </c>
      <c r="L69" s="549"/>
      <c r="M69" s="684"/>
      <c r="N69" s="536"/>
      <c r="O69" s="532"/>
      <c r="P69" s="533"/>
    </row>
    <row r="70" spans="1:16">
      <c r="A70" s="2351"/>
      <c r="B70" s="573" t="s">
        <v>375</v>
      </c>
      <c r="C70" s="532"/>
      <c r="D70" s="293">
        <v>0.7</v>
      </c>
      <c r="E70" s="293" t="s">
        <v>28</v>
      </c>
      <c r="F70" s="532"/>
      <c r="G70" s="293">
        <v>0.7</v>
      </c>
      <c r="H70" s="293" t="s">
        <v>28</v>
      </c>
      <c r="I70" s="532"/>
      <c r="J70" s="293">
        <v>0.7</v>
      </c>
      <c r="K70" s="295" t="s">
        <v>28</v>
      </c>
      <c r="L70" s="549"/>
      <c r="M70" s="684"/>
      <c r="N70" s="536"/>
      <c r="O70" s="532"/>
      <c r="P70" s="533"/>
    </row>
    <row r="71" spans="1:16">
      <c r="A71" s="2351"/>
      <c r="B71" s="573" t="s">
        <v>376</v>
      </c>
      <c r="C71" s="293">
        <v>1.05</v>
      </c>
      <c r="D71" s="293">
        <v>1</v>
      </c>
      <c r="E71" s="293" t="s">
        <v>26</v>
      </c>
      <c r="F71" s="293">
        <v>1.05</v>
      </c>
      <c r="G71" s="293">
        <v>1</v>
      </c>
      <c r="H71" s="293" t="s">
        <v>26</v>
      </c>
      <c r="I71" s="293">
        <v>1.05</v>
      </c>
      <c r="J71" s="293">
        <v>1</v>
      </c>
      <c r="K71" s="295" t="s">
        <v>26</v>
      </c>
      <c r="L71" s="549"/>
      <c r="M71" s="684"/>
      <c r="N71" s="536"/>
      <c r="O71" s="532"/>
      <c r="P71" s="533"/>
    </row>
    <row r="72" spans="1:16" ht="15.75" customHeight="1">
      <c r="A72" s="2351"/>
      <c r="B72" s="573" t="s">
        <v>377</v>
      </c>
      <c r="C72" s="293">
        <v>1</v>
      </c>
      <c r="D72" s="293">
        <v>1</v>
      </c>
      <c r="E72" s="293" t="s">
        <v>27</v>
      </c>
      <c r="F72" s="293">
        <v>1</v>
      </c>
      <c r="G72" s="293">
        <v>1</v>
      </c>
      <c r="H72" s="293" t="s">
        <v>27</v>
      </c>
      <c r="I72" s="293">
        <v>1</v>
      </c>
      <c r="J72" s="293">
        <v>1</v>
      </c>
      <c r="K72" s="295" t="s">
        <v>27</v>
      </c>
      <c r="L72" s="549"/>
      <c r="M72" s="686"/>
      <c r="N72" s="536"/>
      <c r="O72" s="532"/>
      <c r="P72" s="533"/>
    </row>
    <row r="73" spans="1:16" ht="15.75" customHeight="1">
      <c r="A73" s="2351"/>
      <c r="B73" s="573" t="s">
        <v>378</v>
      </c>
      <c r="C73" s="532"/>
      <c r="D73" s="532"/>
      <c r="E73" s="532"/>
      <c r="F73" s="532"/>
      <c r="G73" s="532"/>
      <c r="H73" s="532"/>
      <c r="I73" s="532"/>
      <c r="J73" s="532"/>
      <c r="K73" s="667"/>
      <c r="L73" s="549"/>
      <c r="M73" s="525">
        <v>0</v>
      </c>
      <c r="N73" s="536"/>
      <c r="O73" s="532"/>
      <c r="P73" s="533"/>
    </row>
    <row r="74" spans="1:16" ht="15.75" customHeight="1">
      <c r="A74" s="2351"/>
      <c r="B74" s="573" t="s">
        <v>379</v>
      </c>
      <c r="C74" s="532"/>
      <c r="D74" s="532"/>
      <c r="E74" s="532"/>
      <c r="F74" s="532"/>
      <c r="G74" s="532"/>
      <c r="H74" s="532"/>
      <c r="I74" s="532"/>
      <c r="J74" s="532"/>
      <c r="K74" s="667"/>
      <c r="L74" s="549"/>
      <c r="M74" s="684"/>
      <c r="N74" s="536"/>
      <c r="O74" s="532"/>
      <c r="P74" s="533"/>
    </row>
    <row r="75" spans="1:16" ht="15.75" customHeight="1">
      <c r="A75" s="2351"/>
      <c r="B75" s="573" t="s">
        <v>380</v>
      </c>
      <c r="C75" s="532"/>
      <c r="D75" s="532"/>
      <c r="E75" s="532"/>
      <c r="F75" s="532"/>
      <c r="G75" s="532"/>
      <c r="H75" s="532"/>
      <c r="I75" s="532"/>
      <c r="J75" s="532"/>
      <c r="K75" s="667"/>
      <c r="L75" s="549"/>
      <c r="M75" s="684"/>
      <c r="N75" s="536"/>
      <c r="O75" s="532"/>
      <c r="P75" s="533"/>
    </row>
    <row r="76" spans="1:16">
      <c r="A76" s="2351"/>
      <c r="B76" s="573" t="s">
        <v>381</v>
      </c>
      <c r="C76" s="532"/>
      <c r="D76" s="532"/>
      <c r="E76" s="532"/>
      <c r="F76" s="532"/>
      <c r="G76" s="532"/>
      <c r="H76" s="532"/>
      <c r="I76" s="532"/>
      <c r="J76" s="532"/>
      <c r="K76" s="532"/>
      <c r="L76" s="549"/>
      <c r="M76" s="684"/>
      <c r="N76" s="536"/>
      <c r="O76" s="532"/>
      <c r="P76" s="533"/>
    </row>
    <row r="77" spans="1:16" ht="15.75" thickBot="1">
      <c r="A77" s="576" t="s">
        <v>17</v>
      </c>
      <c r="B77" s="566" t="s">
        <v>52</v>
      </c>
      <c r="C77" s="588"/>
      <c r="D77" s="588"/>
      <c r="E77" s="555" t="s">
        <v>108</v>
      </c>
      <c r="F77" s="588"/>
      <c r="G77" s="588"/>
      <c r="H77" s="555" t="s">
        <v>108</v>
      </c>
      <c r="I77" s="588"/>
      <c r="J77" s="588"/>
      <c r="K77" s="556" t="s">
        <v>108</v>
      </c>
      <c r="L77" s="627"/>
      <c r="M77" s="656"/>
      <c r="N77" s="536"/>
      <c r="O77" s="532"/>
      <c r="P77" s="533"/>
    </row>
    <row r="78" spans="1:16" ht="60.75" thickBot="1">
      <c r="A78" s="2352" t="s">
        <v>110</v>
      </c>
      <c r="B78" s="660"/>
      <c r="C78" s="2320" t="s">
        <v>545</v>
      </c>
      <c r="D78" s="2321"/>
      <c r="E78" s="2328"/>
      <c r="F78" s="2320" t="s">
        <v>545</v>
      </c>
      <c r="G78" s="2321"/>
      <c r="H78" s="2328"/>
      <c r="I78" s="2320" t="s">
        <v>545</v>
      </c>
      <c r="J78" s="2321"/>
      <c r="K78" s="2328"/>
      <c r="L78" s="538" t="s">
        <v>523</v>
      </c>
      <c r="M78" s="540" t="s">
        <v>528</v>
      </c>
      <c r="N78" s="541" t="s">
        <v>524</v>
      </c>
      <c r="O78" s="539" t="s">
        <v>525</v>
      </c>
      <c r="P78" s="540" t="s">
        <v>526</v>
      </c>
    </row>
    <row r="79" spans="1:16">
      <c r="A79" s="2353"/>
      <c r="B79" s="568" t="s">
        <v>111</v>
      </c>
      <c r="C79" s="2342">
        <v>0.6</v>
      </c>
      <c r="D79" s="2343"/>
      <c r="E79" s="2344"/>
      <c r="F79" s="2342">
        <v>0.6</v>
      </c>
      <c r="G79" s="2343"/>
      <c r="H79" s="2344"/>
      <c r="I79" s="2342">
        <v>0.6</v>
      </c>
      <c r="J79" s="2343"/>
      <c r="K79" s="2344"/>
      <c r="L79" s="639"/>
      <c r="M79" s="623"/>
      <c r="N79" s="536"/>
      <c r="O79" s="532"/>
      <c r="P79" s="533"/>
    </row>
    <row r="80" spans="1:16">
      <c r="A80" s="2353"/>
      <c r="B80" s="511" t="s">
        <v>112</v>
      </c>
      <c r="C80" s="2336">
        <v>0.5</v>
      </c>
      <c r="D80" s="2337"/>
      <c r="E80" s="2338"/>
      <c r="F80" s="2336">
        <v>0.5</v>
      </c>
      <c r="G80" s="2337"/>
      <c r="H80" s="2338"/>
      <c r="I80" s="2336">
        <v>0.5</v>
      </c>
      <c r="J80" s="2337"/>
      <c r="K80" s="2338"/>
      <c r="L80" s="641"/>
      <c r="M80" s="624"/>
      <c r="N80" s="536"/>
      <c r="O80" s="532"/>
      <c r="P80" s="533"/>
    </row>
    <row r="81" spans="1:16">
      <c r="A81" s="2353"/>
      <c r="B81" s="511" t="s">
        <v>113</v>
      </c>
      <c r="C81" s="2336">
        <v>1.3</v>
      </c>
      <c r="D81" s="2337"/>
      <c r="E81" s="2338"/>
      <c r="F81" s="2336">
        <v>1.3</v>
      </c>
      <c r="G81" s="2337"/>
      <c r="H81" s="2338"/>
      <c r="I81" s="2336">
        <v>1.3</v>
      </c>
      <c r="J81" s="2337"/>
      <c r="K81" s="2338"/>
      <c r="L81" s="641"/>
      <c r="M81" s="624"/>
      <c r="N81" s="536"/>
      <c r="O81" s="532"/>
      <c r="P81" s="533"/>
    </row>
    <row r="82" spans="1:16">
      <c r="A82" s="2353"/>
      <c r="B82" s="511" t="s">
        <v>114</v>
      </c>
      <c r="C82" s="2336">
        <v>1.5</v>
      </c>
      <c r="D82" s="2337"/>
      <c r="E82" s="2338"/>
      <c r="F82" s="2336">
        <v>1.5</v>
      </c>
      <c r="G82" s="2337"/>
      <c r="H82" s="2338"/>
      <c r="I82" s="2336">
        <v>1.5</v>
      </c>
      <c r="J82" s="2337"/>
      <c r="K82" s="2338"/>
      <c r="L82" s="641"/>
      <c r="M82" s="624"/>
      <c r="N82" s="536"/>
      <c r="O82" s="532"/>
      <c r="P82" s="533"/>
    </row>
    <row r="83" spans="1:16">
      <c r="A83" s="2353"/>
      <c r="B83" s="511" t="s">
        <v>115</v>
      </c>
      <c r="C83" s="2336">
        <v>0.8</v>
      </c>
      <c r="D83" s="2337"/>
      <c r="E83" s="2338"/>
      <c r="F83" s="2336">
        <v>0.8</v>
      </c>
      <c r="G83" s="2337"/>
      <c r="H83" s="2338"/>
      <c r="I83" s="2336">
        <v>0.8</v>
      </c>
      <c r="J83" s="2337"/>
      <c r="K83" s="2338"/>
      <c r="L83" s="641"/>
      <c r="M83" s="624"/>
      <c r="N83" s="536"/>
      <c r="O83" s="532"/>
      <c r="P83" s="533"/>
    </row>
    <row r="84" spans="1:16">
      <c r="A84" s="2353"/>
      <c r="B84" s="511" t="s">
        <v>116</v>
      </c>
      <c r="C84" s="2336">
        <v>0.3</v>
      </c>
      <c r="D84" s="2337"/>
      <c r="E84" s="2338"/>
      <c r="F84" s="2336">
        <v>0.3</v>
      </c>
      <c r="G84" s="2337"/>
      <c r="H84" s="2338"/>
      <c r="I84" s="2336">
        <v>0.3</v>
      </c>
      <c r="J84" s="2337"/>
      <c r="K84" s="2338"/>
      <c r="L84" s="641"/>
      <c r="M84" s="624"/>
      <c r="N84" s="536"/>
      <c r="O84" s="532"/>
      <c r="P84" s="533"/>
    </row>
    <row r="85" spans="1:16">
      <c r="A85" s="2353"/>
      <c r="B85" s="511" t="s">
        <v>117</v>
      </c>
      <c r="C85" s="2336">
        <v>1.3</v>
      </c>
      <c r="D85" s="2337"/>
      <c r="E85" s="2338"/>
      <c r="F85" s="2336">
        <v>1.3</v>
      </c>
      <c r="G85" s="2337"/>
      <c r="H85" s="2338"/>
      <c r="I85" s="2336">
        <v>1.3</v>
      </c>
      <c r="J85" s="2337"/>
      <c r="K85" s="2338"/>
      <c r="L85" s="641"/>
      <c r="M85" s="624"/>
      <c r="N85" s="536"/>
      <c r="O85" s="532"/>
      <c r="P85" s="533"/>
    </row>
    <row r="86" spans="1:16">
      <c r="A86" s="2353"/>
      <c r="B86" s="511" t="s">
        <v>118</v>
      </c>
      <c r="C86" s="2336">
        <v>1.1000000000000001</v>
      </c>
      <c r="D86" s="2337"/>
      <c r="E86" s="2338"/>
      <c r="F86" s="2336">
        <v>1.1000000000000001</v>
      </c>
      <c r="G86" s="2337"/>
      <c r="H86" s="2338"/>
      <c r="I86" s="2336">
        <v>1.1000000000000001</v>
      </c>
      <c r="J86" s="2337"/>
      <c r="K86" s="2338"/>
      <c r="L86" s="641"/>
      <c r="M86" s="624"/>
      <c r="N86" s="536"/>
      <c r="O86" s="532"/>
      <c r="P86" s="533"/>
    </row>
    <row r="87" spans="1:16">
      <c r="A87" s="2350"/>
      <c r="B87" s="511" t="s">
        <v>501</v>
      </c>
      <c r="C87" s="2339"/>
      <c r="D87" s="2340"/>
      <c r="E87" s="2341"/>
      <c r="F87" s="2339"/>
      <c r="G87" s="2340"/>
      <c r="H87" s="2341"/>
      <c r="I87" s="2339"/>
      <c r="J87" s="2340"/>
      <c r="K87" s="2341"/>
      <c r="L87" s="527"/>
      <c r="M87" s="525">
        <v>0</v>
      </c>
      <c r="N87" s="536"/>
      <c r="O87" s="532"/>
      <c r="P87" s="533"/>
    </row>
    <row r="88" spans="1:16">
      <c r="A88" s="2345" t="s">
        <v>62</v>
      </c>
      <c r="B88" s="511" t="s">
        <v>119</v>
      </c>
      <c r="C88" s="2336">
        <v>0.15</v>
      </c>
      <c r="D88" s="2337"/>
      <c r="E88" s="2338"/>
      <c r="F88" s="2336">
        <v>0.15</v>
      </c>
      <c r="G88" s="2337"/>
      <c r="H88" s="2338"/>
      <c r="I88" s="2336">
        <v>0.15</v>
      </c>
      <c r="J88" s="2337"/>
      <c r="K88" s="2338"/>
      <c r="L88" s="641"/>
      <c r="M88" s="624"/>
      <c r="N88" s="536"/>
      <c r="O88" s="532"/>
      <c r="P88" s="533"/>
    </row>
    <row r="89" spans="1:16">
      <c r="A89" s="2346"/>
      <c r="B89" s="511" t="s">
        <v>120</v>
      </c>
      <c r="C89" s="2336">
        <v>1</v>
      </c>
      <c r="D89" s="2337"/>
      <c r="E89" s="2338"/>
      <c r="F89" s="2336">
        <v>1</v>
      </c>
      <c r="G89" s="2337"/>
      <c r="H89" s="2338"/>
      <c r="I89" s="2336">
        <v>1</v>
      </c>
      <c r="J89" s="2337"/>
      <c r="K89" s="2338"/>
      <c r="L89" s="641"/>
      <c r="M89" s="624"/>
      <c r="N89" s="536"/>
      <c r="O89" s="532"/>
      <c r="P89" s="533"/>
    </row>
    <row r="90" spans="1:16">
      <c r="A90" s="2346"/>
      <c r="B90" s="511" t="s">
        <v>121</v>
      </c>
      <c r="C90" s="2336">
        <v>30</v>
      </c>
      <c r="D90" s="2337"/>
      <c r="E90" s="2338"/>
      <c r="F90" s="2336">
        <v>30</v>
      </c>
      <c r="G90" s="2337"/>
      <c r="H90" s="2338"/>
      <c r="I90" s="2336">
        <v>30</v>
      </c>
      <c r="J90" s="2337"/>
      <c r="K90" s="2338"/>
      <c r="L90" s="641"/>
      <c r="M90" s="624"/>
      <c r="N90" s="536"/>
      <c r="O90" s="532"/>
      <c r="P90" s="533"/>
    </row>
    <row r="91" spans="1:16">
      <c r="A91" s="2346"/>
      <c r="B91" s="565" t="s">
        <v>122</v>
      </c>
      <c r="C91" s="2336">
        <v>0.2</v>
      </c>
      <c r="D91" s="2337"/>
      <c r="E91" s="2338"/>
      <c r="F91" s="2336">
        <v>0.2</v>
      </c>
      <c r="G91" s="2337"/>
      <c r="H91" s="2338"/>
      <c r="I91" s="2336">
        <v>0.2</v>
      </c>
      <c r="J91" s="2337"/>
      <c r="K91" s="2338"/>
      <c r="L91" s="641"/>
      <c r="M91" s="624"/>
      <c r="N91" s="536"/>
      <c r="O91" s="532"/>
      <c r="P91" s="533"/>
    </row>
    <row r="92" spans="1:16">
      <c r="A92" s="2354"/>
      <c r="B92" s="565" t="s">
        <v>123</v>
      </c>
      <c r="C92" s="2336">
        <v>5</v>
      </c>
      <c r="D92" s="2337"/>
      <c r="E92" s="2338"/>
      <c r="F92" s="2336">
        <v>5</v>
      </c>
      <c r="G92" s="2337"/>
      <c r="H92" s="2338"/>
      <c r="I92" s="2336">
        <v>5</v>
      </c>
      <c r="J92" s="2337"/>
      <c r="K92" s="2338"/>
      <c r="L92" s="641"/>
      <c r="M92" s="624"/>
      <c r="N92" s="536"/>
      <c r="O92" s="532"/>
      <c r="P92" s="533"/>
    </row>
    <row r="93" spans="1:16">
      <c r="A93" s="2345" t="s">
        <v>51</v>
      </c>
      <c r="B93" s="511" t="s">
        <v>519</v>
      </c>
      <c r="C93" s="2339"/>
      <c r="D93" s="2340"/>
      <c r="E93" s="2341"/>
      <c r="F93" s="2339"/>
      <c r="G93" s="2340"/>
      <c r="H93" s="2341"/>
      <c r="I93" s="2339"/>
      <c r="J93" s="2340"/>
      <c r="K93" s="2341"/>
      <c r="L93" s="549"/>
      <c r="M93" s="652"/>
      <c r="N93" s="536"/>
      <c r="O93" s="532"/>
      <c r="P93" s="533"/>
    </row>
    <row r="94" spans="1:16">
      <c r="A94" s="2346"/>
      <c r="B94" s="511" t="s">
        <v>520</v>
      </c>
      <c r="C94" s="2339"/>
      <c r="D94" s="2340"/>
      <c r="E94" s="2341"/>
      <c r="F94" s="2339"/>
      <c r="G94" s="2340"/>
      <c r="H94" s="2341"/>
      <c r="I94" s="2339"/>
      <c r="J94" s="2340"/>
      <c r="K94" s="2341"/>
      <c r="L94" s="549"/>
      <c r="M94" s="652"/>
      <c r="N94" s="536"/>
      <c r="O94" s="532"/>
      <c r="P94" s="533"/>
    </row>
    <row r="95" spans="1:16">
      <c r="A95" s="2346"/>
      <c r="B95" s="511" t="s">
        <v>521</v>
      </c>
      <c r="C95" s="2339"/>
      <c r="D95" s="2340"/>
      <c r="E95" s="2341"/>
      <c r="F95" s="2339"/>
      <c r="G95" s="2340"/>
      <c r="H95" s="2341"/>
      <c r="I95" s="2339"/>
      <c r="J95" s="2340"/>
      <c r="K95" s="2341"/>
      <c r="L95" s="549"/>
      <c r="M95" s="652"/>
      <c r="N95" s="536"/>
      <c r="O95" s="532"/>
      <c r="P95" s="533"/>
    </row>
    <row r="96" spans="1:16">
      <c r="A96" s="2346"/>
      <c r="B96" s="511" t="s">
        <v>428</v>
      </c>
      <c r="C96" s="2339"/>
      <c r="D96" s="2340"/>
      <c r="E96" s="2341"/>
      <c r="F96" s="2339"/>
      <c r="G96" s="2340"/>
      <c r="H96" s="2341"/>
      <c r="I96" s="2339"/>
      <c r="J96" s="2340"/>
      <c r="K96" s="2341"/>
      <c r="L96" s="549"/>
      <c r="M96" s="652"/>
      <c r="N96" s="536"/>
      <c r="O96" s="532"/>
      <c r="P96" s="533"/>
    </row>
    <row r="97" spans="1:16">
      <c r="A97" s="2346"/>
      <c r="B97" s="511" t="s">
        <v>429</v>
      </c>
      <c r="C97" s="2339"/>
      <c r="D97" s="2340"/>
      <c r="E97" s="2341"/>
      <c r="F97" s="2339"/>
      <c r="G97" s="2340"/>
      <c r="H97" s="2341"/>
      <c r="I97" s="2339"/>
      <c r="J97" s="2340"/>
      <c r="K97" s="2341"/>
      <c r="L97" s="549"/>
      <c r="M97" s="652"/>
      <c r="N97" s="536"/>
      <c r="O97" s="532"/>
      <c r="P97" s="533"/>
    </row>
    <row r="98" spans="1:16" ht="15.75" thickBot="1">
      <c r="A98" s="2346"/>
      <c r="B98" s="566" t="s">
        <v>430</v>
      </c>
      <c r="C98" s="2339"/>
      <c r="D98" s="2340"/>
      <c r="E98" s="2341"/>
      <c r="F98" s="2339"/>
      <c r="G98" s="2340"/>
      <c r="H98" s="2341"/>
      <c r="I98" s="2339"/>
      <c r="J98" s="2340"/>
      <c r="K98" s="2341"/>
      <c r="L98" s="627"/>
      <c r="M98" s="653"/>
      <c r="N98" s="587"/>
      <c r="O98" s="588"/>
      <c r="P98" s="589"/>
    </row>
    <row r="99" spans="1:16" ht="60.75" thickBot="1">
      <c r="A99" s="2347" t="s">
        <v>502</v>
      </c>
      <c r="B99" s="594"/>
      <c r="C99" s="557" t="s">
        <v>228</v>
      </c>
      <c r="D99" s="557" t="s">
        <v>536</v>
      </c>
      <c r="E99" s="595"/>
      <c r="F99" s="557" t="s">
        <v>228</v>
      </c>
      <c r="G99" s="557" t="s">
        <v>536</v>
      </c>
      <c r="H99" s="595"/>
      <c r="I99" s="557" t="s">
        <v>228</v>
      </c>
      <c r="J99" s="557" t="s">
        <v>536</v>
      </c>
      <c r="K99" s="595"/>
      <c r="L99" s="538" t="s">
        <v>523</v>
      </c>
      <c r="M99" s="540" t="s">
        <v>528</v>
      </c>
      <c r="N99" s="541" t="s">
        <v>524</v>
      </c>
      <c r="O99" s="539" t="s">
        <v>525</v>
      </c>
      <c r="P99" s="540" t="s">
        <v>526</v>
      </c>
    </row>
    <row r="100" spans="1:16">
      <c r="A100" s="2348"/>
      <c r="B100" s="590" t="s">
        <v>489</v>
      </c>
      <c r="C100" s="551">
        <f>'Prescriptive Path'!$H$108</f>
        <v>0</v>
      </c>
      <c r="D100" s="591"/>
      <c r="E100" s="591"/>
      <c r="F100" s="551">
        <f>'Prescriptive Path'!$H$108</f>
        <v>0</v>
      </c>
      <c r="G100" s="591"/>
      <c r="H100" s="591"/>
      <c r="I100" s="551">
        <f>'Prescriptive Path'!$H$108</f>
        <v>0</v>
      </c>
      <c r="J100" s="591"/>
      <c r="K100" s="591"/>
      <c r="L100" s="654"/>
      <c r="M100" s="593"/>
      <c r="N100" s="638"/>
      <c r="O100" s="592"/>
      <c r="P100" s="593"/>
    </row>
    <row r="101" spans="1:16" ht="15.75" thickBot="1">
      <c r="A101" s="2349"/>
      <c r="B101" s="584" t="s">
        <v>533</v>
      </c>
      <c r="C101" s="585"/>
      <c r="D101" s="583" t="b">
        <f>IF('Prescriptive Path'!$H$103="Bathroom and Utility Room Fans (10 - 89 CFM)",1.2,IF('Prescriptive Path'!$H$103="Bathroom and Utility Room Fans (90 - 500 CFM)",2.3,IF('Prescriptive Path'!$H$103="In-line Fans",2.3,IF('Prescriptive Path'!$H$103="Range Hoods (up to 500 CFM)",2.3,FALSE))))</f>
        <v>0</v>
      </c>
      <c r="E101" s="585"/>
      <c r="F101" s="585"/>
      <c r="G101" s="583" t="b">
        <f>IF('Prescriptive Path'!$H$103="Bathroom and Utility Room Fans (10 - 89 CFM)",1.2,IF('Prescriptive Path'!$H$103="Bathroom and Utility Room Fans (90 - 500 CFM)",2.3,IF('Prescriptive Path'!$H$103="In-line Fans",2.3,IF('Prescriptive Path'!$H$103="Range Hoods (up to 500 CFM)",2.3,FALSE))))</f>
        <v>0</v>
      </c>
      <c r="H101" s="585"/>
      <c r="I101" s="585"/>
      <c r="J101" s="583" t="b">
        <f>IF('Prescriptive Path'!$H$103="Bathroom and Utility Room Fans (10 - 89 CFM)",1.2,IF('Prescriptive Path'!$H$103="Bathroom and Utility Room Fans (90 - 500 CFM)",2.3,IF('Prescriptive Path'!$H$103="In-line Fans",2.3,IF('Prescriptive Path'!$H$103="Range Hoods (up to 500 CFM)",2.3,FALSE))))</f>
        <v>0</v>
      </c>
      <c r="K101" s="585"/>
      <c r="L101" s="655"/>
      <c r="M101" s="2014">
        <v>2.23</v>
      </c>
      <c r="N101" s="578"/>
      <c r="O101" s="579"/>
      <c r="P101" s="580"/>
    </row>
    <row r="103" spans="1:16" ht="15.75" thickBot="1"/>
    <row r="104" spans="1:16">
      <c r="B104" s="661" t="s">
        <v>537</v>
      </c>
      <c r="C104" s="664">
        <v>11.1</v>
      </c>
    </row>
    <row r="105" spans="1:16">
      <c r="B105" s="662" t="s">
        <v>538</v>
      </c>
      <c r="C105" s="665">
        <f>C104/0.875</f>
        <v>12.685714285714285</v>
      </c>
    </row>
    <row r="106" spans="1:16" ht="15.75" thickBot="1">
      <c r="B106" s="663" t="s">
        <v>539</v>
      </c>
      <c r="C106" s="666">
        <v>0.78</v>
      </c>
    </row>
  </sheetData>
  <mergeCells count="106">
    <mergeCell ref="I98:K98"/>
    <mergeCell ref="I92:K92"/>
    <mergeCell ref="I93:K93"/>
    <mergeCell ref="I94:K94"/>
    <mergeCell ref="I95:K95"/>
    <mergeCell ref="I96:K96"/>
    <mergeCell ref="I87:K87"/>
    <mergeCell ref="I88:K88"/>
    <mergeCell ref="I89:K89"/>
    <mergeCell ref="I90:K90"/>
    <mergeCell ref="I91:K91"/>
    <mergeCell ref="F93:H93"/>
    <mergeCell ref="C93:E93"/>
    <mergeCell ref="C94:E94"/>
    <mergeCell ref="C95:E95"/>
    <mergeCell ref="C96:E96"/>
    <mergeCell ref="C97:E97"/>
    <mergeCell ref="I82:K82"/>
    <mergeCell ref="I83:K83"/>
    <mergeCell ref="I84:K84"/>
    <mergeCell ref="I85:K85"/>
    <mergeCell ref="I86:K86"/>
    <mergeCell ref="F94:H94"/>
    <mergeCell ref="F95:H95"/>
    <mergeCell ref="F96:H96"/>
    <mergeCell ref="F97:H97"/>
    <mergeCell ref="I97:K97"/>
    <mergeCell ref="A93:A98"/>
    <mergeCell ref="A99:A101"/>
    <mergeCell ref="C12:E12"/>
    <mergeCell ref="F12:H12"/>
    <mergeCell ref="C13:E13"/>
    <mergeCell ref="F13:H13"/>
    <mergeCell ref="C78:E78"/>
    <mergeCell ref="F78:H78"/>
    <mergeCell ref="C79:E79"/>
    <mergeCell ref="C80:E80"/>
    <mergeCell ref="C81:E81"/>
    <mergeCell ref="C82:E82"/>
    <mergeCell ref="C83:E83"/>
    <mergeCell ref="C84:E84"/>
    <mergeCell ref="C85:E85"/>
    <mergeCell ref="A37:A76"/>
    <mergeCell ref="A78:A87"/>
    <mergeCell ref="A88:A92"/>
    <mergeCell ref="F23:H23"/>
    <mergeCell ref="A18:A21"/>
    <mergeCell ref="F98:H98"/>
    <mergeCell ref="C98:E98"/>
    <mergeCell ref="F79:H79"/>
    <mergeCell ref="F80:H80"/>
    <mergeCell ref="I78:K78"/>
    <mergeCell ref="C86:E86"/>
    <mergeCell ref="C87:E87"/>
    <mergeCell ref="C88:E88"/>
    <mergeCell ref="C89:E89"/>
    <mergeCell ref="C90:E90"/>
    <mergeCell ref="C91:E91"/>
    <mergeCell ref="C92:E92"/>
    <mergeCell ref="I79:K79"/>
    <mergeCell ref="I80:K80"/>
    <mergeCell ref="I81:K81"/>
    <mergeCell ref="F81:H81"/>
    <mergeCell ref="F82:H82"/>
    <mergeCell ref="F83:H83"/>
    <mergeCell ref="F84:H84"/>
    <mergeCell ref="F85:H85"/>
    <mergeCell ref="F86:H86"/>
    <mergeCell ref="F87:H87"/>
    <mergeCell ref="F88:H88"/>
    <mergeCell ref="F89:H89"/>
    <mergeCell ref="F90:H90"/>
    <mergeCell ref="F91:H91"/>
    <mergeCell ref="F92:H92"/>
    <mergeCell ref="I23:K23"/>
    <mergeCell ref="A24:A26"/>
    <mergeCell ref="A27:A28"/>
    <mergeCell ref="C28:E28"/>
    <mergeCell ref="F28:H28"/>
    <mergeCell ref="I28:K28"/>
    <mergeCell ref="A22:A23"/>
    <mergeCell ref="C27:E27"/>
    <mergeCell ref="F27:H27"/>
    <mergeCell ref="I27:K27"/>
    <mergeCell ref="C23:E23"/>
    <mergeCell ref="I1:K1"/>
    <mergeCell ref="A8:A13"/>
    <mergeCell ref="A15:A17"/>
    <mergeCell ref="I8:K8"/>
    <mergeCell ref="I9:K9"/>
    <mergeCell ref="I10:K10"/>
    <mergeCell ref="I11:K11"/>
    <mergeCell ref="F8:H8"/>
    <mergeCell ref="F9:H9"/>
    <mergeCell ref="F10:H10"/>
    <mergeCell ref="F11:H11"/>
    <mergeCell ref="C9:E9"/>
    <mergeCell ref="C8:E8"/>
    <mergeCell ref="I12:K12"/>
    <mergeCell ref="I13:K13"/>
    <mergeCell ref="A1:B1"/>
    <mergeCell ref="A2:A7"/>
    <mergeCell ref="C10:E10"/>
    <mergeCell ref="C11:E11"/>
    <mergeCell ref="C1:E1"/>
    <mergeCell ref="F1:H1"/>
  </mergeCells>
  <pageMargins left="0.7" right="0.7" top="0.75" bottom="0.75" header="0.3" footer="0.3"/>
  <pageSetup orientation="portrait" horizontalDpi="200" verticalDpi="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113"/>
  <sheetViews>
    <sheetView showGridLines="0" zoomScale="75" zoomScaleNormal="75" workbookViewId="0">
      <pane xSplit="1" topLeftCell="B1" activePane="topRight" state="frozen"/>
      <selection pane="topRight" activeCell="B14" sqref="B14"/>
    </sheetView>
  </sheetViews>
  <sheetFormatPr defaultRowHeight="15"/>
  <cols>
    <col min="1" max="1" width="17" style="748" customWidth="1"/>
    <col min="2" max="2" width="56.140625" style="12" customWidth="1"/>
    <col min="3" max="3" width="17.5703125" style="12" customWidth="1"/>
    <col min="4" max="6" width="14.85546875" style="12" customWidth="1"/>
    <col min="7" max="7" width="35.28515625" style="12" customWidth="1"/>
    <col min="8" max="9" width="21.140625" style="12" hidden="1" customWidth="1"/>
    <col min="10" max="10" width="17.42578125" style="12" customWidth="1"/>
    <col min="11" max="13" width="14.85546875" style="12" customWidth="1"/>
    <col min="14" max="14" width="36" style="12" customWidth="1"/>
    <col min="15" max="15" width="17.7109375" style="12" customWidth="1"/>
    <col min="16" max="18" width="14.85546875" style="12" customWidth="1"/>
    <col min="19" max="19" width="34.42578125" style="12" customWidth="1"/>
    <col min="20" max="20" width="13.5703125" style="12" customWidth="1"/>
    <col min="21" max="21" width="13.7109375" style="327" customWidth="1"/>
    <col min="22" max="24" width="10.7109375" style="12" customWidth="1"/>
    <col min="25" max="16384" width="9.140625" style="12"/>
  </cols>
  <sheetData>
    <row r="1" spans="1:24" s="687" customFormat="1" ht="45.75" thickBot="1">
      <c r="A1" s="2388" t="s">
        <v>529</v>
      </c>
      <c r="B1" s="2389"/>
      <c r="C1" s="2361" t="s">
        <v>556</v>
      </c>
      <c r="D1" s="2361"/>
      <c r="E1" s="2361"/>
      <c r="F1" s="2361"/>
      <c r="G1" s="2361"/>
      <c r="H1" s="2361"/>
      <c r="I1" s="1232"/>
      <c r="J1" s="2361" t="s">
        <v>557</v>
      </c>
      <c r="K1" s="2361"/>
      <c r="L1" s="2361"/>
      <c r="M1" s="2361"/>
      <c r="N1" s="2361"/>
      <c r="O1" s="2361" t="s">
        <v>558</v>
      </c>
      <c r="P1" s="2361"/>
      <c r="Q1" s="2361"/>
      <c r="R1" s="2361"/>
      <c r="S1" s="2361"/>
      <c r="T1" s="539" t="s">
        <v>523</v>
      </c>
      <c r="U1" s="539" t="s">
        <v>528</v>
      </c>
      <c r="V1" s="539" t="s">
        <v>524</v>
      </c>
      <c r="W1" s="539" t="s">
        <v>525</v>
      </c>
      <c r="X1" s="540" t="s">
        <v>526</v>
      </c>
    </row>
    <row r="2" spans="1:24">
      <c r="A2" s="2364" t="s">
        <v>522</v>
      </c>
      <c r="B2" s="725" t="s">
        <v>79</v>
      </c>
      <c r="C2" s="2355"/>
      <c r="D2" s="2356"/>
      <c r="E2" s="2356"/>
      <c r="F2" s="2356"/>
      <c r="G2" s="2356"/>
      <c r="H2" s="2357"/>
      <c r="I2" s="1241"/>
      <c r="J2" s="2355"/>
      <c r="K2" s="2356"/>
      <c r="L2" s="2356"/>
      <c r="M2" s="2356"/>
      <c r="N2" s="2357"/>
      <c r="O2" s="2355"/>
      <c r="P2" s="2356"/>
      <c r="Q2" s="2356"/>
      <c r="R2" s="2356"/>
      <c r="S2" s="2357"/>
      <c r="T2" s="713"/>
      <c r="U2" s="714">
        <v>1180</v>
      </c>
      <c r="V2" s="713"/>
      <c r="W2" s="713"/>
      <c r="X2" s="715"/>
    </row>
    <row r="3" spans="1:24">
      <c r="A3" s="2365"/>
      <c r="B3" s="726" t="s">
        <v>80</v>
      </c>
      <c r="C3" s="2358"/>
      <c r="D3" s="2359"/>
      <c r="E3" s="2359"/>
      <c r="F3" s="2359"/>
      <c r="G3" s="2359"/>
      <c r="H3" s="2360"/>
      <c r="I3" s="1231"/>
      <c r="J3" s="2358"/>
      <c r="K3" s="2359"/>
      <c r="L3" s="2359"/>
      <c r="M3" s="2359"/>
      <c r="N3" s="2360"/>
      <c r="O3" s="2358"/>
      <c r="P3" s="2359"/>
      <c r="Q3" s="2359"/>
      <c r="R3" s="2359"/>
      <c r="S3" s="2360"/>
      <c r="T3" s="625"/>
      <c r="U3" s="597">
        <v>710</v>
      </c>
      <c r="V3" s="625"/>
      <c r="W3" s="625"/>
      <c r="X3" s="710"/>
    </row>
    <row r="4" spans="1:24">
      <c r="A4" s="2365"/>
      <c r="B4" s="726" t="s">
        <v>406</v>
      </c>
      <c r="C4" s="2358"/>
      <c r="D4" s="2359"/>
      <c r="E4" s="2359"/>
      <c r="F4" s="2359"/>
      <c r="G4" s="2359"/>
      <c r="H4" s="2360"/>
      <c r="I4" s="1231"/>
      <c r="J4" s="2358"/>
      <c r="K4" s="2359"/>
      <c r="L4" s="2359"/>
      <c r="M4" s="2359"/>
      <c r="N4" s="2360"/>
      <c r="O4" s="2358"/>
      <c r="P4" s="2359"/>
      <c r="Q4" s="2359"/>
      <c r="R4" s="2359"/>
      <c r="S4" s="2360"/>
      <c r="T4" s="625"/>
      <c r="U4" s="597">
        <v>3500</v>
      </c>
      <c r="V4" s="625"/>
      <c r="W4" s="625"/>
      <c r="X4" s="710"/>
    </row>
    <row r="5" spans="1:24">
      <c r="A5" s="2365"/>
      <c r="B5" s="726" t="s">
        <v>232</v>
      </c>
      <c r="C5" s="2358"/>
      <c r="D5" s="2359"/>
      <c r="E5" s="2359"/>
      <c r="F5" s="2359"/>
      <c r="G5" s="2359"/>
      <c r="H5" s="2360"/>
      <c r="I5" s="1231"/>
      <c r="J5" s="2358"/>
      <c r="K5" s="2359"/>
      <c r="L5" s="2359"/>
      <c r="M5" s="2359"/>
      <c r="N5" s="2360"/>
      <c r="O5" s="2358"/>
      <c r="P5" s="2359"/>
      <c r="Q5" s="2359"/>
      <c r="R5" s="2359"/>
      <c r="S5" s="2360"/>
      <c r="T5" s="625"/>
      <c r="U5" s="597">
        <v>830</v>
      </c>
      <c r="V5" s="625"/>
      <c r="W5" s="625"/>
      <c r="X5" s="710"/>
    </row>
    <row r="6" spans="1:24">
      <c r="A6" s="2365"/>
      <c r="B6" s="726" t="s">
        <v>233</v>
      </c>
      <c r="C6" s="2358"/>
      <c r="D6" s="2359"/>
      <c r="E6" s="2359"/>
      <c r="F6" s="2359"/>
      <c r="G6" s="2359"/>
      <c r="H6" s="2360"/>
      <c r="I6" s="1231"/>
      <c r="J6" s="2358"/>
      <c r="K6" s="2359"/>
      <c r="L6" s="2359"/>
      <c r="M6" s="2359"/>
      <c r="N6" s="2360"/>
      <c r="O6" s="2358"/>
      <c r="P6" s="2359"/>
      <c r="Q6" s="2359"/>
      <c r="R6" s="2359"/>
      <c r="S6" s="2360"/>
      <c r="T6" s="625"/>
      <c r="U6" s="597">
        <v>750</v>
      </c>
      <c r="V6" s="625"/>
      <c r="W6" s="625"/>
      <c r="X6" s="710"/>
    </row>
    <row r="7" spans="1:24" ht="15.75" thickBot="1">
      <c r="A7" s="2366"/>
      <c r="B7" s="727" t="s">
        <v>507</v>
      </c>
      <c r="C7" s="2367"/>
      <c r="D7" s="2368"/>
      <c r="E7" s="2368"/>
      <c r="F7" s="2368"/>
      <c r="G7" s="2368"/>
      <c r="H7" s="2369"/>
      <c r="I7" s="1234"/>
      <c r="J7" s="2367"/>
      <c r="K7" s="2368"/>
      <c r="L7" s="2368"/>
      <c r="M7" s="2368"/>
      <c r="N7" s="2369"/>
      <c r="O7" s="2367"/>
      <c r="P7" s="2368"/>
      <c r="Q7" s="2368"/>
      <c r="R7" s="2368"/>
      <c r="S7" s="2369"/>
      <c r="T7" s="626"/>
      <c r="U7" s="711">
        <v>276</v>
      </c>
      <c r="V7" s="626"/>
      <c r="W7" s="626"/>
      <c r="X7" s="712"/>
    </row>
    <row r="8" spans="1:24" ht="44.25" customHeight="1" thickBot="1">
      <c r="A8" s="2316" t="s">
        <v>48</v>
      </c>
      <c r="B8" s="721"/>
      <c r="C8" s="2363" t="s">
        <v>542</v>
      </c>
      <c r="D8" s="2363"/>
      <c r="E8" s="2363"/>
      <c r="F8" s="2363"/>
      <c r="G8" s="2363"/>
      <c r="H8" s="2363"/>
      <c r="I8" s="1233"/>
      <c r="J8" s="2363" t="s">
        <v>542</v>
      </c>
      <c r="K8" s="2363"/>
      <c r="L8" s="2363"/>
      <c r="M8" s="2363"/>
      <c r="N8" s="2363"/>
      <c r="O8" s="2363" t="s">
        <v>542</v>
      </c>
      <c r="P8" s="2363"/>
      <c r="Q8" s="2363"/>
      <c r="R8" s="2363"/>
      <c r="S8" s="2363"/>
      <c r="T8" s="539" t="s">
        <v>523</v>
      </c>
      <c r="U8" s="539" t="s">
        <v>528</v>
      </c>
      <c r="V8" s="539" t="s">
        <v>524</v>
      </c>
      <c r="W8" s="539" t="s">
        <v>525</v>
      </c>
      <c r="X8" s="540" t="s">
        <v>526</v>
      </c>
    </row>
    <row r="9" spans="1:24">
      <c r="A9" s="2317"/>
      <c r="B9" s="722" t="s">
        <v>89</v>
      </c>
      <c r="C9" s="2322">
        <f>0.69-0.002*'Prescriptive Path'!$H$39</f>
        <v>0.69</v>
      </c>
      <c r="D9" s="2323"/>
      <c r="E9" s="2323"/>
      <c r="F9" s="2323"/>
      <c r="G9" s="2323"/>
      <c r="H9" s="2329"/>
      <c r="I9" s="1242"/>
      <c r="J9" s="2322">
        <f>0.69-0.002*'Prescriptive Path'!$H$39</f>
        <v>0.69</v>
      </c>
      <c r="K9" s="2323"/>
      <c r="L9" s="2323"/>
      <c r="M9" s="2323"/>
      <c r="N9" s="2329"/>
      <c r="O9" s="2322">
        <f>0.69-0.002*'Prescriptive Path'!$H$39</f>
        <v>0.69</v>
      </c>
      <c r="P9" s="2323"/>
      <c r="Q9" s="2323"/>
      <c r="R9" s="2323"/>
      <c r="S9" s="2329"/>
      <c r="T9" s="713"/>
      <c r="U9" s="714">
        <f>(24.5*'Prescriptive Path'!H39+930)</f>
        <v>930</v>
      </c>
      <c r="V9" s="713"/>
      <c r="W9" s="713"/>
      <c r="X9" s="715"/>
    </row>
    <row r="10" spans="1:24">
      <c r="A10" s="2317"/>
      <c r="B10" s="723" t="s">
        <v>90</v>
      </c>
      <c r="C10" s="2324">
        <f>0.97-'Prescriptive Path'!$H$42*0.001</f>
        <v>0.97</v>
      </c>
      <c r="D10" s="2325"/>
      <c r="E10" s="2325"/>
      <c r="F10" s="2325"/>
      <c r="G10" s="2325"/>
      <c r="H10" s="2330"/>
      <c r="I10" s="1226"/>
      <c r="J10" s="2336">
        <f>0.97-'Prescriptive Path'!$H$42*0.001</f>
        <v>0.97</v>
      </c>
      <c r="K10" s="2337"/>
      <c r="L10" s="2337"/>
      <c r="M10" s="2337"/>
      <c r="N10" s="2338"/>
      <c r="O10" s="2336">
        <f>0.97-'Prescriptive Path'!$H$42*0.001</f>
        <v>0.97</v>
      </c>
      <c r="P10" s="2337"/>
      <c r="Q10" s="2337"/>
      <c r="R10" s="2337"/>
      <c r="S10" s="2338"/>
      <c r="T10" s="625"/>
      <c r="U10" s="597">
        <f>(74.25*'Prescriptive Path'!H42-1012.5)</f>
        <v>-1012.5</v>
      </c>
      <c r="V10" s="625"/>
      <c r="W10" s="625"/>
      <c r="X10" s="710"/>
    </row>
    <row r="11" spans="1:24">
      <c r="A11" s="2317"/>
      <c r="B11" s="723" t="s">
        <v>91</v>
      </c>
      <c r="C11" s="2336">
        <v>0.85</v>
      </c>
      <c r="D11" s="2337"/>
      <c r="E11" s="2337"/>
      <c r="F11" s="2337"/>
      <c r="G11" s="2337"/>
      <c r="H11" s="2338"/>
      <c r="I11" s="1229"/>
      <c r="J11" s="2336">
        <v>0.85</v>
      </c>
      <c r="K11" s="2337"/>
      <c r="L11" s="2337"/>
      <c r="M11" s="2337"/>
      <c r="N11" s="2338"/>
      <c r="O11" s="2336">
        <v>0.85</v>
      </c>
      <c r="P11" s="2337"/>
      <c r="Q11" s="2337"/>
      <c r="R11" s="2337"/>
      <c r="S11" s="2338"/>
      <c r="T11" s="625"/>
      <c r="U11" s="597">
        <v>42767.39</v>
      </c>
      <c r="V11" s="625"/>
      <c r="W11" s="625"/>
      <c r="X11" s="710"/>
    </row>
    <row r="12" spans="1:24">
      <c r="A12" s="2317"/>
      <c r="B12" s="723" t="s">
        <v>540</v>
      </c>
      <c r="C12" s="2336">
        <v>1.75</v>
      </c>
      <c r="D12" s="2337"/>
      <c r="E12" s="2337"/>
      <c r="F12" s="2337"/>
      <c r="G12" s="2337"/>
      <c r="H12" s="2338"/>
      <c r="I12" s="1229"/>
      <c r="J12" s="2336">
        <v>1.75</v>
      </c>
      <c r="K12" s="2337"/>
      <c r="L12" s="2337"/>
      <c r="M12" s="2337"/>
      <c r="N12" s="2338"/>
      <c r="O12" s="2336">
        <v>1.75</v>
      </c>
      <c r="P12" s="2337"/>
      <c r="Q12" s="2337"/>
      <c r="R12" s="2337"/>
      <c r="S12" s="2338"/>
      <c r="T12" s="625"/>
      <c r="U12" s="711">
        <v>167.69</v>
      </c>
      <c r="V12" s="625"/>
      <c r="W12" s="625"/>
      <c r="X12" s="710"/>
    </row>
    <row r="13" spans="1:24" ht="15.75" thickBot="1">
      <c r="A13" s="2318"/>
      <c r="B13" s="724" t="s">
        <v>554</v>
      </c>
      <c r="C13" s="2326">
        <v>1.75</v>
      </c>
      <c r="D13" s="2327"/>
      <c r="E13" s="2327"/>
      <c r="F13" s="2327"/>
      <c r="G13" s="2327"/>
      <c r="H13" s="2331"/>
      <c r="I13" s="1227"/>
      <c r="J13" s="2326">
        <v>1.75</v>
      </c>
      <c r="K13" s="2327"/>
      <c r="L13" s="2327"/>
      <c r="M13" s="2327"/>
      <c r="N13" s="2331"/>
      <c r="O13" s="2326">
        <v>1.75</v>
      </c>
      <c r="P13" s="2327"/>
      <c r="Q13" s="2327"/>
      <c r="R13" s="2327"/>
      <c r="S13" s="2331"/>
      <c r="T13" s="626"/>
      <c r="U13" s="711">
        <v>167.69</v>
      </c>
      <c r="V13" s="626"/>
      <c r="W13" s="626"/>
      <c r="X13" s="712"/>
    </row>
    <row r="14" spans="1:24" ht="45.75" thickBot="1">
      <c r="A14" s="742" t="s">
        <v>53</v>
      </c>
      <c r="B14" s="720"/>
      <c r="C14" s="2377" t="s">
        <v>92</v>
      </c>
      <c r="D14" s="2328"/>
      <c r="E14" s="2378" t="s">
        <v>93</v>
      </c>
      <c r="F14" s="2379"/>
      <c r="G14" s="733" t="s">
        <v>94</v>
      </c>
      <c r="H14" s="637" t="s">
        <v>453</v>
      </c>
      <c r="I14" s="637"/>
      <c r="J14" s="2320" t="s">
        <v>92</v>
      </c>
      <c r="K14" s="2328"/>
      <c r="L14" s="2320" t="s">
        <v>93</v>
      </c>
      <c r="M14" s="2328"/>
      <c r="N14" s="557" t="s">
        <v>94</v>
      </c>
      <c r="O14" s="2320" t="s">
        <v>92</v>
      </c>
      <c r="P14" s="2328"/>
      <c r="Q14" s="2320" t="s">
        <v>93</v>
      </c>
      <c r="R14" s="2328"/>
      <c r="S14" s="557" t="s">
        <v>94</v>
      </c>
      <c r="T14" s="539" t="s">
        <v>523</v>
      </c>
      <c r="U14" s="539" t="s">
        <v>528</v>
      </c>
      <c r="V14" s="539" t="s">
        <v>524</v>
      </c>
      <c r="W14" s="539" t="s">
        <v>525</v>
      </c>
      <c r="X14" s="540" t="s">
        <v>526</v>
      </c>
    </row>
    <row r="15" spans="1:24">
      <c r="A15" s="2362" t="s">
        <v>36</v>
      </c>
      <c r="B15" s="722" t="s">
        <v>126</v>
      </c>
      <c r="C15" s="2380" t="s">
        <v>313</v>
      </c>
      <c r="D15" s="2380"/>
      <c r="E15" s="2380">
        <v>3.9E-2</v>
      </c>
      <c r="F15" s="2380"/>
      <c r="G15" s="734" t="str">
        <f t="shared" ref="G15:G21" si="0">"U-"&amp;$E15</f>
        <v>U-0.039</v>
      </c>
      <c r="H15" s="757">
        <f t="shared" ref="H15:H20" si="1">1/E15</f>
        <v>25.641025641025642</v>
      </c>
      <c r="I15" s="757"/>
      <c r="J15" s="2373" t="s">
        <v>313</v>
      </c>
      <c r="K15" s="2374"/>
      <c r="L15" s="2373">
        <v>3.9E-2</v>
      </c>
      <c r="M15" s="2374"/>
      <c r="N15" s="528" t="str">
        <f t="shared" ref="N15:N21" si="2">"U-"&amp;$L15</f>
        <v>U-0.039</v>
      </c>
      <c r="O15" s="2322" t="s">
        <v>312</v>
      </c>
      <c r="P15" s="2329"/>
      <c r="Q15" s="2373">
        <v>3.2000000000000001E-2</v>
      </c>
      <c r="R15" s="2374"/>
      <c r="S15" s="528" t="str">
        <f t="shared" ref="S15:S21" si="3">"U-"&amp;$Q15</f>
        <v>U-0.032</v>
      </c>
      <c r="T15" s="718">
        <f>IF('Prescriptive Path'!$K$1=4,Proposed!E15,IF('Prescriptive Path'!$K$1=5,Proposed!L15,Proposed!Q15))</f>
        <v>3.9E-2</v>
      </c>
      <c r="U15" s="714">
        <v>2.29</v>
      </c>
      <c r="V15" s="713"/>
      <c r="W15" s="713"/>
      <c r="X15" s="715"/>
    </row>
    <row r="16" spans="1:24">
      <c r="A16" s="2319"/>
      <c r="B16" s="690" t="s">
        <v>66</v>
      </c>
      <c r="C16" s="2335" t="s">
        <v>315</v>
      </c>
      <c r="D16" s="2335"/>
      <c r="E16" s="2335">
        <v>3.5000000000000003E-2</v>
      </c>
      <c r="F16" s="2335"/>
      <c r="G16" s="507" t="str">
        <f t="shared" si="0"/>
        <v>U-0.035</v>
      </c>
      <c r="H16" s="758">
        <f t="shared" si="1"/>
        <v>28.571428571428569</v>
      </c>
      <c r="I16" s="758"/>
      <c r="J16" s="2336" t="s">
        <v>315</v>
      </c>
      <c r="K16" s="2338"/>
      <c r="L16" s="2336">
        <v>3.5000000000000003E-2</v>
      </c>
      <c r="M16" s="2338"/>
      <c r="N16" s="507" t="str">
        <f t="shared" si="2"/>
        <v>U-0.035</v>
      </c>
      <c r="O16" s="2322" t="s">
        <v>316</v>
      </c>
      <c r="P16" s="2329"/>
      <c r="Q16" s="2375">
        <v>3.1E-2</v>
      </c>
      <c r="R16" s="2376"/>
      <c r="S16" s="294" t="str">
        <f t="shared" si="3"/>
        <v>U-0.031</v>
      </c>
      <c r="T16" s="504">
        <f>IF('Prescriptive Path'!$K$1=4,Proposed!E16,IF('Prescriptive Path'!$K$1=5,Proposed!L16,Proposed!Q16))</f>
        <v>3.5000000000000003E-2</v>
      </c>
      <c r="U16" s="597">
        <v>1.24</v>
      </c>
      <c r="V16" s="625"/>
      <c r="W16" s="625"/>
      <c r="X16" s="710"/>
    </row>
    <row r="17" spans="1:24">
      <c r="A17" s="2319"/>
      <c r="B17" s="690" t="s">
        <v>68</v>
      </c>
      <c r="C17" s="2335" t="s">
        <v>69</v>
      </c>
      <c r="D17" s="2335"/>
      <c r="E17" s="2335">
        <v>2.1000000000000001E-2</v>
      </c>
      <c r="F17" s="2335"/>
      <c r="G17" s="507" t="str">
        <f t="shared" si="0"/>
        <v>U-0.021</v>
      </c>
      <c r="H17" s="758">
        <f t="shared" si="1"/>
        <v>47.619047619047613</v>
      </c>
      <c r="I17" s="758"/>
      <c r="J17" s="2336" t="s">
        <v>69</v>
      </c>
      <c r="K17" s="2338"/>
      <c r="L17" s="2336">
        <v>2.1000000000000001E-2</v>
      </c>
      <c r="M17" s="2338"/>
      <c r="N17" s="507" t="str">
        <f t="shared" si="2"/>
        <v>U-0.021</v>
      </c>
      <c r="O17" s="2322" t="s">
        <v>69</v>
      </c>
      <c r="P17" s="2329"/>
      <c r="Q17" s="2375">
        <v>2.1000000000000001E-2</v>
      </c>
      <c r="R17" s="2376"/>
      <c r="S17" s="294" t="str">
        <f t="shared" si="3"/>
        <v>U-0.021</v>
      </c>
      <c r="T17" s="504">
        <f>IF('Prescriptive Path'!$K$1=4,Proposed!E17,IF('Prescriptive Path'!$K$1=5,Proposed!L17,Proposed!Q17))</f>
        <v>2.1000000000000001E-2</v>
      </c>
      <c r="U17" s="597">
        <v>2.0499999999999998</v>
      </c>
      <c r="V17" s="625"/>
      <c r="W17" s="625"/>
      <c r="X17" s="710"/>
    </row>
    <row r="18" spans="1:24">
      <c r="A18" s="2319" t="s">
        <v>95</v>
      </c>
      <c r="B18" s="690" t="s">
        <v>124</v>
      </c>
      <c r="C18" s="2335" t="s">
        <v>314</v>
      </c>
      <c r="D18" s="2335"/>
      <c r="E18" s="2335">
        <v>0.08</v>
      </c>
      <c r="F18" s="2335"/>
      <c r="G18" s="507" t="str">
        <f t="shared" si="0"/>
        <v>U-0.08</v>
      </c>
      <c r="H18" s="758">
        <f t="shared" si="1"/>
        <v>12.5</v>
      </c>
      <c r="I18" s="758"/>
      <c r="J18" s="2336" t="s">
        <v>317</v>
      </c>
      <c r="K18" s="2338"/>
      <c r="L18" s="2336">
        <v>7.0999999999999994E-2</v>
      </c>
      <c r="M18" s="2338"/>
      <c r="N18" s="507" t="str">
        <f t="shared" si="2"/>
        <v>U-0.071</v>
      </c>
      <c r="O18" s="2322" t="s">
        <v>318</v>
      </c>
      <c r="P18" s="2329"/>
      <c r="Q18" s="2375">
        <v>0.06</v>
      </c>
      <c r="R18" s="2376"/>
      <c r="S18" s="294" t="str">
        <f t="shared" si="3"/>
        <v>U-0.06</v>
      </c>
      <c r="T18" s="504">
        <f>IF('Prescriptive Path'!$K$1=4,Proposed!E18,IF('Prescriptive Path'!$K$1=5,Proposed!L18,Proposed!Q18))</f>
        <v>0.08</v>
      </c>
      <c r="U18" s="597">
        <f>IF('Prescriptive Path'!$K$1=4,Proposed!V18,IF('Prescriptive Path'!$K$1=5,Proposed!W18,Proposed!X18))</f>
        <v>2.08</v>
      </c>
      <c r="V18" s="504">
        <f>1.84+(2.32-1.84)/2</f>
        <v>2.08</v>
      </c>
      <c r="W18" s="504">
        <v>2.3199999999999998</v>
      </c>
      <c r="X18" s="688">
        <f>1.7+(2.6-1.7)/2</f>
        <v>2.15</v>
      </c>
    </row>
    <row r="19" spans="1:24">
      <c r="A19" s="2319"/>
      <c r="B19" s="690" t="s">
        <v>127</v>
      </c>
      <c r="C19" s="2335" t="s">
        <v>319</v>
      </c>
      <c r="D19" s="2335"/>
      <c r="E19" s="2335">
        <v>5.1999999999999998E-2</v>
      </c>
      <c r="F19" s="2335"/>
      <c r="G19" s="507" t="str">
        <f t="shared" si="0"/>
        <v>U-0.052</v>
      </c>
      <c r="H19" s="758">
        <f t="shared" si="1"/>
        <v>19.23076923076923</v>
      </c>
      <c r="I19" s="758"/>
      <c r="J19" s="2336" t="s">
        <v>319</v>
      </c>
      <c r="K19" s="2338"/>
      <c r="L19" s="2336">
        <v>5.1999999999999998E-2</v>
      </c>
      <c r="M19" s="2338"/>
      <c r="N19" s="507" t="str">
        <f t="shared" si="2"/>
        <v>U-0.052</v>
      </c>
      <c r="O19" s="2322" t="s">
        <v>319</v>
      </c>
      <c r="P19" s="2329"/>
      <c r="Q19" s="2375">
        <v>5.1999999999999998E-2</v>
      </c>
      <c r="R19" s="2376"/>
      <c r="S19" s="294" t="str">
        <f t="shared" si="3"/>
        <v>U-0.052</v>
      </c>
      <c r="T19" s="504">
        <f>IF('Prescriptive Path'!$K$1=4,Proposed!E19,IF('Prescriptive Path'!$K$1=5,Proposed!L19,Proposed!Q19))</f>
        <v>5.1999999999999998E-2</v>
      </c>
      <c r="U19" s="597">
        <v>1.44</v>
      </c>
      <c r="V19" s="625"/>
      <c r="W19" s="625"/>
      <c r="X19" s="710"/>
    </row>
    <row r="20" spans="1:24">
      <c r="A20" s="2319"/>
      <c r="B20" s="690" t="s">
        <v>285</v>
      </c>
      <c r="C20" s="2335" t="s">
        <v>320</v>
      </c>
      <c r="D20" s="2335"/>
      <c r="E20" s="2335">
        <v>5.5E-2</v>
      </c>
      <c r="F20" s="2335"/>
      <c r="G20" s="507" t="str">
        <f t="shared" si="0"/>
        <v>U-0.055</v>
      </c>
      <c r="H20" s="758">
        <f t="shared" si="1"/>
        <v>18.181818181818183</v>
      </c>
      <c r="I20" s="758"/>
      <c r="J20" s="2336" t="s">
        <v>320</v>
      </c>
      <c r="K20" s="2338"/>
      <c r="L20" s="2336">
        <v>5.5E-2</v>
      </c>
      <c r="M20" s="2338"/>
      <c r="N20" s="507" t="str">
        <f t="shared" si="2"/>
        <v>U-0.055</v>
      </c>
      <c r="O20" s="2322" t="str">
        <f>J20</f>
        <v>R-13.0 + R-10 ci</v>
      </c>
      <c r="P20" s="2329"/>
      <c r="Q20" s="2375">
        <f>L20</f>
        <v>5.5E-2</v>
      </c>
      <c r="R20" s="2376"/>
      <c r="S20" s="294" t="str">
        <f t="shared" si="3"/>
        <v>U-0.055</v>
      </c>
      <c r="T20" s="504">
        <f>IF('Prescriptive Path'!$K$1=4,Proposed!E20,IF('Prescriptive Path'!$K$1=5,Proposed!L20,Proposed!Q20))</f>
        <v>5.5E-2</v>
      </c>
      <c r="U20" s="597">
        <v>1.44</v>
      </c>
      <c r="V20" s="625"/>
      <c r="W20" s="625"/>
      <c r="X20" s="710"/>
    </row>
    <row r="21" spans="1:24">
      <c r="A21" s="2319"/>
      <c r="B21" s="690" t="s">
        <v>310</v>
      </c>
      <c r="C21" s="2335" t="s">
        <v>321</v>
      </c>
      <c r="D21" s="2335"/>
      <c r="E21" s="2335">
        <v>5.0999999999999997E-2</v>
      </c>
      <c r="F21" s="2335"/>
      <c r="G21" s="507" t="str">
        <f t="shared" si="0"/>
        <v>U-0.051</v>
      </c>
      <c r="H21" s="758">
        <v>21</v>
      </c>
      <c r="I21" s="758"/>
      <c r="J21" s="2336" t="s">
        <v>320</v>
      </c>
      <c r="K21" s="2338"/>
      <c r="L21" s="2336">
        <v>4.4999999999999998E-2</v>
      </c>
      <c r="M21" s="2338"/>
      <c r="N21" s="507" t="str">
        <f t="shared" si="2"/>
        <v>U-0.045</v>
      </c>
      <c r="O21" s="2322" t="s">
        <v>320</v>
      </c>
      <c r="P21" s="2329"/>
      <c r="Q21" s="2375">
        <v>4.4999999999999998E-2</v>
      </c>
      <c r="R21" s="2376"/>
      <c r="S21" s="294" t="str">
        <f t="shared" si="3"/>
        <v>U-0.045</v>
      </c>
      <c r="T21" s="504">
        <f>IF('Prescriptive Path'!$K$1=4,Proposed!E21,IF('Prescriptive Path'!$K$1=5,Proposed!L21,Proposed!Q21))</f>
        <v>5.0999999999999997E-2</v>
      </c>
      <c r="U21" s="597">
        <f>IF('Prescriptive Path'!$K$1=4,Proposed!V21,IF('Prescriptive Path'!$K$1=5,Proposed!W21,Proposed!X21))</f>
        <v>1.36</v>
      </c>
      <c r="V21" s="504">
        <v>1.36</v>
      </c>
      <c r="W21" s="504">
        <v>1.66</v>
      </c>
      <c r="X21" s="688">
        <v>1.66</v>
      </c>
    </row>
    <row r="22" spans="1:24">
      <c r="A22" s="2319" t="s">
        <v>96</v>
      </c>
      <c r="B22" s="690" t="s">
        <v>5</v>
      </c>
      <c r="C22" s="2335" t="s">
        <v>322</v>
      </c>
      <c r="D22" s="2335"/>
      <c r="E22" s="2335">
        <v>9.1999999999999998E-2</v>
      </c>
      <c r="F22" s="2335"/>
      <c r="G22" s="507" t="str">
        <f>"C-"&amp;$E22</f>
        <v>C-0.092</v>
      </c>
      <c r="H22" s="758">
        <f>1/E22</f>
        <v>10.869565217391305</v>
      </c>
      <c r="I22" s="758"/>
      <c r="J22" s="2336" t="s">
        <v>322</v>
      </c>
      <c r="K22" s="2338"/>
      <c r="L22" s="2336">
        <v>9.1999999999999998E-2</v>
      </c>
      <c r="M22" s="2338"/>
      <c r="N22" s="507" t="str">
        <f>"C-"&amp;$E22</f>
        <v>C-0.092</v>
      </c>
      <c r="O22" s="2322" t="s">
        <v>322</v>
      </c>
      <c r="P22" s="2329"/>
      <c r="Q22" s="2375">
        <v>9.1999999999999998E-2</v>
      </c>
      <c r="R22" s="2376"/>
      <c r="S22" s="294" t="str">
        <f>"C-"&amp;$E22</f>
        <v>C-0.092</v>
      </c>
      <c r="T22" s="504">
        <f>IF('Prescriptive Path'!$K$1=4,Proposed!E22,IF('Prescriptive Path'!$K$1=5,Proposed!L22,Proposed!Q22))</f>
        <v>9.1999999999999998E-2</v>
      </c>
      <c r="U22" s="597">
        <v>1.66</v>
      </c>
      <c r="V22" s="625"/>
      <c r="W22" s="625"/>
      <c r="X22" s="710"/>
    </row>
    <row r="23" spans="1:24">
      <c r="A23" s="2319"/>
      <c r="B23" s="690" t="s">
        <v>97</v>
      </c>
      <c r="C23" s="2336" t="s">
        <v>7</v>
      </c>
      <c r="D23" s="2337"/>
      <c r="E23" s="2337"/>
      <c r="F23" s="2337"/>
      <c r="G23" s="2337"/>
      <c r="H23" s="2338"/>
      <c r="I23" s="1230"/>
      <c r="J23" s="2335" t="s">
        <v>7</v>
      </c>
      <c r="K23" s="2335"/>
      <c r="L23" s="2335"/>
      <c r="M23" s="2335"/>
      <c r="N23" s="2335"/>
      <c r="O23" s="2372" t="s">
        <v>7</v>
      </c>
      <c r="P23" s="2372"/>
      <c r="Q23" s="2372"/>
      <c r="R23" s="2372"/>
      <c r="S23" s="2372"/>
      <c r="T23" s="625"/>
      <c r="U23" s="738"/>
      <c r="V23" s="625"/>
      <c r="W23" s="625"/>
      <c r="X23" s="710"/>
    </row>
    <row r="24" spans="1:24">
      <c r="A24" s="2319" t="s">
        <v>83</v>
      </c>
      <c r="B24" s="690" t="s">
        <v>125</v>
      </c>
      <c r="C24" s="2335" t="s">
        <v>323</v>
      </c>
      <c r="D24" s="2335"/>
      <c r="E24" s="2335">
        <v>6.4000000000000001E-2</v>
      </c>
      <c r="F24" s="2335"/>
      <c r="G24" s="507" t="str">
        <f>"U-"&amp;$E24</f>
        <v>U-0.064</v>
      </c>
      <c r="H24" s="758">
        <f>1/E24</f>
        <v>15.625</v>
      </c>
      <c r="I24" s="758"/>
      <c r="J24" s="2336" t="s">
        <v>325</v>
      </c>
      <c r="K24" s="2338"/>
      <c r="L24" s="2336">
        <v>5.7000000000000002E-2</v>
      </c>
      <c r="M24" s="2338"/>
      <c r="N24" s="507" t="str">
        <f>"U-"&amp;$L24</f>
        <v>U-0.057</v>
      </c>
      <c r="O24" s="2322" t="s">
        <v>492</v>
      </c>
      <c r="P24" s="2329"/>
      <c r="Q24" s="2375">
        <v>5.0999999999999997E-2</v>
      </c>
      <c r="R24" s="2376"/>
      <c r="S24" s="294" t="str">
        <f>"U-"&amp;$Q24</f>
        <v>U-0.051</v>
      </c>
      <c r="T24" s="504">
        <f>IF('Prescriptive Path'!$K$1=4,Proposed!E24,IF('Prescriptive Path'!$K$1=5,Proposed!L24,Proposed!Q24))</f>
        <v>6.4000000000000001E-2</v>
      </c>
      <c r="U24" s="597">
        <f>IF('Prescriptive Path'!$K$1=4,Proposed!V24,IF('Prescriptive Path'!$K$1=5,Proposed!W24,Proposed!X24))</f>
        <v>1.44</v>
      </c>
      <c r="V24" s="504">
        <v>1.44</v>
      </c>
      <c r="W24" s="504">
        <v>1.6</v>
      </c>
      <c r="X24" s="688">
        <f>1.6+(2.7-1.6)/4</f>
        <v>1.875</v>
      </c>
    </row>
    <row r="25" spans="1:24">
      <c r="A25" s="2319"/>
      <c r="B25" s="690" t="s">
        <v>87</v>
      </c>
      <c r="C25" s="2335" t="s">
        <v>67</v>
      </c>
      <c r="D25" s="2335"/>
      <c r="E25" s="2335">
        <v>3.2000000000000001E-2</v>
      </c>
      <c r="F25" s="2335"/>
      <c r="G25" s="507" t="str">
        <f>"U-"&amp;$E25</f>
        <v>U-0.032</v>
      </c>
      <c r="H25" s="758">
        <f>1/E25</f>
        <v>31.25</v>
      </c>
      <c r="I25" s="758"/>
      <c r="J25" s="2336" t="s">
        <v>67</v>
      </c>
      <c r="K25" s="2338"/>
      <c r="L25" s="2336">
        <v>3.2000000000000001E-2</v>
      </c>
      <c r="M25" s="2338"/>
      <c r="N25" s="507" t="str">
        <f>"U-"&amp;$L25</f>
        <v>U-0.032</v>
      </c>
      <c r="O25" s="2322" t="s">
        <v>327</v>
      </c>
      <c r="P25" s="2329"/>
      <c r="Q25" s="2375">
        <v>2.3E-2</v>
      </c>
      <c r="R25" s="2376"/>
      <c r="S25" s="294" t="str">
        <f>"U-"&amp;$Q25</f>
        <v>U-0.023</v>
      </c>
      <c r="T25" s="504">
        <f>IF('Prescriptive Path'!$K$1=4,Proposed!E25,IF('Prescriptive Path'!$K$1=5,Proposed!L25,Proposed!Q25))</f>
        <v>3.2000000000000001E-2</v>
      </c>
      <c r="U25" s="597">
        <f>IF('Prescriptive Path'!$K$1=4,Proposed!V25,IF('Prescriptive Path'!$K$1=5,Proposed!W25,Proposed!X25))</f>
        <v>2.06</v>
      </c>
      <c r="V25" s="504">
        <v>2.06</v>
      </c>
      <c r="W25" s="504">
        <v>2.06</v>
      </c>
      <c r="X25" s="688">
        <f>2.06+1.44</f>
        <v>3.5</v>
      </c>
    </row>
    <row r="26" spans="1:24">
      <c r="A26" s="2319"/>
      <c r="B26" s="690" t="s">
        <v>98</v>
      </c>
      <c r="C26" s="2335" t="s">
        <v>324</v>
      </c>
      <c r="D26" s="2335"/>
      <c r="E26" s="2335">
        <v>2.5999999999999999E-2</v>
      </c>
      <c r="F26" s="2335"/>
      <c r="G26" s="507" t="str">
        <f>"U-"&amp;$E26</f>
        <v>U-0.026</v>
      </c>
      <c r="H26" s="758">
        <f>1/E26</f>
        <v>38.46153846153846</v>
      </c>
      <c r="I26" s="758"/>
      <c r="J26" s="2336" t="s">
        <v>326</v>
      </c>
      <c r="K26" s="2338"/>
      <c r="L26" s="2336">
        <v>2.5999999999999999E-2</v>
      </c>
      <c r="M26" s="2338"/>
      <c r="N26" s="507" t="str">
        <f>"U-"&amp;$L26</f>
        <v>U-0.026</v>
      </c>
      <c r="O26" s="2322" t="s">
        <v>324</v>
      </c>
      <c r="P26" s="2329"/>
      <c r="Q26" s="2375">
        <v>2.5999999999999999E-2</v>
      </c>
      <c r="R26" s="2376"/>
      <c r="S26" s="507" t="str">
        <f>"U-"&amp;$Q26</f>
        <v>U-0.026</v>
      </c>
      <c r="T26" s="504">
        <f>IF('Prescriptive Path'!$K$1=4,Proposed!E26,IF('Prescriptive Path'!$K$1=5,Proposed!L26,Proposed!Q26))</f>
        <v>2.5999999999999999E-2</v>
      </c>
      <c r="U26" s="597">
        <v>1.36</v>
      </c>
      <c r="V26" s="625"/>
      <c r="W26" s="625"/>
      <c r="X26" s="710"/>
    </row>
    <row r="27" spans="1:24">
      <c r="A27" s="2319" t="s">
        <v>84</v>
      </c>
      <c r="B27" s="728" t="s">
        <v>40</v>
      </c>
      <c r="C27" s="2336" t="s">
        <v>328</v>
      </c>
      <c r="D27" s="2337"/>
      <c r="E27" s="2337"/>
      <c r="F27" s="2337"/>
      <c r="G27" s="2337"/>
      <c r="H27" s="2338"/>
      <c r="I27" s="1230"/>
      <c r="J27" s="2335" t="s">
        <v>328</v>
      </c>
      <c r="K27" s="2335"/>
      <c r="L27" s="2335"/>
      <c r="M27" s="2335"/>
      <c r="N27" s="2335"/>
      <c r="O27" s="2335" t="s">
        <v>329</v>
      </c>
      <c r="P27" s="2335"/>
      <c r="Q27" s="2335"/>
      <c r="R27" s="2335"/>
      <c r="S27" s="2335"/>
      <c r="T27" s="625"/>
      <c r="U27" s="738"/>
      <c r="V27" s="625"/>
      <c r="W27" s="625"/>
      <c r="X27" s="710"/>
    </row>
    <row r="28" spans="1:24">
      <c r="A28" s="2319"/>
      <c r="B28" s="690" t="s">
        <v>34</v>
      </c>
      <c r="C28" s="2375" t="s">
        <v>491</v>
      </c>
      <c r="D28" s="2383"/>
      <c r="E28" s="2383"/>
      <c r="F28" s="2383"/>
      <c r="G28" s="2383"/>
      <c r="H28" s="2376"/>
      <c r="I28" s="1236"/>
      <c r="J28" s="2335" t="s">
        <v>330</v>
      </c>
      <c r="K28" s="2335"/>
      <c r="L28" s="2335"/>
      <c r="M28" s="2335"/>
      <c r="N28" s="2335"/>
      <c r="O28" s="2335" t="s">
        <v>330</v>
      </c>
      <c r="P28" s="2335"/>
      <c r="Q28" s="2335"/>
      <c r="R28" s="2335"/>
      <c r="S28" s="2335"/>
      <c r="T28" s="625"/>
      <c r="U28" s="738"/>
      <c r="V28" s="625"/>
      <c r="W28" s="625"/>
      <c r="X28" s="710"/>
    </row>
    <row r="29" spans="1:24">
      <c r="A29" s="575" t="s">
        <v>13</v>
      </c>
      <c r="B29" s="690" t="s">
        <v>8</v>
      </c>
      <c r="C29" s="2370"/>
      <c r="D29" s="2371"/>
      <c r="E29" s="2336">
        <v>0.6</v>
      </c>
      <c r="F29" s="2338"/>
      <c r="G29" s="507" t="str">
        <f>"U-"&amp;$E29</f>
        <v>U-0.6</v>
      </c>
      <c r="H29" s="759"/>
      <c r="I29" s="1243"/>
      <c r="J29" s="2339"/>
      <c r="K29" s="2341"/>
      <c r="L29" s="2336">
        <v>0.4</v>
      </c>
      <c r="M29" s="2338"/>
      <c r="N29" s="507" t="str">
        <f>"U-"&amp;$L29</f>
        <v>U-0.4</v>
      </c>
      <c r="O29" s="2370"/>
      <c r="P29" s="2371"/>
      <c r="Q29" s="2336">
        <v>0.4</v>
      </c>
      <c r="R29" s="2338"/>
      <c r="S29" s="507" t="str">
        <f>"U-"&amp;$Q29</f>
        <v>U-0.4</v>
      </c>
      <c r="T29" s="504">
        <f>IF('Prescriptive Path'!$K$1=4,Proposed!E29,(IF('Prescriptive Path'!$K$1=5,Proposed!L29,Proposed!Q29)))</f>
        <v>0.6</v>
      </c>
      <c r="U29" s="582">
        <f>7.62+Baseline!M29</f>
        <v>527.17999999999995</v>
      </c>
      <c r="V29" s="625"/>
      <c r="W29" s="625"/>
      <c r="X29" s="710"/>
    </row>
    <row r="30" spans="1:24" ht="15" customHeight="1" thickBot="1">
      <c r="A30" s="745" t="s">
        <v>99</v>
      </c>
      <c r="B30" s="749" t="s">
        <v>9</v>
      </c>
      <c r="C30" s="2381"/>
      <c r="D30" s="2382"/>
      <c r="E30" s="2381"/>
      <c r="F30" s="2382"/>
      <c r="G30" s="555" t="s">
        <v>78</v>
      </c>
      <c r="H30" s="787"/>
      <c r="I30" s="1244"/>
      <c r="J30" s="2381"/>
      <c r="K30" s="2382"/>
      <c r="L30" s="2381"/>
      <c r="M30" s="2382"/>
      <c r="N30" s="555" t="s">
        <v>78</v>
      </c>
      <c r="O30" s="2381"/>
      <c r="P30" s="2382"/>
      <c r="Q30" s="2381"/>
      <c r="R30" s="2382"/>
      <c r="S30" s="555" t="s">
        <v>78</v>
      </c>
      <c r="T30" s="588"/>
      <c r="U30" s="788"/>
      <c r="V30" s="626"/>
      <c r="W30" s="626"/>
      <c r="X30" s="712"/>
    </row>
    <row r="31" spans="1:24" ht="45.75" thickBot="1">
      <c r="A31" s="746"/>
      <c r="B31" s="717"/>
      <c r="C31" s="2320" t="s">
        <v>101</v>
      </c>
      <c r="D31" s="2328"/>
      <c r="E31" s="2320" t="s">
        <v>93</v>
      </c>
      <c r="F31" s="2328"/>
      <c r="G31" s="2320" t="s">
        <v>94</v>
      </c>
      <c r="H31" s="2328"/>
      <c r="I31" s="1225"/>
      <c r="J31" s="2320" t="s">
        <v>101</v>
      </c>
      <c r="K31" s="2328"/>
      <c r="L31" s="2320" t="s">
        <v>93</v>
      </c>
      <c r="M31" s="2328"/>
      <c r="N31" s="557" t="s">
        <v>94</v>
      </c>
      <c r="O31" s="2320" t="s">
        <v>101</v>
      </c>
      <c r="P31" s="2328"/>
      <c r="Q31" s="2320" t="s">
        <v>93</v>
      </c>
      <c r="R31" s="2328"/>
      <c r="S31" s="557" t="s">
        <v>94</v>
      </c>
      <c r="T31" s="539" t="s">
        <v>523</v>
      </c>
      <c r="U31" s="539" t="s">
        <v>528</v>
      </c>
      <c r="V31" s="539" t="s">
        <v>524</v>
      </c>
      <c r="W31" s="539" t="s">
        <v>525</v>
      </c>
      <c r="X31" s="540" t="s">
        <v>526</v>
      </c>
    </row>
    <row r="32" spans="1:24">
      <c r="A32" s="746"/>
      <c r="B32" s="789" t="s">
        <v>10</v>
      </c>
      <c r="C32" s="2322">
        <v>0.4</v>
      </c>
      <c r="D32" s="2329"/>
      <c r="E32" s="2322">
        <v>0.3</v>
      </c>
      <c r="F32" s="2329"/>
      <c r="G32" s="2322" t="s">
        <v>100</v>
      </c>
      <c r="H32" s="2329"/>
      <c r="I32" s="1242"/>
      <c r="J32" s="2322">
        <v>0.4</v>
      </c>
      <c r="K32" s="2329"/>
      <c r="L32" s="2322">
        <v>0.3</v>
      </c>
      <c r="M32" s="2329"/>
      <c r="N32" s="528" t="s">
        <v>100</v>
      </c>
      <c r="O32" s="2322">
        <v>0.4</v>
      </c>
      <c r="P32" s="2329"/>
      <c r="Q32" s="2322">
        <v>0.3</v>
      </c>
      <c r="R32" s="2329"/>
      <c r="S32" s="528" t="s">
        <v>100</v>
      </c>
      <c r="T32" s="718">
        <f>IF('Prescriptive Path'!$K$1=4,Proposed!E32,(IF('Prescriptive Path'!$K$1=5,Proposed!L32,Proposed!Q32)))</f>
        <v>0.3</v>
      </c>
      <c r="U32" s="714">
        <v>42.33</v>
      </c>
      <c r="V32" s="713"/>
      <c r="W32" s="713"/>
      <c r="X32" s="715"/>
    </row>
    <row r="33" spans="1:24">
      <c r="A33" s="746"/>
      <c r="B33" s="690" t="s">
        <v>49</v>
      </c>
      <c r="C33" s="2336">
        <v>0.4</v>
      </c>
      <c r="D33" s="2338"/>
      <c r="E33" s="2336">
        <v>0.4</v>
      </c>
      <c r="F33" s="2338"/>
      <c r="G33" s="2336" t="s">
        <v>332</v>
      </c>
      <c r="H33" s="2338"/>
      <c r="I33" s="1229"/>
      <c r="J33" s="2336">
        <v>0.4</v>
      </c>
      <c r="K33" s="2338"/>
      <c r="L33" s="2336">
        <v>0.35</v>
      </c>
      <c r="M33" s="2338"/>
      <c r="N33" s="507" t="s">
        <v>334</v>
      </c>
      <c r="O33" s="2322">
        <v>0.4</v>
      </c>
      <c r="P33" s="2329"/>
      <c r="Q33" s="2336">
        <v>0.35</v>
      </c>
      <c r="R33" s="2338"/>
      <c r="S33" s="507" t="s">
        <v>334</v>
      </c>
      <c r="T33" s="504">
        <f>IF('Prescriptive Path'!$K$1=4,Proposed!E33,(IF('Prescriptive Path'!$K$1=5,Proposed!L33,Proposed!Q33)))</f>
        <v>0.4</v>
      </c>
      <c r="U33" s="597">
        <v>26.56</v>
      </c>
      <c r="V33" s="625"/>
      <c r="W33" s="625"/>
      <c r="X33" s="710"/>
    </row>
    <row r="34" spans="1:24">
      <c r="A34" s="746"/>
      <c r="B34" s="690" t="s">
        <v>11</v>
      </c>
      <c r="C34" s="2336">
        <v>0.4</v>
      </c>
      <c r="D34" s="2338"/>
      <c r="E34" s="2336">
        <v>0.75</v>
      </c>
      <c r="F34" s="2338"/>
      <c r="G34" s="2336" t="s">
        <v>333</v>
      </c>
      <c r="H34" s="2338"/>
      <c r="I34" s="1229"/>
      <c r="J34" s="2336">
        <v>0.4</v>
      </c>
      <c r="K34" s="2338"/>
      <c r="L34" s="2336">
        <v>0.7</v>
      </c>
      <c r="M34" s="2338"/>
      <c r="N34" s="507" t="s">
        <v>336</v>
      </c>
      <c r="O34" s="2322">
        <v>0.4</v>
      </c>
      <c r="P34" s="2329"/>
      <c r="Q34" s="2336">
        <v>0.7</v>
      </c>
      <c r="R34" s="2338"/>
      <c r="S34" s="507" t="s">
        <v>336</v>
      </c>
      <c r="T34" s="504">
        <f>IF('Prescriptive Path'!$K$1=4,Proposed!E34,(IF('Prescriptive Path'!$K$1=5,Proposed!L34,Proposed!Q34)))</f>
        <v>0.75</v>
      </c>
      <c r="U34" s="696" t="s">
        <v>503</v>
      </c>
      <c r="V34" s="625"/>
      <c r="W34" s="625"/>
      <c r="X34" s="710"/>
    </row>
    <row r="35" spans="1:24" ht="15.75" thickBot="1">
      <c r="A35" s="747"/>
      <c r="B35" s="749" t="s">
        <v>12</v>
      </c>
      <c r="C35" s="2326">
        <v>0.4</v>
      </c>
      <c r="D35" s="2331"/>
      <c r="E35" s="2326">
        <v>0.45</v>
      </c>
      <c r="F35" s="2331"/>
      <c r="G35" s="2326" t="s">
        <v>335</v>
      </c>
      <c r="H35" s="2331"/>
      <c r="I35" s="1227"/>
      <c r="J35" s="2326">
        <v>0.4</v>
      </c>
      <c r="K35" s="2331"/>
      <c r="L35" s="2326">
        <v>0.45</v>
      </c>
      <c r="M35" s="2331"/>
      <c r="N35" s="555" t="s">
        <v>335</v>
      </c>
      <c r="O35" s="2386">
        <v>0.4</v>
      </c>
      <c r="P35" s="2387"/>
      <c r="Q35" s="2326">
        <v>0.45</v>
      </c>
      <c r="R35" s="2331"/>
      <c r="S35" s="555" t="s">
        <v>335</v>
      </c>
      <c r="T35" s="510">
        <f>IF('Prescriptive Path'!$K$1=4,Proposed!E35,(IF('Prescriptive Path'!$K$1=5,Proposed!L35,Proposed!Q35)))</f>
        <v>0.45</v>
      </c>
      <c r="U35" s="711">
        <v>26.56</v>
      </c>
      <c r="V35" s="626"/>
      <c r="W35" s="626"/>
      <c r="X35" s="712"/>
    </row>
    <row r="36" spans="1:24" ht="15.75" thickBot="1">
      <c r="A36" s="729" t="s">
        <v>555</v>
      </c>
      <c r="B36" s="790" t="s">
        <v>550</v>
      </c>
      <c r="C36" s="2384"/>
      <c r="D36" s="2385"/>
      <c r="E36" s="2384"/>
      <c r="F36" s="2385"/>
      <c r="G36" s="2393"/>
      <c r="H36" s="2394"/>
      <c r="I36" s="1245"/>
      <c r="J36" s="2384"/>
      <c r="K36" s="2385"/>
      <c r="L36" s="2384"/>
      <c r="M36" s="2385"/>
      <c r="N36" s="791"/>
      <c r="O36" s="2384"/>
      <c r="P36" s="2385"/>
      <c r="Q36" s="2384"/>
      <c r="R36" s="2385"/>
      <c r="S36" s="791"/>
      <c r="T36" s="792"/>
      <c r="U36" s="793">
        <v>1.1000000000000001</v>
      </c>
      <c r="V36" s="792"/>
      <c r="W36" s="792"/>
      <c r="X36" s="794"/>
    </row>
    <row r="37" spans="1:24" ht="45.75" customHeight="1" thickBot="1">
      <c r="A37" s="2390" t="s">
        <v>88</v>
      </c>
      <c r="B37" s="754"/>
      <c r="C37" s="557" t="s">
        <v>442</v>
      </c>
      <c r="D37" s="557" t="s">
        <v>235</v>
      </c>
      <c r="E37" s="557" t="s">
        <v>106</v>
      </c>
      <c r="F37" s="557" t="s">
        <v>219</v>
      </c>
      <c r="G37" s="557" t="s">
        <v>94</v>
      </c>
      <c r="H37" s="719"/>
      <c r="I37" s="719"/>
      <c r="J37" s="557" t="s">
        <v>442</v>
      </c>
      <c r="K37" s="557" t="s">
        <v>235</v>
      </c>
      <c r="L37" s="557" t="s">
        <v>106</v>
      </c>
      <c r="M37" s="557" t="s">
        <v>219</v>
      </c>
      <c r="N37" s="557" t="s">
        <v>94</v>
      </c>
      <c r="O37" s="557" t="s">
        <v>442</v>
      </c>
      <c r="P37" s="557" t="s">
        <v>235</v>
      </c>
      <c r="Q37" s="557" t="s">
        <v>106</v>
      </c>
      <c r="R37" s="557" t="s">
        <v>219</v>
      </c>
      <c r="S37" s="557" t="s">
        <v>94</v>
      </c>
      <c r="T37" s="539" t="s">
        <v>523</v>
      </c>
      <c r="U37" s="539" t="s">
        <v>528</v>
      </c>
      <c r="V37" s="539" t="s">
        <v>524</v>
      </c>
      <c r="W37" s="539" t="s">
        <v>525</v>
      </c>
      <c r="X37" s="540" t="s">
        <v>526</v>
      </c>
    </row>
    <row r="38" spans="1:24" ht="30.75" customHeight="1">
      <c r="A38" s="2391"/>
      <c r="B38" s="750" t="s">
        <v>338</v>
      </c>
      <c r="C38" s="772"/>
      <c r="D38" s="551">
        <v>10.8</v>
      </c>
      <c r="E38" s="592"/>
      <c r="F38" s="592"/>
      <c r="G38" s="551" t="s">
        <v>286</v>
      </c>
      <c r="H38" s="751">
        <f>D38*'Prescriptive Path'!H49*12000/1000000</f>
        <v>0</v>
      </c>
      <c r="I38" s="772"/>
      <c r="J38" s="772"/>
      <c r="K38" s="551">
        <v>10.8</v>
      </c>
      <c r="L38" s="592"/>
      <c r="M38" s="592"/>
      <c r="N38" s="551" t="s">
        <v>286</v>
      </c>
      <c r="O38" s="772"/>
      <c r="P38" s="551">
        <v>10.8</v>
      </c>
      <c r="Q38" s="592"/>
      <c r="R38" s="592"/>
      <c r="S38" s="551" t="s">
        <v>286</v>
      </c>
      <c r="T38" s="753"/>
      <c r="U38" s="752">
        <v>915.54</v>
      </c>
      <c r="V38" s="753"/>
      <c r="W38" s="713"/>
      <c r="X38" s="715"/>
    </row>
    <row r="39" spans="1:24" ht="30.75" customHeight="1">
      <c r="A39" s="755"/>
      <c r="B39" s="698" t="s">
        <v>359</v>
      </c>
      <c r="C39" s="773"/>
      <c r="D39" s="294">
        <v>12</v>
      </c>
      <c r="E39" s="537"/>
      <c r="F39" s="537"/>
      <c r="G39" s="294" t="s">
        <v>286</v>
      </c>
      <c r="H39" s="697">
        <f>D39*'Prescriptive Path'!H50*12000/1000000</f>
        <v>0</v>
      </c>
      <c r="I39" s="773"/>
      <c r="J39" s="773"/>
      <c r="K39" s="294">
        <v>12</v>
      </c>
      <c r="L39" s="537"/>
      <c r="M39" s="537"/>
      <c r="N39" s="294" t="s">
        <v>286</v>
      </c>
      <c r="O39" s="773"/>
      <c r="P39" s="294">
        <v>12</v>
      </c>
      <c r="Q39" s="537"/>
      <c r="R39" s="537"/>
      <c r="S39" s="294" t="s">
        <v>286</v>
      </c>
      <c r="T39" s="739"/>
      <c r="U39" s="752">
        <v>2327.94</v>
      </c>
      <c r="V39" s="739"/>
      <c r="W39" s="625"/>
      <c r="X39" s="710"/>
    </row>
    <row r="40" spans="1:24" ht="30.75" customHeight="1">
      <c r="A40" s="755"/>
      <c r="B40" s="699" t="s">
        <v>360</v>
      </c>
      <c r="C40" s="537"/>
      <c r="D40" s="294">
        <v>12</v>
      </c>
      <c r="E40" s="537"/>
      <c r="F40" s="537"/>
      <c r="G40" s="294" t="s">
        <v>286</v>
      </c>
      <c r="H40" s="697">
        <f>D40*'Prescriptive Path'!H51*12000/1000000</f>
        <v>0</v>
      </c>
      <c r="I40" s="537"/>
      <c r="J40" s="537"/>
      <c r="K40" s="294">
        <v>12</v>
      </c>
      <c r="L40" s="537"/>
      <c r="M40" s="537"/>
      <c r="N40" s="294" t="s">
        <v>286</v>
      </c>
      <c r="O40" s="537"/>
      <c r="P40" s="294">
        <v>12</v>
      </c>
      <c r="Q40" s="537"/>
      <c r="R40" s="537"/>
      <c r="S40" s="294" t="s">
        <v>286</v>
      </c>
      <c r="T40" s="739"/>
      <c r="U40" s="752">
        <v>2327.94</v>
      </c>
      <c r="V40" s="739"/>
      <c r="W40" s="625"/>
      <c r="X40" s="710"/>
    </row>
    <row r="41" spans="1:24" ht="30.75" customHeight="1">
      <c r="A41" s="755"/>
      <c r="B41" s="693" t="s">
        <v>361</v>
      </c>
      <c r="C41" s="537"/>
      <c r="D41" s="294">
        <v>11.5</v>
      </c>
      <c r="E41" s="537"/>
      <c r="F41" s="537"/>
      <c r="G41" s="294" t="s">
        <v>339</v>
      </c>
      <c r="H41" s="697">
        <f>D41*'Prescriptive Path'!H52*12000/1000000</f>
        <v>0</v>
      </c>
      <c r="I41" s="537"/>
      <c r="J41" s="537"/>
      <c r="K41" s="294">
        <v>11.5</v>
      </c>
      <c r="L41" s="537"/>
      <c r="M41" s="537"/>
      <c r="N41" s="294" t="s">
        <v>339</v>
      </c>
      <c r="O41" s="537"/>
      <c r="P41" s="294">
        <v>11.5</v>
      </c>
      <c r="Q41" s="537"/>
      <c r="R41" s="537"/>
      <c r="S41" s="294" t="s">
        <v>339</v>
      </c>
      <c r="T41" s="739"/>
      <c r="U41" s="752">
        <v>2327.94</v>
      </c>
      <c r="V41" s="739"/>
      <c r="W41" s="625"/>
      <c r="X41" s="710"/>
    </row>
    <row r="42" spans="1:24" ht="30.75" customHeight="1">
      <c r="A42" s="755"/>
      <c r="B42" s="693" t="s">
        <v>362</v>
      </c>
      <c r="C42" s="537"/>
      <c r="D42" s="294">
        <v>11.5</v>
      </c>
      <c r="E42" s="537"/>
      <c r="F42" s="537"/>
      <c r="G42" s="294" t="s">
        <v>339</v>
      </c>
      <c r="H42" s="697">
        <f>D42*'Prescriptive Path'!H53*12000/1000000</f>
        <v>0</v>
      </c>
      <c r="I42" s="537"/>
      <c r="J42" s="537"/>
      <c r="K42" s="294">
        <v>11.5</v>
      </c>
      <c r="L42" s="537"/>
      <c r="M42" s="537"/>
      <c r="N42" s="294" t="s">
        <v>339</v>
      </c>
      <c r="O42" s="537"/>
      <c r="P42" s="294">
        <v>11.5</v>
      </c>
      <c r="Q42" s="537"/>
      <c r="R42" s="537"/>
      <c r="S42" s="294" t="s">
        <v>339</v>
      </c>
      <c r="T42" s="739"/>
      <c r="U42" s="752">
        <v>2327.94</v>
      </c>
      <c r="V42" s="739"/>
      <c r="W42" s="625"/>
      <c r="X42" s="710"/>
    </row>
    <row r="43" spans="1:24" ht="30.75" customHeight="1">
      <c r="A43" s="755"/>
      <c r="B43" s="693" t="s">
        <v>363</v>
      </c>
      <c r="C43" s="537"/>
      <c r="D43" s="294">
        <v>10</v>
      </c>
      <c r="E43" s="537"/>
      <c r="F43" s="537"/>
      <c r="G43" s="294" t="s">
        <v>340</v>
      </c>
      <c r="H43" s="697">
        <f>D43*'Prescriptive Path'!H54*12000/1000000</f>
        <v>0</v>
      </c>
      <c r="I43" s="537"/>
      <c r="J43" s="537"/>
      <c r="K43" s="294">
        <v>10</v>
      </c>
      <c r="L43" s="537"/>
      <c r="M43" s="537"/>
      <c r="N43" s="294" t="s">
        <v>340</v>
      </c>
      <c r="O43" s="537"/>
      <c r="P43" s="294">
        <v>10</v>
      </c>
      <c r="Q43" s="537"/>
      <c r="R43" s="537"/>
      <c r="S43" s="294" t="s">
        <v>340</v>
      </c>
      <c r="T43" s="739"/>
      <c r="U43" s="752">
        <v>2327.94</v>
      </c>
      <c r="V43" s="739"/>
      <c r="W43" s="625"/>
      <c r="X43" s="710"/>
    </row>
    <row r="44" spans="1:24" ht="30.75" customHeight="1">
      <c r="A44" s="755"/>
      <c r="B44" s="698" t="s">
        <v>42</v>
      </c>
      <c r="C44" s="537"/>
      <c r="D44" s="537"/>
      <c r="E44" s="537"/>
      <c r="F44" s="537"/>
      <c r="G44" s="700" t="s">
        <v>559</v>
      </c>
      <c r="H44" s="537"/>
      <c r="I44" s="537"/>
      <c r="J44" s="537"/>
      <c r="K44" s="537"/>
      <c r="L44" s="537"/>
      <c r="M44" s="537"/>
      <c r="N44" s="700" t="s">
        <v>559</v>
      </c>
      <c r="O44" s="537"/>
      <c r="P44" s="537"/>
      <c r="Q44" s="537"/>
      <c r="R44" s="537"/>
      <c r="S44" s="700" t="s">
        <v>559</v>
      </c>
      <c r="T44" s="739"/>
      <c r="U44" s="774"/>
      <c r="V44" s="739"/>
      <c r="W44" s="625"/>
      <c r="X44" s="710"/>
    </row>
    <row r="45" spans="1:24" ht="30.75" customHeight="1">
      <c r="A45" s="755"/>
      <c r="B45" s="693" t="s">
        <v>341</v>
      </c>
      <c r="C45" s="294">
        <v>0.95</v>
      </c>
      <c r="D45" s="537"/>
      <c r="E45" s="537"/>
      <c r="F45" s="537"/>
      <c r="G45" s="294" t="s">
        <v>286</v>
      </c>
      <c r="H45" s="537"/>
      <c r="I45" s="697">
        <f>C45*'Prescriptive Path'!H56</f>
        <v>0</v>
      </c>
      <c r="J45" s="294">
        <v>0.95</v>
      </c>
      <c r="K45" s="537"/>
      <c r="L45" s="537"/>
      <c r="M45" s="537"/>
      <c r="N45" s="294" t="s">
        <v>286</v>
      </c>
      <c r="O45" s="294">
        <v>0.95</v>
      </c>
      <c r="P45" s="537"/>
      <c r="Q45" s="537"/>
      <c r="R45" s="537"/>
      <c r="S45" s="294" t="s">
        <v>286</v>
      </c>
      <c r="T45" s="739"/>
      <c r="U45" s="752">
        <v>32769.699999999997</v>
      </c>
      <c r="V45" s="739"/>
      <c r="W45" s="625"/>
      <c r="X45" s="710"/>
    </row>
    <row r="46" spans="1:24" ht="30.75" customHeight="1">
      <c r="A46" s="755"/>
      <c r="B46" s="693" t="s">
        <v>342</v>
      </c>
      <c r="C46" s="294">
        <v>0.95</v>
      </c>
      <c r="D46" s="537"/>
      <c r="E46" s="537"/>
      <c r="F46" s="537"/>
      <c r="G46" s="294" t="s">
        <v>286</v>
      </c>
      <c r="H46" s="537"/>
      <c r="I46" s="697">
        <f>C46*'Prescriptive Path'!H57</f>
        <v>0</v>
      </c>
      <c r="J46" s="294">
        <v>0.95</v>
      </c>
      <c r="K46" s="537"/>
      <c r="L46" s="537"/>
      <c r="M46" s="537"/>
      <c r="N46" s="294" t="s">
        <v>286</v>
      </c>
      <c r="O46" s="294">
        <v>0.95</v>
      </c>
      <c r="P46" s="537"/>
      <c r="Q46" s="537"/>
      <c r="R46" s="537"/>
      <c r="S46" s="294" t="s">
        <v>346</v>
      </c>
      <c r="T46" s="739"/>
      <c r="U46" s="752">
        <v>46845.48</v>
      </c>
      <c r="V46" s="739"/>
      <c r="W46" s="625"/>
      <c r="X46" s="710"/>
    </row>
    <row r="47" spans="1:24" ht="30.75" customHeight="1">
      <c r="A47" s="755"/>
      <c r="B47" s="693" t="s">
        <v>343</v>
      </c>
      <c r="C47" s="294">
        <v>0.8</v>
      </c>
      <c r="D47" s="537"/>
      <c r="E47" s="537"/>
      <c r="F47" s="537"/>
      <c r="G47" s="294" t="s">
        <v>344</v>
      </c>
      <c r="H47" s="537"/>
      <c r="I47" s="697">
        <f>C47*'Prescriptive Path'!H58</f>
        <v>0</v>
      </c>
      <c r="J47" s="294">
        <v>0.8</v>
      </c>
      <c r="K47" s="537"/>
      <c r="L47" s="537"/>
      <c r="M47" s="537"/>
      <c r="N47" s="294" t="s">
        <v>344</v>
      </c>
      <c r="O47" s="294">
        <v>0.8</v>
      </c>
      <c r="P47" s="537"/>
      <c r="Q47" s="537"/>
      <c r="R47" s="537"/>
      <c r="S47" s="294" t="s">
        <v>344</v>
      </c>
      <c r="T47" s="739"/>
      <c r="U47" s="752">
        <v>50158</v>
      </c>
      <c r="V47" s="739"/>
      <c r="W47" s="625"/>
      <c r="X47" s="710"/>
    </row>
    <row r="48" spans="1:24" ht="30.75" customHeight="1">
      <c r="A48" s="755"/>
      <c r="B48" s="699" t="s">
        <v>347</v>
      </c>
      <c r="C48" s="537"/>
      <c r="D48" s="668">
        <f>ROUND(IF('Prescriptive Path'!H59*12000&lt;7000,13.8-(0.3*(7000/1000)),IF('Prescriptive Path'!H59*12000&gt;15000,13.8-(0.3*(15000/1000)),13.8-(0.3*('Prescriptive Path'!H59*12000/1000)))),1)</f>
        <v>11.7</v>
      </c>
      <c r="E48" s="775"/>
      <c r="F48" s="668">
        <f>ROUND(D48/0.875,1)</f>
        <v>13.4</v>
      </c>
      <c r="G48" s="290" t="s">
        <v>398</v>
      </c>
      <c r="H48" s="1727">
        <f>D48*'Prescriptive Path'!H59*'Prescriptive Path'!H60*12000/1000000</f>
        <v>0</v>
      </c>
      <c r="I48" s="775"/>
      <c r="J48" s="537"/>
      <c r="K48" s="1247">
        <f>IF('Prescriptive Path'!H59*12000&lt;7000,13.8-(0.3*(7000/1000)),IF('Prescriptive Path'!H59*12000&gt;15000,13.8-(0.3*(15000/1000)),13.8-(0.3*('Prescriptive Path'!H59*12000/1000))))</f>
        <v>11.700000000000001</v>
      </c>
      <c r="L48" s="775"/>
      <c r="M48" s="537"/>
      <c r="N48" s="290" t="s">
        <v>398</v>
      </c>
      <c r="O48" s="537"/>
      <c r="P48" s="1247">
        <f>IF('Prescriptive Path'!H59*12000&lt;7000,13.8-(0.3*(7000/1000)),IF('Prescriptive Path'!H59*12000&gt;15000,13.8-(0.3*(15000/1000)),13.8-(0.3*('Prescriptive Path'!H59*12000/1000))))</f>
        <v>11.700000000000001</v>
      </c>
      <c r="Q48" s="775"/>
      <c r="R48" s="537"/>
      <c r="S48" s="290" t="s">
        <v>398</v>
      </c>
      <c r="T48" s="739"/>
      <c r="U48" s="752">
        <v>1372.27</v>
      </c>
      <c r="V48" s="739"/>
      <c r="W48" s="625"/>
      <c r="X48" s="710"/>
    </row>
    <row r="49" spans="1:24" ht="30">
      <c r="A49" s="755"/>
      <c r="B49" s="699" t="s">
        <v>348</v>
      </c>
      <c r="C49" s="294">
        <v>0.78</v>
      </c>
      <c r="D49" s="668">
        <f>IF('Prescriptive Path'!H61*12000&lt;7000,14-(0.3*(7000/1000)),IF('Prescriptive Path'!H61*12000&gt;15000,14-(0.3*(15000/1000)),14-(0.3*('Prescriptive Path'!H61*12000/1000))))</f>
        <v>11.9</v>
      </c>
      <c r="E49" s="668">
        <f>IF('Prescriptive Path'!H61*12000&lt;7000,3.7-(0.052*(7000/1000)),IF('Prescriptive Path'!H61*12000&gt;15000,3.7-(0.052*(15000/1000)),3.7-(0.052*('Prescriptive Path'!H61*12000/1000))))</f>
        <v>3.3360000000000003</v>
      </c>
      <c r="F49" s="537"/>
      <c r="G49" s="700" t="s">
        <v>399</v>
      </c>
      <c r="H49" s="1727">
        <f>D49*'Prescriptive Path'!H61*'Prescriptive Path'!H62*12000/1000000</f>
        <v>0</v>
      </c>
      <c r="I49" s="1248">
        <f>C49*'Prescriptive Path'!H61*12000/1000000</f>
        <v>0</v>
      </c>
      <c r="J49" s="294">
        <v>0.78</v>
      </c>
      <c r="K49" s="1247">
        <f>IF('Prescriptive Path'!H61*12000&lt;7000,14-(0.3*(7000/1000)),IF('Prescriptive Path'!H61*12000&gt;15000,14-(0.3*(15000/1000)),14-(0.3*('Prescriptive Path'!H61*12000/1000))))</f>
        <v>11.9</v>
      </c>
      <c r="L49" s="1247">
        <f>IF('Prescriptive Path'!H61*12000&lt;7000,3.7-(0.052*(7000/1000)),IF('Prescriptive Path'!H61*12000&gt;15000,3.7-(0.052*(15000/1000)),3.7-(0.052*('Prescriptive Path'!H61*12000/1000))))</f>
        <v>3.3360000000000003</v>
      </c>
      <c r="M49" s="537"/>
      <c r="N49" s="700" t="s">
        <v>399</v>
      </c>
      <c r="O49" s="294">
        <v>0.78</v>
      </c>
      <c r="P49" s="1247">
        <f>IF('Prescriptive Path'!H61*12000&lt;7000,14-(0.3*(7000/1000)),IF('Prescriptive Path'!H61*12000&gt;15000,14-(0.3*(15000/1000)),14-(0.3*('Prescriptive Path'!H61*12000/1000))))</f>
        <v>11.9</v>
      </c>
      <c r="Q49" s="1247">
        <f>IF('Prescriptive Path'!H61*12000&lt;7000,3.7-(0.052*(7000/1000)),IF('Prescriptive Path'!H61*12000&gt;15000,3.7-(0.052*(15000/1000)),3.7-(0.052*('Prescriptive Path'!H61*12000/1000))))</f>
        <v>3.3360000000000003</v>
      </c>
      <c r="R49" s="537"/>
      <c r="S49" s="700" t="s">
        <v>399</v>
      </c>
      <c r="T49" s="739"/>
      <c r="U49" s="582">
        <v>1828</v>
      </c>
      <c r="V49" s="739"/>
      <c r="W49" s="625"/>
      <c r="X49" s="710"/>
    </row>
    <row r="50" spans="1:24" ht="30.75" customHeight="1">
      <c r="A50" s="755"/>
      <c r="B50" s="716" t="s">
        <v>349</v>
      </c>
      <c r="C50" s="778">
        <v>0.78</v>
      </c>
      <c r="D50" s="551">
        <v>12</v>
      </c>
      <c r="E50" s="778">
        <f>8.5/3.412</f>
        <v>2.4912075029308323</v>
      </c>
      <c r="F50" s="779"/>
      <c r="G50" s="907" t="s">
        <v>567</v>
      </c>
      <c r="H50" s="780">
        <f>D50*'Prescriptive Path'!H63*12000/1000000</f>
        <v>0</v>
      </c>
      <c r="I50" s="697">
        <f>C50*'Prescriptive Path'!H63*12000/1000000</f>
        <v>0</v>
      </c>
      <c r="J50" s="778">
        <v>0.78</v>
      </c>
      <c r="K50" s="551">
        <v>12</v>
      </c>
      <c r="L50" s="766">
        <f>9.25/3.412</f>
        <v>2.7110199296600235</v>
      </c>
      <c r="M50" s="592"/>
      <c r="N50" s="907" t="s">
        <v>568</v>
      </c>
      <c r="O50" s="778">
        <v>0.78</v>
      </c>
      <c r="P50" s="551">
        <v>12</v>
      </c>
      <c r="Q50" s="766">
        <f>9.5/3.412</f>
        <v>2.7842907385697537</v>
      </c>
      <c r="R50" s="592"/>
      <c r="S50" s="907" t="s">
        <v>569</v>
      </c>
      <c r="T50" s="753"/>
      <c r="U50" s="752">
        <v>2040.27</v>
      </c>
      <c r="V50" s="753"/>
      <c r="W50" s="713"/>
      <c r="X50" s="715"/>
    </row>
    <row r="51" spans="1:24" ht="30.75" customHeight="1">
      <c r="A51" s="755"/>
      <c r="B51" s="693" t="s">
        <v>365</v>
      </c>
      <c r="C51" s="294">
        <v>0.78</v>
      </c>
      <c r="D51" s="294">
        <v>11.1</v>
      </c>
      <c r="E51" s="892">
        <v>3.3</v>
      </c>
      <c r="F51" s="537"/>
      <c r="G51" s="730" t="s">
        <v>351</v>
      </c>
      <c r="H51" s="780">
        <f>D51*'Prescriptive Path'!H64*12000/1000000</f>
        <v>0</v>
      </c>
      <c r="I51" s="697">
        <f>C51*'Prescriptive Path'!H64*12000/1000000</f>
        <v>0</v>
      </c>
      <c r="J51" s="892">
        <v>0.78</v>
      </c>
      <c r="K51" s="892">
        <v>11.1</v>
      </c>
      <c r="L51" s="892">
        <v>3.3</v>
      </c>
      <c r="M51" s="537"/>
      <c r="N51" s="730" t="s">
        <v>351</v>
      </c>
      <c r="O51" s="892">
        <v>0.78</v>
      </c>
      <c r="P51" s="892">
        <v>11.1</v>
      </c>
      <c r="Q51" s="892">
        <v>3.3</v>
      </c>
      <c r="R51" s="537"/>
      <c r="S51" s="730" t="s">
        <v>351</v>
      </c>
      <c r="T51" s="739"/>
      <c r="U51" s="752">
        <v>2040.27</v>
      </c>
      <c r="V51" s="739"/>
      <c r="W51" s="625"/>
      <c r="X51" s="710"/>
    </row>
    <row r="52" spans="1:24" ht="30.75" customHeight="1">
      <c r="A52" s="755"/>
      <c r="B52" s="693" t="s">
        <v>366</v>
      </c>
      <c r="C52" s="507">
        <v>0.78</v>
      </c>
      <c r="D52" s="507">
        <v>11.1</v>
      </c>
      <c r="E52" s="892">
        <v>3.3</v>
      </c>
      <c r="F52" s="537"/>
      <c r="G52" s="730" t="s">
        <v>351</v>
      </c>
      <c r="H52" s="780">
        <f>D52*'Prescriptive Path'!H65*12000/1000000</f>
        <v>0</v>
      </c>
      <c r="I52" s="697">
        <f>C52*'Prescriptive Path'!H65*12000/1000000</f>
        <v>0</v>
      </c>
      <c r="J52" s="892">
        <v>0.78</v>
      </c>
      <c r="K52" s="892">
        <v>11.1</v>
      </c>
      <c r="L52" s="892">
        <v>3.3</v>
      </c>
      <c r="M52" s="537"/>
      <c r="N52" s="730" t="s">
        <v>351</v>
      </c>
      <c r="O52" s="892">
        <v>0.78</v>
      </c>
      <c r="P52" s="892">
        <v>11.1</v>
      </c>
      <c r="Q52" s="892">
        <v>3.3</v>
      </c>
      <c r="R52" s="537"/>
      <c r="S52" s="730" t="s">
        <v>351</v>
      </c>
      <c r="T52" s="625"/>
      <c r="U52" s="752">
        <v>2040.27</v>
      </c>
      <c r="V52" s="625"/>
      <c r="W52" s="625"/>
      <c r="X52" s="710"/>
    </row>
    <row r="53" spans="1:24" ht="30.75" customHeight="1">
      <c r="A53" s="755"/>
      <c r="B53" s="693" t="s">
        <v>350</v>
      </c>
      <c r="C53" s="507">
        <v>0.78</v>
      </c>
      <c r="D53" s="294">
        <v>9.6</v>
      </c>
      <c r="E53" s="892">
        <v>3.2</v>
      </c>
      <c r="F53" s="537"/>
      <c r="G53" s="730" t="s">
        <v>352</v>
      </c>
      <c r="H53" s="780">
        <f>D53*'Prescriptive Path'!H66*12000/1000000</f>
        <v>0</v>
      </c>
      <c r="I53" s="697">
        <f>C53*'Prescriptive Path'!H66*12000/1000000</f>
        <v>0</v>
      </c>
      <c r="J53" s="892">
        <v>0.78</v>
      </c>
      <c r="K53" s="892">
        <v>9.6</v>
      </c>
      <c r="L53" s="892">
        <v>3.2</v>
      </c>
      <c r="M53" s="537"/>
      <c r="N53" s="730" t="s">
        <v>352</v>
      </c>
      <c r="O53" s="892">
        <v>0.78</v>
      </c>
      <c r="P53" s="892">
        <v>9.6</v>
      </c>
      <c r="Q53" s="892">
        <v>3.2</v>
      </c>
      <c r="R53" s="537"/>
      <c r="S53" s="730" t="s">
        <v>352</v>
      </c>
      <c r="T53" s="625"/>
      <c r="U53" s="752">
        <v>2040.27</v>
      </c>
      <c r="V53" s="625"/>
      <c r="W53" s="625"/>
      <c r="X53" s="710"/>
    </row>
    <row r="54" spans="1:24" ht="30.75" customHeight="1">
      <c r="A54" s="755"/>
      <c r="B54" s="760" t="s">
        <v>353</v>
      </c>
      <c r="C54" s="294">
        <v>0.78</v>
      </c>
      <c r="D54" s="294">
        <v>14</v>
      </c>
      <c r="E54" s="892">
        <v>4.2</v>
      </c>
      <c r="F54" s="537"/>
      <c r="G54" s="704" t="s">
        <v>354</v>
      </c>
      <c r="H54" s="290">
        <f>D54*'Prescriptive Path'!H67*12000/1000000</f>
        <v>0</v>
      </c>
      <c r="I54" s="697">
        <f>C54*'Prescriptive Path'!H67*12000/1000000</f>
        <v>0</v>
      </c>
      <c r="J54" s="892">
        <v>0.78</v>
      </c>
      <c r="K54" s="892">
        <v>14</v>
      </c>
      <c r="L54" s="892">
        <v>4.2</v>
      </c>
      <c r="M54" s="537"/>
      <c r="N54" s="704" t="s">
        <v>354</v>
      </c>
      <c r="O54" s="892">
        <v>0.78</v>
      </c>
      <c r="P54" s="892">
        <v>14</v>
      </c>
      <c r="Q54" s="892">
        <v>4.2</v>
      </c>
      <c r="R54" s="537"/>
      <c r="S54" s="704" t="s">
        <v>354</v>
      </c>
      <c r="T54" s="625"/>
      <c r="U54" s="752">
        <v>2516.0100000000002</v>
      </c>
      <c r="V54" s="625"/>
      <c r="W54" s="625"/>
      <c r="X54" s="710"/>
    </row>
    <row r="55" spans="1:24" ht="30.75" customHeight="1">
      <c r="A55" s="755"/>
      <c r="B55" s="760" t="s">
        <v>355</v>
      </c>
      <c r="C55" s="294">
        <v>0.85</v>
      </c>
      <c r="D55" s="537"/>
      <c r="E55" s="537"/>
      <c r="F55" s="537"/>
      <c r="G55" s="704" t="s">
        <v>286</v>
      </c>
      <c r="H55" s="537"/>
      <c r="I55" s="697">
        <f>C55*'Prescriptive Path'!H68</f>
        <v>0</v>
      </c>
      <c r="J55" s="892">
        <v>0.85</v>
      </c>
      <c r="K55" s="537"/>
      <c r="L55" s="537"/>
      <c r="M55" s="537"/>
      <c r="N55" s="704" t="s">
        <v>286</v>
      </c>
      <c r="O55" s="892">
        <v>0.9</v>
      </c>
      <c r="P55" s="537"/>
      <c r="Q55" s="537"/>
      <c r="R55" s="537"/>
      <c r="S55" s="704" t="s">
        <v>570</v>
      </c>
      <c r="T55" s="625"/>
      <c r="U55" s="597">
        <v>39731</v>
      </c>
      <c r="V55" s="625"/>
      <c r="W55" s="625"/>
      <c r="X55" s="710"/>
    </row>
    <row r="56" spans="1:24" ht="30.75" customHeight="1">
      <c r="A56" s="755"/>
      <c r="B56" s="760" t="s">
        <v>356</v>
      </c>
      <c r="C56" s="294">
        <v>0.86</v>
      </c>
      <c r="D56" s="537"/>
      <c r="E56" s="537"/>
      <c r="F56" s="537"/>
      <c r="G56" s="704" t="s">
        <v>2269</v>
      </c>
      <c r="H56" s="537"/>
      <c r="I56" s="697">
        <f>C56*'Prescriptive Path'!H69</f>
        <v>0</v>
      </c>
      <c r="J56" s="294">
        <v>0.86</v>
      </c>
      <c r="K56" s="537"/>
      <c r="L56" s="537"/>
      <c r="M56" s="537"/>
      <c r="N56" s="704" t="s">
        <v>2269</v>
      </c>
      <c r="O56" s="294">
        <v>0.86</v>
      </c>
      <c r="P56" s="537"/>
      <c r="Q56" s="537"/>
      <c r="R56" s="537"/>
      <c r="S56" s="704" t="s">
        <v>2269</v>
      </c>
      <c r="T56" s="625"/>
      <c r="U56" s="597">
        <v>42264.13</v>
      </c>
      <c r="V56" s="625"/>
      <c r="W56" s="625"/>
      <c r="X56" s="710"/>
    </row>
    <row r="57" spans="1:24" ht="30.75" customHeight="1" thickBot="1">
      <c r="A57" s="755"/>
      <c r="B57" s="761" t="s">
        <v>357</v>
      </c>
      <c r="C57" s="762">
        <f>IF('Prescriptive Path'!H70&lt;65000/12000,ROUND(7.7/3.413,2),IF('Prescriptive Path'!H70&lt;135000/12000,2.25,2.05))</f>
        <v>2.2599999999999998</v>
      </c>
      <c r="D57" s="762">
        <f>IF('Prescriptive Path'!H70&lt;135000/12000,11,IF('Prescriptive Path'!H70&lt;240000/12000,10.6,9.5))</f>
        <v>11</v>
      </c>
      <c r="E57" s="762">
        <f>IF('Prescriptive Path'!H70&lt;65000/12000,ROUND(7.7/3.413,2),IF('Prescriptive Path'!H70&lt;135000/12000,3.3,3.2))</f>
        <v>2.2599999999999998</v>
      </c>
      <c r="F57" s="2108">
        <f>IF('Prescriptive Path'!H70&lt;135000/12000,12.9,IF('Prescriptive Path'!H70&lt;240000/12000,12.3,11))</f>
        <v>12.9</v>
      </c>
      <c r="G57" s="763" t="s">
        <v>2467</v>
      </c>
      <c r="H57" s="764">
        <f>D57*'Prescriptive Path'!H70*12000/1000000</f>
        <v>0</v>
      </c>
      <c r="I57" s="697">
        <f>C57*'Prescriptive Path'!H70*12000/1000000</f>
        <v>0</v>
      </c>
      <c r="J57" s="762"/>
      <c r="K57" s="762"/>
      <c r="L57" s="777"/>
      <c r="M57" s="777"/>
      <c r="N57" s="763"/>
      <c r="O57" s="762"/>
      <c r="P57" s="762"/>
      <c r="Q57" s="777"/>
      <c r="R57" s="777"/>
      <c r="S57" s="763" t="s">
        <v>2467</v>
      </c>
      <c r="T57" s="626"/>
      <c r="U57" s="752">
        <f>512.5/12000</f>
        <v>4.2708333333333334E-2</v>
      </c>
      <c r="V57" s="626"/>
      <c r="W57" s="626"/>
      <c r="X57" s="712"/>
    </row>
    <row r="58" spans="1:24" ht="45.75" thickBot="1">
      <c r="A58" s="755"/>
      <c r="B58" s="770"/>
      <c r="C58" s="557" t="s">
        <v>442</v>
      </c>
      <c r="D58" s="557" t="s">
        <v>235</v>
      </c>
      <c r="E58" s="557" t="s">
        <v>473</v>
      </c>
      <c r="F58" s="557" t="s">
        <v>474</v>
      </c>
      <c r="G58" s="771" t="s">
        <v>94</v>
      </c>
      <c r="H58" s="539"/>
      <c r="I58" s="539"/>
      <c r="J58" s="557" t="s">
        <v>442</v>
      </c>
      <c r="K58" s="557" t="s">
        <v>235</v>
      </c>
      <c r="L58" s="557" t="s">
        <v>473</v>
      </c>
      <c r="M58" s="557" t="s">
        <v>474</v>
      </c>
      <c r="N58" s="771" t="s">
        <v>94</v>
      </c>
      <c r="O58" s="557" t="s">
        <v>442</v>
      </c>
      <c r="P58" s="557" t="s">
        <v>235</v>
      </c>
      <c r="Q58" s="557" t="s">
        <v>473</v>
      </c>
      <c r="R58" s="557" t="s">
        <v>474</v>
      </c>
      <c r="S58" s="771" t="s">
        <v>94</v>
      </c>
      <c r="T58" s="539" t="s">
        <v>523</v>
      </c>
      <c r="U58" s="539" t="s">
        <v>528</v>
      </c>
      <c r="V58" s="539" t="s">
        <v>524</v>
      </c>
      <c r="W58" s="539" t="s">
        <v>525</v>
      </c>
      <c r="X58" s="540" t="s">
        <v>526</v>
      </c>
    </row>
    <row r="59" spans="1:24" ht="30.75" customHeight="1">
      <c r="A59" s="755"/>
      <c r="B59" s="765" t="s">
        <v>2</v>
      </c>
      <c r="C59" s="779"/>
      <c r="D59" s="767">
        <v>10</v>
      </c>
      <c r="E59" s="766">
        <f>10/3.412</f>
        <v>2.9308323563892147</v>
      </c>
      <c r="F59" s="766">
        <f>12.5/3.412</f>
        <v>3.6635404454865181</v>
      </c>
      <c r="G59" s="768" t="s">
        <v>367</v>
      </c>
      <c r="H59" s="769">
        <f>D59*'Prescriptive Path'!H72*12000/1000000</f>
        <v>0</v>
      </c>
      <c r="I59" s="779"/>
      <c r="J59" s="779"/>
      <c r="K59" s="767">
        <v>10</v>
      </c>
      <c r="L59" s="766">
        <f>10/3.412</f>
        <v>2.9308323563892147</v>
      </c>
      <c r="M59" s="766">
        <f>12/3.412</f>
        <v>3.5169988276670576</v>
      </c>
      <c r="N59" s="768" t="s">
        <v>367</v>
      </c>
      <c r="O59" s="779"/>
      <c r="P59" s="767">
        <v>10</v>
      </c>
      <c r="Q59" s="766">
        <f>10/3.412</f>
        <v>2.9308323563892147</v>
      </c>
      <c r="R59" s="766">
        <f>12.5/3.412</f>
        <v>3.6635404454865181</v>
      </c>
      <c r="S59" s="768" t="s">
        <v>367</v>
      </c>
      <c r="T59" s="713"/>
      <c r="U59" s="782"/>
      <c r="V59" s="713"/>
      <c r="W59" s="713"/>
      <c r="X59" s="715"/>
    </row>
    <row r="60" spans="1:24" ht="30.75" customHeight="1">
      <c r="A60" s="755"/>
      <c r="B60" s="760" t="s">
        <v>3</v>
      </c>
      <c r="C60" s="776"/>
      <c r="D60" s="731">
        <v>10</v>
      </c>
      <c r="E60" s="702">
        <f>10/3.412</f>
        <v>2.9308323563892147</v>
      </c>
      <c r="F60" s="702">
        <f>12.5/3.412</f>
        <v>3.6635404454865181</v>
      </c>
      <c r="G60" s="732" t="s">
        <v>367</v>
      </c>
      <c r="H60" s="701">
        <f>D60*'Prescriptive Path'!H73*12000/1000000</f>
        <v>0</v>
      </c>
      <c r="I60" s="776"/>
      <c r="J60" s="776"/>
      <c r="K60" s="731">
        <v>10</v>
      </c>
      <c r="L60" s="702">
        <f>10/3.412</f>
        <v>2.9308323563892147</v>
      </c>
      <c r="M60" s="702">
        <f>12.5/3.412</f>
        <v>3.6635404454865181</v>
      </c>
      <c r="N60" s="732" t="s">
        <v>367</v>
      </c>
      <c r="O60" s="776"/>
      <c r="P60" s="731">
        <v>10</v>
      </c>
      <c r="Q60" s="702">
        <f>10/3.412</f>
        <v>2.9308323563892147</v>
      </c>
      <c r="R60" s="702">
        <f>12.5/3.412</f>
        <v>3.6635404454865181</v>
      </c>
      <c r="S60" s="732" t="s">
        <v>367</v>
      </c>
      <c r="T60" s="625"/>
      <c r="U60" s="738"/>
      <c r="V60" s="625"/>
      <c r="W60" s="625"/>
      <c r="X60" s="710"/>
    </row>
    <row r="61" spans="1:24" ht="30.75" customHeight="1">
      <c r="A61" s="755"/>
      <c r="B61" s="760" t="s">
        <v>368</v>
      </c>
      <c r="C61" s="702">
        <v>0.78</v>
      </c>
      <c r="D61" s="702">
        <f>12/0.78</f>
        <v>15.384615384615383</v>
      </c>
      <c r="E61" s="702">
        <f>12/0.78/3.412</f>
        <v>4.5089728559834068</v>
      </c>
      <c r="F61" s="702">
        <f>12/0.63/3.412</f>
        <v>5.5825378216937418</v>
      </c>
      <c r="G61" s="732" t="s">
        <v>382</v>
      </c>
      <c r="H61" s="701">
        <f>D61*'Prescriptive Path'!H74*12000/1000000</f>
        <v>0</v>
      </c>
      <c r="I61" s="701">
        <f>C61*'Prescriptive Path'!H74*12000/1000000</f>
        <v>0</v>
      </c>
      <c r="J61" s="702">
        <v>0.78</v>
      </c>
      <c r="K61" s="702">
        <f>12/0.78</f>
        <v>15.384615384615383</v>
      </c>
      <c r="L61" s="702">
        <f>12/0.78/3.412</f>
        <v>4.5089728559834068</v>
      </c>
      <c r="M61" s="702">
        <f>12/0.63/3.412</f>
        <v>5.5825378216937418</v>
      </c>
      <c r="N61" s="732" t="s">
        <v>382</v>
      </c>
      <c r="O61" s="702">
        <v>0.78</v>
      </c>
      <c r="P61" s="702">
        <f>12/0.78</f>
        <v>15.384615384615383</v>
      </c>
      <c r="Q61" s="702">
        <f>12/0.78/3.412</f>
        <v>4.5089728559834068</v>
      </c>
      <c r="R61" s="702">
        <f>12/0.63/3.412</f>
        <v>5.5825378216937418</v>
      </c>
      <c r="S61" s="732" t="s">
        <v>382</v>
      </c>
      <c r="T61" s="625"/>
      <c r="U61" s="738"/>
      <c r="V61" s="625"/>
      <c r="W61" s="625"/>
      <c r="X61" s="710"/>
    </row>
    <row r="62" spans="1:24" ht="30.75" customHeight="1">
      <c r="A62" s="755"/>
      <c r="B62" s="760" t="s">
        <v>369</v>
      </c>
      <c r="C62" s="702">
        <v>0.78</v>
      </c>
      <c r="D62" s="702">
        <f>12/0.775</f>
        <v>15.483870967741934</v>
      </c>
      <c r="E62" s="702">
        <f>12/0.775/3.412</f>
        <v>4.5380630034413638</v>
      </c>
      <c r="F62" s="702">
        <f>12/0.615/3.412</f>
        <v>5.7186972807594429</v>
      </c>
      <c r="G62" s="732" t="s">
        <v>383</v>
      </c>
      <c r="H62" s="701">
        <f>D62*'Prescriptive Path'!H75*12000/1000000</f>
        <v>0</v>
      </c>
      <c r="I62" s="701">
        <f>C62*'Prescriptive Path'!H75*12000/1000000</f>
        <v>0</v>
      </c>
      <c r="J62" s="702">
        <v>0.78</v>
      </c>
      <c r="K62" s="702">
        <f>12/0.775</f>
        <v>15.483870967741934</v>
      </c>
      <c r="L62" s="702">
        <f>12/0.775/3.412</f>
        <v>4.5380630034413638</v>
      </c>
      <c r="M62" s="702">
        <f>12/0.615/3.412</f>
        <v>5.7186972807594429</v>
      </c>
      <c r="N62" s="732" t="s">
        <v>383</v>
      </c>
      <c r="O62" s="702">
        <v>0.78</v>
      </c>
      <c r="P62" s="702">
        <f>12/0.775</f>
        <v>15.483870967741934</v>
      </c>
      <c r="Q62" s="702">
        <f>12/0.775/3.412</f>
        <v>4.5380630034413638</v>
      </c>
      <c r="R62" s="702">
        <f>12/0.615/3.412</f>
        <v>5.7186972807594429</v>
      </c>
      <c r="S62" s="732" t="s">
        <v>383</v>
      </c>
      <c r="T62" s="625"/>
      <c r="U62" s="738"/>
      <c r="V62" s="625"/>
      <c r="W62" s="625"/>
      <c r="X62" s="710"/>
    </row>
    <row r="63" spans="1:24" ht="30.75" customHeight="1">
      <c r="A63" s="755"/>
      <c r="B63" s="760" t="s">
        <v>370</v>
      </c>
      <c r="C63" s="702">
        <v>0.78</v>
      </c>
      <c r="D63" s="702">
        <f>12/0.68</f>
        <v>17.647058823529409</v>
      </c>
      <c r="E63" s="702">
        <f>12/0.68/3.412</f>
        <v>5.1720570995103783</v>
      </c>
      <c r="F63" s="702">
        <f>12/0.58/3.412</f>
        <v>6.063791082184582</v>
      </c>
      <c r="G63" s="732" t="s">
        <v>384</v>
      </c>
      <c r="H63" s="701">
        <f>D63*'Prescriptive Path'!H76*12000/1000000</f>
        <v>0</v>
      </c>
      <c r="I63" s="701">
        <f>C63*'Prescriptive Path'!H76*12000/1000000</f>
        <v>0</v>
      </c>
      <c r="J63" s="702">
        <v>0.78</v>
      </c>
      <c r="K63" s="702">
        <f>12/0.68</f>
        <v>17.647058823529409</v>
      </c>
      <c r="L63" s="702">
        <f>12/0.68/3.412</f>
        <v>5.1720570995103783</v>
      </c>
      <c r="M63" s="702">
        <f>12/0.58/3.412</f>
        <v>6.063791082184582</v>
      </c>
      <c r="N63" s="732" t="s">
        <v>384</v>
      </c>
      <c r="O63" s="702">
        <v>0.78</v>
      </c>
      <c r="P63" s="702">
        <f>12/0.68</f>
        <v>17.647058823529409</v>
      </c>
      <c r="Q63" s="702">
        <f>12/0.68/3.412</f>
        <v>5.1720570995103783</v>
      </c>
      <c r="R63" s="702">
        <f>12/0.58/3.412</f>
        <v>6.063791082184582</v>
      </c>
      <c r="S63" s="732" t="s">
        <v>384</v>
      </c>
      <c r="T63" s="625"/>
      <c r="U63" s="738"/>
      <c r="V63" s="625"/>
      <c r="W63" s="625"/>
      <c r="X63" s="710"/>
    </row>
    <row r="64" spans="1:24" ht="30.75" customHeight="1">
      <c r="A64" s="755"/>
      <c r="B64" s="760" t="s">
        <v>371</v>
      </c>
      <c r="C64" s="702">
        <v>0.78</v>
      </c>
      <c r="D64" s="702">
        <f>12/0.62</f>
        <v>19.35483870967742</v>
      </c>
      <c r="E64" s="702">
        <f>12/0.62/3.412</f>
        <v>5.6725787543017061</v>
      </c>
      <c r="F64" s="702">
        <f>12/0.54/3.412</f>
        <v>6.5129607919760319</v>
      </c>
      <c r="G64" s="732" t="s">
        <v>385</v>
      </c>
      <c r="H64" s="701">
        <f>D64*'Prescriptive Path'!H77*12000/1000000</f>
        <v>0</v>
      </c>
      <c r="I64" s="701">
        <f>C64*'Prescriptive Path'!H77*12000/1000000</f>
        <v>0</v>
      </c>
      <c r="J64" s="702">
        <v>0.78</v>
      </c>
      <c r="K64" s="702">
        <f>12/0.62</f>
        <v>19.35483870967742</v>
      </c>
      <c r="L64" s="702">
        <f>12/0.62/3.412</f>
        <v>5.6725787543017061</v>
      </c>
      <c r="M64" s="702">
        <f>12/0.54/3.412</f>
        <v>6.5129607919760319</v>
      </c>
      <c r="N64" s="732" t="s">
        <v>385</v>
      </c>
      <c r="O64" s="702">
        <v>0.78</v>
      </c>
      <c r="P64" s="702">
        <f>12/0.62</f>
        <v>19.35483870967742</v>
      </c>
      <c r="Q64" s="702">
        <f>12/0.62/3.412</f>
        <v>5.6725787543017061</v>
      </c>
      <c r="R64" s="702">
        <f>12/0.54/3.412</f>
        <v>6.5129607919760319</v>
      </c>
      <c r="S64" s="732" t="s">
        <v>385</v>
      </c>
      <c r="T64" s="625"/>
      <c r="U64" s="738"/>
      <c r="V64" s="625"/>
      <c r="W64" s="625"/>
      <c r="X64" s="710"/>
    </row>
    <row r="65" spans="1:24" ht="30.75" customHeight="1">
      <c r="A65" s="755"/>
      <c r="B65" s="760" t="s">
        <v>393</v>
      </c>
      <c r="C65" s="702">
        <v>0.78</v>
      </c>
      <c r="D65" s="702">
        <f>12/0.634</f>
        <v>18.927444794952681</v>
      </c>
      <c r="E65" s="702">
        <f>12/0.634/3.412</f>
        <v>5.5473167628817937</v>
      </c>
      <c r="F65" s="702">
        <f>12/0.596/3.412</f>
        <v>5.9010047444078149</v>
      </c>
      <c r="G65" s="732" t="s">
        <v>386</v>
      </c>
      <c r="H65" s="701">
        <f>D65*'Prescriptive Path'!H78*12000/1000000</f>
        <v>0</v>
      </c>
      <c r="I65" s="701">
        <f>C65*'Prescriptive Path'!H78*12000/1000000</f>
        <v>0</v>
      </c>
      <c r="J65" s="702">
        <v>0.78</v>
      </c>
      <c r="K65" s="702">
        <f>12/0.634</f>
        <v>18.927444794952681</v>
      </c>
      <c r="L65" s="702">
        <f>12/0.634/3.412</f>
        <v>5.5473167628817937</v>
      </c>
      <c r="M65" s="702">
        <f>12/0.596/3.412</f>
        <v>5.9010047444078149</v>
      </c>
      <c r="N65" s="732" t="s">
        <v>386</v>
      </c>
      <c r="O65" s="702">
        <v>0.78</v>
      </c>
      <c r="P65" s="702">
        <f>12/0.634</f>
        <v>18.927444794952681</v>
      </c>
      <c r="Q65" s="702">
        <f>12/0.634/3.412</f>
        <v>5.5473167628817937</v>
      </c>
      <c r="R65" s="702">
        <f>12/0.596/3.412</f>
        <v>5.9010047444078149</v>
      </c>
      <c r="S65" s="732" t="s">
        <v>386</v>
      </c>
      <c r="T65" s="625"/>
      <c r="U65" s="738"/>
      <c r="V65" s="625"/>
      <c r="W65" s="625"/>
      <c r="X65" s="710"/>
    </row>
    <row r="66" spans="1:24" ht="30.75" customHeight="1">
      <c r="A66" s="755"/>
      <c r="B66" s="760" t="s">
        <v>394</v>
      </c>
      <c r="C66" s="702">
        <v>0.78</v>
      </c>
      <c r="D66" s="702">
        <f>D65</f>
        <v>18.927444794952681</v>
      </c>
      <c r="E66" s="702">
        <f>12/0.634/3.412</f>
        <v>5.5473167628817937</v>
      </c>
      <c r="F66" s="702">
        <f>12/0.596/3.412</f>
        <v>5.9010047444078149</v>
      </c>
      <c r="G66" s="732" t="s">
        <v>386</v>
      </c>
      <c r="H66" s="701">
        <f>D66*'Prescriptive Path'!H79*12000/1000000</f>
        <v>0</v>
      </c>
      <c r="I66" s="701">
        <f>C66*'Prescriptive Path'!H79*12000/1000000</f>
        <v>0</v>
      </c>
      <c r="J66" s="702">
        <v>0.78</v>
      </c>
      <c r="K66" s="702">
        <f>K65</f>
        <v>18.927444794952681</v>
      </c>
      <c r="L66" s="702">
        <f>12/0.634/3.412</f>
        <v>5.5473167628817937</v>
      </c>
      <c r="M66" s="702">
        <f>12/0.596/3.412</f>
        <v>5.9010047444078149</v>
      </c>
      <c r="N66" s="732" t="s">
        <v>386</v>
      </c>
      <c r="O66" s="702">
        <v>0.78</v>
      </c>
      <c r="P66" s="702">
        <f>P65</f>
        <v>18.927444794952681</v>
      </c>
      <c r="Q66" s="702">
        <f>12/0.634/3.412</f>
        <v>5.5473167628817937</v>
      </c>
      <c r="R66" s="702">
        <f>12/0.596/3.412</f>
        <v>5.9010047444078149</v>
      </c>
      <c r="S66" s="732" t="s">
        <v>386</v>
      </c>
      <c r="T66" s="625"/>
      <c r="U66" s="738"/>
      <c r="V66" s="625"/>
      <c r="W66" s="625"/>
      <c r="X66" s="710"/>
    </row>
    <row r="67" spans="1:24" ht="30.75" customHeight="1">
      <c r="A67" s="755"/>
      <c r="B67" s="760" t="s">
        <v>372</v>
      </c>
      <c r="C67" s="702">
        <v>0.78</v>
      </c>
      <c r="D67" s="702">
        <f>12/0.576</f>
        <v>20.833333333333336</v>
      </c>
      <c r="E67" s="702">
        <f>12/0.576/3.412</f>
        <v>6.1059007424775311</v>
      </c>
      <c r="F67" s="702">
        <f>12/0.549/3.412</f>
        <v>6.4061909429272452</v>
      </c>
      <c r="G67" s="732" t="s">
        <v>387</v>
      </c>
      <c r="H67" s="701">
        <f>D67*'Prescriptive Path'!H80*12000/1000000</f>
        <v>0</v>
      </c>
      <c r="I67" s="701">
        <f>C67*'Prescriptive Path'!H80*12000/1000000</f>
        <v>0</v>
      </c>
      <c r="J67" s="702">
        <v>0.78</v>
      </c>
      <c r="K67" s="702">
        <f>12/0.576</f>
        <v>20.833333333333336</v>
      </c>
      <c r="L67" s="702">
        <f>12/0.576/3.412</f>
        <v>6.1059007424775311</v>
      </c>
      <c r="M67" s="702">
        <f>12/0.549/3.412</f>
        <v>6.4061909429272452</v>
      </c>
      <c r="N67" s="732" t="s">
        <v>387</v>
      </c>
      <c r="O67" s="702">
        <v>0.78</v>
      </c>
      <c r="P67" s="702">
        <f>12/0.576</f>
        <v>20.833333333333336</v>
      </c>
      <c r="Q67" s="702">
        <f>12/0.576/3.412</f>
        <v>6.1059007424775311</v>
      </c>
      <c r="R67" s="702">
        <f>12/0.549/3.412</f>
        <v>6.4061909429272452</v>
      </c>
      <c r="S67" s="732" t="s">
        <v>387</v>
      </c>
      <c r="T67" s="625"/>
      <c r="U67" s="738"/>
      <c r="V67" s="625"/>
      <c r="W67" s="625"/>
      <c r="X67" s="710"/>
    </row>
    <row r="68" spans="1:24" ht="30.75" customHeight="1">
      <c r="A68" s="755"/>
      <c r="B68" s="760" t="s">
        <v>373</v>
      </c>
      <c r="C68" s="702">
        <v>0.78</v>
      </c>
      <c r="D68" s="702">
        <f>12/0.57</f>
        <v>21.05263157894737</v>
      </c>
      <c r="E68" s="702">
        <f>12/0.57/3.412</f>
        <v>6.170173381872031</v>
      </c>
      <c r="F68" s="702">
        <f>12/0.539/3.412</f>
        <v>6.5250442071745027</v>
      </c>
      <c r="G68" s="732" t="s">
        <v>388</v>
      </c>
      <c r="H68" s="701">
        <f>D68*'Prescriptive Path'!H81*12000/1000000</f>
        <v>0</v>
      </c>
      <c r="I68" s="701">
        <f>C68*'Prescriptive Path'!H81*12000/1000000</f>
        <v>0</v>
      </c>
      <c r="J68" s="702">
        <v>0.78</v>
      </c>
      <c r="K68" s="702">
        <f>12/0.57</f>
        <v>21.05263157894737</v>
      </c>
      <c r="L68" s="702">
        <f>12/0.57/3.412</f>
        <v>6.170173381872031</v>
      </c>
      <c r="M68" s="702">
        <f>12/0.539/3.412</f>
        <v>6.5250442071745027</v>
      </c>
      <c r="N68" s="732" t="s">
        <v>388</v>
      </c>
      <c r="O68" s="702">
        <v>0.78</v>
      </c>
      <c r="P68" s="702">
        <f>12/0.57</f>
        <v>21.05263157894737</v>
      </c>
      <c r="Q68" s="702">
        <f>12/0.57/3.412</f>
        <v>6.170173381872031</v>
      </c>
      <c r="R68" s="702">
        <f>12/0.539/3.412</f>
        <v>6.5250442071745027</v>
      </c>
      <c r="S68" s="732" t="s">
        <v>388</v>
      </c>
      <c r="T68" s="625"/>
      <c r="U68" s="738"/>
      <c r="V68" s="625"/>
      <c r="W68" s="625"/>
      <c r="X68" s="710"/>
    </row>
    <row r="69" spans="1:24" ht="30.75" customHeight="1">
      <c r="A69" s="755"/>
      <c r="B69" s="760" t="s">
        <v>374</v>
      </c>
      <c r="C69" s="294">
        <v>0.78</v>
      </c>
      <c r="D69" s="294">
        <f>0.6*3.412</f>
        <v>2.0471999999999997</v>
      </c>
      <c r="E69" s="702">
        <v>0.6</v>
      </c>
      <c r="F69" s="702">
        <v>0.6</v>
      </c>
      <c r="G69" s="732" t="s">
        <v>25</v>
      </c>
      <c r="H69" s="701">
        <f>D69*'Prescriptive Path'!H82*12000/1000000</f>
        <v>0</v>
      </c>
      <c r="I69" s="701">
        <f>C69*'Prescriptive Path'!H82*12000/1000000</f>
        <v>0</v>
      </c>
      <c r="J69" s="294">
        <v>0.78</v>
      </c>
      <c r="K69" s="294">
        <f>0.6*3.412</f>
        <v>2.0471999999999997</v>
      </c>
      <c r="L69" s="702">
        <v>0.6</v>
      </c>
      <c r="M69" s="537"/>
      <c r="N69" s="294" t="s">
        <v>25</v>
      </c>
      <c r="O69" s="294">
        <v>0.78</v>
      </c>
      <c r="P69" s="294">
        <f>0.6*3.412</f>
        <v>2.0471999999999997</v>
      </c>
      <c r="Q69" s="702">
        <v>0.6</v>
      </c>
      <c r="R69" s="294"/>
      <c r="S69" s="294" t="s">
        <v>25</v>
      </c>
      <c r="T69" s="625"/>
      <c r="U69" s="738"/>
      <c r="V69" s="625"/>
      <c r="W69" s="625"/>
      <c r="X69" s="710"/>
    </row>
    <row r="70" spans="1:24" ht="30.75" customHeight="1">
      <c r="A70" s="755"/>
      <c r="B70" s="760" t="s">
        <v>375</v>
      </c>
      <c r="C70" s="294">
        <v>0.78</v>
      </c>
      <c r="D70" s="294">
        <f>0.7*3.412</f>
        <v>2.3883999999999999</v>
      </c>
      <c r="E70" s="702">
        <v>0.7</v>
      </c>
      <c r="F70" s="702">
        <v>0.7</v>
      </c>
      <c r="G70" s="732" t="s">
        <v>28</v>
      </c>
      <c r="H70" s="701">
        <f>D70*'Prescriptive Path'!H83*12000/1000000</f>
        <v>0</v>
      </c>
      <c r="I70" s="701">
        <f>C70*'Prescriptive Path'!H83*12000/1000000</f>
        <v>0</v>
      </c>
      <c r="J70" s="294">
        <v>0.78</v>
      </c>
      <c r="K70" s="294">
        <f>0.7*3.412</f>
        <v>2.3883999999999999</v>
      </c>
      <c r="L70" s="702">
        <v>0.7</v>
      </c>
      <c r="M70" s="537"/>
      <c r="N70" s="294" t="s">
        <v>28</v>
      </c>
      <c r="O70" s="294">
        <v>0.78</v>
      </c>
      <c r="P70" s="294">
        <f>0.7*3.412</f>
        <v>2.3883999999999999</v>
      </c>
      <c r="Q70" s="702">
        <v>0.7</v>
      </c>
      <c r="R70" s="294"/>
      <c r="S70" s="294" t="s">
        <v>28</v>
      </c>
      <c r="T70" s="625"/>
      <c r="U70" s="738"/>
      <c r="V70" s="625"/>
      <c r="W70" s="625"/>
      <c r="X70" s="710"/>
    </row>
    <row r="71" spans="1:24" ht="30.75" customHeight="1">
      <c r="A71" s="755"/>
      <c r="B71" s="760" t="s">
        <v>376</v>
      </c>
      <c r="C71" s="294">
        <v>0.78</v>
      </c>
      <c r="D71" s="294">
        <v>3.4119999999999999</v>
      </c>
      <c r="E71" s="294">
        <v>1</v>
      </c>
      <c r="F71" s="294">
        <v>1.05</v>
      </c>
      <c r="G71" s="732" t="s">
        <v>26</v>
      </c>
      <c r="H71" s="701">
        <f>D71*'Prescriptive Path'!H84*12000/1000000</f>
        <v>0</v>
      </c>
      <c r="I71" s="701">
        <f>C71*'Prescriptive Path'!H84*12000/1000000</f>
        <v>0</v>
      </c>
      <c r="J71" s="294">
        <v>0.78</v>
      </c>
      <c r="K71" s="294">
        <v>3.4119999999999999</v>
      </c>
      <c r="L71" s="668">
        <v>1</v>
      </c>
      <c r="M71" s="294">
        <v>1.05</v>
      </c>
      <c r="N71" s="294" t="s">
        <v>26</v>
      </c>
      <c r="O71" s="294">
        <v>0.78</v>
      </c>
      <c r="P71" s="294">
        <v>3.4119999999999999</v>
      </c>
      <c r="Q71" s="668">
        <v>1</v>
      </c>
      <c r="R71" s="702">
        <v>1.05</v>
      </c>
      <c r="S71" s="294" t="s">
        <v>26</v>
      </c>
      <c r="T71" s="625"/>
      <c r="U71" s="738"/>
      <c r="V71" s="625"/>
      <c r="W71" s="625"/>
      <c r="X71" s="710"/>
    </row>
    <row r="72" spans="1:24" ht="30.75" customHeight="1">
      <c r="A72" s="755"/>
      <c r="B72" s="760" t="s">
        <v>377</v>
      </c>
      <c r="C72" s="294">
        <v>0.78</v>
      </c>
      <c r="D72" s="294">
        <v>3.4119999999999999</v>
      </c>
      <c r="E72" s="294">
        <v>1</v>
      </c>
      <c r="F72" s="294">
        <v>1.05</v>
      </c>
      <c r="G72" s="732" t="s">
        <v>27</v>
      </c>
      <c r="H72" s="701">
        <f>D72*'Prescriptive Path'!H85*12000/1000000</f>
        <v>0</v>
      </c>
      <c r="I72" s="701">
        <f>C72*'Prescriptive Path'!H85*12000/1000000</f>
        <v>0</v>
      </c>
      <c r="J72" s="294">
        <v>0.78</v>
      </c>
      <c r="K72" s="294">
        <v>3.4119999999999999</v>
      </c>
      <c r="L72" s="668">
        <v>1</v>
      </c>
      <c r="M72" s="294">
        <v>1.05</v>
      </c>
      <c r="N72" s="294" t="s">
        <v>27</v>
      </c>
      <c r="O72" s="294">
        <v>0.78</v>
      </c>
      <c r="P72" s="294">
        <v>3.4119999999999999</v>
      </c>
      <c r="Q72" s="668">
        <v>1</v>
      </c>
      <c r="R72" s="702">
        <v>1.05</v>
      </c>
      <c r="S72" s="294" t="s">
        <v>27</v>
      </c>
      <c r="T72" s="625"/>
      <c r="U72" s="738"/>
      <c r="V72" s="625"/>
      <c r="W72" s="625"/>
      <c r="X72" s="710"/>
    </row>
    <row r="73" spans="1:24" ht="47.25" customHeight="1">
      <c r="A73" s="755"/>
      <c r="B73" s="760" t="s">
        <v>378</v>
      </c>
      <c r="C73" s="537"/>
      <c r="D73" s="537"/>
      <c r="E73" s="537"/>
      <c r="F73" s="537"/>
      <c r="G73" s="732" t="s">
        <v>389</v>
      </c>
      <c r="H73" s="537"/>
      <c r="I73" s="537"/>
      <c r="J73" s="537"/>
      <c r="K73" s="537"/>
      <c r="L73" s="537"/>
      <c r="M73" s="537"/>
      <c r="N73" s="537"/>
      <c r="O73" s="537"/>
      <c r="P73" s="537"/>
      <c r="Q73" s="537"/>
      <c r="R73" s="537"/>
      <c r="S73" s="537"/>
      <c r="T73" s="625"/>
      <c r="U73" s="597">
        <v>1072.6500000000001</v>
      </c>
      <c r="V73" s="625"/>
      <c r="W73" s="625"/>
      <c r="X73" s="710"/>
    </row>
    <row r="74" spans="1:24" ht="47.25" customHeight="1">
      <c r="A74" s="755"/>
      <c r="B74" s="760" t="s">
        <v>379</v>
      </c>
      <c r="C74" s="537"/>
      <c r="D74" s="537"/>
      <c r="E74" s="537"/>
      <c r="F74" s="537"/>
      <c r="G74" s="732" t="s">
        <v>390</v>
      </c>
      <c r="H74" s="537"/>
      <c r="I74" s="537"/>
      <c r="J74" s="537"/>
      <c r="K74" s="537"/>
      <c r="L74" s="537"/>
      <c r="M74" s="537"/>
      <c r="N74" s="537"/>
      <c r="O74" s="537"/>
      <c r="P74" s="537"/>
      <c r="Q74" s="537"/>
      <c r="R74" s="537"/>
      <c r="S74" s="537"/>
      <c r="T74" s="625"/>
      <c r="U74" s="738"/>
      <c r="V74" s="625"/>
      <c r="W74" s="625"/>
      <c r="X74" s="710"/>
    </row>
    <row r="75" spans="1:24" ht="47.25" customHeight="1">
      <c r="A75" s="755"/>
      <c r="B75" s="760" t="s">
        <v>380</v>
      </c>
      <c r="C75" s="537"/>
      <c r="D75" s="537"/>
      <c r="E75" s="537"/>
      <c r="F75" s="537"/>
      <c r="G75" s="732" t="s">
        <v>391</v>
      </c>
      <c r="H75" s="537"/>
      <c r="I75" s="537"/>
      <c r="J75" s="537"/>
      <c r="K75" s="537"/>
      <c r="L75" s="537"/>
      <c r="M75" s="537"/>
      <c r="N75" s="537"/>
      <c r="O75" s="537"/>
      <c r="P75" s="537"/>
      <c r="Q75" s="537"/>
      <c r="R75" s="537"/>
      <c r="S75" s="537"/>
      <c r="T75" s="625"/>
      <c r="U75" s="738"/>
      <c r="V75" s="625"/>
      <c r="W75" s="625"/>
      <c r="X75" s="710"/>
    </row>
    <row r="76" spans="1:24" ht="47.25" customHeight="1">
      <c r="A76" s="756"/>
      <c r="B76" s="760" t="s">
        <v>381</v>
      </c>
      <c r="C76" s="537"/>
      <c r="D76" s="537"/>
      <c r="E76" s="537"/>
      <c r="F76" s="537"/>
      <c r="G76" s="704" t="s">
        <v>392</v>
      </c>
      <c r="H76" s="781"/>
      <c r="I76" s="781"/>
      <c r="J76" s="781"/>
      <c r="K76" s="537"/>
      <c r="L76" s="537"/>
      <c r="M76" s="537"/>
      <c r="N76" s="700" t="s">
        <v>107</v>
      </c>
      <c r="O76" s="537"/>
      <c r="P76" s="537"/>
      <c r="Q76" s="537"/>
      <c r="R76" s="537"/>
      <c r="S76" s="700" t="s">
        <v>107</v>
      </c>
      <c r="T76" s="625"/>
      <c r="U76" s="738"/>
      <c r="V76" s="625"/>
      <c r="W76" s="625"/>
      <c r="X76" s="710"/>
    </row>
    <row r="77" spans="1:24" ht="15.75" thickBot="1">
      <c r="A77" s="743" t="s">
        <v>17</v>
      </c>
      <c r="B77" s="581" t="s">
        <v>52</v>
      </c>
      <c r="C77" s="537"/>
      <c r="D77" s="537"/>
      <c r="E77" s="537"/>
      <c r="F77" s="537"/>
      <c r="G77" s="294" t="s">
        <v>108</v>
      </c>
      <c r="H77" s="537"/>
      <c r="I77" s="537"/>
      <c r="J77" s="537"/>
      <c r="K77" s="537"/>
      <c r="L77" s="537"/>
      <c r="M77" s="537"/>
      <c r="N77" s="294" t="s">
        <v>108</v>
      </c>
      <c r="O77" s="537"/>
      <c r="P77" s="537"/>
      <c r="Q77" s="537"/>
      <c r="R77" s="537"/>
      <c r="S77" s="294" t="s">
        <v>108</v>
      </c>
      <c r="T77" s="625"/>
      <c r="U77" s="738"/>
      <c r="V77" s="625"/>
      <c r="W77" s="625"/>
      <c r="X77" s="710"/>
    </row>
    <row r="78" spans="1:24" ht="45.75" thickBot="1">
      <c r="A78" s="2410" t="s">
        <v>110</v>
      </c>
      <c r="B78" s="520"/>
      <c r="C78" s="2392" t="s">
        <v>545</v>
      </c>
      <c r="D78" s="2392"/>
      <c r="E78" s="2392"/>
      <c r="F78" s="2395" t="s">
        <v>109</v>
      </c>
      <c r="G78" s="2396"/>
      <c r="H78" s="520"/>
      <c r="I78" s="520"/>
      <c r="J78" s="2392" t="s">
        <v>545</v>
      </c>
      <c r="K78" s="2392"/>
      <c r="L78" s="2392"/>
      <c r="M78" s="2395" t="s">
        <v>109</v>
      </c>
      <c r="N78" s="2396"/>
      <c r="O78" s="2401" t="s">
        <v>545</v>
      </c>
      <c r="P78" s="2402"/>
      <c r="Q78" s="2403"/>
      <c r="R78" s="2395" t="s">
        <v>109</v>
      </c>
      <c r="S78" s="2396"/>
      <c r="T78" s="539" t="s">
        <v>523</v>
      </c>
      <c r="U78" s="539" t="s">
        <v>528</v>
      </c>
      <c r="V78" s="539" t="s">
        <v>524</v>
      </c>
      <c r="W78" s="539" t="s">
        <v>525</v>
      </c>
      <c r="X78" s="540" t="s">
        <v>526</v>
      </c>
    </row>
    <row r="79" spans="1:24">
      <c r="A79" s="2391"/>
      <c r="B79" s="581" t="s">
        <v>111</v>
      </c>
      <c r="C79" s="2372">
        <v>0.6</v>
      </c>
      <c r="D79" s="2372"/>
      <c r="E79" s="2372"/>
      <c r="F79" s="2375">
        <v>15</v>
      </c>
      <c r="G79" s="2376"/>
      <c r="H79" s="294"/>
      <c r="I79" s="1235"/>
      <c r="J79" s="2372">
        <v>0.6</v>
      </c>
      <c r="K79" s="2372"/>
      <c r="L79" s="2372"/>
      <c r="M79" s="2372">
        <v>15</v>
      </c>
      <c r="N79" s="2372"/>
      <c r="O79" s="2372">
        <v>0.6</v>
      </c>
      <c r="P79" s="2372"/>
      <c r="Q79" s="2372"/>
      <c r="R79" s="2372">
        <v>15</v>
      </c>
      <c r="S79" s="2372"/>
      <c r="T79" s="625"/>
      <c r="U79" s="738"/>
      <c r="V79" s="625"/>
      <c r="W79" s="625"/>
      <c r="X79" s="710"/>
    </row>
    <row r="80" spans="1:24">
      <c r="A80" s="2391"/>
      <c r="B80" s="581" t="s">
        <v>112</v>
      </c>
      <c r="C80" s="2372">
        <v>0.5</v>
      </c>
      <c r="D80" s="2372"/>
      <c r="E80" s="2372"/>
      <c r="F80" s="2375">
        <v>10</v>
      </c>
      <c r="G80" s="2376"/>
      <c r="H80" s="294"/>
      <c r="I80" s="1235"/>
      <c r="J80" s="2372">
        <v>0.5</v>
      </c>
      <c r="K80" s="2372"/>
      <c r="L80" s="2372"/>
      <c r="M80" s="2372">
        <v>10</v>
      </c>
      <c r="N80" s="2372"/>
      <c r="O80" s="2372">
        <v>0.5</v>
      </c>
      <c r="P80" s="2372"/>
      <c r="Q80" s="2372"/>
      <c r="R80" s="2372">
        <v>10</v>
      </c>
      <c r="S80" s="2372"/>
      <c r="T80" s="625"/>
      <c r="U80" s="738"/>
      <c r="V80" s="625"/>
      <c r="W80" s="625"/>
      <c r="X80" s="710"/>
    </row>
    <row r="81" spans="1:24">
      <c r="A81" s="2391"/>
      <c r="B81" s="581" t="s">
        <v>113</v>
      </c>
      <c r="C81" s="2372">
        <v>1.1000000000000001</v>
      </c>
      <c r="D81" s="2372"/>
      <c r="E81" s="2372"/>
      <c r="F81" s="2375">
        <v>16</v>
      </c>
      <c r="G81" s="2376"/>
      <c r="H81" s="294"/>
      <c r="I81" s="1235"/>
      <c r="J81" s="2372">
        <v>1.1000000000000001</v>
      </c>
      <c r="K81" s="2372"/>
      <c r="L81" s="2372"/>
      <c r="M81" s="2372">
        <v>16</v>
      </c>
      <c r="N81" s="2372"/>
      <c r="O81" s="2372">
        <v>1.1000000000000001</v>
      </c>
      <c r="P81" s="2372"/>
      <c r="Q81" s="2372"/>
      <c r="R81" s="2372">
        <v>16</v>
      </c>
      <c r="S81" s="2372"/>
      <c r="T81" s="625"/>
      <c r="U81" s="738"/>
      <c r="V81" s="625"/>
      <c r="W81" s="625"/>
      <c r="X81" s="710"/>
    </row>
    <row r="82" spans="1:24">
      <c r="A82" s="2391"/>
      <c r="B82" s="581" t="s">
        <v>114</v>
      </c>
      <c r="C82" s="2372">
        <v>1.5</v>
      </c>
      <c r="D82" s="2372"/>
      <c r="E82" s="2372"/>
      <c r="F82" s="2375">
        <v>30</v>
      </c>
      <c r="G82" s="2376"/>
      <c r="H82" s="294"/>
      <c r="I82" s="1235"/>
      <c r="J82" s="2372">
        <v>1.5</v>
      </c>
      <c r="K82" s="2372"/>
      <c r="L82" s="2372"/>
      <c r="M82" s="2372">
        <v>30</v>
      </c>
      <c r="N82" s="2372"/>
      <c r="O82" s="2372">
        <v>1.5</v>
      </c>
      <c r="P82" s="2372"/>
      <c r="Q82" s="2372"/>
      <c r="R82" s="2372">
        <v>30</v>
      </c>
      <c r="S82" s="2372"/>
      <c r="T82" s="625"/>
      <c r="U82" s="738"/>
      <c r="V82" s="625"/>
      <c r="W82" s="625"/>
      <c r="X82" s="710"/>
    </row>
    <row r="83" spans="1:24">
      <c r="A83" s="2391"/>
      <c r="B83" s="581" t="s">
        <v>115</v>
      </c>
      <c r="C83" s="2372">
        <v>0.8</v>
      </c>
      <c r="D83" s="2372"/>
      <c r="E83" s="2372"/>
      <c r="F83" s="2375">
        <v>20</v>
      </c>
      <c r="G83" s="2376"/>
      <c r="H83" s="294"/>
      <c r="I83" s="1235"/>
      <c r="J83" s="2372">
        <v>0.8</v>
      </c>
      <c r="K83" s="2372"/>
      <c r="L83" s="2372"/>
      <c r="M83" s="2372">
        <v>20</v>
      </c>
      <c r="N83" s="2372"/>
      <c r="O83" s="2372">
        <v>0.8</v>
      </c>
      <c r="P83" s="2372"/>
      <c r="Q83" s="2372"/>
      <c r="R83" s="2372">
        <v>20</v>
      </c>
      <c r="S83" s="2372"/>
      <c r="T83" s="625"/>
      <c r="U83" s="738"/>
      <c r="V83" s="625"/>
      <c r="W83" s="625"/>
      <c r="X83" s="710"/>
    </row>
    <row r="84" spans="1:24">
      <c r="A84" s="2391"/>
      <c r="B84" s="581" t="s">
        <v>116</v>
      </c>
      <c r="C84" s="2372">
        <v>0.3</v>
      </c>
      <c r="D84" s="2372"/>
      <c r="E84" s="2372"/>
      <c r="F84" s="2375">
        <v>8</v>
      </c>
      <c r="G84" s="2376"/>
      <c r="H84" s="294"/>
      <c r="I84" s="1235"/>
      <c r="J84" s="2372">
        <v>0.3</v>
      </c>
      <c r="K84" s="2372"/>
      <c r="L84" s="2372"/>
      <c r="M84" s="2372">
        <v>8</v>
      </c>
      <c r="N84" s="2372"/>
      <c r="O84" s="2372">
        <v>0.3</v>
      </c>
      <c r="P84" s="2372"/>
      <c r="Q84" s="2372"/>
      <c r="R84" s="2372">
        <v>8</v>
      </c>
      <c r="S84" s="2372"/>
      <c r="T84" s="625"/>
      <c r="U84" s="738"/>
      <c r="V84" s="625"/>
      <c r="W84" s="625"/>
      <c r="X84" s="710"/>
    </row>
    <row r="85" spans="1:24">
      <c r="A85" s="2391"/>
      <c r="B85" s="581" t="s">
        <v>117</v>
      </c>
      <c r="C85" s="2372">
        <v>1.3</v>
      </c>
      <c r="D85" s="2372"/>
      <c r="E85" s="2372"/>
      <c r="F85" s="2375">
        <v>30</v>
      </c>
      <c r="G85" s="2376"/>
      <c r="H85" s="294"/>
      <c r="I85" s="1235"/>
      <c r="J85" s="2372">
        <v>1.3</v>
      </c>
      <c r="K85" s="2372"/>
      <c r="L85" s="2372"/>
      <c r="M85" s="2372">
        <v>30</v>
      </c>
      <c r="N85" s="2372"/>
      <c r="O85" s="2372">
        <v>1.3</v>
      </c>
      <c r="P85" s="2372"/>
      <c r="Q85" s="2372"/>
      <c r="R85" s="2372">
        <v>30</v>
      </c>
      <c r="S85" s="2372"/>
      <c r="T85" s="625"/>
      <c r="U85" s="738"/>
      <c r="V85" s="625"/>
      <c r="W85" s="625"/>
      <c r="X85" s="710"/>
    </row>
    <row r="86" spans="1:24">
      <c r="A86" s="2391"/>
      <c r="B86" s="581" t="s">
        <v>118</v>
      </c>
      <c r="C86" s="2372">
        <v>1.1000000000000001</v>
      </c>
      <c r="D86" s="2372"/>
      <c r="E86" s="2372"/>
      <c r="F86" s="2375">
        <v>35</v>
      </c>
      <c r="G86" s="2376"/>
      <c r="H86" s="294"/>
      <c r="I86" s="1235"/>
      <c r="J86" s="2372">
        <v>1.1000000000000001</v>
      </c>
      <c r="K86" s="2372"/>
      <c r="L86" s="2372"/>
      <c r="M86" s="2372">
        <v>35</v>
      </c>
      <c r="N86" s="2372"/>
      <c r="O86" s="2372">
        <v>1.1000000000000001</v>
      </c>
      <c r="P86" s="2372"/>
      <c r="Q86" s="2372"/>
      <c r="R86" s="2372">
        <v>35</v>
      </c>
      <c r="S86" s="2372"/>
      <c r="T86" s="625"/>
      <c r="U86" s="738"/>
      <c r="V86" s="625"/>
      <c r="W86" s="625"/>
      <c r="X86" s="710"/>
    </row>
    <row r="87" spans="1:24">
      <c r="A87" s="2411"/>
      <c r="B87" s="581" t="s">
        <v>501</v>
      </c>
      <c r="C87" s="2397"/>
      <c r="D87" s="2399"/>
      <c r="E87" s="2398"/>
      <c r="F87" s="2397"/>
      <c r="G87" s="2398"/>
      <c r="H87" s="586"/>
      <c r="I87" s="1246"/>
      <c r="J87" s="2397"/>
      <c r="K87" s="2399"/>
      <c r="L87" s="2398"/>
      <c r="M87" s="2397"/>
      <c r="N87" s="2398"/>
      <c r="O87" s="2397"/>
      <c r="P87" s="2399"/>
      <c r="Q87" s="2398"/>
      <c r="R87" s="2397"/>
      <c r="S87" s="2398"/>
      <c r="T87" s="625"/>
      <c r="U87" s="597">
        <v>96.25</v>
      </c>
      <c r="V87" s="625"/>
      <c r="W87" s="625"/>
      <c r="X87" s="710"/>
    </row>
    <row r="88" spans="1:24" ht="13.5" customHeight="1">
      <c r="A88" s="2407" t="s">
        <v>62</v>
      </c>
      <c r="B88" s="581" t="s">
        <v>119</v>
      </c>
      <c r="C88" s="2372">
        <v>0.15</v>
      </c>
      <c r="D88" s="2372"/>
      <c r="E88" s="2372"/>
      <c r="F88" s="2397"/>
      <c r="G88" s="2398"/>
      <c r="H88" s="294"/>
      <c r="I88" s="1235"/>
      <c r="J88" s="2372">
        <v>0.15</v>
      </c>
      <c r="K88" s="2372"/>
      <c r="L88" s="2372"/>
      <c r="M88" s="2397"/>
      <c r="N88" s="2398"/>
      <c r="O88" s="2372">
        <v>0.15</v>
      </c>
      <c r="P88" s="2372"/>
      <c r="Q88" s="2372"/>
      <c r="R88" s="2397"/>
      <c r="S88" s="2398"/>
      <c r="T88" s="625"/>
      <c r="U88" s="738"/>
      <c r="V88" s="625"/>
      <c r="W88" s="625"/>
      <c r="X88" s="710"/>
    </row>
    <row r="89" spans="1:24" ht="13.5" customHeight="1">
      <c r="A89" s="2408"/>
      <c r="B89" s="504" t="s">
        <v>120</v>
      </c>
      <c r="C89" s="2372">
        <v>1</v>
      </c>
      <c r="D89" s="2372"/>
      <c r="E89" s="2372"/>
      <c r="F89" s="2397"/>
      <c r="G89" s="2398"/>
      <c r="H89" s="507"/>
      <c r="I89" s="1228"/>
      <c r="J89" s="2372">
        <v>1</v>
      </c>
      <c r="K89" s="2372"/>
      <c r="L89" s="2372"/>
      <c r="M89" s="2397"/>
      <c r="N89" s="2398"/>
      <c r="O89" s="2400">
        <v>1</v>
      </c>
      <c r="P89" s="2400"/>
      <c r="Q89" s="2400"/>
      <c r="R89" s="2397"/>
      <c r="S89" s="2398"/>
      <c r="T89" s="625"/>
      <c r="U89" s="738"/>
      <c r="V89" s="625"/>
      <c r="W89" s="625"/>
      <c r="X89" s="710"/>
    </row>
    <row r="90" spans="1:24" ht="13.5" customHeight="1">
      <c r="A90" s="2408"/>
      <c r="B90" s="504" t="s">
        <v>121</v>
      </c>
      <c r="C90" s="2372">
        <v>30</v>
      </c>
      <c r="D90" s="2372"/>
      <c r="E90" s="2372"/>
      <c r="F90" s="2397"/>
      <c r="G90" s="2398"/>
      <c r="H90" s="507"/>
      <c r="I90" s="1228"/>
      <c r="J90" s="2372">
        <v>30</v>
      </c>
      <c r="K90" s="2372"/>
      <c r="L90" s="2372"/>
      <c r="M90" s="2397"/>
      <c r="N90" s="2398"/>
      <c r="O90" s="2400">
        <v>30</v>
      </c>
      <c r="P90" s="2400"/>
      <c r="Q90" s="2400"/>
      <c r="R90" s="2397"/>
      <c r="S90" s="2398"/>
      <c r="T90" s="625"/>
      <c r="U90" s="738"/>
      <c r="V90" s="625"/>
      <c r="W90" s="625"/>
      <c r="X90" s="710"/>
    </row>
    <row r="91" spans="1:24" ht="13.5" customHeight="1">
      <c r="A91" s="2408"/>
      <c r="B91" s="695" t="s">
        <v>122</v>
      </c>
      <c r="C91" s="2372">
        <v>0.2</v>
      </c>
      <c r="D91" s="2372"/>
      <c r="E91" s="2372"/>
      <c r="F91" s="2397"/>
      <c r="G91" s="2398"/>
      <c r="H91" s="507"/>
      <c r="I91" s="1228"/>
      <c r="J91" s="2372">
        <v>0.2</v>
      </c>
      <c r="K91" s="2372"/>
      <c r="L91" s="2372"/>
      <c r="M91" s="2397"/>
      <c r="N91" s="2398"/>
      <c r="O91" s="2400">
        <v>0.2</v>
      </c>
      <c r="P91" s="2400"/>
      <c r="Q91" s="2400"/>
      <c r="R91" s="2397"/>
      <c r="S91" s="2398"/>
      <c r="T91" s="625"/>
      <c r="U91" s="738"/>
      <c r="V91" s="625"/>
      <c r="W91" s="625"/>
      <c r="X91" s="710"/>
    </row>
    <row r="92" spans="1:24" ht="13.5" customHeight="1">
      <c r="A92" s="2409"/>
      <c r="B92" s="695" t="s">
        <v>123</v>
      </c>
      <c r="C92" s="2372">
        <v>5</v>
      </c>
      <c r="D92" s="2372"/>
      <c r="E92" s="2372"/>
      <c r="F92" s="2397"/>
      <c r="G92" s="2398"/>
      <c r="H92" s="507"/>
      <c r="I92" s="1228"/>
      <c r="J92" s="2372">
        <v>5</v>
      </c>
      <c r="K92" s="2372"/>
      <c r="L92" s="2372"/>
      <c r="M92" s="2397"/>
      <c r="N92" s="2398"/>
      <c r="O92" s="2400">
        <v>5</v>
      </c>
      <c r="P92" s="2400"/>
      <c r="Q92" s="2400"/>
      <c r="R92" s="2397"/>
      <c r="S92" s="2398"/>
      <c r="T92" s="625"/>
      <c r="U92" s="738"/>
      <c r="V92" s="625"/>
      <c r="W92" s="625"/>
      <c r="X92" s="710"/>
    </row>
    <row r="93" spans="1:24" ht="13.5" customHeight="1">
      <c r="A93" s="2407" t="s">
        <v>51</v>
      </c>
      <c r="B93" s="504" t="s">
        <v>551</v>
      </c>
      <c r="C93" s="2397"/>
      <c r="D93" s="2399"/>
      <c r="E93" s="2398"/>
      <c r="F93" s="2397"/>
      <c r="G93" s="2398"/>
      <c r="H93" s="586"/>
      <c r="I93" s="1246"/>
      <c r="J93" s="2397"/>
      <c r="K93" s="2399"/>
      <c r="L93" s="2398"/>
      <c r="M93" s="2397"/>
      <c r="N93" s="2398"/>
      <c r="O93" s="2397"/>
      <c r="P93" s="2399"/>
      <c r="Q93" s="2398"/>
      <c r="R93" s="2397"/>
      <c r="S93" s="2398"/>
      <c r="T93" s="625"/>
      <c r="U93" s="738"/>
      <c r="V93" s="625"/>
      <c r="W93" s="625"/>
      <c r="X93" s="710"/>
    </row>
    <row r="94" spans="1:24">
      <c r="A94" s="2408"/>
      <c r="B94" s="504" t="s">
        <v>552</v>
      </c>
      <c r="C94" s="2397"/>
      <c r="D94" s="2399"/>
      <c r="E94" s="2398"/>
      <c r="F94" s="2397"/>
      <c r="G94" s="2398"/>
      <c r="H94" s="586"/>
      <c r="I94" s="1246"/>
      <c r="J94" s="2397"/>
      <c r="K94" s="2399"/>
      <c r="L94" s="2398"/>
      <c r="M94" s="2397"/>
      <c r="N94" s="2398"/>
      <c r="O94" s="2397"/>
      <c r="P94" s="2399"/>
      <c r="Q94" s="2398"/>
      <c r="R94" s="2397"/>
      <c r="S94" s="2398"/>
      <c r="T94" s="625"/>
      <c r="U94" s="738"/>
      <c r="V94" s="625"/>
      <c r="W94" s="625"/>
      <c r="X94" s="710"/>
    </row>
    <row r="95" spans="1:24">
      <c r="A95" s="2408"/>
      <c r="B95" s="504" t="s">
        <v>553</v>
      </c>
      <c r="C95" s="2397"/>
      <c r="D95" s="2399"/>
      <c r="E95" s="2398"/>
      <c r="F95" s="2397"/>
      <c r="G95" s="2398"/>
      <c r="H95" s="586"/>
      <c r="I95" s="1246"/>
      <c r="J95" s="2397"/>
      <c r="K95" s="2399"/>
      <c r="L95" s="2398"/>
      <c r="M95" s="2397"/>
      <c r="N95" s="2398"/>
      <c r="O95" s="2397"/>
      <c r="P95" s="2399"/>
      <c r="Q95" s="2398"/>
      <c r="R95" s="2397"/>
      <c r="S95" s="2398"/>
      <c r="T95" s="625"/>
      <c r="U95" s="738"/>
      <c r="V95" s="625"/>
      <c r="W95" s="625"/>
      <c r="X95" s="710"/>
    </row>
    <row r="96" spans="1:24">
      <c r="A96" s="2408"/>
      <c r="B96" s="504" t="s">
        <v>428</v>
      </c>
      <c r="C96" s="2397"/>
      <c r="D96" s="2399"/>
      <c r="E96" s="2398"/>
      <c r="F96" s="2397"/>
      <c r="G96" s="2398"/>
      <c r="H96" s="586"/>
      <c r="I96" s="1246"/>
      <c r="J96" s="2397"/>
      <c r="K96" s="2399"/>
      <c r="L96" s="2398"/>
      <c r="M96" s="2397"/>
      <c r="N96" s="2398"/>
      <c r="O96" s="2397"/>
      <c r="P96" s="2399"/>
      <c r="Q96" s="2398"/>
      <c r="R96" s="2397"/>
      <c r="S96" s="2398"/>
      <c r="T96" s="625"/>
      <c r="U96" s="597">
        <v>505.17</v>
      </c>
      <c r="V96" s="625"/>
      <c r="W96" s="625"/>
      <c r="X96" s="710"/>
    </row>
    <row r="97" spans="1:24">
      <c r="A97" s="2408"/>
      <c r="B97" s="504" t="s">
        <v>429</v>
      </c>
      <c r="C97" s="2397"/>
      <c r="D97" s="2399"/>
      <c r="E97" s="2398"/>
      <c r="F97" s="2397"/>
      <c r="G97" s="2398"/>
      <c r="H97" s="586"/>
      <c r="I97" s="1246"/>
      <c r="J97" s="2397"/>
      <c r="K97" s="2399"/>
      <c r="L97" s="2398"/>
      <c r="M97" s="2397"/>
      <c r="N97" s="2398"/>
      <c r="O97" s="2397"/>
      <c r="P97" s="2399"/>
      <c r="Q97" s="2398"/>
      <c r="R97" s="2397"/>
      <c r="S97" s="2398"/>
      <c r="T97" s="625"/>
      <c r="U97" s="597">
        <v>505.17</v>
      </c>
      <c r="V97" s="625"/>
      <c r="W97" s="625"/>
      <c r="X97" s="710"/>
    </row>
    <row r="98" spans="1:24" ht="15.75" thickBot="1">
      <c r="A98" s="2409"/>
      <c r="B98" s="504" t="s">
        <v>430</v>
      </c>
      <c r="C98" s="2397"/>
      <c r="D98" s="2399"/>
      <c r="E98" s="2398"/>
      <c r="F98" s="2397"/>
      <c r="G98" s="2398"/>
      <c r="H98" s="586"/>
      <c r="I98" s="1246"/>
      <c r="J98" s="2397"/>
      <c r="K98" s="2399"/>
      <c r="L98" s="2398"/>
      <c r="M98" s="2397"/>
      <c r="N98" s="2398"/>
      <c r="O98" s="2397"/>
      <c r="P98" s="2399"/>
      <c r="Q98" s="2398"/>
      <c r="R98" s="2397"/>
      <c r="S98" s="2398"/>
      <c r="T98" s="625"/>
      <c r="U98" s="738"/>
      <c r="V98" s="625"/>
      <c r="W98" s="625"/>
      <c r="X98" s="710"/>
    </row>
    <row r="99" spans="1:24" s="11" customFormat="1" ht="45.75" thickBot="1">
      <c r="A99" s="2404" t="s">
        <v>502</v>
      </c>
      <c r="B99" s="784"/>
      <c r="C99" s="785" t="s">
        <v>228</v>
      </c>
      <c r="D99" s="785" t="s">
        <v>536</v>
      </c>
      <c r="E99" s="786"/>
      <c r="F99" s="786"/>
      <c r="G99" s="786"/>
      <c r="H99" s="786"/>
      <c r="I99" s="786"/>
      <c r="J99" s="785" t="s">
        <v>228</v>
      </c>
      <c r="K99" s="785" t="s">
        <v>536</v>
      </c>
      <c r="L99" s="786"/>
      <c r="M99" s="786"/>
      <c r="N99" s="786"/>
      <c r="O99" s="785" t="s">
        <v>228</v>
      </c>
      <c r="P99" s="785" t="s">
        <v>536</v>
      </c>
      <c r="Q99" s="786"/>
      <c r="R99" s="786"/>
      <c r="S99" s="786"/>
      <c r="T99" s="539" t="s">
        <v>523</v>
      </c>
      <c r="U99" s="539" t="s">
        <v>528</v>
      </c>
      <c r="V99" s="539" t="s">
        <v>524</v>
      </c>
      <c r="W99" s="539" t="s">
        <v>525</v>
      </c>
      <c r="X99" s="540" t="s">
        <v>526</v>
      </c>
    </row>
    <row r="100" spans="1:24">
      <c r="A100" s="2405"/>
      <c r="B100" s="703" t="s">
        <v>489</v>
      </c>
      <c r="C100" s="294">
        <f>('Prescriptive Path'!H108*((24-8)/24))</f>
        <v>0</v>
      </c>
      <c r="D100" s="625"/>
      <c r="E100" s="783"/>
      <c r="F100" s="783"/>
      <c r="G100" s="783"/>
      <c r="H100" s="691"/>
      <c r="I100" s="691"/>
      <c r="J100" s="294">
        <f>('Prescriptive Path'!M108*((24-8)/24))</f>
        <v>0</v>
      </c>
      <c r="K100" s="625"/>
      <c r="L100" s="783"/>
      <c r="M100" s="783"/>
      <c r="N100" s="783"/>
      <c r="O100" s="294">
        <f>('Prescriptive Path'!R108*((24-8)/24))</f>
        <v>0</v>
      </c>
      <c r="P100" s="625"/>
      <c r="Q100" s="783"/>
      <c r="R100" s="783"/>
      <c r="S100" s="783"/>
      <c r="T100" s="625"/>
      <c r="U100" s="597">
        <v>4.54</v>
      </c>
      <c r="V100" s="625"/>
      <c r="W100" s="625"/>
      <c r="X100" s="710"/>
    </row>
    <row r="101" spans="1:24">
      <c r="A101" s="2405"/>
      <c r="B101" s="704" t="s">
        <v>533</v>
      </c>
      <c r="C101" s="537"/>
      <c r="D101" s="817" t="b">
        <f>IF('Prescriptive Path'!H103="Bathroom and Utility Room Fans (10 - 89 CFM)",1.4,IF('Prescriptive Path'!H103="Bathroom and Utility Room Fans (90 - 500 CFM)",2.8,IF('Prescriptive Path'!H103="In-line Fans",2.8,IF('Prescriptive Path'!H103="Range Hoods (up to 500 CFM)",2.8,FALSE))))</f>
        <v>0</v>
      </c>
      <c r="E101" s="532"/>
      <c r="F101" s="532"/>
      <c r="G101" s="532"/>
      <c r="H101" s="817"/>
      <c r="I101" s="1228"/>
      <c r="J101" s="537"/>
      <c r="K101" s="817" t="b">
        <f>IF('Prescriptive Path'!M103="Bathroom and Utility Room Fans (10 - 89 CFM)",1.4,IF('Prescriptive Path'!M103="Bathroom and Utility Room Fans (90 - 500 CFM)",2.8,IF('Prescriptive Path'!M103="In-line Fans",2.8,IF('Prescriptive Path'!M103="Range Hoods (up to 500 CFM)",2.8,FALSE))))</f>
        <v>0</v>
      </c>
      <c r="L101" s="532"/>
      <c r="M101" s="532"/>
      <c r="N101" s="532"/>
      <c r="O101" s="537"/>
      <c r="P101" s="817" t="b">
        <f>IF('Prescriptive Path'!R103="Bathroom and Utility Room Fans (10 - 89 CFM)",1.4,IF('Prescriptive Path'!R103="Bathroom and Utility Room Fans (90 - 500 CFM)",2.8,IF('Prescriptive Path'!R103="In-line Fans",2.8,IF('Prescriptive Path'!R103="Range Hoods (up to 500 CFM)",2.8,FALSE))))</f>
        <v>0</v>
      </c>
      <c r="Q101" s="532"/>
      <c r="R101" s="532"/>
      <c r="S101" s="532"/>
      <c r="T101" s="625"/>
      <c r="U101" s="597">
        <v>3.24</v>
      </c>
      <c r="V101" s="625"/>
      <c r="W101" s="625"/>
      <c r="X101" s="710"/>
    </row>
    <row r="102" spans="1:24" s="822" customFormat="1">
      <c r="A102" s="2405"/>
      <c r="B102" s="824" t="s">
        <v>561</v>
      </c>
      <c r="C102" s="592"/>
      <c r="D102" s="592"/>
      <c r="E102" s="825"/>
      <c r="F102" s="825"/>
      <c r="G102" s="825"/>
      <c r="H102" s="528"/>
      <c r="I102" s="528"/>
      <c r="J102" s="592"/>
      <c r="K102" s="592"/>
      <c r="L102" s="825"/>
      <c r="M102" s="825"/>
      <c r="N102" s="825"/>
      <c r="O102" s="592"/>
      <c r="P102" s="592"/>
      <c r="Q102" s="825"/>
      <c r="R102" s="825"/>
      <c r="S102" s="825"/>
      <c r="T102" s="713"/>
      <c r="U102" s="713"/>
      <c r="V102" s="713"/>
      <c r="W102" s="713"/>
      <c r="X102" s="715"/>
    </row>
    <row r="103" spans="1:24" s="823" customFormat="1" ht="15.75" thickBot="1">
      <c r="A103" s="2406"/>
      <c r="B103" s="707" t="s">
        <v>562</v>
      </c>
      <c r="C103" s="579"/>
      <c r="D103" s="579"/>
      <c r="E103" s="534"/>
      <c r="F103" s="534"/>
      <c r="G103" s="534"/>
      <c r="H103" s="526"/>
      <c r="I103" s="526"/>
      <c r="J103" s="579"/>
      <c r="K103" s="579"/>
      <c r="L103" s="534"/>
      <c r="M103" s="534"/>
      <c r="N103" s="534"/>
      <c r="O103" s="579"/>
      <c r="P103" s="579"/>
      <c r="Q103" s="534"/>
      <c r="R103" s="534"/>
      <c r="S103" s="534"/>
      <c r="T103" s="740"/>
      <c r="U103" s="709">
        <v>0.25</v>
      </c>
      <c r="V103" s="740"/>
      <c r="W103" s="740"/>
      <c r="X103" s="741"/>
    </row>
    <row r="104" spans="1:24">
      <c r="A104" s="744"/>
      <c r="B104" s="694"/>
      <c r="C104" s="596"/>
      <c r="D104" s="692"/>
      <c r="E104" s="692"/>
      <c r="F104" s="692"/>
      <c r="G104" s="692"/>
      <c r="H104" s="692"/>
      <c r="I104" s="692"/>
      <c r="J104" s="692"/>
      <c r="K104" s="692"/>
      <c r="L104" s="692"/>
      <c r="M104" s="692"/>
      <c r="N104" s="692"/>
      <c r="O104" s="692"/>
      <c r="P104" s="692"/>
      <c r="Q104" s="692"/>
      <c r="R104" s="692"/>
      <c r="S104" s="692"/>
    </row>
    <row r="105" spans="1:24" ht="15.75" thickBot="1">
      <c r="A105" s="744"/>
      <c r="B105" s="694"/>
      <c r="C105" s="596"/>
      <c r="D105" s="692"/>
      <c r="E105" s="692"/>
      <c r="F105" s="692"/>
      <c r="G105" s="692"/>
      <c r="H105" s="692"/>
      <c r="I105" s="692"/>
      <c r="J105" s="692"/>
      <c r="K105" s="692"/>
      <c r="L105" s="692"/>
      <c r="M105" s="692"/>
      <c r="N105" s="692"/>
      <c r="O105" s="692"/>
      <c r="P105" s="692"/>
      <c r="Q105" s="692"/>
      <c r="R105" s="692"/>
      <c r="S105" s="692"/>
    </row>
    <row r="106" spans="1:24" ht="30.75" customHeight="1">
      <c r="B106" s="705"/>
      <c r="C106" s="803" t="s">
        <v>247</v>
      </c>
      <c r="D106" s="804" t="s">
        <v>246</v>
      </c>
    </row>
    <row r="107" spans="1:24">
      <c r="B107" s="706" t="s">
        <v>237</v>
      </c>
      <c r="C107" s="795" t="e">
        <f>IF(C109=1,29.4*C108,IF(C109=2,22.8*C108,IF(C109=3,20.6*C108,IF(C109=4,19.5*C108,IF(C109=5,18.9*Proposed!C108,18.5*Proposed!C108)))))+17*'Prescriptive Path'!$H$35+7*'Prescriptive Path'!$H$34</f>
        <v>#DIV/0!</v>
      </c>
      <c r="D107" s="796" t="e">
        <f>IF(C109=1,29.4*C108,IF(C109=2,22.8*C108,IF(C109=3,20.6*C108,IF(C109=4,19.5*C108,IF(C109=5,18.9*Proposed!C108,18.5*Proposed!C108)))))*((0.36+0.54*(1.75/2.5)+0.1*(1/2.5)))+8*'Prescriptive Path'!$H$35+3*'Prescriptive Path'!$H$34-2*'Prescriptive Path'!$H$32</f>
        <v>#DIV/0!</v>
      </c>
      <c r="E107" s="154"/>
      <c r="F107" s="154"/>
      <c r="L107" s="11"/>
    </row>
    <row r="108" spans="1:24">
      <c r="B108" s="706" t="s">
        <v>434</v>
      </c>
      <c r="C108" s="504">
        <f>('Prescriptive Path'!$H$98-'Prescriptive Path'!$H$45)+2*'Prescriptive Path'!$H$45</f>
        <v>0</v>
      </c>
      <c r="D108" s="688"/>
    </row>
    <row r="109" spans="1:24" ht="15.75" thickBot="1">
      <c r="B109" s="802" t="s">
        <v>435</v>
      </c>
      <c r="C109" s="708" t="e">
        <f>ROUND(C108/'Prescriptive Path'!H45,0)</f>
        <v>#DIV/0!</v>
      </c>
      <c r="D109" s="689"/>
    </row>
    <row r="110" spans="1:24" ht="15.75" thickBot="1"/>
    <row r="111" spans="1:24" ht="30">
      <c r="B111" s="799" t="s">
        <v>438</v>
      </c>
      <c r="C111" s="664">
        <f>IF(F112=0,11.1,SUM(H38:H72)/F112)</f>
        <v>11.1</v>
      </c>
      <c r="E111" s="805" t="s">
        <v>443</v>
      </c>
      <c r="F111" s="806" t="s">
        <v>444</v>
      </c>
    </row>
    <row r="112" spans="1:24" ht="15.75" thickBot="1">
      <c r="B112" s="800" t="s">
        <v>439</v>
      </c>
      <c r="C112" s="665">
        <f>C111/0.875</f>
        <v>12.685714285714285</v>
      </c>
      <c r="E112" s="797">
        <f>SUM('Prescriptive Path'!H56:H58,'Prescriptive Path'!H68:H69)+SUM('Prescriptive Path'!H70,'Prescriptive Path'!H74:H89,'Prescriptive Path'!H61:H67)*12000/1000000</f>
        <v>0</v>
      </c>
      <c r="F112" s="798">
        <f>SUMIF('Prescriptive Path'!H49:H54,"&gt;0",'Prescriptive Path'!H49:H54)*12000/1000000+SUMIF('Prescriptive Path'!H59:H67,"&gt;0",'Prescriptive Path'!H59:H67)*12000/1000000+SUMIF('Prescriptive Path'!H70:H89,"&gt;0",'Prescriptive Path'!H70:H89)*12000/1000000</f>
        <v>0</v>
      </c>
    </row>
    <row r="113" spans="2:3" ht="15.75" thickBot="1">
      <c r="B113" s="801" t="s">
        <v>440</v>
      </c>
      <c r="C113" s="666">
        <f>IF(E112=0,0.78,SUM(I45:I72)/E112)</f>
        <v>0.78</v>
      </c>
    </row>
  </sheetData>
  <mergeCells count="313">
    <mergeCell ref="A99:A103"/>
    <mergeCell ref="A93:A98"/>
    <mergeCell ref="A88:A92"/>
    <mergeCell ref="A78:A87"/>
    <mergeCell ref="R97:S97"/>
    <mergeCell ref="C98:E98"/>
    <mergeCell ref="F98:G98"/>
    <mergeCell ref="J98:L98"/>
    <mergeCell ref="M98:N98"/>
    <mergeCell ref="O98:Q98"/>
    <mergeCell ref="R98:S98"/>
    <mergeCell ref="C97:E97"/>
    <mergeCell ref="F97:G97"/>
    <mergeCell ref="J97:L97"/>
    <mergeCell ref="M97:N97"/>
    <mergeCell ref="O97:Q97"/>
    <mergeCell ref="R95:S95"/>
    <mergeCell ref="C96:E96"/>
    <mergeCell ref="F96:G96"/>
    <mergeCell ref="J96:L96"/>
    <mergeCell ref="M96:N96"/>
    <mergeCell ref="O96:Q96"/>
    <mergeCell ref="R96:S96"/>
    <mergeCell ref="C95:E95"/>
    <mergeCell ref="F95:G95"/>
    <mergeCell ref="J95:L95"/>
    <mergeCell ref="M95:N95"/>
    <mergeCell ref="O95:Q95"/>
    <mergeCell ref="O93:Q93"/>
    <mergeCell ref="R93:S93"/>
    <mergeCell ref="C94:E94"/>
    <mergeCell ref="F94:G94"/>
    <mergeCell ref="J94:L94"/>
    <mergeCell ref="M94:N94"/>
    <mergeCell ref="O94:Q94"/>
    <mergeCell ref="R94:S94"/>
    <mergeCell ref="C93:E93"/>
    <mergeCell ref="F93:G93"/>
    <mergeCell ref="J93:L93"/>
    <mergeCell ref="M93:N93"/>
    <mergeCell ref="C87:E87"/>
    <mergeCell ref="F87:G87"/>
    <mergeCell ref="F88:G88"/>
    <mergeCell ref="F89:G89"/>
    <mergeCell ref="F90:G90"/>
    <mergeCell ref="M87:N87"/>
    <mergeCell ref="M88:N88"/>
    <mergeCell ref="M89:N89"/>
    <mergeCell ref="M90:N90"/>
    <mergeCell ref="J88:L88"/>
    <mergeCell ref="J89:L89"/>
    <mergeCell ref="F91:G91"/>
    <mergeCell ref="F92:G92"/>
    <mergeCell ref="C88:E88"/>
    <mergeCell ref="C89:E89"/>
    <mergeCell ref="C90:E90"/>
    <mergeCell ref="C91:E91"/>
    <mergeCell ref="C92:E92"/>
    <mergeCell ref="M91:N91"/>
    <mergeCell ref="R78:S78"/>
    <mergeCell ref="R79:S79"/>
    <mergeCell ref="R80:S80"/>
    <mergeCell ref="R81:S81"/>
    <mergeCell ref="R82:S82"/>
    <mergeCell ref="O89:Q89"/>
    <mergeCell ref="O91:Q91"/>
    <mergeCell ref="O90:Q90"/>
    <mergeCell ref="O92:Q92"/>
    <mergeCell ref="O78:Q78"/>
    <mergeCell ref="O79:Q79"/>
    <mergeCell ref="O80:Q80"/>
    <mergeCell ref="O81:Q81"/>
    <mergeCell ref="O82:Q82"/>
    <mergeCell ref="R88:S88"/>
    <mergeCell ref="R89:S89"/>
    <mergeCell ref="R90:S90"/>
    <mergeCell ref="R91:S91"/>
    <mergeCell ref="R92:S92"/>
    <mergeCell ref="R83:S83"/>
    <mergeCell ref="R84:S84"/>
    <mergeCell ref="R85:S85"/>
    <mergeCell ref="R86:S86"/>
    <mergeCell ref="R87:S87"/>
    <mergeCell ref="J90:L90"/>
    <mergeCell ref="J91:L91"/>
    <mergeCell ref="J92:L92"/>
    <mergeCell ref="M92:N92"/>
    <mergeCell ref="O83:Q83"/>
    <mergeCell ref="O84:Q84"/>
    <mergeCell ref="O85:Q85"/>
    <mergeCell ref="O86:Q86"/>
    <mergeCell ref="O88:Q88"/>
    <mergeCell ref="O87:Q87"/>
    <mergeCell ref="J83:L83"/>
    <mergeCell ref="J84:L84"/>
    <mergeCell ref="J85:L85"/>
    <mergeCell ref="J86:L86"/>
    <mergeCell ref="J87:L87"/>
    <mergeCell ref="M78:N78"/>
    <mergeCell ref="M79:N79"/>
    <mergeCell ref="M80:N80"/>
    <mergeCell ref="M81:N81"/>
    <mergeCell ref="M82:N82"/>
    <mergeCell ref="M83:N83"/>
    <mergeCell ref="M84:N84"/>
    <mergeCell ref="M85:N85"/>
    <mergeCell ref="M86:N86"/>
    <mergeCell ref="J78:L78"/>
    <mergeCell ref="J79:L79"/>
    <mergeCell ref="J80:L80"/>
    <mergeCell ref="J81:L81"/>
    <mergeCell ref="J82:L82"/>
    <mergeCell ref="C86:E86"/>
    <mergeCell ref="F78:G78"/>
    <mergeCell ref="F79:G79"/>
    <mergeCell ref="F80:G80"/>
    <mergeCell ref="F81:G81"/>
    <mergeCell ref="F82:G82"/>
    <mergeCell ref="F83:G83"/>
    <mergeCell ref="F84:G84"/>
    <mergeCell ref="F85:G85"/>
    <mergeCell ref="F86:G86"/>
    <mergeCell ref="C81:E81"/>
    <mergeCell ref="C82:E82"/>
    <mergeCell ref="C83:E83"/>
    <mergeCell ref="C84:E84"/>
    <mergeCell ref="C85:E85"/>
    <mergeCell ref="A1:B1"/>
    <mergeCell ref="A37:A38"/>
    <mergeCell ref="C78:E78"/>
    <mergeCell ref="C79:E79"/>
    <mergeCell ref="C80:E80"/>
    <mergeCell ref="L36:M36"/>
    <mergeCell ref="J36:K36"/>
    <mergeCell ref="E36:F36"/>
    <mergeCell ref="C36:D36"/>
    <mergeCell ref="G36:H36"/>
    <mergeCell ref="C32:D32"/>
    <mergeCell ref="C33:D33"/>
    <mergeCell ref="C34:D34"/>
    <mergeCell ref="C35:D35"/>
    <mergeCell ref="E31:F31"/>
    <mergeCell ref="E32:F32"/>
    <mergeCell ref="E33:F33"/>
    <mergeCell ref="E34:F34"/>
    <mergeCell ref="E35:F35"/>
    <mergeCell ref="J14:K14"/>
    <mergeCell ref="J15:K15"/>
    <mergeCell ref="J16:K16"/>
    <mergeCell ref="E17:F17"/>
    <mergeCell ref="E18:F18"/>
    <mergeCell ref="Q32:R32"/>
    <mergeCell ref="Q33:R33"/>
    <mergeCell ref="Q34:R34"/>
    <mergeCell ref="Q35:R35"/>
    <mergeCell ref="O36:P36"/>
    <mergeCell ref="Q36:R36"/>
    <mergeCell ref="L32:M32"/>
    <mergeCell ref="L33:M33"/>
    <mergeCell ref="L34:M34"/>
    <mergeCell ref="L35:M35"/>
    <mergeCell ref="O34:P34"/>
    <mergeCell ref="O35:P35"/>
    <mergeCell ref="G32:H32"/>
    <mergeCell ref="G33:H33"/>
    <mergeCell ref="G34:H34"/>
    <mergeCell ref="G35:H35"/>
    <mergeCell ref="J31:K31"/>
    <mergeCell ref="J32:K32"/>
    <mergeCell ref="J33:K33"/>
    <mergeCell ref="J34:K34"/>
    <mergeCell ref="J35:K35"/>
    <mergeCell ref="O28:S28"/>
    <mergeCell ref="Q20:R20"/>
    <mergeCell ref="Q21:R21"/>
    <mergeCell ref="Q22:R22"/>
    <mergeCell ref="Q29:R29"/>
    <mergeCell ref="Q30:R30"/>
    <mergeCell ref="O29:P29"/>
    <mergeCell ref="O30:P30"/>
    <mergeCell ref="C31:D31"/>
    <mergeCell ref="G31:H31"/>
    <mergeCell ref="L31:M31"/>
    <mergeCell ref="Q31:R31"/>
    <mergeCell ref="O22:P22"/>
    <mergeCell ref="O24:P24"/>
    <mergeCell ref="O25:P25"/>
    <mergeCell ref="O26:P26"/>
    <mergeCell ref="Q24:R24"/>
    <mergeCell ref="Q25:R25"/>
    <mergeCell ref="Q26:R26"/>
    <mergeCell ref="C28:H28"/>
    <mergeCell ref="C30:D30"/>
    <mergeCell ref="E30:F30"/>
    <mergeCell ref="C23:H23"/>
    <mergeCell ref="C27:H27"/>
    <mergeCell ref="L26:M26"/>
    <mergeCell ref="L29:M29"/>
    <mergeCell ref="L30:M30"/>
    <mergeCell ref="J29:K29"/>
    <mergeCell ref="J30:K30"/>
    <mergeCell ref="L17:M17"/>
    <mergeCell ref="L18:M18"/>
    <mergeCell ref="L19:M19"/>
    <mergeCell ref="L20:M20"/>
    <mergeCell ref="L21:M21"/>
    <mergeCell ref="J17:K17"/>
    <mergeCell ref="J18:K18"/>
    <mergeCell ref="J19:K19"/>
    <mergeCell ref="J20:K20"/>
    <mergeCell ref="J21:K21"/>
    <mergeCell ref="J22:K22"/>
    <mergeCell ref="J24:K24"/>
    <mergeCell ref="J25:K25"/>
    <mergeCell ref="J26:K26"/>
    <mergeCell ref="J28:N28"/>
    <mergeCell ref="C17:D17"/>
    <mergeCell ref="C18:D18"/>
    <mergeCell ref="C19:D19"/>
    <mergeCell ref="C20:D20"/>
    <mergeCell ref="C21:D21"/>
    <mergeCell ref="O13:S13"/>
    <mergeCell ref="C14:D14"/>
    <mergeCell ref="E14:F14"/>
    <mergeCell ref="C15:D15"/>
    <mergeCell ref="C16:D16"/>
    <mergeCell ref="E15:F15"/>
    <mergeCell ref="E16:F16"/>
    <mergeCell ref="L14:M14"/>
    <mergeCell ref="L15:M15"/>
    <mergeCell ref="L16:M16"/>
    <mergeCell ref="O14:P14"/>
    <mergeCell ref="O15:P15"/>
    <mergeCell ref="O16:P16"/>
    <mergeCell ref="C13:H13"/>
    <mergeCell ref="O17:P17"/>
    <mergeCell ref="O18:P18"/>
    <mergeCell ref="O19:P19"/>
    <mergeCell ref="O20:P20"/>
    <mergeCell ref="O21:P21"/>
    <mergeCell ref="E19:F19"/>
    <mergeCell ref="Q14:R14"/>
    <mergeCell ref="Q15:R15"/>
    <mergeCell ref="Q16:R16"/>
    <mergeCell ref="Q17:R17"/>
    <mergeCell ref="Q18:R18"/>
    <mergeCell ref="Q19:R19"/>
    <mergeCell ref="E20:F20"/>
    <mergeCell ref="E21:F21"/>
    <mergeCell ref="J6:N6"/>
    <mergeCell ref="J7:N7"/>
    <mergeCell ref="J9:N9"/>
    <mergeCell ref="J10:N10"/>
    <mergeCell ref="J11:N11"/>
    <mergeCell ref="J12:N12"/>
    <mergeCell ref="J13:N13"/>
    <mergeCell ref="O7:S7"/>
    <mergeCell ref="C9:H9"/>
    <mergeCell ref="C10:H10"/>
    <mergeCell ref="C11:H11"/>
    <mergeCell ref="C12:H12"/>
    <mergeCell ref="O9:S9"/>
    <mergeCell ref="O10:S10"/>
    <mergeCell ref="O11:S11"/>
    <mergeCell ref="O12:S12"/>
    <mergeCell ref="C5:H5"/>
    <mergeCell ref="C6:H6"/>
    <mergeCell ref="C7:H7"/>
    <mergeCell ref="A27:A28"/>
    <mergeCell ref="J27:N27"/>
    <mergeCell ref="O27:S27"/>
    <mergeCell ref="E29:F29"/>
    <mergeCell ref="C29:D29"/>
    <mergeCell ref="A22:A23"/>
    <mergeCell ref="J23:N23"/>
    <mergeCell ref="O23:S23"/>
    <mergeCell ref="A24:A26"/>
    <mergeCell ref="C22:D22"/>
    <mergeCell ref="C24:D24"/>
    <mergeCell ref="C25:D25"/>
    <mergeCell ref="C26:D26"/>
    <mergeCell ref="E22:F22"/>
    <mergeCell ref="E24:F24"/>
    <mergeCell ref="E25:F25"/>
    <mergeCell ref="E26:F26"/>
    <mergeCell ref="L22:M22"/>
    <mergeCell ref="L24:M24"/>
    <mergeCell ref="L25:M25"/>
    <mergeCell ref="J5:N5"/>
    <mergeCell ref="J2:N2"/>
    <mergeCell ref="J3:N3"/>
    <mergeCell ref="J4:N4"/>
    <mergeCell ref="O31:P31"/>
    <mergeCell ref="O32:P32"/>
    <mergeCell ref="O33:P33"/>
    <mergeCell ref="A18:A21"/>
    <mergeCell ref="J1:N1"/>
    <mergeCell ref="O1:S1"/>
    <mergeCell ref="A8:A13"/>
    <mergeCell ref="A15:A17"/>
    <mergeCell ref="C1:H1"/>
    <mergeCell ref="C8:H8"/>
    <mergeCell ref="J8:N8"/>
    <mergeCell ref="O8:S8"/>
    <mergeCell ref="A2:A7"/>
    <mergeCell ref="C2:H2"/>
    <mergeCell ref="C3:H3"/>
    <mergeCell ref="O2:S2"/>
    <mergeCell ref="O3:S3"/>
    <mergeCell ref="O4:S4"/>
    <mergeCell ref="O5:S5"/>
    <mergeCell ref="O6:S6"/>
    <mergeCell ref="C4:H4"/>
  </mergeCells>
  <pageMargins left="0.7" right="0.7" top="0.75" bottom="0.75" header="0.3" footer="0.3"/>
  <pageSetup orientation="portrait" horizontalDpi="200" verticalDpi="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O86"/>
  <sheetViews>
    <sheetView zoomScaleNormal="100" workbookViewId="0">
      <pane xSplit="1" ySplit="3" topLeftCell="AN53" activePane="bottomRight" state="frozen"/>
      <selection pane="topRight" activeCell="B1" sqref="B1"/>
      <selection pane="bottomLeft" activeCell="A3" sqref="A3"/>
      <selection pane="bottomRight" activeCell="A4" sqref="A4"/>
    </sheetView>
  </sheetViews>
  <sheetFormatPr defaultRowHeight="15"/>
  <cols>
    <col min="1" max="1" width="13.42578125" customWidth="1"/>
    <col min="2" max="2" width="16.85546875" customWidth="1"/>
    <col min="3" max="3" width="16" customWidth="1"/>
    <col min="4" max="4" width="13.140625" customWidth="1"/>
    <col min="5" max="5" width="14.42578125" customWidth="1"/>
    <col min="6" max="6" width="12" customWidth="1"/>
    <col min="7" max="7" width="12.140625" customWidth="1"/>
    <col min="8" max="8" width="12.85546875" customWidth="1"/>
    <col min="9" max="9" width="9.140625" customWidth="1"/>
    <col min="10" max="10" width="16.42578125" customWidth="1"/>
    <col min="11" max="11" width="14.42578125" customWidth="1"/>
    <col min="12" max="12" width="12.28515625" customWidth="1"/>
    <col min="13" max="13" width="12.42578125" customWidth="1"/>
    <col min="14" max="14" width="9.140625" customWidth="1"/>
    <col min="15" max="15" width="9.5703125" style="45" customWidth="1"/>
    <col min="16" max="16" width="28.5703125" style="45" customWidth="1"/>
    <col min="17" max="17" width="12.7109375" customWidth="1"/>
    <col min="18" max="18" width="15.42578125" customWidth="1"/>
    <col min="19" max="43" width="15.42578125" style="45" customWidth="1"/>
    <col min="44" max="45" width="15.42578125" style="291" customWidth="1"/>
    <col min="46" max="46" width="15.42578125" style="297" customWidth="1"/>
    <col min="47" max="47" width="14" bestFit="1" customWidth="1"/>
    <col min="48" max="49" width="14" style="297" customWidth="1"/>
    <col min="50" max="50" width="14" style="45" customWidth="1"/>
    <col min="52" max="52" width="12.85546875" bestFit="1" customWidth="1"/>
    <col min="54" max="54" width="12" bestFit="1" customWidth="1"/>
    <col min="55" max="55" width="12.28515625" bestFit="1" customWidth="1"/>
  </cols>
  <sheetData>
    <row r="1" spans="1:67" s="291" customFormat="1">
      <c r="A1" s="74">
        <v>1</v>
      </c>
      <c r="B1" s="74">
        <f t="shared" ref="B1:AS1" si="0">A1+1</f>
        <v>2</v>
      </c>
      <c r="C1" s="74">
        <f t="shared" si="0"/>
        <v>3</v>
      </c>
      <c r="D1" s="74">
        <f t="shared" si="0"/>
        <v>4</v>
      </c>
      <c r="E1" s="74">
        <f t="shared" si="0"/>
        <v>5</v>
      </c>
      <c r="F1" s="74">
        <f t="shared" si="0"/>
        <v>6</v>
      </c>
      <c r="G1" s="74">
        <f t="shared" si="0"/>
        <v>7</v>
      </c>
      <c r="H1" s="74">
        <f t="shared" si="0"/>
        <v>8</v>
      </c>
      <c r="I1" s="74">
        <f t="shared" si="0"/>
        <v>9</v>
      </c>
      <c r="J1" s="74">
        <f t="shared" si="0"/>
        <v>10</v>
      </c>
      <c r="K1" s="74">
        <f t="shared" si="0"/>
        <v>11</v>
      </c>
      <c r="L1" s="74">
        <f t="shared" si="0"/>
        <v>12</v>
      </c>
      <c r="M1" s="74">
        <f t="shared" si="0"/>
        <v>13</v>
      </c>
      <c r="N1" s="74">
        <f t="shared" si="0"/>
        <v>14</v>
      </c>
      <c r="O1" s="74">
        <f t="shared" si="0"/>
        <v>15</v>
      </c>
      <c r="P1" s="74">
        <f t="shared" si="0"/>
        <v>16</v>
      </c>
      <c r="Q1" s="74">
        <f t="shared" si="0"/>
        <v>17</v>
      </c>
      <c r="R1" s="74">
        <f t="shared" si="0"/>
        <v>18</v>
      </c>
      <c r="S1" s="74">
        <f t="shared" si="0"/>
        <v>19</v>
      </c>
      <c r="T1" s="74">
        <f t="shared" si="0"/>
        <v>20</v>
      </c>
      <c r="U1" s="74">
        <f t="shared" si="0"/>
        <v>21</v>
      </c>
      <c r="V1" s="74">
        <f t="shared" si="0"/>
        <v>22</v>
      </c>
      <c r="W1" s="74">
        <f t="shared" si="0"/>
        <v>23</v>
      </c>
      <c r="X1" s="74">
        <f t="shared" si="0"/>
        <v>24</v>
      </c>
      <c r="Y1" s="74">
        <f t="shared" si="0"/>
        <v>25</v>
      </c>
      <c r="Z1" s="74">
        <f t="shared" si="0"/>
        <v>26</v>
      </c>
      <c r="AA1" s="74">
        <f t="shared" si="0"/>
        <v>27</v>
      </c>
      <c r="AB1" s="74">
        <f t="shared" si="0"/>
        <v>28</v>
      </c>
      <c r="AC1" s="74">
        <f t="shared" si="0"/>
        <v>29</v>
      </c>
      <c r="AD1" s="74">
        <f t="shared" si="0"/>
        <v>30</v>
      </c>
      <c r="AE1" s="74">
        <f t="shared" si="0"/>
        <v>31</v>
      </c>
      <c r="AF1" s="74">
        <f t="shared" si="0"/>
        <v>32</v>
      </c>
      <c r="AG1" s="74">
        <f t="shared" si="0"/>
        <v>33</v>
      </c>
      <c r="AH1" s="74">
        <f t="shared" si="0"/>
        <v>34</v>
      </c>
      <c r="AI1" s="74">
        <f t="shared" si="0"/>
        <v>35</v>
      </c>
      <c r="AJ1" s="74">
        <f t="shared" si="0"/>
        <v>36</v>
      </c>
      <c r="AK1" s="74">
        <f t="shared" si="0"/>
        <v>37</v>
      </c>
      <c r="AL1" s="74">
        <f t="shared" si="0"/>
        <v>38</v>
      </c>
      <c r="AM1" s="74">
        <f t="shared" si="0"/>
        <v>39</v>
      </c>
      <c r="AN1" s="74">
        <f t="shared" si="0"/>
        <v>40</v>
      </c>
      <c r="AO1" s="74">
        <f t="shared" si="0"/>
        <v>41</v>
      </c>
      <c r="AP1" s="74">
        <f t="shared" si="0"/>
        <v>42</v>
      </c>
      <c r="AQ1" s="74">
        <f t="shared" si="0"/>
        <v>43</v>
      </c>
      <c r="AR1" s="74">
        <f t="shared" si="0"/>
        <v>44</v>
      </c>
      <c r="AS1" s="74">
        <f t="shared" si="0"/>
        <v>45</v>
      </c>
      <c r="AT1" s="74">
        <v>46</v>
      </c>
      <c r="AU1" s="74">
        <v>47</v>
      </c>
      <c r="AV1" s="74">
        <v>48</v>
      </c>
      <c r="AW1" s="74">
        <v>49</v>
      </c>
    </row>
    <row r="2" spans="1:67" ht="15.75" customHeight="1">
      <c r="A2" s="629" t="s">
        <v>190</v>
      </c>
      <c r="B2" s="2414" t="s">
        <v>191</v>
      </c>
      <c r="C2" s="2414" t="s">
        <v>192</v>
      </c>
      <c r="D2" s="2414" t="s">
        <v>193</v>
      </c>
      <c r="E2" s="2414" t="s">
        <v>194</v>
      </c>
      <c r="F2" s="2413" t="s">
        <v>195</v>
      </c>
      <c r="G2" s="2413"/>
      <c r="H2" s="2418" t="s">
        <v>234</v>
      </c>
      <c r="I2" s="2418" t="s">
        <v>236</v>
      </c>
      <c r="J2" s="2418" t="s">
        <v>238</v>
      </c>
      <c r="K2" s="2414" t="s">
        <v>248</v>
      </c>
      <c r="L2" s="2414" t="s">
        <v>262</v>
      </c>
      <c r="M2" s="2414" t="s">
        <v>263</v>
      </c>
      <c r="N2" s="2414" t="s">
        <v>264</v>
      </c>
      <c r="O2" s="2414" t="s">
        <v>426</v>
      </c>
      <c r="P2" s="2414" t="s">
        <v>427</v>
      </c>
      <c r="Q2" s="2412" t="s">
        <v>288</v>
      </c>
      <c r="R2" s="2412"/>
      <c r="S2" s="2412"/>
      <c r="T2" s="2412" t="s">
        <v>126</v>
      </c>
      <c r="U2" s="2412"/>
      <c r="V2" s="2412"/>
      <c r="W2" s="2412" t="s">
        <v>456</v>
      </c>
      <c r="X2" s="2412"/>
      <c r="Y2" s="2412"/>
      <c r="Z2" s="2412" t="s">
        <v>68</v>
      </c>
      <c r="AA2" s="2412"/>
      <c r="AB2" s="2412"/>
      <c r="AC2" s="2412" t="s">
        <v>124</v>
      </c>
      <c r="AD2" s="2412"/>
      <c r="AE2" s="2412"/>
      <c r="AF2" s="2412" t="s">
        <v>455</v>
      </c>
      <c r="AG2" s="2412"/>
      <c r="AH2" s="2412"/>
      <c r="AI2" s="2412" t="s">
        <v>285</v>
      </c>
      <c r="AJ2" s="2412"/>
      <c r="AK2" s="2412"/>
      <c r="AL2" s="2413" t="s">
        <v>310</v>
      </c>
      <c r="AM2" s="2413"/>
      <c r="AN2" s="2413"/>
      <c r="AO2" s="2413" t="s">
        <v>463</v>
      </c>
      <c r="AP2" s="2413"/>
      <c r="AQ2" s="2413"/>
      <c r="AR2" s="2414" t="s">
        <v>476</v>
      </c>
      <c r="AS2" s="2414" t="s">
        <v>477</v>
      </c>
      <c r="AT2" s="2414" t="s">
        <v>495</v>
      </c>
      <c r="AU2" s="2416" t="s">
        <v>445</v>
      </c>
      <c r="AV2" s="2821" t="s">
        <v>2468</v>
      </c>
      <c r="AW2" s="2821" t="s">
        <v>2468</v>
      </c>
      <c r="BJ2" s="45"/>
    </row>
    <row r="3" spans="1:67">
      <c r="A3" s="631"/>
      <c r="B3" s="2415"/>
      <c r="C3" s="2415"/>
      <c r="D3" s="2415"/>
      <c r="E3" s="2415"/>
      <c r="F3" s="632" t="s">
        <v>196</v>
      </c>
      <c r="G3" s="632" t="s">
        <v>197</v>
      </c>
      <c r="H3" s="2413"/>
      <c r="I3" s="2413"/>
      <c r="J3" s="2413"/>
      <c r="K3" s="2415"/>
      <c r="L3" s="2412"/>
      <c r="M3" s="2415"/>
      <c r="N3" s="2412"/>
      <c r="O3" s="2415"/>
      <c r="P3" s="2415"/>
      <c r="Q3" s="630" t="s">
        <v>289</v>
      </c>
      <c r="R3" s="630" t="s">
        <v>290</v>
      </c>
      <c r="S3" s="630" t="s">
        <v>452</v>
      </c>
      <c r="T3" s="632" t="s">
        <v>289</v>
      </c>
      <c r="U3" s="632" t="s">
        <v>452</v>
      </c>
      <c r="V3" s="632" t="s">
        <v>454</v>
      </c>
      <c r="W3" s="632" t="s">
        <v>289</v>
      </c>
      <c r="X3" s="632" t="s">
        <v>452</v>
      </c>
      <c r="Y3" s="632" t="s">
        <v>454</v>
      </c>
      <c r="Z3" s="632" t="s">
        <v>289</v>
      </c>
      <c r="AA3" s="632" t="s">
        <v>452</v>
      </c>
      <c r="AB3" s="632" t="s">
        <v>454</v>
      </c>
      <c r="AC3" s="632" t="s">
        <v>289</v>
      </c>
      <c r="AD3" s="632" t="s">
        <v>452</v>
      </c>
      <c r="AE3" s="632" t="s">
        <v>454</v>
      </c>
      <c r="AF3" s="632" t="s">
        <v>289</v>
      </c>
      <c r="AG3" s="632" t="s">
        <v>452</v>
      </c>
      <c r="AH3" s="632" t="s">
        <v>454</v>
      </c>
      <c r="AI3" s="632" t="s">
        <v>289</v>
      </c>
      <c r="AJ3" s="632" t="s">
        <v>452</v>
      </c>
      <c r="AK3" s="632" t="s">
        <v>454</v>
      </c>
      <c r="AL3" s="632" t="s">
        <v>289</v>
      </c>
      <c r="AM3" s="632" t="s">
        <v>452</v>
      </c>
      <c r="AN3" s="632" t="s">
        <v>454</v>
      </c>
      <c r="AO3" s="632" t="s">
        <v>460</v>
      </c>
      <c r="AP3" s="632" t="s">
        <v>461</v>
      </c>
      <c r="AQ3" s="632" t="s">
        <v>462</v>
      </c>
      <c r="AR3" s="2415"/>
      <c r="AS3" s="2415"/>
      <c r="AT3" s="2415"/>
      <c r="AU3" s="2417"/>
      <c r="AV3" s="2821" t="s">
        <v>2464</v>
      </c>
      <c r="AW3" s="2821" t="s">
        <v>2465</v>
      </c>
      <c r="AX3" s="268"/>
      <c r="AY3" t="s">
        <v>275</v>
      </c>
      <c r="AZ3" s="34" t="s">
        <v>284</v>
      </c>
      <c r="BB3" s="45" t="s">
        <v>308</v>
      </c>
      <c r="BG3" t="s">
        <v>549</v>
      </c>
      <c r="BL3" t="s">
        <v>2270</v>
      </c>
      <c r="BM3" t="s">
        <v>2278</v>
      </c>
      <c r="BN3" t="s">
        <v>2280</v>
      </c>
      <c r="BO3" t="s">
        <v>2460</v>
      </c>
    </row>
    <row r="4" spans="1:67" s="297" customFormat="1">
      <c r="A4" s="633" t="s">
        <v>129</v>
      </c>
      <c r="B4" s="407">
        <v>-7</v>
      </c>
      <c r="C4" s="407">
        <v>86</v>
      </c>
      <c r="D4" s="407">
        <v>70</v>
      </c>
      <c r="E4" s="407">
        <v>6894</v>
      </c>
      <c r="F4" s="407">
        <v>5</v>
      </c>
      <c r="G4" s="407" t="s">
        <v>198</v>
      </c>
      <c r="H4" s="407">
        <v>181</v>
      </c>
      <c r="I4" s="407">
        <v>786</v>
      </c>
      <c r="J4" s="407">
        <v>54.2</v>
      </c>
      <c r="K4" s="407">
        <v>507</v>
      </c>
      <c r="L4" s="407">
        <v>0.113</v>
      </c>
      <c r="M4" s="407">
        <v>0.08</v>
      </c>
      <c r="N4" s="407">
        <v>-2.5000000000000001E-2</v>
      </c>
      <c r="O4" s="407"/>
      <c r="P4" s="407">
        <v>9.6999999999999993</v>
      </c>
      <c r="Q4" s="407">
        <v>22</v>
      </c>
      <c r="R4" s="407">
        <v>16</v>
      </c>
      <c r="S4" s="407">
        <v>9.9000000000000005E-2</v>
      </c>
      <c r="T4" s="407">
        <v>6.3</v>
      </c>
      <c r="U4" s="407">
        <v>1.7999999999999999E-2</v>
      </c>
      <c r="V4" s="407">
        <v>39.200000000000003</v>
      </c>
      <c r="W4" s="407">
        <v>6.3</v>
      </c>
      <c r="X4" s="407">
        <v>1.7999999999999999E-2</v>
      </c>
      <c r="Y4" s="407">
        <v>39.200000000000003</v>
      </c>
      <c r="Z4" s="407">
        <v>1.8</v>
      </c>
      <c r="AA4" s="407">
        <v>1.7999999999999999E-2</v>
      </c>
      <c r="AB4" s="407">
        <v>14.1</v>
      </c>
      <c r="AC4" s="407">
        <v>4.3</v>
      </c>
      <c r="AD4" s="407">
        <v>5.0000000000000001E-3</v>
      </c>
      <c r="AE4" s="407">
        <v>15.7</v>
      </c>
      <c r="AF4" s="407">
        <f>(2.1+7.9)/2</f>
        <v>5</v>
      </c>
      <c r="AG4" s="407">
        <f>0.004</f>
        <v>4.0000000000000001E-3</v>
      </c>
      <c r="AH4" s="407">
        <f>(8.1+29.9)/2</f>
        <v>19</v>
      </c>
      <c r="AI4" s="407">
        <v>12.2</v>
      </c>
      <c r="AJ4" s="407">
        <v>1.0999999999999999E-2</v>
      </c>
      <c r="AK4" s="407">
        <v>45.6</v>
      </c>
      <c r="AL4" s="407">
        <f>(9.6+3.8)/2</f>
        <v>6.6999999999999993</v>
      </c>
      <c r="AM4" s="407">
        <f>0.065</f>
        <v>6.5000000000000002E-2</v>
      </c>
      <c r="AN4" s="407">
        <f>(14.7+36.5)/2</f>
        <v>25.6</v>
      </c>
      <c r="AO4" s="407">
        <f>2*6.4</f>
        <v>12.8</v>
      </c>
      <c r="AP4" s="407">
        <f>2*0.003</f>
        <v>6.0000000000000001E-3</v>
      </c>
      <c r="AQ4" s="407">
        <f>2*11.3</f>
        <v>22.6</v>
      </c>
      <c r="AR4" s="407">
        <v>1934</v>
      </c>
      <c r="AS4" s="407">
        <v>6.0999999999999999E-2</v>
      </c>
      <c r="AT4" s="407">
        <v>1</v>
      </c>
      <c r="AU4" s="292" t="s">
        <v>446</v>
      </c>
      <c r="AV4" s="2822">
        <f>IF(F4=4,0.15,IF(F4=5,0.06,0.03))</f>
        <v>0.06</v>
      </c>
      <c r="AW4" s="2822">
        <f>IF(F4=4,0.85,IF(F4=5,0.94,0.97))</f>
        <v>0.94</v>
      </c>
      <c r="AY4" s="33" t="s">
        <v>270</v>
      </c>
      <c r="AZ4" s="33">
        <v>1</v>
      </c>
      <c r="BB4" s="297" t="s">
        <v>271</v>
      </c>
      <c r="BC4" s="297">
        <v>2</v>
      </c>
      <c r="BE4" s="297" t="s">
        <v>404</v>
      </c>
      <c r="BG4" s="297" t="s">
        <v>546</v>
      </c>
      <c r="BL4" s="297" t="s">
        <v>2279</v>
      </c>
      <c r="BM4" s="297" t="s">
        <v>2279</v>
      </c>
      <c r="BN4" s="297" t="s">
        <v>2281</v>
      </c>
      <c r="BO4" s="297" t="s">
        <v>2385</v>
      </c>
    </row>
    <row r="5" spans="1:67">
      <c r="A5" s="634" t="s">
        <v>130</v>
      </c>
      <c r="B5" s="407">
        <v>1</v>
      </c>
      <c r="C5" s="407">
        <v>86</v>
      </c>
      <c r="D5" s="407">
        <v>71</v>
      </c>
      <c r="E5" s="407">
        <v>7484</v>
      </c>
      <c r="F5" s="407">
        <v>6</v>
      </c>
      <c r="G5" s="407">
        <v>15</v>
      </c>
      <c r="H5" s="407">
        <f t="shared" ref="H5:J6" si="1">IF($AU5="Albany",H$4,IF($AU5="Binghamton",H$7,IF($AU5="Buffalo",H$18,IF($AU5="Massena",H$48,IF($AU5="NYC",H$34,IF($AU5="Poughkeepsie",H$17,H$37))))))</f>
        <v>120</v>
      </c>
      <c r="I5" s="407">
        <f t="shared" si="1"/>
        <v>1006</v>
      </c>
      <c r="J5" s="407">
        <f t="shared" si="1"/>
        <v>52.9</v>
      </c>
      <c r="K5" s="407">
        <v>438</v>
      </c>
      <c r="L5" s="407">
        <f t="shared" ref="L5:U6" si="2">IF($AU5="Albany",L$4,IF($AU5="Binghamton",L$7,IF($AU5="Buffalo",L$18,IF($AU5="Massena",L$48,IF($AU5="NYC",L$34,IF($AU5="Poughkeepsie",L$17,L$37))))))</f>
        <v>7.2999999999999995E-2</v>
      </c>
      <c r="M5" s="407">
        <f t="shared" si="2"/>
        <v>6.8000000000000005E-2</v>
      </c>
      <c r="N5" s="407">
        <f t="shared" si="2"/>
        <v>-2.7E-2</v>
      </c>
      <c r="O5" s="407">
        <f t="shared" si="2"/>
        <v>0</v>
      </c>
      <c r="P5" s="407">
        <f t="shared" si="2"/>
        <v>9.6</v>
      </c>
      <c r="Q5" s="407">
        <f t="shared" si="2"/>
        <v>11</v>
      </c>
      <c r="R5" s="407">
        <f t="shared" si="2"/>
        <v>17</v>
      </c>
      <c r="S5" s="407">
        <f t="shared" si="2"/>
        <v>8.5000000000000006E-2</v>
      </c>
      <c r="T5" s="407">
        <f t="shared" si="2"/>
        <v>6</v>
      </c>
      <c r="U5" s="407">
        <f t="shared" si="2"/>
        <v>2.5999999999999999E-2</v>
      </c>
      <c r="V5" s="407">
        <f t="shared" ref="V5:AE6" si="3">IF($AU5="Albany",V$4,IF($AU5="Binghamton",V$7,IF($AU5="Buffalo",V$18,IF($AU5="Massena",V$48,IF($AU5="NYC",V$34,IF($AU5="Poughkeepsie",V$17,V$37))))))</f>
        <v>42.7</v>
      </c>
      <c r="W5" s="407">
        <f t="shared" si="3"/>
        <v>6</v>
      </c>
      <c r="X5" s="407">
        <f t="shared" si="3"/>
        <v>2.5999999999999999E-2</v>
      </c>
      <c r="Y5" s="407">
        <f t="shared" si="3"/>
        <v>42.7</v>
      </c>
      <c r="Z5" s="407">
        <f t="shared" si="3"/>
        <v>1.8</v>
      </c>
      <c r="AA5" s="407">
        <f t="shared" si="3"/>
        <v>8.9999999999999993E-3</v>
      </c>
      <c r="AB5" s="407">
        <f t="shared" si="3"/>
        <v>14.9</v>
      </c>
      <c r="AC5" s="407">
        <f t="shared" si="3"/>
        <v>2.8</v>
      </c>
      <c r="AD5" s="407">
        <f t="shared" si="3"/>
        <v>0</v>
      </c>
      <c r="AE5" s="407">
        <f t="shared" si="3"/>
        <v>17.2</v>
      </c>
      <c r="AF5" s="407">
        <f t="shared" ref="AF5:AQ6" si="4">IF($AU5="Albany",AF$4,IF($AU5="Binghamton",AF$7,IF($AU5="Buffalo",AF$18,IF($AU5="Massena",AF$48,IF($AU5="NYC",AF$34,IF($AU5="Poughkeepsie",AF$17,AF$37))))))</f>
        <v>3.1</v>
      </c>
      <c r="AG5" s="407">
        <f t="shared" si="4"/>
        <v>1.5E-3</v>
      </c>
      <c r="AH5" s="407">
        <f t="shared" si="4"/>
        <v>20.650000000000002</v>
      </c>
      <c r="AI5" s="407">
        <f t="shared" si="4"/>
        <v>7.7</v>
      </c>
      <c r="AJ5" s="407">
        <f t="shared" si="4"/>
        <v>3.0000000000000001E-3</v>
      </c>
      <c r="AK5" s="407">
        <f t="shared" si="4"/>
        <v>49.9</v>
      </c>
      <c r="AL5" s="407">
        <f t="shared" si="4"/>
        <v>4.1500000000000004</v>
      </c>
      <c r="AM5" s="407">
        <f t="shared" si="4"/>
        <v>4.0000000000000001E-3</v>
      </c>
      <c r="AN5" s="407">
        <f t="shared" si="4"/>
        <v>27.85</v>
      </c>
      <c r="AO5" s="407">
        <f t="shared" si="4"/>
        <v>13.6</v>
      </c>
      <c r="AP5" s="407">
        <f t="shared" si="4"/>
        <v>6.0000000000000001E-3</v>
      </c>
      <c r="AQ5" s="407">
        <f t="shared" si="4"/>
        <v>24.2</v>
      </c>
      <c r="AR5" s="407">
        <v>1934</v>
      </c>
      <c r="AS5" s="407">
        <v>6.0999999999999999E-2</v>
      </c>
      <c r="AT5" s="407">
        <f>IF($AU5="Albany",AT$4,IF($AU5="Binghamton",AT$7,IF($AU5="Buffalo",AT$18,IF($AU5="Massena",AT$48,IF($AU5="NYC",AT$34,IF($AU5="Poughkeepsie",AT$17,AT$37))))))</f>
        <v>1.008</v>
      </c>
      <c r="AU5" s="292" t="s">
        <v>447</v>
      </c>
      <c r="AV5" s="2822">
        <f t="shared" ref="AV5:AV65" si="5">IF(F5=4,0.15,IF(F5=5,0.06,0.03))</f>
        <v>0.03</v>
      </c>
      <c r="AW5" s="2822">
        <f t="shared" ref="AW5:AW65" si="6">IF(F5=4,0.85,IF(F5=5,0.94,0.97))</f>
        <v>0.97</v>
      </c>
      <c r="AY5" s="33" t="s">
        <v>271</v>
      </c>
      <c r="AZ5" s="33">
        <v>2</v>
      </c>
      <c r="BB5" s="45" t="s">
        <v>273</v>
      </c>
      <c r="BC5">
        <v>5</v>
      </c>
      <c r="BE5" s="45" t="s">
        <v>403</v>
      </c>
      <c r="BG5" s="297" t="s">
        <v>547</v>
      </c>
      <c r="BL5" s="297" t="s">
        <v>2271</v>
      </c>
      <c r="BM5" s="297" t="s">
        <v>2271</v>
      </c>
      <c r="BN5" t="s">
        <v>2282</v>
      </c>
      <c r="BO5" t="s">
        <v>2387</v>
      </c>
    </row>
    <row r="6" spans="1:67">
      <c r="A6" s="634" t="s">
        <v>131</v>
      </c>
      <c r="B6" s="407">
        <v>13</v>
      </c>
      <c r="C6" s="407">
        <v>89</v>
      </c>
      <c r="D6" s="407">
        <v>73</v>
      </c>
      <c r="E6" s="407">
        <v>4910</v>
      </c>
      <c r="F6" s="407">
        <v>4</v>
      </c>
      <c r="G6" s="407" t="s">
        <v>199</v>
      </c>
      <c r="H6" s="407">
        <f t="shared" si="1"/>
        <v>382</v>
      </c>
      <c r="I6" s="407">
        <f t="shared" si="1"/>
        <v>526</v>
      </c>
      <c r="J6" s="407">
        <f t="shared" si="1"/>
        <v>62.5</v>
      </c>
      <c r="K6" s="407">
        <v>1096</v>
      </c>
      <c r="L6" s="407">
        <f t="shared" si="2"/>
        <v>0.19400000000000001</v>
      </c>
      <c r="M6" s="407">
        <f t="shared" si="2"/>
        <v>0.10100000000000001</v>
      </c>
      <c r="N6" s="407">
        <f t="shared" si="2"/>
        <v>-2.1000000000000001E-2</v>
      </c>
      <c r="O6" s="407">
        <f t="shared" si="2"/>
        <v>0</v>
      </c>
      <c r="P6" s="407">
        <f t="shared" si="2"/>
        <v>10.7</v>
      </c>
      <c r="Q6" s="407">
        <f t="shared" si="2"/>
        <v>56</v>
      </c>
      <c r="R6" s="407">
        <f t="shared" si="2"/>
        <v>17</v>
      </c>
      <c r="S6" s="407">
        <f t="shared" si="2"/>
        <v>9.8000000000000004E-2</v>
      </c>
      <c r="T6" s="407">
        <f t="shared" si="2"/>
        <v>20.3</v>
      </c>
      <c r="U6" s="407">
        <f t="shared" si="2"/>
        <v>2.5999999999999999E-2</v>
      </c>
      <c r="V6" s="407">
        <f t="shared" si="3"/>
        <v>28.3</v>
      </c>
      <c r="W6" s="407">
        <f t="shared" si="3"/>
        <v>20.3</v>
      </c>
      <c r="X6" s="407">
        <f t="shared" si="3"/>
        <v>2.5999999999999999E-2</v>
      </c>
      <c r="Y6" s="407">
        <f t="shared" si="3"/>
        <v>28.3</v>
      </c>
      <c r="Z6" s="407">
        <f t="shared" si="3"/>
        <v>6.7</v>
      </c>
      <c r="AA6" s="407">
        <f t="shared" si="3"/>
        <v>8.9999999999999993E-3</v>
      </c>
      <c r="AB6" s="407">
        <f t="shared" si="3"/>
        <v>9.4</v>
      </c>
      <c r="AC6" s="407">
        <f t="shared" si="3"/>
        <v>11</v>
      </c>
      <c r="AD6" s="407">
        <f t="shared" si="3"/>
        <v>3.0000000000000001E-3</v>
      </c>
      <c r="AE6" s="407">
        <f t="shared" si="3"/>
        <v>10.7</v>
      </c>
      <c r="AF6" s="407">
        <f t="shared" si="4"/>
        <v>13.05</v>
      </c>
      <c r="AG6" s="407">
        <f t="shared" si="4"/>
        <v>2.5000000000000001E-3</v>
      </c>
      <c r="AH6" s="407">
        <f t="shared" si="4"/>
        <v>12.75</v>
      </c>
      <c r="AI6" s="407">
        <f t="shared" si="4"/>
        <v>31.7</v>
      </c>
      <c r="AJ6" s="407">
        <f t="shared" si="4"/>
        <v>8.0000000000000002E-3</v>
      </c>
      <c r="AK6" s="407">
        <f t="shared" si="4"/>
        <v>30.9</v>
      </c>
      <c r="AL6" s="407">
        <f t="shared" si="4"/>
        <v>17.600000000000001</v>
      </c>
      <c r="AM6" s="407">
        <f t="shared" si="4"/>
        <v>5.4999999999999997E-3</v>
      </c>
      <c r="AN6" s="407">
        <f t="shared" si="4"/>
        <v>17.350000000000001</v>
      </c>
      <c r="AO6" s="407">
        <f t="shared" si="4"/>
        <v>9.1999999999999993</v>
      </c>
      <c r="AP6" s="407">
        <f t="shared" si="4"/>
        <v>6.0000000000000001E-3</v>
      </c>
      <c r="AQ6" s="407">
        <f t="shared" si="4"/>
        <v>17.399999999999999</v>
      </c>
      <c r="AR6" s="407">
        <v>1934</v>
      </c>
      <c r="AS6" s="407">
        <v>6.0999999999999999E-2</v>
      </c>
      <c r="AT6" s="407">
        <f>IF($AU6="Albany",AT$4,IF($AU6="Binghamton",AT$7,IF($AU6="Buffalo",AT$18,IF($AU6="Massena",AT$48,IF($AU6="NYC",AT$34,IF($AU6="Poughkeepsie",AT$17,AT$37))))))</f>
        <v>1.34</v>
      </c>
      <c r="AU6" s="292" t="s">
        <v>402</v>
      </c>
      <c r="AV6" s="2822">
        <f t="shared" si="5"/>
        <v>0.15</v>
      </c>
      <c r="AW6" s="2822">
        <f t="shared" si="6"/>
        <v>0.85</v>
      </c>
      <c r="AY6" s="33" t="s">
        <v>599</v>
      </c>
      <c r="AZ6" s="33">
        <v>3</v>
      </c>
      <c r="BB6" s="45" t="s">
        <v>307</v>
      </c>
      <c r="BC6">
        <v>7</v>
      </c>
      <c r="BE6" s="45" t="s">
        <v>405</v>
      </c>
      <c r="BG6" s="297" t="s">
        <v>548</v>
      </c>
      <c r="BL6" t="s">
        <v>2272</v>
      </c>
      <c r="BM6" t="s">
        <v>2272</v>
      </c>
      <c r="BN6" t="s">
        <v>2283</v>
      </c>
    </row>
    <row r="7" spans="1:67">
      <c r="A7" s="633" t="s">
        <v>132</v>
      </c>
      <c r="B7" s="407">
        <v>-2</v>
      </c>
      <c r="C7" s="407">
        <v>82</v>
      </c>
      <c r="D7" s="407">
        <v>69</v>
      </c>
      <c r="E7" s="407">
        <v>7273</v>
      </c>
      <c r="F7" s="407">
        <v>6</v>
      </c>
      <c r="G7" s="407">
        <v>15</v>
      </c>
      <c r="H7" s="407">
        <v>120</v>
      </c>
      <c r="I7" s="407">
        <v>1006</v>
      </c>
      <c r="J7" s="407">
        <v>52.9</v>
      </c>
      <c r="K7" s="407">
        <v>438</v>
      </c>
      <c r="L7" s="407">
        <v>7.2999999999999995E-2</v>
      </c>
      <c r="M7" s="407">
        <v>6.8000000000000005E-2</v>
      </c>
      <c r="N7" s="407">
        <v>-2.7E-2</v>
      </c>
      <c r="O7" s="407"/>
      <c r="P7" s="407">
        <v>9.6</v>
      </c>
      <c r="Q7" s="407">
        <v>11</v>
      </c>
      <c r="R7" s="407">
        <v>17</v>
      </c>
      <c r="S7" s="407">
        <v>8.5000000000000006E-2</v>
      </c>
      <c r="T7" s="407">
        <v>6</v>
      </c>
      <c r="U7" s="407">
        <v>2.5999999999999999E-2</v>
      </c>
      <c r="V7" s="407">
        <v>42.7</v>
      </c>
      <c r="W7" s="407">
        <v>6</v>
      </c>
      <c r="X7" s="407">
        <v>2.5999999999999999E-2</v>
      </c>
      <c r="Y7" s="407">
        <v>42.7</v>
      </c>
      <c r="Z7" s="407">
        <v>1.8</v>
      </c>
      <c r="AA7" s="407">
        <v>8.9999999999999993E-3</v>
      </c>
      <c r="AB7" s="407">
        <v>14.9</v>
      </c>
      <c r="AC7" s="407">
        <v>2.8</v>
      </c>
      <c r="AD7" s="407">
        <v>0</v>
      </c>
      <c r="AE7" s="407">
        <v>17.2</v>
      </c>
      <c r="AF7" s="407">
        <f>(4.9+1.3)/2</f>
        <v>3.1</v>
      </c>
      <c r="AG7" s="407">
        <v>1.5E-3</v>
      </c>
      <c r="AH7" s="407">
        <f>(8.6+32.7)/2</f>
        <v>20.650000000000002</v>
      </c>
      <c r="AI7" s="407">
        <v>7.7</v>
      </c>
      <c r="AJ7" s="407">
        <v>3.0000000000000001E-3</v>
      </c>
      <c r="AK7" s="407">
        <v>49.9</v>
      </c>
      <c r="AL7" s="407">
        <f>(6+2.3)/2</f>
        <v>4.1500000000000004</v>
      </c>
      <c r="AM7" s="407">
        <v>4.0000000000000001E-3</v>
      </c>
      <c r="AN7" s="407">
        <f>(39.9+15.8)/2</f>
        <v>27.85</v>
      </c>
      <c r="AO7" s="407">
        <f>2*6.8</f>
        <v>13.6</v>
      </c>
      <c r="AP7" s="407">
        <f>2*0.003</f>
        <v>6.0000000000000001E-3</v>
      </c>
      <c r="AQ7" s="407">
        <f>2*12.1</f>
        <v>24.2</v>
      </c>
      <c r="AR7" s="407">
        <v>1934</v>
      </c>
      <c r="AS7" s="407">
        <v>6.0999999999999999E-2</v>
      </c>
      <c r="AT7" s="407">
        <v>1.008</v>
      </c>
      <c r="AU7" s="292" t="s">
        <v>447</v>
      </c>
      <c r="AV7" s="2822">
        <f t="shared" si="5"/>
        <v>0.03</v>
      </c>
      <c r="AW7" s="2822">
        <f t="shared" si="6"/>
        <v>0.97</v>
      </c>
      <c r="AY7" s="33" t="s">
        <v>272</v>
      </c>
      <c r="AZ7" s="33">
        <v>4</v>
      </c>
      <c r="BB7" t="s">
        <v>600</v>
      </c>
      <c r="BC7">
        <v>1</v>
      </c>
      <c r="BG7" s="297" t="s">
        <v>534</v>
      </c>
      <c r="BL7" t="s">
        <v>2273</v>
      </c>
      <c r="BM7" t="s">
        <v>2275</v>
      </c>
      <c r="BN7" t="s">
        <v>2284</v>
      </c>
    </row>
    <row r="8" spans="1:67">
      <c r="A8" s="634" t="s">
        <v>133</v>
      </c>
      <c r="B8" s="407">
        <v>2</v>
      </c>
      <c r="C8" s="407">
        <v>85</v>
      </c>
      <c r="D8" s="407">
        <v>73</v>
      </c>
      <c r="E8" s="407">
        <v>6747</v>
      </c>
      <c r="F8" s="407">
        <v>6</v>
      </c>
      <c r="G8" s="407">
        <v>15</v>
      </c>
      <c r="H8" s="407">
        <f t="shared" ref="H8:J16" si="7">IF($AU8="Albany",H$4,IF($AU8="Binghamton",H$7,IF($AU8="Buffalo",H$18,IF($AU8="Massena",H$48,IF($AU8="NYC",H$34,IF($AU8="Poughkeepsie",H$17,H$37))))))</f>
        <v>151</v>
      </c>
      <c r="I8" s="407">
        <f t="shared" si="7"/>
        <v>966</v>
      </c>
      <c r="J8" s="407">
        <f t="shared" si="7"/>
        <v>54.3</v>
      </c>
      <c r="K8" s="407">
        <v>438</v>
      </c>
      <c r="L8" s="407">
        <f t="shared" ref="L8:U16" si="8">IF($AU8="Albany",L$4,IF($AU8="Binghamton",L$7,IF($AU8="Buffalo",L$18,IF($AU8="Massena",L$48,IF($AU8="NYC",L$34,IF($AU8="Poughkeepsie",L$17,L$37))))))</f>
        <v>0.113</v>
      </c>
      <c r="M8" s="407">
        <f t="shared" si="8"/>
        <v>7.1999999999999995E-2</v>
      </c>
      <c r="N8" s="407">
        <f t="shared" si="8"/>
        <v>-2.5999999999999999E-2</v>
      </c>
      <c r="O8" s="407">
        <f t="shared" si="8"/>
        <v>0</v>
      </c>
      <c r="P8" s="407">
        <f t="shared" si="8"/>
        <v>9.9</v>
      </c>
      <c r="Q8" s="407">
        <f t="shared" si="8"/>
        <v>20</v>
      </c>
      <c r="R8" s="407">
        <f t="shared" si="8"/>
        <v>19</v>
      </c>
      <c r="S8" s="407">
        <f t="shared" si="8"/>
        <v>7.9000000000000001E-2</v>
      </c>
      <c r="T8" s="407">
        <f t="shared" si="8"/>
        <v>3.1</v>
      </c>
      <c r="U8" s="407">
        <f t="shared" si="8"/>
        <v>1.8E-3</v>
      </c>
      <c r="V8" s="407">
        <f t="shared" ref="V8:AE16" si="9">IF($AU8="Albany",V$4,IF($AU8="Binghamton",V$7,IF($AU8="Buffalo",V$18,IF($AU8="Massena",V$48,IF($AU8="NYC",V$34,IF($AU8="Poughkeepsie",V$17,V$37))))))</f>
        <v>38.6</v>
      </c>
      <c r="W8" s="407">
        <f t="shared" si="9"/>
        <v>3.1</v>
      </c>
      <c r="X8" s="407">
        <f t="shared" si="9"/>
        <v>1.7999999999999999E-2</v>
      </c>
      <c r="Y8" s="407">
        <f t="shared" si="9"/>
        <v>38.6</v>
      </c>
      <c r="Z8" s="407">
        <f t="shared" si="9"/>
        <v>0.7</v>
      </c>
      <c r="AA8" s="407">
        <f t="shared" si="9"/>
        <v>0</v>
      </c>
      <c r="AB8" s="407">
        <f t="shared" si="9"/>
        <v>13.9</v>
      </c>
      <c r="AC8" s="407">
        <f t="shared" si="9"/>
        <v>3</v>
      </c>
      <c r="AD8" s="407">
        <f t="shared" si="9"/>
        <v>3.0000000000000001E-3</v>
      </c>
      <c r="AE8" s="407">
        <f t="shared" si="9"/>
        <v>16.5</v>
      </c>
      <c r="AF8" s="407">
        <f t="shared" ref="AF8:AQ16" si="10">IF($AU8="Albany",AF$4,IF($AU8="Binghamton",AF$7,IF($AU8="Buffalo",AF$18,IF($AU8="Massena",AF$48,IF($AU8="NYC",AF$34,IF($AU8="Poughkeepsie",AF$17,AF$37))))))</f>
        <v>3.45</v>
      </c>
      <c r="AG8" s="407">
        <f t="shared" si="10"/>
        <v>1.5E-3</v>
      </c>
      <c r="AH8" s="407">
        <f t="shared" si="10"/>
        <v>19.7</v>
      </c>
      <c r="AI8" s="407">
        <f t="shared" si="10"/>
        <v>8.5</v>
      </c>
      <c r="AJ8" s="407">
        <f t="shared" si="10"/>
        <v>5.0000000000000001E-3</v>
      </c>
      <c r="AK8" s="407">
        <f t="shared" si="10"/>
        <v>47.7</v>
      </c>
      <c r="AL8" s="407">
        <f t="shared" si="10"/>
        <v>4.6500000000000004</v>
      </c>
      <c r="AM8" s="407">
        <f t="shared" si="10"/>
        <v>4.0000000000000001E-3</v>
      </c>
      <c r="AN8" s="407">
        <f t="shared" si="10"/>
        <v>26.5</v>
      </c>
      <c r="AO8" s="407">
        <f t="shared" si="10"/>
        <v>11.2</v>
      </c>
      <c r="AP8" s="407">
        <f t="shared" si="10"/>
        <v>6.0000000000000001E-3</v>
      </c>
      <c r="AQ8" s="407">
        <f t="shared" si="10"/>
        <v>24</v>
      </c>
      <c r="AR8" s="407">
        <v>1934</v>
      </c>
      <c r="AS8" s="407">
        <v>6.0999999999999999E-2</v>
      </c>
      <c r="AT8" s="407">
        <f t="shared" ref="AT8:AT16" si="11">IF($AU8="Albany",AT$4,IF($AU8="Binghamton",AT$7,IF($AU8="Buffalo",AT$18,IF($AU8="Massena",AT$48,IF($AU8="NYC",AT$34,IF($AU8="Poughkeepsie",AT$17,AT$37))))))</f>
        <v>1.036</v>
      </c>
      <c r="AU8" s="292" t="s">
        <v>448</v>
      </c>
      <c r="AV8" s="2822">
        <f t="shared" si="5"/>
        <v>0.03</v>
      </c>
      <c r="AW8" s="2822">
        <f t="shared" si="6"/>
        <v>0.97</v>
      </c>
      <c r="AY8" s="34" t="s">
        <v>273</v>
      </c>
      <c r="AZ8" s="34">
        <v>5</v>
      </c>
      <c r="BB8" s="45" t="s">
        <v>309</v>
      </c>
      <c r="BC8">
        <v>6</v>
      </c>
      <c r="BL8" t="s">
        <v>2274</v>
      </c>
      <c r="BM8" t="s">
        <v>2276</v>
      </c>
      <c r="BN8" t="s">
        <v>404</v>
      </c>
    </row>
    <row r="9" spans="1:67">
      <c r="A9" s="634" t="s">
        <v>134</v>
      </c>
      <c r="B9" s="407">
        <v>-3</v>
      </c>
      <c r="C9" s="407">
        <v>85</v>
      </c>
      <c r="D9" s="407">
        <v>71</v>
      </c>
      <c r="E9" s="407">
        <v>6834</v>
      </c>
      <c r="F9" s="407">
        <v>5</v>
      </c>
      <c r="G9" s="407" t="s">
        <v>198</v>
      </c>
      <c r="H9" s="407">
        <f t="shared" si="7"/>
        <v>186</v>
      </c>
      <c r="I9" s="407">
        <f t="shared" si="7"/>
        <v>889</v>
      </c>
      <c r="J9" s="407">
        <f t="shared" si="7"/>
        <v>54.6</v>
      </c>
      <c r="K9" s="407">
        <v>507</v>
      </c>
      <c r="L9" s="407">
        <f t="shared" si="8"/>
        <v>0.113</v>
      </c>
      <c r="M9" s="407">
        <f t="shared" si="8"/>
        <v>0.08</v>
      </c>
      <c r="N9" s="407">
        <f t="shared" si="8"/>
        <v>-2.4E-2</v>
      </c>
      <c r="O9" s="407">
        <f t="shared" si="8"/>
        <v>0</v>
      </c>
      <c r="P9" s="407">
        <f t="shared" si="8"/>
        <v>9.6999999999999993</v>
      </c>
      <c r="Q9" s="407">
        <f t="shared" si="8"/>
        <v>23</v>
      </c>
      <c r="R9" s="407">
        <f t="shared" si="8"/>
        <v>16</v>
      </c>
      <c r="S9" s="407">
        <f t="shared" si="8"/>
        <v>9.1999999999999998E-2</v>
      </c>
      <c r="T9" s="407">
        <f t="shared" si="8"/>
        <v>6.1</v>
      </c>
      <c r="U9" s="407">
        <f t="shared" si="8"/>
        <v>4.3999999999999997E-2</v>
      </c>
      <c r="V9" s="407">
        <f t="shared" si="9"/>
        <v>37.799999999999997</v>
      </c>
      <c r="W9" s="407">
        <f t="shared" si="9"/>
        <v>6.1</v>
      </c>
      <c r="X9" s="407">
        <f t="shared" si="9"/>
        <v>4.3999999999999997E-2</v>
      </c>
      <c r="Y9" s="407">
        <f t="shared" si="9"/>
        <v>37.799999999999997</v>
      </c>
      <c r="Z9" s="407">
        <f t="shared" si="9"/>
        <v>1.7</v>
      </c>
      <c r="AA9" s="407">
        <f t="shared" si="9"/>
        <v>2.5999999999999999E-2</v>
      </c>
      <c r="AB9" s="407">
        <f t="shared" si="9"/>
        <v>15</v>
      </c>
      <c r="AC9" s="407">
        <f t="shared" si="9"/>
        <v>4.8</v>
      </c>
      <c r="AD9" s="407">
        <f t="shared" si="9"/>
        <v>5.0000000000000001E-3</v>
      </c>
      <c r="AE9" s="407">
        <f t="shared" si="9"/>
        <v>15.5</v>
      </c>
      <c r="AF9" s="407">
        <f t="shared" si="10"/>
        <v>5.5500000000000007</v>
      </c>
      <c r="AG9" s="407">
        <f t="shared" si="10"/>
        <v>5.4999999999999997E-3</v>
      </c>
      <c r="AH9" s="407">
        <f t="shared" si="10"/>
        <v>18.599999999999998</v>
      </c>
      <c r="AI9" s="407">
        <f t="shared" si="10"/>
        <v>13.5</v>
      </c>
      <c r="AJ9" s="407">
        <f t="shared" si="10"/>
        <v>1.4E-2</v>
      </c>
      <c r="AK9" s="407">
        <f t="shared" si="10"/>
        <v>44.9</v>
      </c>
      <c r="AL9" s="407">
        <f t="shared" si="10"/>
        <v>7.4</v>
      </c>
      <c r="AM9" s="407">
        <f t="shared" si="10"/>
        <v>8.0000000000000002E-3</v>
      </c>
      <c r="AN9" s="407">
        <f t="shared" si="10"/>
        <v>25.1</v>
      </c>
      <c r="AO9" s="407">
        <f t="shared" si="10"/>
        <v>13.2</v>
      </c>
      <c r="AP9" s="407">
        <f t="shared" si="10"/>
        <v>1.4E-2</v>
      </c>
      <c r="AQ9" s="407">
        <f t="shared" si="10"/>
        <v>23.4</v>
      </c>
      <c r="AR9" s="407">
        <v>1934</v>
      </c>
      <c r="AS9" s="407">
        <v>6.0999999999999999E-2</v>
      </c>
      <c r="AT9" s="407">
        <f t="shared" si="11"/>
        <v>0.99099999999999999</v>
      </c>
      <c r="AU9" s="292" t="s">
        <v>449</v>
      </c>
      <c r="AV9" s="2822">
        <f t="shared" si="5"/>
        <v>0.06</v>
      </c>
      <c r="AW9" s="2822">
        <f t="shared" si="6"/>
        <v>0.94</v>
      </c>
      <c r="AY9" s="34" t="s">
        <v>274</v>
      </c>
      <c r="AZ9" s="34">
        <v>6</v>
      </c>
      <c r="BL9" t="s">
        <v>2275</v>
      </c>
      <c r="BM9" t="s">
        <v>2277</v>
      </c>
    </row>
    <row r="10" spans="1:67">
      <c r="A10" s="634" t="s">
        <v>135</v>
      </c>
      <c r="B10" s="407">
        <v>2</v>
      </c>
      <c r="C10" s="407">
        <v>85</v>
      </c>
      <c r="D10" s="407">
        <v>73</v>
      </c>
      <c r="E10" s="407">
        <v>6747</v>
      </c>
      <c r="F10" s="407">
        <v>5</v>
      </c>
      <c r="G10" s="407" t="s">
        <v>198</v>
      </c>
      <c r="H10" s="407">
        <f t="shared" si="7"/>
        <v>151</v>
      </c>
      <c r="I10" s="407">
        <f t="shared" si="7"/>
        <v>966</v>
      </c>
      <c r="J10" s="407">
        <f t="shared" si="7"/>
        <v>54.3</v>
      </c>
      <c r="K10" s="407">
        <v>507</v>
      </c>
      <c r="L10" s="407">
        <f t="shared" si="8"/>
        <v>0.113</v>
      </c>
      <c r="M10" s="407">
        <f t="shared" si="8"/>
        <v>7.1999999999999995E-2</v>
      </c>
      <c r="N10" s="407">
        <f t="shared" si="8"/>
        <v>-2.5999999999999999E-2</v>
      </c>
      <c r="O10" s="407">
        <f t="shared" si="8"/>
        <v>0</v>
      </c>
      <c r="P10" s="407">
        <f t="shared" si="8"/>
        <v>9.9</v>
      </c>
      <c r="Q10" s="407">
        <f t="shared" si="8"/>
        <v>20</v>
      </c>
      <c r="R10" s="407">
        <f t="shared" si="8"/>
        <v>19</v>
      </c>
      <c r="S10" s="407">
        <f t="shared" si="8"/>
        <v>7.9000000000000001E-2</v>
      </c>
      <c r="T10" s="407">
        <f t="shared" si="8"/>
        <v>3.1</v>
      </c>
      <c r="U10" s="407">
        <f t="shared" si="8"/>
        <v>1.8E-3</v>
      </c>
      <c r="V10" s="407">
        <f t="shared" si="9"/>
        <v>38.6</v>
      </c>
      <c r="W10" s="407">
        <f t="shared" si="9"/>
        <v>3.1</v>
      </c>
      <c r="X10" s="407">
        <f t="shared" si="9"/>
        <v>1.7999999999999999E-2</v>
      </c>
      <c r="Y10" s="407">
        <f t="shared" si="9"/>
        <v>38.6</v>
      </c>
      <c r="Z10" s="407">
        <f t="shared" si="9"/>
        <v>0.7</v>
      </c>
      <c r="AA10" s="407">
        <f t="shared" si="9"/>
        <v>0</v>
      </c>
      <c r="AB10" s="407">
        <f t="shared" si="9"/>
        <v>13.9</v>
      </c>
      <c r="AC10" s="407">
        <f t="shared" si="9"/>
        <v>3</v>
      </c>
      <c r="AD10" s="407">
        <f t="shared" si="9"/>
        <v>3.0000000000000001E-3</v>
      </c>
      <c r="AE10" s="407">
        <f t="shared" si="9"/>
        <v>16.5</v>
      </c>
      <c r="AF10" s="407">
        <f t="shared" si="10"/>
        <v>3.45</v>
      </c>
      <c r="AG10" s="407">
        <f t="shared" si="10"/>
        <v>1.5E-3</v>
      </c>
      <c r="AH10" s="407">
        <f t="shared" si="10"/>
        <v>19.7</v>
      </c>
      <c r="AI10" s="407">
        <f t="shared" si="10"/>
        <v>8.5</v>
      </c>
      <c r="AJ10" s="407">
        <f t="shared" si="10"/>
        <v>5.0000000000000001E-3</v>
      </c>
      <c r="AK10" s="407">
        <f t="shared" si="10"/>
        <v>47.7</v>
      </c>
      <c r="AL10" s="407">
        <f t="shared" si="10"/>
        <v>4.6500000000000004</v>
      </c>
      <c r="AM10" s="407">
        <f t="shared" si="10"/>
        <v>4.0000000000000001E-3</v>
      </c>
      <c r="AN10" s="407">
        <f t="shared" si="10"/>
        <v>26.5</v>
      </c>
      <c r="AO10" s="407">
        <f t="shared" si="10"/>
        <v>11.2</v>
      </c>
      <c r="AP10" s="407">
        <f t="shared" si="10"/>
        <v>6.0000000000000001E-3</v>
      </c>
      <c r="AQ10" s="407">
        <f t="shared" si="10"/>
        <v>24</v>
      </c>
      <c r="AR10" s="407">
        <v>1934</v>
      </c>
      <c r="AS10" s="407">
        <v>6.0999999999999999E-2</v>
      </c>
      <c r="AT10" s="407">
        <f t="shared" si="11"/>
        <v>1.036</v>
      </c>
      <c r="AU10" s="292" t="s">
        <v>448</v>
      </c>
      <c r="AV10" s="2822">
        <f t="shared" si="5"/>
        <v>0.06</v>
      </c>
      <c r="AW10" s="2822">
        <f t="shared" si="6"/>
        <v>0.94</v>
      </c>
      <c r="BL10" t="s">
        <v>404</v>
      </c>
      <c r="BM10" t="s">
        <v>404</v>
      </c>
    </row>
    <row r="11" spans="1:67">
      <c r="A11" s="634" t="s">
        <v>136</v>
      </c>
      <c r="B11" s="407">
        <v>-2</v>
      </c>
      <c r="C11" s="407">
        <v>87</v>
      </c>
      <c r="D11" s="407">
        <v>71</v>
      </c>
      <c r="E11" s="407">
        <v>6845</v>
      </c>
      <c r="F11" s="407">
        <v>5</v>
      </c>
      <c r="G11" s="407">
        <v>15</v>
      </c>
      <c r="H11" s="407">
        <f t="shared" si="7"/>
        <v>120</v>
      </c>
      <c r="I11" s="407">
        <f t="shared" si="7"/>
        <v>1006</v>
      </c>
      <c r="J11" s="407">
        <f t="shared" si="7"/>
        <v>52.9</v>
      </c>
      <c r="K11" s="407">
        <v>507</v>
      </c>
      <c r="L11" s="407">
        <f t="shared" si="8"/>
        <v>7.2999999999999995E-2</v>
      </c>
      <c r="M11" s="407">
        <f t="shared" si="8"/>
        <v>6.8000000000000005E-2</v>
      </c>
      <c r="N11" s="407">
        <f t="shared" si="8"/>
        <v>-2.7E-2</v>
      </c>
      <c r="O11" s="407">
        <f t="shared" si="8"/>
        <v>0</v>
      </c>
      <c r="P11" s="407">
        <f t="shared" si="8"/>
        <v>9.6</v>
      </c>
      <c r="Q11" s="407">
        <f t="shared" si="8"/>
        <v>11</v>
      </c>
      <c r="R11" s="407">
        <f t="shared" si="8"/>
        <v>17</v>
      </c>
      <c r="S11" s="407">
        <f t="shared" si="8"/>
        <v>8.5000000000000006E-2</v>
      </c>
      <c r="T11" s="407">
        <f t="shared" si="8"/>
        <v>6</v>
      </c>
      <c r="U11" s="407">
        <f t="shared" si="8"/>
        <v>2.5999999999999999E-2</v>
      </c>
      <c r="V11" s="407">
        <f t="shared" si="9"/>
        <v>42.7</v>
      </c>
      <c r="W11" s="407">
        <f t="shared" si="9"/>
        <v>6</v>
      </c>
      <c r="X11" s="407">
        <f t="shared" si="9"/>
        <v>2.5999999999999999E-2</v>
      </c>
      <c r="Y11" s="407">
        <f t="shared" si="9"/>
        <v>42.7</v>
      </c>
      <c r="Z11" s="407">
        <f t="shared" si="9"/>
        <v>1.8</v>
      </c>
      <c r="AA11" s="407">
        <f t="shared" si="9"/>
        <v>8.9999999999999993E-3</v>
      </c>
      <c r="AB11" s="407">
        <f t="shared" si="9"/>
        <v>14.9</v>
      </c>
      <c r="AC11" s="407">
        <f t="shared" si="9"/>
        <v>2.8</v>
      </c>
      <c r="AD11" s="407">
        <f t="shared" si="9"/>
        <v>0</v>
      </c>
      <c r="AE11" s="407">
        <f t="shared" si="9"/>
        <v>17.2</v>
      </c>
      <c r="AF11" s="407">
        <f t="shared" si="10"/>
        <v>3.1</v>
      </c>
      <c r="AG11" s="407">
        <f t="shared" si="10"/>
        <v>1.5E-3</v>
      </c>
      <c r="AH11" s="407">
        <f t="shared" si="10"/>
        <v>20.650000000000002</v>
      </c>
      <c r="AI11" s="407">
        <f t="shared" si="10"/>
        <v>7.7</v>
      </c>
      <c r="AJ11" s="407">
        <f t="shared" si="10"/>
        <v>3.0000000000000001E-3</v>
      </c>
      <c r="AK11" s="407">
        <f t="shared" si="10"/>
        <v>49.9</v>
      </c>
      <c r="AL11" s="407">
        <f t="shared" si="10"/>
        <v>4.1500000000000004</v>
      </c>
      <c r="AM11" s="407">
        <f t="shared" si="10"/>
        <v>4.0000000000000001E-3</v>
      </c>
      <c r="AN11" s="407">
        <f t="shared" si="10"/>
        <v>27.85</v>
      </c>
      <c r="AO11" s="407">
        <f t="shared" si="10"/>
        <v>13.6</v>
      </c>
      <c r="AP11" s="407">
        <f t="shared" si="10"/>
        <v>6.0000000000000001E-3</v>
      </c>
      <c r="AQ11" s="407">
        <f t="shared" si="10"/>
        <v>24.2</v>
      </c>
      <c r="AR11" s="407">
        <v>1934</v>
      </c>
      <c r="AS11" s="407">
        <v>6.0999999999999999E-2</v>
      </c>
      <c r="AT11" s="407">
        <f t="shared" si="11"/>
        <v>1.008</v>
      </c>
      <c r="AU11" s="292" t="s">
        <v>447</v>
      </c>
      <c r="AV11" s="2822">
        <f t="shared" si="5"/>
        <v>0.06</v>
      </c>
      <c r="AW11" s="2822">
        <f t="shared" si="6"/>
        <v>0.94</v>
      </c>
    </row>
    <row r="12" spans="1:67">
      <c r="A12" s="634" t="s">
        <v>137</v>
      </c>
      <c r="B12" s="407">
        <v>-2</v>
      </c>
      <c r="C12" s="407">
        <v>82</v>
      </c>
      <c r="D12" s="407">
        <v>69</v>
      </c>
      <c r="E12" s="407">
        <v>7273</v>
      </c>
      <c r="F12" s="407">
        <v>6</v>
      </c>
      <c r="G12" s="407">
        <v>15</v>
      </c>
      <c r="H12" s="407">
        <f t="shared" si="7"/>
        <v>120</v>
      </c>
      <c r="I12" s="407">
        <f t="shared" si="7"/>
        <v>1006</v>
      </c>
      <c r="J12" s="407">
        <f t="shared" si="7"/>
        <v>52.9</v>
      </c>
      <c r="K12" s="407">
        <v>438</v>
      </c>
      <c r="L12" s="407">
        <f t="shared" si="8"/>
        <v>7.2999999999999995E-2</v>
      </c>
      <c r="M12" s="407">
        <f t="shared" si="8"/>
        <v>6.8000000000000005E-2</v>
      </c>
      <c r="N12" s="407">
        <f t="shared" si="8"/>
        <v>-2.7E-2</v>
      </c>
      <c r="O12" s="407">
        <f t="shared" si="8"/>
        <v>0</v>
      </c>
      <c r="P12" s="407">
        <f t="shared" si="8"/>
        <v>9.6</v>
      </c>
      <c r="Q12" s="407">
        <f t="shared" si="8"/>
        <v>11</v>
      </c>
      <c r="R12" s="407">
        <f t="shared" si="8"/>
        <v>17</v>
      </c>
      <c r="S12" s="407">
        <f t="shared" si="8"/>
        <v>8.5000000000000006E-2</v>
      </c>
      <c r="T12" s="407">
        <f t="shared" si="8"/>
        <v>6</v>
      </c>
      <c r="U12" s="407">
        <f t="shared" si="8"/>
        <v>2.5999999999999999E-2</v>
      </c>
      <c r="V12" s="407">
        <f t="shared" si="9"/>
        <v>42.7</v>
      </c>
      <c r="W12" s="407">
        <f t="shared" si="9"/>
        <v>6</v>
      </c>
      <c r="X12" s="407">
        <f t="shared" si="9"/>
        <v>2.5999999999999999E-2</v>
      </c>
      <c r="Y12" s="407">
        <f t="shared" si="9"/>
        <v>42.7</v>
      </c>
      <c r="Z12" s="407">
        <f t="shared" si="9"/>
        <v>1.8</v>
      </c>
      <c r="AA12" s="407">
        <f t="shared" si="9"/>
        <v>8.9999999999999993E-3</v>
      </c>
      <c r="AB12" s="407">
        <f t="shared" si="9"/>
        <v>14.9</v>
      </c>
      <c r="AC12" s="407">
        <f t="shared" si="9"/>
        <v>2.8</v>
      </c>
      <c r="AD12" s="407">
        <f t="shared" si="9"/>
        <v>0</v>
      </c>
      <c r="AE12" s="407">
        <f t="shared" si="9"/>
        <v>17.2</v>
      </c>
      <c r="AF12" s="407">
        <f t="shared" si="10"/>
        <v>3.1</v>
      </c>
      <c r="AG12" s="407">
        <f t="shared" si="10"/>
        <v>1.5E-3</v>
      </c>
      <c r="AH12" s="407">
        <f t="shared" si="10"/>
        <v>20.650000000000002</v>
      </c>
      <c r="AI12" s="407">
        <f t="shared" si="10"/>
        <v>7.7</v>
      </c>
      <c r="AJ12" s="407">
        <f t="shared" si="10"/>
        <v>3.0000000000000001E-3</v>
      </c>
      <c r="AK12" s="407">
        <f t="shared" si="10"/>
        <v>49.9</v>
      </c>
      <c r="AL12" s="407">
        <f t="shared" si="10"/>
        <v>4.1500000000000004</v>
      </c>
      <c r="AM12" s="407">
        <f t="shared" si="10"/>
        <v>4.0000000000000001E-3</v>
      </c>
      <c r="AN12" s="407">
        <f t="shared" si="10"/>
        <v>27.85</v>
      </c>
      <c r="AO12" s="407">
        <f t="shared" si="10"/>
        <v>13.6</v>
      </c>
      <c r="AP12" s="407">
        <f t="shared" si="10"/>
        <v>6.0000000000000001E-3</v>
      </c>
      <c r="AQ12" s="407">
        <f t="shared" si="10"/>
        <v>24.2</v>
      </c>
      <c r="AR12" s="407">
        <v>1934</v>
      </c>
      <c r="AS12" s="407">
        <v>6.0999999999999999E-2</v>
      </c>
      <c r="AT12" s="407">
        <f t="shared" si="11"/>
        <v>1.008</v>
      </c>
      <c r="AU12" s="292" t="s">
        <v>447</v>
      </c>
      <c r="AV12" s="2822">
        <f t="shared" si="5"/>
        <v>0.03</v>
      </c>
      <c r="AW12" s="2822">
        <f t="shared" si="6"/>
        <v>0.97</v>
      </c>
    </row>
    <row r="13" spans="1:67">
      <c r="A13" s="634" t="s">
        <v>138</v>
      </c>
      <c r="B13" s="407">
        <v>-9</v>
      </c>
      <c r="C13" s="407">
        <v>83</v>
      </c>
      <c r="D13" s="407">
        <v>69</v>
      </c>
      <c r="E13" s="407">
        <v>7837</v>
      </c>
      <c r="F13" s="407">
        <v>6</v>
      </c>
      <c r="G13" s="407">
        <v>15</v>
      </c>
      <c r="H13" s="407">
        <f t="shared" si="7"/>
        <v>143</v>
      </c>
      <c r="I13" s="407">
        <f t="shared" si="7"/>
        <v>1016</v>
      </c>
      <c r="J13" s="407">
        <f t="shared" si="7"/>
        <v>50.7</v>
      </c>
      <c r="K13" s="407">
        <v>438</v>
      </c>
      <c r="L13" s="407">
        <f t="shared" si="8"/>
        <v>9.4E-2</v>
      </c>
      <c r="M13" s="407">
        <f t="shared" si="8"/>
        <v>7.2999999999999995E-2</v>
      </c>
      <c r="N13" s="407">
        <f t="shared" si="8"/>
        <v>-2.5999999999999999E-2</v>
      </c>
      <c r="O13" s="407">
        <f t="shared" si="8"/>
        <v>0</v>
      </c>
      <c r="P13" s="407">
        <f t="shared" si="8"/>
        <v>9.3000000000000007</v>
      </c>
      <c r="Q13" s="407">
        <f t="shared" si="8"/>
        <v>20</v>
      </c>
      <c r="R13" s="407">
        <f t="shared" si="8"/>
        <v>17</v>
      </c>
      <c r="S13" s="407">
        <f t="shared" si="8"/>
        <v>9.8000000000000004E-2</v>
      </c>
      <c r="T13" s="407">
        <f t="shared" si="8"/>
        <v>5.0999999999999996</v>
      </c>
      <c r="U13" s="407">
        <f t="shared" si="8"/>
        <v>1.7999999999999999E-2</v>
      </c>
      <c r="V13" s="407">
        <f t="shared" si="9"/>
        <v>45.1</v>
      </c>
      <c r="W13" s="407">
        <f t="shared" si="9"/>
        <v>5.0999999999999996</v>
      </c>
      <c r="X13" s="407">
        <f t="shared" si="9"/>
        <v>1.7999999999999999E-2</v>
      </c>
      <c r="Y13" s="407">
        <f t="shared" si="9"/>
        <v>45.1</v>
      </c>
      <c r="Z13" s="407">
        <f t="shared" si="9"/>
        <v>1.5</v>
      </c>
      <c r="AA13" s="407">
        <f t="shared" si="9"/>
        <v>8.9999999999999993E-3</v>
      </c>
      <c r="AB13" s="407">
        <f t="shared" si="9"/>
        <v>16</v>
      </c>
      <c r="AC13" s="407">
        <f t="shared" si="9"/>
        <v>5.3</v>
      </c>
      <c r="AD13" s="407">
        <f t="shared" si="9"/>
        <v>8.0000000000000002E-3</v>
      </c>
      <c r="AE13" s="407">
        <f t="shared" si="9"/>
        <v>19</v>
      </c>
      <c r="AF13" s="407">
        <f t="shared" si="10"/>
        <v>6.25</v>
      </c>
      <c r="AG13" s="407">
        <f t="shared" si="10"/>
        <v>7.0000000000000001E-3</v>
      </c>
      <c r="AH13" s="407">
        <f t="shared" si="10"/>
        <v>22.349999999999998</v>
      </c>
      <c r="AI13" s="407">
        <f t="shared" si="10"/>
        <v>15.2</v>
      </c>
      <c r="AJ13" s="407">
        <f t="shared" si="10"/>
        <v>1.9E-2</v>
      </c>
      <c r="AK13" s="407">
        <f t="shared" si="10"/>
        <v>54.3</v>
      </c>
      <c r="AL13" s="407">
        <f t="shared" si="10"/>
        <v>8.4499999999999993</v>
      </c>
      <c r="AM13" s="407">
        <f t="shared" si="10"/>
        <v>9.4999999999999998E-3</v>
      </c>
      <c r="AN13" s="407">
        <f t="shared" si="10"/>
        <v>30.299999999999997</v>
      </c>
      <c r="AO13" s="407">
        <f t="shared" si="10"/>
        <v>11.4</v>
      </c>
      <c r="AP13" s="407">
        <f t="shared" si="10"/>
        <v>6.0000000000000001E-3</v>
      </c>
      <c r="AQ13" s="407">
        <f t="shared" si="10"/>
        <v>25.8</v>
      </c>
      <c r="AR13" s="407">
        <v>1934</v>
      </c>
      <c r="AS13" s="407">
        <v>6.0999999999999999E-2</v>
      </c>
      <c r="AT13" s="407">
        <f t="shared" si="11"/>
        <v>0.94899999999999995</v>
      </c>
      <c r="AU13" s="292" t="s">
        <v>450</v>
      </c>
      <c r="AV13" s="2822">
        <f t="shared" si="5"/>
        <v>0.03</v>
      </c>
      <c r="AW13" s="2822">
        <f t="shared" si="6"/>
        <v>0.97</v>
      </c>
    </row>
    <row r="14" spans="1:67">
      <c r="A14" s="634" t="s">
        <v>139</v>
      </c>
      <c r="B14" s="407">
        <v>-7</v>
      </c>
      <c r="C14" s="407">
        <v>86</v>
      </c>
      <c r="D14" s="407">
        <v>70</v>
      </c>
      <c r="E14" s="407">
        <v>6894</v>
      </c>
      <c r="F14" s="407">
        <v>5</v>
      </c>
      <c r="G14" s="407" t="s">
        <v>198</v>
      </c>
      <c r="H14" s="407">
        <f t="shared" si="7"/>
        <v>181</v>
      </c>
      <c r="I14" s="407">
        <f t="shared" si="7"/>
        <v>786</v>
      </c>
      <c r="J14" s="407">
        <f t="shared" si="7"/>
        <v>54.2</v>
      </c>
      <c r="K14" s="407">
        <v>507</v>
      </c>
      <c r="L14" s="407">
        <f t="shared" si="8"/>
        <v>0.113</v>
      </c>
      <c r="M14" s="407">
        <f t="shared" si="8"/>
        <v>0.08</v>
      </c>
      <c r="N14" s="407">
        <f t="shared" si="8"/>
        <v>-2.5000000000000001E-2</v>
      </c>
      <c r="O14" s="407">
        <f t="shared" si="8"/>
        <v>0</v>
      </c>
      <c r="P14" s="407">
        <f t="shared" si="8"/>
        <v>9.6999999999999993</v>
      </c>
      <c r="Q14" s="407">
        <f t="shared" si="8"/>
        <v>22</v>
      </c>
      <c r="R14" s="407">
        <f t="shared" si="8"/>
        <v>16</v>
      </c>
      <c r="S14" s="407">
        <f t="shared" si="8"/>
        <v>9.9000000000000005E-2</v>
      </c>
      <c r="T14" s="407">
        <f t="shared" si="8"/>
        <v>6.3</v>
      </c>
      <c r="U14" s="407">
        <f t="shared" si="8"/>
        <v>1.7999999999999999E-2</v>
      </c>
      <c r="V14" s="407">
        <f t="shared" si="9"/>
        <v>39.200000000000003</v>
      </c>
      <c r="W14" s="407">
        <f t="shared" si="9"/>
        <v>6.3</v>
      </c>
      <c r="X14" s="407">
        <f t="shared" si="9"/>
        <v>1.7999999999999999E-2</v>
      </c>
      <c r="Y14" s="407">
        <f t="shared" si="9"/>
        <v>39.200000000000003</v>
      </c>
      <c r="Z14" s="407">
        <f t="shared" si="9"/>
        <v>1.8</v>
      </c>
      <c r="AA14" s="407">
        <f t="shared" si="9"/>
        <v>1.7999999999999999E-2</v>
      </c>
      <c r="AB14" s="407">
        <f t="shared" si="9"/>
        <v>14.1</v>
      </c>
      <c r="AC14" s="407">
        <f t="shared" si="9"/>
        <v>4.3</v>
      </c>
      <c r="AD14" s="407">
        <f t="shared" si="9"/>
        <v>5.0000000000000001E-3</v>
      </c>
      <c r="AE14" s="407">
        <f t="shared" si="9"/>
        <v>15.7</v>
      </c>
      <c r="AF14" s="407">
        <f t="shared" si="10"/>
        <v>5</v>
      </c>
      <c r="AG14" s="407">
        <f t="shared" si="10"/>
        <v>4.0000000000000001E-3</v>
      </c>
      <c r="AH14" s="407">
        <f t="shared" si="10"/>
        <v>19</v>
      </c>
      <c r="AI14" s="407">
        <f t="shared" si="10"/>
        <v>12.2</v>
      </c>
      <c r="AJ14" s="407">
        <f t="shared" si="10"/>
        <v>1.0999999999999999E-2</v>
      </c>
      <c r="AK14" s="407">
        <f t="shared" si="10"/>
        <v>45.6</v>
      </c>
      <c r="AL14" s="407">
        <f t="shared" si="10"/>
        <v>6.6999999999999993</v>
      </c>
      <c r="AM14" s="407">
        <f t="shared" si="10"/>
        <v>6.5000000000000002E-2</v>
      </c>
      <c r="AN14" s="407">
        <f t="shared" si="10"/>
        <v>25.6</v>
      </c>
      <c r="AO14" s="407">
        <f t="shared" si="10"/>
        <v>12.8</v>
      </c>
      <c r="AP14" s="407">
        <f t="shared" si="10"/>
        <v>6.0000000000000001E-3</v>
      </c>
      <c r="AQ14" s="407">
        <f t="shared" si="10"/>
        <v>22.6</v>
      </c>
      <c r="AR14" s="407">
        <v>1934</v>
      </c>
      <c r="AS14" s="407">
        <v>6.0999999999999999E-2</v>
      </c>
      <c r="AT14" s="407">
        <f t="shared" si="11"/>
        <v>1</v>
      </c>
      <c r="AU14" s="292" t="s">
        <v>446</v>
      </c>
      <c r="AV14" s="2822">
        <f t="shared" si="5"/>
        <v>0.06</v>
      </c>
      <c r="AW14" s="2822">
        <f t="shared" si="6"/>
        <v>0.94</v>
      </c>
      <c r="AY14" s="45" t="s">
        <v>420</v>
      </c>
    </row>
    <row r="15" spans="1:67">
      <c r="A15" s="634" t="s">
        <v>140</v>
      </c>
      <c r="B15" s="407">
        <v>-2</v>
      </c>
      <c r="C15" s="407">
        <v>82</v>
      </c>
      <c r="D15" s="407">
        <v>69</v>
      </c>
      <c r="E15" s="407">
        <v>7273</v>
      </c>
      <c r="F15" s="407">
        <v>5</v>
      </c>
      <c r="G15" s="407">
        <v>15</v>
      </c>
      <c r="H15" s="407">
        <f t="shared" si="7"/>
        <v>120</v>
      </c>
      <c r="I15" s="407">
        <f t="shared" si="7"/>
        <v>1006</v>
      </c>
      <c r="J15" s="407">
        <f t="shared" si="7"/>
        <v>52.9</v>
      </c>
      <c r="K15" s="407">
        <v>507</v>
      </c>
      <c r="L15" s="407">
        <f t="shared" si="8"/>
        <v>7.2999999999999995E-2</v>
      </c>
      <c r="M15" s="407">
        <f t="shared" si="8"/>
        <v>6.8000000000000005E-2</v>
      </c>
      <c r="N15" s="407">
        <f t="shared" si="8"/>
        <v>-2.7E-2</v>
      </c>
      <c r="O15" s="407">
        <f t="shared" si="8"/>
        <v>0</v>
      </c>
      <c r="P15" s="407">
        <f t="shared" si="8"/>
        <v>9.6</v>
      </c>
      <c r="Q15" s="407">
        <f t="shared" si="8"/>
        <v>11</v>
      </c>
      <c r="R15" s="407">
        <f t="shared" si="8"/>
        <v>17</v>
      </c>
      <c r="S15" s="407">
        <f t="shared" si="8"/>
        <v>8.5000000000000006E-2</v>
      </c>
      <c r="T15" s="407">
        <f t="shared" si="8"/>
        <v>6</v>
      </c>
      <c r="U15" s="407">
        <f t="shared" si="8"/>
        <v>2.5999999999999999E-2</v>
      </c>
      <c r="V15" s="407">
        <f t="shared" si="9"/>
        <v>42.7</v>
      </c>
      <c r="W15" s="407">
        <f t="shared" si="9"/>
        <v>6</v>
      </c>
      <c r="X15" s="407">
        <f t="shared" si="9"/>
        <v>2.5999999999999999E-2</v>
      </c>
      <c r="Y15" s="407">
        <f t="shared" si="9"/>
        <v>42.7</v>
      </c>
      <c r="Z15" s="407">
        <f t="shared" si="9"/>
        <v>1.8</v>
      </c>
      <c r="AA15" s="407">
        <f t="shared" si="9"/>
        <v>8.9999999999999993E-3</v>
      </c>
      <c r="AB15" s="407">
        <f t="shared" si="9"/>
        <v>14.9</v>
      </c>
      <c r="AC15" s="407">
        <f t="shared" si="9"/>
        <v>2.8</v>
      </c>
      <c r="AD15" s="407">
        <f t="shared" si="9"/>
        <v>0</v>
      </c>
      <c r="AE15" s="407">
        <f t="shared" si="9"/>
        <v>17.2</v>
      </c>
      <c r="AF15" s="407">
        <f t="shared" si="10"/>
        <v>3.1</v>
      </c>
      <c r="AG15" s="407">
        <f t="shared" si="10"/>
        <v>1.5E-3</v>
      </c>
      <c r="AH15" s="407">
        <f t="shared" si="10"/>
        <v>20.650000000000002</v>
      </c>
      <c r="AI15" s="407">
        <f t="shared" si="10"/>
        <v>7.7</v>
      </c>
      <c r="AJ15" s="407">
        <f t="shared" si="10"/>
        <v>3.0000000000000001E-3</v>
      </c>
      <c r="AK15" s="407">
        <f t="shared" si="10"/>
        <v>49.9</v>
      </c>
      <c r="AL15" s="407">
        <f t="shared" si="10"/>
        <v>4.1500000000000004</v>
      </c>
      <c r="AM15" s="407">
        <f t="shared" si="10"/>
        <v>4.0000000000000001E-3</v>
      </c>
      <c r="AN15" s="407">
        <f t="shared" si="10"/>
        <v>27.85</v>
      </c>
      <c r="AO15" s="407">
        <f t="shared" si="10"/>
        <v>13.6</v>
      </c>
      <c r="AP15" s="407">
        <f t="shared" si="10"/>
        <v>6.0000000000000001E-3</v>
      </c>
      <c r="AQ15" s="407">
        <f t="shared" si="10"/>
        <v>24.2</v>
      </c>
      <c r="AR15" s="407">
        <v>1934</v>
      </c>
      <c r="AS15" s="407">
        <v>6.0999999999999999E-2</v>
      </c>
      <c r="AT15" s="407">
        <f t="shared" si="11"/>
        <v>1.008</v>
      </c>
      <c r="AU15" s="292" t="s">
        <v>447</v>
      </c>
      <c r="AV15" s="2822">
        <f t="shared" si="5"/>
        <v>0.06</v>
      </c>
      <c r="AW15" s="2822">
        <f t="shared" si="6"/>
        <v>0.94</v>
      </c>
      <c r="AY15" s="45" t="s">
        <v>419</v>
      </c>
    </row>
    <row r="16" spans="1:67">
      <c r="A16" s="634" t="s">
        <v>141</v>
      </c>
      <c r="B16" s="407">
        <v>-5</v>
      </c>
      <c r="C16" s="407">
        <v>86</v>
      </c>
      <c r="D16" s="407">
        <v>70</v>
      </c>
      <c r="E16" s="407">
        <v>7244</v>
      </c>
      <c r="F16" s="407">
        <v>6</v>
      </c>
      <c r="G16" s="407">
        <v>15</v>
      </c>
      <c r="H16" s="407">
        <f t="shared" si="7"/>
        <v>120</v>
      </c>
      <c r="I16" s="407">
        <f t="shared" si="7"/>
        <v>1006</v>
      </c>
      <c r="J16" s="407">
        <f t="shared" si="7"/>
        <v>52.9</v>
      </c>
      <c r="K16" s="407">
        <v>438</v>
      </c>
      <c r="L16" s="407">
        <f t="shared" si="8"/>
        <v>7.2999999999999995E-2</v>
      </c>
      <c r="M16" s="407">
        <f t="shared" si="8"/>
        <v>6.8000000000000005E-2</v>
      </c>
      <c r="N16" s="407">
        <f t="shared" si="8"/>
        <v>-2.7E-2</v>
      </c>
      <c r="O16" s="407">
        <f t="shared" si="8"/>
        <v>0</v>
      </c>
      <c r="P16" s="407">
        <f t="shared" si="8"/>
        <v>9.6</v>
      </c>
      <c r="Q16" s="407">
        <f t="shared" si="8"/>
        <v>11</v>
      </c>
      <c r="R16" s="407">
        <f t="shared" si="8"/>
        <v>17</v>
      </c>
      <c r="S16" s="407">
        <f t="shared" si="8"/>
        <v>8.5000000000000006E-2</v>
      </c>
      <c r="T16" s="407">
        <f t="shared" si="8"/>
        <v>6</v>
      </c>
      <c r="U16" s="407">
        <f t="shared" si="8"/>
        <v>2.5999999999999999E-2</v>
      </c>
      <c r="V16" s="407">
        <f t="shared" si="9"/>
        <v>42.7</v>
      </c>
      <c r="W16" s="407">
        <f t="shared" si="9"/>
        <v>6</v>
      </c>
      <c r="X16" s="407">
        <f t="shared" si="9"/>
        <v>2.5999999999999999E-2</v>
      </c>
      <c r="Y16" s="407">
        <f t="shared" si="9"/>
        <v>42.7</v>
      </c>
      <c r="Z16" s="407">
        <f t="shared" si="9"/>
        <v>1.8</v>
      </c>
      <c r="AA16" s="407">
        <f t="shared" si="9"/>
        <v>8.9999999999999993E-3</v>
      </c>
      <c r="AB16" s="407">
        <f t="shared" si="9"/>
        <v>14.9</v>
      </c>
      <c r="AC16" s="407">
        <f t="shared" si="9"/>
        <v>2.8</v>
      </c>
      <c r="AD16" s="407">
        <f t="shared" si="9"/>
        <v>0</v>
      </c>
      <c r="AE16" s="407">
        <f t="shared" si="9"/>
        <v>17.2</v>
      </c>
      <c r="AF16" s="407">
        <f t="shared" si="10"/>
        <v>3.1</v>
      </c>
      <c r="AG16" s="407">
        <f t="shared" si="10"/>
        <v>1.5E-3</v>
      </c>
      <c r="AH16" s="407">
        <f t="shared" si="10"/>
        <v>20.650000000000002</v>
      </c>
      <c r="AI16" s="407">
        <f t="shared" si="10"/>
        <v>7.7</v>
      </c>
      <c r="AJ16" s="407">
        <f t="shared" si="10"/>
        <v>3.0000000000000001E-3</v>
      </c>
      <c r="AK16" s="407">
        <f t="shared" si="10"/>
        <v>49.9</v>
      </c>
      <c r="AL16" s="407">
        <f t="shared" si="10"/>
        <v>4.1500000000000004</v>
      </c>
      <c r="AM16" s="407">
        <f t="shared" si="10"/>
        <v>4.0000000000000001E-3</v>
      </c>
      <c r="AN16" s="407">
        <f t="shared" si="10"/>
        <v>27.85</v>
      </c>
      <c r="AO16" s="407">
        <f t="shared" si="10"/>
        <v>13.6</v>
      </c>
      <c r="AP16" s="407">
        <f t="shared" si="10"/>
        <v>6.0000000000000001E-3</v>
      </c>
      <c r="AQ16" s="407">
        <f t="shared" si="10"/>
        <v>24.2</v>
      </c>
      <c r="AR16" s="407">
        <v>1934</v>
      </c>
      <c r="AS16" s="407">
        <v>6.0999999999999999E-2</v>
      </c>
      <c r="AT16" s="407">
        <f t="shared" si="11"/>
        <v>1.008</v>
      </c>
      <c r="AU16" s="292" t="s">
        <v>447</v>
      </c>
      <c r="AV16" s="2822">
        <f t="shared" si="5"/>
        <v>0.03</v>
      </c>
      <c r="AW16" s="2822">
        <f t="shared" si="6"/>
        <v>0.97</v>
      </c>
    </row>
    <row r="17" spans="1:49">
      <c r="A17" s="633" t="s">
        <v>142</v>
      </c>
      <c r="B17" s="407">
        <v>2</v>
      </c>
      <c r="C17" s="407">
        <v>88</v>
      </c>
      <c r="D17" s="407">
        <v>72</v>
      </c>
      <c r="E17" s="407">
        <v>6391</v>
      </c>
      <c r="F17" s="407">
        <v>5</v>
      </c>
      <c r="G17" s="407" t="s">
        <v>200</v>
      </c>
      <c r="H17" s="407">
        <v>208</v>
      </c>
      <c r="I17" s="407">
        <v>656</v>
      </c>
      <c r="J17" s="407">
        <v>62.5</v>
      </c>
      <c r="K17" s="407">
        <v>507</v>
      </c>
      <c r="L17" s="407">
        <v>0.16800000000000001</v>
      </c>
      <c r="M17" s="407">
        <v>9.1999999999999998E-2</v>
      </c>
      <c r="N17" s="407">
        <v>-2.3E-2</v>
      </c>
      <c r="O17" s="407"/>
      <c r="P17" s="407">
        <v>10.7</v>
      </c>
      <c r="Q17" s="407">
        <v>56</v>
      </c>
      <c r="R17" s="407">
        <v>17</v>
      </c>
      <c r="S17" s="407">
        <v>9.8000000000000004E-2</v>
      </c>
      <c r="T17" s="407">
        <v>-0.3</v>
      </c>
      <c r="U17" s="407">
        <v>1.7999999999999999E-2</v>
      </c>
      <c r="V17" s="407">
        <v>38.700000000000003</v>
      </c>
      <c r="W17" s="407">
        <v>-0.3</v>
      </c>
      <c r="X17" s="407">
        <v>1.7999999999999999E-2</v>
      </c>
      <c r="Y17" s="407">
        <v>38.700000000000003</v>
      </c>
      <c r="Z17" s="407">
        <v>-0.9</v>
      </c>
      <c r="AA17" s="407">
        <v>8.9999999999999993E-3</v>
      </c>
      <c r="AB17" s="407">
        <v>13.4</v>
      </c>
      <c r="AC17" s="407">
        <v>3.6</v>
      </c>
      <c r="AD17" s="407">
        <v>3.0000000000000001E-3</v>
      </c>
      <c r="AE17" s="407">
        <v>13</v>
      </c>
      <c r="AF17" s="407">
        <f>(6.3+1.6)/2</f>
        <v>3.95</v>
      </c>
      <c r="AG17" s="407">
        <v>1.5E-3</v>
      </c>
      <c r="AH17" s="407">
        <f>(25.1+6.7)/2</f>
        <v>15.9</v>
      </c>
      <c r="AI17" s="407">
        <v>9.9</v>
      </c>
      <c r="AJ17" s="407">
        <v>5.0000000000000001E-3</v>
      </c>
      <c r="AK17" s="407">
        <v>38.1</v>
      </c>
      <c r="AL17" s="407">
        <f>(7.6+2.9)/2</f>
        <v>5.25</v>
      </c>
      <c r="AM17" s="407">
        <v>4.0000000000000001E-3</v>
      </c>
      <c r="AN17" s="407">
        <f>(30.3+11.9)/2</f>
        <v>21.1</v>
      </c>
      <c r="AO17" s="407">
        <f>2*5.8</f>
        <v>11.6</v>
      </c>
      <c r="AP17" s="407">
        <f>2*0</f>
        <v>0</v>
      </c>
      <c r="AQ17" s="407">
        <f>2*11.8</f>
        <v>23.6</v>
      </c>
      <c r="AR17" s="407">
        <v>1934</v>
      </c>
      <c r="AS17" s="407">
        <v>6.0999999999999999E-2</v>
      </c>
      <c r="AT17" s="407">
        <v>1.145</v>
      </c>
      <c r="AU17" s="292" t="s">
        <v>451</v>
      </c>
      <c r="AV17" s="2822">
        <f t="shared" si="5"/>
        <v>0.06</v>
      </c>
      <c r="AW17" s="2822">
        <f t="shared" si="6"/>
        <v>0.94</v>
      </c>
    </row>
    <row r="18" spans="1:49">
      <c r="A18" s="633" t="s">
        <v>143</v>
      </c>
      <c r="B18" s="407">
        <v>2</v>
      </c>
      <c r="C18" s="407">
        <v>85</v>
      </c>
      <c r="D18" s="407">
        <v>73</v>
      </c>
      <c r="E18" s="407">
        <v>6747</v>
      </c>
      <c r="F18" s="407">
        <v>5</v>
      </c>
      <c r="G18" s="407" t="s">
        <v>198</v>
      </c>
      <c r="H18" s="407">
        <v>151</v>
      </c>
      <c r="I18" s="407">
        <v>966</v>
      </c>
      <c r="J18" s="407">
        <v>54.3</v>
      </c>
      <c r="K18" s="407">
        <v>507</v>
      </c>
      <c r="L18" s="407">
        <v>0.113</v>
      </c>
      <c r="M18" s="407">
        <v>7.1999999999999995E-2</v>
      </c>
      <c r="N18" s="407">
        <v>-2.5999999999999999E-2</v>
      </c>
      <c r="O18" s="407"/>
      <c r="P18" s="407">
        <v>9.9</v>
      </c>
      <c r="Q18" s="407">
        <v>20</v>
      </c>
      <c r="R18" s="407">
        <v>19</v>
      </c>
      <c r="S18" s="407">
        <v>7.9000000000000001E-2</v>
      </c>
      <c r="T18" s="407">
        <v>3.1</v>
      </c>
      <c r="U18" s="407">
        <v>1.8E-3</v>
      </c>
      <c r="V18" s="407">
        <v>38.6</v>
      </c>
      <c r="W18" s="407">
        <v>3.1</v>
      </c>
      <c r="X18" s="407">
        <v>1.7999999999999999E-2</v>
      </c>
      <c r="Y18" s="407">
        <v>38.6</v>
      </c>
      <c r="Z18" s="407">
        <v>0.7</v>
      </c>
      <c r="AA18" s="407">
        <v>0</v>
      </c>
      <c r="AB18" s="407">
        <v>13.9</v>
      </c>
      <c r="AC18" s="407">
        <v>3</v>
      </c>
      <c r="AD18" s="407">
        <v>3.0000000000000001E-3</v>
      </c>
      <c r="AE18" s="407">
        <v>16.5</v>
      </c>
      <c r="AF18" s="407">
        <f>(5.5+1.4)/2</f>
        <v>3.45</v>
      </c>
      <c r="AG18" s="407">
        <v>1.5E-3</v>
      </c>
      <c r="AH18" s="407">
        <f>(31.2+8.2)/2</f>
        <v>19.7</v>
      </c>
      <c r="AI18" s="407">
        <v>8.5</v>
      </c>
      <c r="AJ18" s="407">
        <v>5.0000000000000001E-3</v>
      </c>
      <c r="AK18" s="407">
        <v>47.7</v>
      </c>
      <c r="AL18" s="407">
        <f>(6.7+2.6)/2</f>
        <v>4.6500000000000004</v>
      </c>
      <c r="AM18" s="407">
        <v>4.0000000000000001E-3</v>
      </c>
      <c r="AN18" s="407">
        <f>(15+38)/2</f>
        <v>26.5</v>
      </c>
      <c r="AO18" s="407">
        <f>2*5.6</f>
        <v>11.2</v>
      </c>
      <c r="AP18" s="407">
        <f>2*0.003</f>
        <v>6.0000000000000001E-3</v>
      </c>
      <c r="AQ18" s="407">
        <f>2*12</f>
        <v>24</v>
      </c>
      <c r="AR18" s="407">
        <v>1934</v>
      </c>
      <c r="AS18" s="407">
        <v>6.0999999999999999E-2</v>
      </c>
      <c r="AT18" s="407">
        <v>1.036</v>
      </c>
      <c r="AU18" s="292" t="s">
        <v>448</v>
      </c>
      <c r="AV18" s="2822">
        <f t="shared" si="5"/>
        <v>0.06</v>
      </c>
      <c r="AW18" s="2822">
        <f t="shared" si="6"/>
        <v>0.94</v>
      </c>
    </row>
    <row r="19" spans="1:49">
      <c r="A19" s="634" t="s">
        <v>144</v>
      </c>
      <c r="B19" s="407">
        <v>-15</v>
      </c>
      <c r="C19" s="407">
        <v>84</v>
      </c>
      <c r="D19" s="407">
        <v>71</v>
      </c>
      <c r="E19" s="407">
        <v>8255</v>
      </c>
      <c r="F19" s="407">
        <v>6</v>
      </c>
      <c r="G19" s="407">
        <v>16</v>
      </c>
      <c r="H19" s="407">
        <f t="shared" ref="H19:J33" si="12">IF($AU19="Albany",H$4,IF($AU19="Binghamton",H$7,IF($AU19="Buffalo",H$18,IF($AU19="Massena",H$48,IF($AU19="NYC",H$34,IF($AU19="Poughkeepsie",H$17,H$37))))))</f>
        <v>143</v>
      </c>
      <c r="I19" s="407">
        <f t="shared" si="12"/>
        <v>1016</v>
      </c>
      <c r="J19" s="407">
        <f t="shared" si="12"/>
        <v>50.7</v>
      </c>
      <c r="K19" s="407">
        <v>438</v>
      </c>
      <c r="L19" s="407">
        <f t="shared" ref="L19:U33" si="13">IF($AU19="Albany",L$4,IF($AU19="Binghamton",L$7,IF($AU19="Buffalo",L$18,IF($AU19="Massena",L$48,IF($AU19="NYC",L$34,IF($AU19="Poughkeepsie",L$17,L$37))))))</f>
        <v>9.4E-2</v>
      </c>
      <c r="M19" s="407">
        <f t="shared" si="13"/>
        <v>7.2999999999999995E-2</v>
      </c>
      <c r="N19" s="407">
        <f t="shared" si="13"/>
        <v>-2.5999999999999999E-2</v>
      </c>
      <c r="O19" s="407">
        <f t="shared" si="13"/>
        <v>0</v>
      </c>
      <c r="P19" s="407">
        <f t="shared" si="13"/>
        <v>9.3000000000000007</v>
      </c>
      <c r="Q19" s="407">
        <f t="shared" si="13"/>
        <v>20</v>
      </c>
      <c r="R19" s="407">
        <f t="shared" si="13"/>
        <v>17</v>
      </c>
      <c r="S19" s="407">
        <f t="shared" si="13"/>
        <v>9.8000000000000004E-2</v>
      </c>
      <c r="T19" s="407">
        <f t="shared" si="13"/>
        <v>5.0999999999999996</v>
      </c>
      <c r="U19" s="407">
        <f t="shared" si="13"/>
        <v>1.7999999999999999E-2</v>
      </c>
      <c r="V19" s="407">
        <f t="shared" ref="V19:AE33" si="14">IF($AU19="Albany",V$4,IF($AU19="Binghamton",V$7,IF($AU19="Buffalo",V$18,IF($AU19="Massena",V$48,IF($AU19="NYC",V$34,IF($AU19="Poughkeepsie",V$17,V$37))))))</f>
        <v>45.1</v>
      </c>
      <c r="W19" s="407">
        <f t="shared" si="14"/>
        <v>5.0999999999999996</v>
      </c>
      <c r="X19" s="407">
        <f t="shared" si="14"/>
        <v>1.7999999999999999E-2</v>
      </c>
      <c r="Y19" s="407">
        <f t="shared" si="14"/>
        <v>45.1</v>
      </c>
      <c r="Z19" s="407">
        <f t="shared" si="14"/>
        <v>1.5</v>
      </c>
      <c r="AA19" s="407">
        <f t="shared" si="14"/>
        <v>8.9999999999999993E-3</v>
      </c>
      <c r="AB19" s="407">
        <f t="shared" si="14"/>
        <v>16</v>
      </c>
      <c r="AC19" s="407">
        <f t="shared" si="14"/>
        <v>5.3</v>
      </c>
      <c r="AD19" s="407">
        <f t="shared" si="14"/>
        <v>8.0000000000000002E-3</v>
      </c>
      <c r="AE19" s="407">
        <f t="shared" si="14"/>
        <v>19</v>
      </c>
      <c r="AF19" s="407">
        <f t="shared" ref="AF19:AQ33" si="15">IF($AU19="Albany",AF$4,IF($AU19="Binghamton",AF$7,IF($AU19="Buffalo",AF$18,IF($AU19="Massena",AF$48,IF($AU19="NYC",AF$34,IF($AU19="Poughkeepsie",AF$17,AF$37))))))</f>
        <v>6.25</v>
      </c>
      <c r="AG19" s="407">
        <f t="shared" si="15"/>
        <v>7.0000000000000001E-3</v>
      </c>
      <c r="AH19" s="407">
        <f t="shared" si="15"/>
        <v>22.349999999999998</v>
      </c>
      <c r="AI19" s="407">
        <f t="shared" si="15"/>
        <v>15.2</v>
      </c>
      <c r="AJ19" s="407">
        <f t="shared" si="15"/>
        <v>1.9E-2</v>
      </c>
      <c r="AK19" s="407">
        <f t="shared" si="15"/>
        <v>54.3</v>
      </c>
      <c r="AL19" s="407">
        <f t="shared" si="15"/>
        <v>8.4499999999999993</v>
      </c>
      <c r="AM19" s="407">
        <f t="shared" si="15"/>
        <v>9.4999999999999998E-3</v>
      </c>
      <c r="AN19" s="407">
        <f t="shared" si="15"/>
        <v>30.299999999999997</v>
      </c>
      <c r="AO19" s="407">
        <f t="shared" si="15"/>
        <v>11.4</v>
      </c>
      <c r="AP19" s="407">
        <f t="shared" si="15"/>
        <v>6.0000000000000001E-3</v>
      </c>
      <c r="AQ19" s="407">
        <f t="shared" si="15"/>
        <v>25.8</v>
      </c>
      <c r="AR19" s="407">
        <v>1934</v>
      </c>
      <c r="AS19" s="407">
        <v>6.0999999999999999E-2</v>
      </c>
      <c r="AT19" s="407">
        <f t="shared" ref="AT19:AT33" si="16">IF($AU19="Albany",AT$4,IF($AU19="Binghamton",AT$7,IF($AU19="Buffalo",AT$18,IF($AU19="Massena",AT$48,IF($AU19="NYC",AT$34,IF($AU19="Poughkeepsie",AT$17,AT$37))))))</f>
        <v>0.94899999999999995</v>
      </c>
      <c r="AU19" s="292" t="s">
        <v>450</v>
      </c>
      <c r="AV19" s="2822">
        <f t="shared" si="5"/>
        <v>0.03</v>
      </c>
      <c r="AW19" s="2822">
        <f t="shared" si="6"/>
        <v>0.97</v>
      </c>
    </row>
    <row r="20" spans="1:49">
      <c r="A20" s="634" t="s">
        <v>145</v>
      </c>
      <c r="B20" s="407">
        <v>-15</v>
      </c>
      <c r="C20" s="407">
        <v>84</v>
      </c>
      <c r="D20" s="407">
        <v>71</v>
      </c>
      <c r="E20" s="407">
        <v>8255</v>
      </c>
      <c r="F20" s="407">
        <v>6</v>
      </c>
      <c r="G20" s="407">
        <v>16</v>
      </c>
      <c r="H20" s="407">
        <f t="shared" si="12"/>
        <v>143</v>
      </c>
      <c r="I20" s="407">
        <f t="shared" si="12"/>
        <v>1016</v>
      </c>
      <c r="J20" s="407">
        <f t="shared" si="12"/>
        <v>50.7</v>
      </c>
      <c r="K20" s="407">
        <v>438</v>
      </c>
      <c r="L20" s="407">
        <f t="shared" si="13"/>
        <v>9.4E-2</v>
      </c>
      <c r="M20" s="407">
        <f t="shared" si="13"/>
        <v>7.2999999999999995E-2</v>
      </c>
      <c r="N20" s="407">
        <f t="shared" si="13"/>
        <v>-2.5999999999999999E-2</v>
      </c>
      <c r="O20" s="407">
        <f t="shared" si="13"/>
        <v>0</v>
      </c>
      <c r="P20" s="407">
        <f t="shared" si="13"/>
        <v>9.3000000000000007</v>
      </c>
      <c r="Q20" s="407">
        <f t="shared" si="13"/>
        <v>20</v>
      </c>
      <c r="R20" s="407">
        <f t="shared" si="13"/>
        <v>17</v>
      </c>
      <c r="S20" s="407">
        <f t="shared" si="13"/>
        <v>9.8000000000000004E-2</v>
      </c>
      <c r="T20" s="407">
        <f t="shared" si="13"/>
        <v>5.0999999999999996</v>
      </c>
      <c r="U20" s="407">
        <f t="shared" si="13"/>
        <v>1.7999999999999999E-2</v>
      </c>
      <c r="V20" s="407">
        <f t="shared" si="14"/>
        <v>45.1</v>
      </c>
      <c r="W20" s="407">
        <f t="shared" si="14"/>
        <v>5.0999999999999996</v>
      </c>
      <c r="X20" s="407">
        <f t="shared" si="14"/>
        <v>1.7999999999999999E-2</v>
      </c>
      <c r="Y20" s="407">
        <f t="shared" si="14"/>
        <v>45.1</v>
      </c>
      <c r="Z20" s="407">
        <f t="shared" si="14"/>
        <v>1.5</v>
      </c>
      <c r="AA20" s="407">
        <f t="shared" si="14"/>
        <v>8.9999999999999993E-3</v>
      </c>
      <c r="AB20" s="407">
        <f t="shared" si="14"/>
        <v>16</v>
      </c>
      <c r="AC20" s="407">
        <f t="shared" si="14"/>
        <v>5.3</v>
      </c>
      <c r="AD20" s="407">
        <f t="shared" si="14"/>
        <v>8.0000000000000002E-3</v>
      </c>
      <c r="AE20" s="407">
        <f t="shared" si="14"/>
        <v>19</v>
      </c>
      <c r="AF20" s="407">
        <f t="shared" si="15"/>
        <v>6.25</v>
      </c>
      <c r="AG20" s="407">
        <f t="shared" si="15"/>
        <v>7.0000000000000001E-3</v>
      </c>
      <c r="AH20" s="407">
        <f t="shared" si="15"/>
        <v>22.349999999999998</v>
      </c>
      <c r="AI20" s="407">
        <f t="shared" si="15"/>
        <v>15.2</v>
      </c>
      <c r="AJ20" s="407">
        <f t="shared" si="15"/>
        <v>1.9E-2</v>
      </c>
      <c r="AK20" s="407">
        <f t="shared" si="15"/>
        <v>54.3</v>
      </c>
      <c r="AL20" s="407">
        <f t="shared" si="15"/>
        <v>8.4499999999999993</v>
      </c>
      <c r="AM20" s="407">
        <f t="shared" si="15"/>
        <v>9.4999999999999998E-3</v>
      </c>
      <c r="AN20" s="407">
        <f t="shared" si="15"/>
        <v>30.299999999999997</v>
      </c>
      <c r="AO20" s="407">
        <f t="shared" si="15"/>
        <v>11.4</v>
      </c>
      <c r="AP20" s="407">
        <f t="shared" si="15"/>
        <v>6.0000000000000001E-3</v>
      </c>
      <c r="AQ20" s="407">
        <f t="shared" si="15"/>
        <v>25.8</v>
      </c>
      <c r="AR20" s="407">
        <v>1934</v>
      </c>
      <c r="AS20" s="407">
        <v>6.0999999999999999E-2</v>
      </c>
      <c r="AT20" s="407">
        <f t="shared" si="16"/>
        <v>0.94899999999999995</v>
      </c>
      <c r="AU20" s="292" t="s">
        <v>450</v>
      </c>
      <c r="AV20" s="2822">
        <f t="shared" si="5"/>
        <v>0.03</v>
      </c>
      <c r="AW20" s="2822">
        <f t="shared" si="6"/>
        <v>0.97</v>
      </c>
    </row>
    <row r="21" spans="1:49">
      <c r="A21" s="634" t="s">
        <v>146</v>
      </c>
      <c r="B21" s="407">
        <v>-7</v>
      </c>
      <c r="C21" s="407">
        <v>86</v>
      </c>
      <c r="D21" s="407">
        <v>70</v>
      </c>
      <c r="E21" s="407">
        <v>6894</v>
      </c>
      <c r="F21" s="407">
        <v>6</v>
      </c>
      <c r="G21" s="407">
        <v>15</v>
      </c>
      <c r="H21" s="407">
        <f t="shared" si="12"/>
        <v>181</v>
      </c>
      <c r="I21" s="407">
        <f t="shared" si="12"/>
        <v>786</v>
      </c>
      <c r="J21" s="407">
        <f t="shared" si="12"/>
        <v>54.2</v>
      </c>
      <c r="K21" s="407">
        <v>438</v>
      </c>
      <c r="L21" s="407">
        <f t="shared" si="13"/>
        <v>0.113</v>
      </c>
      <c r="M21" s="407">
        <f t="shared" si="13"/>
        <v>0.08</v>
      </c>
      <c r="N21" s="407">
        <f t="shared" si="13"/>
        <v>-2.5000000000000001E-2</v>
      </c>
      <c r="O21" s="407">
        <f t="shared" si="13"/>
        <v>0</v>
      </c>
      <c r="P21" s="407">
        <f t="shared" si="13"/>
        <v>9.6999999999999993</v>
      </c>
      <c r="Q21" s="407">
        <f t="shared" si="13"/>
        <v>22</v>
      </c>
      <c r="R21" s="407">
        <f t="shared" si="13"/>
        <v>16</v>
      </c>
      <c r="S21" s="407">
        <f t="shared" si="13"/>
        <v>9.9000000000000005E-2</v>
      </c>
      <c r="T21" s="407">
        <f t="shared" si="13"/>
        <v>6.3</v>
      </c>
      <c r="U21" s="407">
        <f t="shared" si="13"/>
        <v>1.7999999999999999E-2</v>
      </c>
      <c r="V21" s="407">
        <f t="shared" si="14"/>
        <v>39.200000000000003</v>
      </c>
      <c r="W21" s="407">
        <f t="shared" si="14"/>
        <v>6.3</v>
      </c>
      <c r="X21" s="407">
        <f t="shared" si="14"/>
        <v>1.7999999999999999E-2</v>
      </c>
      <c r="Y21" s="407">
        <f t="shared" si="14"/>
        <v>39.200000000000003</v>
      </c>
      <c r="Z21" s="407">
        <f t="shared" si="14"/>
        <v>1.8</v>
      </c>
      <c r="AA21" s="407">
        <f t="shared" si="14"/>
        <v>1.7999999999999999E-2</v>
      </c>
      <c r="AB21" s="407">
        <f t="shared" si="14"/>
        <v>14.1</v>
      </c>
      <c r="AC21" s="407">
        <f t="shared" si="14"/>
        <v>4.3</v>
      </c>
      <c r="AD21" s="407">
        <f t="shared" si="14"/>
        <v>5.0000000000000001E-3</v>
      </c>
      <c r="AE21" s="407">
        <f t="shared" si="14"/>
        <v>15.7</v>
      </c>
      <c r="AF21" s="407">
        <f t="shared" si="15"/>
        <v>5</v>
      </c>
      <c r="AG21" s="407">
        <f t="shared" si="15"/>
        <v>4.0000000000000001E-3</v>
      </c>
      <c r="AH21" s="407">
        <f t="shared" si="15"/>
        <v>19</v>
      </c>
      <c r="AI21" s="407">
        <f t="shared" si="15"/>
        <v>12.2</v>
      </c>
      <c r="AJ21" s="407">
        <f t="shared" si="15"/>
        <v>1.0999999999999999E-2</v>
      </c>
      <c r="AK21" s="407">
        <f t="shared" si="15"/>
        <v>45.6</v>
      </c>
      <c r="AL21" s="407">
        <f t="shared" si="15"/>
        <v>6.6999999999999993</v>
      </c>
      <c r="AM21" s="407">
        <f t="shared" si="15"/>
        <v>6.5000000000000002E-2</v>
      </c>
      <c r="AN21" s="407">
        <f t="shared" si="15"/>
        <v>25.6</v>
      </c>
      <c r="AO21" s="407">
        <f t="shared" si="15"/>
        <v>12.8</v>
      </c>
      <c r="AP21" s="407">
        <f t="shared" si="15"/>
        <v>6.0000000000000001E-3</v>
      </c>
      <c r="AQ21" s="407">
        <f t="shared" si="15"/>
        <v>22.6</v>
      </c>
      <c r="AR21" s="407">
        <v>1934</v>
      </c>
      <c r="AS21" s="407">
        <v>6.0999999999999999E-2</v>
      </c>
      <c r="AT21" s="407">
        <f t="shared" si="16"/>
        <v>1</v>
      </c>
      <c r="AU21" s="292" t="s">
        <v>446</v>
      </c>
      <c r="AV21" s="2822">
        <f t="shared" si="5"/>
        <v>0.03</v>
      </c>
      <c r="AW21" s="2822">
        <f t="shared" si="6"/>
        <v>0.97</v>
      </c>
    </row>
    <row r="22" spans="1:49">
      <c r="A22" s="634" t="s">
        <v>147</v>
      </c>
      <c r="B22" s="407">
        <v>1</v>
      </c>
      <c r="C22" s="407">
        <v>86</v>
      </c>
      <c r="D22" s="407">
        <v>71</v>
      </c>
      <c r="E22" s="407">
        <v>6734</v>
      </c>
      <c r="F22" s="407">
        <v>5</v>
      </c>
      <c r="G22" s="407" t="s">
        <v>198</v>
      </c>
      <c r="H22" s="407">
        <f t="shared" si="12"/>
        <v>151</v>
      </c>
      <c r="I22" s="407">
        <f t="shared" si="12"/>
        <v>966</v>
      </c>
      <c r="J22" s="407">
        <f t="shared" si="12"/>
        <v>54.3</v>
      </c>
      <c r="K22" s="407">
        <v>507</v>
      </c>
      <c r="L22" s="407">
        <f t="shared" si="13"/>
        <v>0.113</v>
      </c>
      <c r="M22" s="407">
        <f t="shared" si="13"/>
        <v>7.1999999999999995E-2</v>
      </c>
      <c r="N22" s="407">
        <f t="shared" si="13"/>
        <v>-2.5999999999999999E-2</v>
      </c>
      <c r="O22" s="407">
        <f t="shared" si="13"/>
        <v>0</v>
      </c>
      <c r="P22" s="407">
        <f t="shared" si="13"/>
        <v>9.9</v>
      </c>
      <c r="Q22" s="407">
        <f t="shared" si="13"/>
        <v>20</v>
      </c>
      <c r="R22" s="407">
        <f t="shared" si="13"/>
        <v>19</v>
      </c>
      <c r="S22" s="407">
        <f t="shared" si="13"/>
        <v>7.9000000000000001E-2</v>
      </c>
      <c r="T22" s="407">
        <f t="shared" si="13"/>
        <v>3.1</v>
      </c>
      <c r="U22" s="407">
        <f t="shared" si="13"/>
        <v>1.8E-3</v>
      </c>
      <c r="V22" s="407">
        <f t="shared" si="14"/>
        <v>38.6</v>
      </c>
      <c r="W22" s="407">
        <f t="shared" si="14"/>
        <v>3.1</v>
      </c>
      <c r="X22" s="407">
        <f t="shared" si="14"/>
        <v>1.7999999999999999E-2</v>
      </c>
      <c r="Y22" s="407">
        <f t="shared" si="14"/>
        <v>38.6</v>
      </c>
      <c r="Z22" s="407">
        <f t="shared" si="14"/>
        <v>0.7</v>
      </c>
      <c r="AA22" s="407">
        <f t="shared" si="14"/>
        <v>0</v>
      </c>
      <c r="AB22" s="407">
        <f t="shared" si="14"/>
        <v>13.9</v>
      </c>
      <c r="AC22" s="407">
        <f t="shared" si="14"/>
        <v>3</v>
      </c>
      <c r="AD22" s="407">
        <f t="shared" si="14"/>
        <v>3.0000000000000001E-3</v>
      </c>
      <c r="AE22" s="407">
        <f t="shared" si="14"/>
        <v>16.5</v>
      </c>
      <c r="AF22" s="407">
        <f t="shared" si="15"/>
        <v>3.45</v>
      </c>
      <c r="AG22" s="407">
        <f t="shared" si="15"/>
        <v>1.5E-3</v>
      </c>
      <c r="AH22" s="407">
        <f t="shared" si="15"/>
        <v>19.7</v>
      </c>
      <c r="AI22" s="407">
        <f t="shared" si="15"/>
        <v>8.5</v>
      </c>
      <c r="AJ22" s="407">
        <f t="shared" si="15"/>
        <v>5.0000000000000001E-3</v>
      </c>
      <c r="AK22" s="407">
        <f t="shared" si="15"/>
        <v>47.7</v>
      </c>
      <c r="AL22" s="407">
        <f t="shared" si="15"/>
        <v>4.6500000000000004</v>
      </c>
      <c r="AM22" s="407">
        <f t="shared" si="15"/>
        <v>4.0000000000000001E-3</v>
      </c>
      <c r="AN22" s="407">
        <f t="shared" si="15"/>
        <v>26.5</v>
      </c>
      <c r="AO22" s="407">
        <f t="shared" si="15"/>
        <v>11.2</v>
      </c>
      <c r="AP22" s="407">
        <f t="shared" si="15"/>
        <v>6.0000000000000001E-3</v>
      </c>
      <c r="AQ22" s="407">
        <f t="shared" si="15"/>
        <v>24</v>
      </c>
      <c r="AR22" s="407">
        <v>1934</v>
      </c>
      <c r="AS22" s="407">
        <v>6.0999999999999999E-2</v>
      </c>
      <c r="AT22" s="407">
        <f t="shared" si="16"/>
        <v>1.036</v>
      </c>
      <c r="AU22" s="292" t="s">
        <v>448</v>
      </c>
      <c r="AV22" s="2822">
        <f t="shared" si="5"/>
        <v>0.06</v>
      </c>
      <c r="AW22" s="2822">
        <f t="shared" si="6"/>
        <v>0.94</v>
      </c>
    </row>
    <row r="23" spans="1:49">
      <c r="A23" s="634" t="s">
        <v>148</v>
      </c>
      <c r="B23" s="407">
        <v>-7</v>
      </c>
      <c r="C23" s="407">
        <v>86</v>
      </c>
      <c r="D23" s="407">
        <v>70</v>
      </c>
      <c r="E23" s="407">
        <v>6894</v>
      </c>
      <c r="F23" s="407">
        <v>5</v>
      </c>
      <c r="G23" s="407" t="s">
        <v>198</v>
      </c>
      <c r="H23" s="407">
        <f t="shared" si="12"/>
        <v>181</v>
      </c>
      <c r="I23" s="407">
        <f t="shared" si="12"/>
        <v>786</v>
      </c>
      <c r="J23" s="407">
        <f t="shared" si="12"/>
        <v>54.2</v>
      </c>
      <c r="K23" s="407">
        <v>507</v>
      </c>
      <c r="L23" s="407">
        <f t="shared" si="13"/>
        <v>0.113</v>
      </c>
      <c r="M23" s="407">
        <f t="shared" si="13"/>
        <v>0.08</v>
      </c>
      <c r="N23" s="407">
        <f t="shared" si="13"/>
        <v>-2.5000000000000001E-2</v>
      </c>
      <c r="O23" s="407">
        <f t="shared" si="13"/>
        <v>0</v>
      </c>
      <c r="P23" s="407">
        <f t="shared" si="13"/>
        <v>9.6999999999999993</v>
      </c>
      <c r="Q23" s="407">
        <f t="shared" si="13"/>
        <v>22</v>
      </c>
      <c r="R23" s="407">
        <f t="shared" si="13"/>
        <v>16</v>
      </c>
      <c r="S23" s="407">
        <f t="shared" si="13"/>
        <v>9.9000000000000005E-2</v>
      </c>
      <c r="T23" s="407">
        <f t="shared" si="13"/>
        <v>6.3</v>
      </c>
      <c r="U23" s="407">
        <f t="shared" si="13"/>
        <v>1.7999999999999999E-2</v>
      </c>
      <c r="V23" s="407">
        <f t="shared" si="14"/>
        <v>39.200000000000003</v>
      </c>
      <c r="W23" s="407">
        <f t="shared" si="14"/>
        <v>6.3</v>
      </c>
      <c r="X23" s="407">
        <f t="shared" si="14"/>
        <v>1.7999999999999999E-2</v>
      </c>
      <c r="Y23" s="407">
        <f t="shared" si="14"/>
        <v>39.200000000000003</v>
      </c>
      <c r="Z23" s="407">
        <f t="shared" si="14"/>
        <v>1.8</v>
      </c>
      <c r="AA23" s="407">
        <f t="shared" si="14"/>
        <v>1.7999999999999999E-2</v>
      </c>
      <c r="AB23" s="407">
        <f t="shared" si="14"/>
        <v>14.1</v>
      </c>
      <c r="AC23" s="407">
        <f t="shared" si="14"/>
        <v>4.3</v>
      </c>
      <c r="AD23" s="407">
        <f t="shared" si="14"/>
        <v>5.0000000000000001E-3</v>
      </c>
      <c r="AE23" s="407">
        <f t="shared" si="14"/>
        <v>15.7</v>
      </c>
      <c r="AF23" s="407">
        <f t="shared" si="15"/>
        <v>5</v>
      </c>
      <c r="AG23" s="407">
        <f t="shared" si="15"/>
        <v>4.0000000000000001E-3</v>
      </c>
      <c r="AH23" s="407">
        <f t="shared" si="15"/>
        <v>19</v>
      </c>
      <c r="AI23" s="407">
        <f t="shared" si="15"/>
        <v>12.2</v>
      </c>
      <c r="AJ23" s="407">
        <f t="shared" si="15"/>
        <v>1.0999999999999999E-2</v>
      </c>
      <c r="AK23" s="407">
        <f t="shared" si="15"/>
        <v>45.6</v>
      </c>
      <c r="AL23" s="407">
        <f t="shared" si="15"/>
        <v>6.6999999999999993</v>
      </c>
      <c r="AM23" s="407">
        <f t="shared" si="15"/>
        <v>6.5000000000000002E-2</v>
      </c>
      <c r="AN23" s="407">
        <f t="shared" si="15"/>
        <v>25.6</v>
      </c>
      <c r="AO23" s="407">
        <f t="shared" si="15"/>
        <v>12.8</v>
      </c>
      <c r="AP23" s="407">
        <f t="shared" si="15"/>
        <v>6.0000000000000001E-3</v>
      </c>
      <c r="AQ23" s="407">
        <f t="shared" si="15"/>
        <v>22.6</v>
      </c>
      <c r="AR23" s="407">
        <v>1934</v>
      </c>
      <c r="AS23" s="407">
        <v>6.0999999999999999E-2</v>
      </c>
      <c r="AT23" s="407">
        <f t="shared" si="16"/>
        <v>1</v>
      </c>
      <c r="AU23" s="292" t="s">
        <v>446</v>
      </c>
      <c r="AV23" s="2822">
        <f t="shared" si="5"/>
        <v>0.06</v>
      </c>
      <c r="AW23" s="2822">
        <f t="shared" si="6"/>
        <v>0.94</v>
      </c>
    </row>
    <row r="24" spans="1:49">
      <c r="A24" s="634" t="s">
        <v>149</v>
      </c>
      <c r="B24" s="407">
        <v>-10</v>
      </c>
      <c r="C24" s="407">
        <v>85</v>
      </c>
      <c r="D24" s="407">
        <v>71</v>
      </c>
      <c r="E24" s="407">
        <v>7635</v>
      </c>
      <c r="F24" s="407">
        <v>6</v>
      </c>
      <c r="G24" s="407">
        <v>16</v>
      </c>
      <c r="H24" s="407">
        <f t="shared" si="12"/>
        <v>143</v>
      </c>
      <c r="I24" s="407">
        <f t="shared" si="12"/>
        <v>1016</v>
      </c>
      <c r="J24" s="407">
        <f t="shared" si="12"/>
        <v>50.7</v>
      </c>
      <c r="K24" s="407">
        <v>438</v>
      </c>
      <c r="L24" s="407">
        <f t="shared" si="13"/>
        <v>9.4E-2</v>
      </c>
      <c r="M24" s="407">
        <f t="shared" si="13"/>
        <v>7.2999999999999995E-2</v>
      </c>
      <c r="N24" s="407">
        <f t="shared" si="13"/>
        <v>-2.5999999999999999E-2</v>
      </c>
      <c r="O24" s="407">
        <f t="shared" si="13"/>
        <v>0</v>
      </c>
      <c r="P24" s="407">
        <f t="shared" si="13"/>
        <v>9.3000000000000007</v>
      </c>
      <c r="Q24" s="407">
        <f t="shared" si="13"/>
        <v>20</v>
      </c>
      <c r="R24" s="407">
        <f t="shared" si="13"/>
        <v>17</v>
      </c>
      <c r="S24" s="407">
        <f t="shared" si="13"/>
        <v>9.8000000000000004E-2</v>
      </c>
      <c r="T24" s="407">
        <f t="shared" si="13"/>
        <v>5.0999999999999996</v>
      </c>
      <c r="U24" s="407">
        <f t="shared" si="13"/>
        <v>1.7999999999999999E-2</v>
      </c>
      <c r="V24" s="407">
        <f t="shared" si="14"/>
        <v>45.1</v>
      </c>
      <c r="W24" s="407">
        <f t="shared" si="14"/>
        <v>5.0999999999999996</v>
      </c>
      <c r="X24" s="407">
        <f t="shared" si="14"/>
        <v>1.7999999999999999E-2</v>
      </c>
      <c r="Y24" s="407">
        <f t="shared" si="14"/>
        <v>45.1</v>
      </c>
      <c r="Z24" s="407">
        <f t="shared" si="14"/>
        <v>1.5</v>
      </c>
      <c r="AA24" s="407">
        <f t="shared" si="14"/>
        <v>8.9999999999999993E-3</v>
      </c>
      <c r="AB24" s="407">
        <f t="shared" si="14"/>
        <v>16</v>
      </c>
      <c r="AC24" s="407">
        <f t="shared" si="14"/>
        <v>5.3</v>
      </c>
      <c r="AD24" s="407">
        <f t="shared" si="14"/>
        <v>8.0000000000000002E-3</v>
      </c>
      <c r="AE24" s="407">
        <f t="shared" si="14"/>
        <v>19</v>
      </c>
      <c r="AF24" s="407">
        <f t="shared" si="15"/>
        <v>6.25</v>
      </c>
      <c r="AG24" s="407">
        <f t="shared" si="15"/>
        <v>7.0000000000000001E-3</v>
      </c>
      <c r="AH24" s="407">
        <f t="shared" si="15"/>
        <v>22.349999999999998</v>
      </c>
      <c r="AI24" s="407">
        <f t="shared" si="15"/>
        <v>15.2</v>
      </c>
      <c r="AJ24" s="407">
        <f t="shared" si="15"/>
        <v>1.9E-2</v>
      </c>
      <c r="AK24" s="407">
        <f t="shared" si="15"/>
        <v>54.3</v>
      </c>
      <c r="AL24" s="407">
        <f t="shared" si="15"/>
        <v>8.4499999999999993</v>
      </c>
      <c r="AM24" s="407">
        <f t="shared" si="15"/>
        <v>9.4999999999999998E-3</v>
      </c>
      <c r="AN24" s="407">
        <f t="shared" si="15"/>
        <v>30.299999999999997</v>
      </c>
      <c r="AO24" s="407">
        <f t="shared" si="15"/>
        <v>11.4</v>
      </c>
      <c r="AP24" s="407">
        <f t="shared" si="15"/>
        <v>6.0000000000000001E-3</v>
      </c>
      <c r="AQ24" s="407">
        <f t="shared" si="15"/>
        <v>25.8</v>
      </c>
      <c r="AR24" s="407">
        <v>1934</v>
      </c>
      <c r="AS24" s="407">
        <v>6.0999999999999999E-2</v>
      </c>
      <c r="AT24" s="407">
        <f t="shared" si="16"/>
        <v>0.94899999999999995</v>
      </c>
      <c r="AU24" s="292" t="s">
        <v>450</v>
      </c>
      <c r="AV24" s="2822">
        <f t="shared" si="5"/>
        <v>0.03</v>
      </c>
      <c r="AW24" s="2822">
        <f t="shared" si="6"/>
        <v>0.97</v>
      </c>
    </row>
    <row r="25" spans="1:49">
      <c r="A25" s="634" t="s">
        <v>150</v>
      </c>
      <c r="B25" s="407">
        <v>-5</v>
      </c>
      <c r="C25" s="407">
        <v>86</v>
      </c>
      <c r="D25" s="407">
        <v>70</v>
      </c>
      <c r="E25" s="407">
        <v>7244</v>
      </c>
      <c r="F25" s="407">
        <v>6</v>
      </c>
      <c r="G25" s="407">
        <v>15</v>
      </c>
      <c r="H25" s="407">
        <f t="shared" si="12"/>
        <v>181</v>
      </c>
      <c r="I25" s="407">
        <f t="shared" si="12"/>
        <v>786</v>
      </c>
      <c r="J25" s="407">
        <f t="shared" si="12"/>
        <v>54.2</v>
      </c>
      <c r="K25" s="407">
        <v>438</v>
      </c>
      <c r="L25" s="407">
        <f t="shared" si="13"/>
        <v>0.113</v>
      </c>
      <c r="M25" s="407">
        <f t="shared" si="13"/>
        <v>0.08</v>
      </c>
      <c r="N25" s="407">
        <f t="shared" si="13"/>
        <v>-2.5000000000000001E-2</v>
      </c>
      <c r="O25" s="407">
        <f t="shared" si="13"/>
        <v>0</v>
      </c>
      <c r="P25" s="407">
        <f t="shared" si="13"/>
        <v>9.6999999999999993</v>
      </c>
      <c r="Q25" s="407">
        <f t="shared" si="13"/>
        <v>22</v>
      </c>
      <c r="R25" s="407">
        <f t="shared" si="13"/>
        <v>16</v>
      </c>
      <c r="S25" s="407">
        <f t="shared" si="13"/>
        <v>9.9000000000000005E-2</v>
      </c>
      <c r="T25" s="407">
        <f t="shared" si="13"/>
        <v>6.3</v>
      </c>
      <c r="U25" s="407">
        <f t="shared" si="13"/>
        <v>1.7999999999999999E-2</v>
      </c>
      <c r="V25" s="407">
        <f t="shared" si="14"/>
        <v>39.200000000000003</v>
      </c>
      <c r="W25" s="407">
        <f t="shared" si="14"/>
        <v>6.3</v>
      </c>
      <c r="X25" s="407">
        <f t="shared" si="14"/>
        <v>1.7999999999999999E-2</v>
      </c>
      <c r="Y25" s="407">
        <f t="shared" si="14"/>
        <v>39.200000000000003</v>
      </c>
      <c r="Z25" s="407">
        <f t="shared" si="14"/>
        <v>1.8</v>
      </c>
      <c r="AA25" s="407">
        <f t="shared" si="14"/>
        <v>1.7999999999999999E-2</v>
      </c>
      <c r="AB25" s="407">
        <f t="shared" si="14"/>
        <v>14.1</v>
      </c>
      <c r="AC25" s="407">
        <f t="shared" si="14"/>
        <v>4.3</v>
      </c>
      <c r="AD25" s="407">
        <f t="shared" si="14"/>
        <v>5.0000000000000001E-3</v>
      </c>
      <c r="AE25" s="407">
        <f t="shared" si="14"/>
        <v>15.7</v>
      </c>
      <c r="AF25" s="407">
        <f t="shared" si="15"/>
        <v>5</v>
      </c>
      <c r="AG25" s="407">
        <f t="shared" si="15"/>
        <v>4.0000000000000001E-3</v>
      </c>
      <c r="AH25" s="407">
        <f t="shared" si="15"/>
        <v>19</v>
      </c>
      <c r="AI25" s="407">
        <f t="shared" si="15"/>
        <v>12.2</v>
      </c>
      <c r="AJ25" s="407">
        <f t="shared" si="15"/>
        <v>1.0999999999999999E-2</v>
      </c>
      <c r="AK25" s="407">
        <f t="shared" si="15"/>
        <v>45.6</v>
      </c>
      <c r="AL25" s="407">
        <f t="shared" si="15"/>
        <v>6.6999999999999993</v>
      </c>
      <c r="AM25" s="407">
        <f t="shared" si="15"/>
        <v>6.5000000000000002E-2</v>
      </c>
      <c r="AN25" s="407">
        <f t="shared" si="15"/>
        <v>25.6</v>
      </c>
      <c r="AO25" s="407">
        <f t="shared" si="15"/>
        <v>12.8</v>
      </c>
      <c r="AP25" s="407">
        <f t="shared" si="15"/>
        <v>6.0000000000000001E-3</v>
      </c>
      <c r="AQ25" s="407">
        <f t="shared" si="15"/>
        <v>22.6</v>
      </c>
      <c r="AR25" s="407">
        <v>1934</v>
      </c>
      <c r="AS25" s="407">
        <v>6.0999999999999999E-2</v>
      </c>
      <c r="AT25" s="407">
        <f t="shared" si="16"/>
        <v>1</v>
      </c>
      <c r="AU25" s="292" t="s">
        <v>446</v>
      </c>
      <c r="AV25" s="2822">
        <f t="shared" si="5"/>
        <v>0.03</v>
      </c>
      <c r="AW25" s="2822">
        <f t="shared" si="6"/>
        <v>0.97</v>
      </c>
    </row>
    <row r="26" spans="1:49">
      <c r="A26" s="634" t="s">
        <v>151</v>
      </c>
      <c r="B26" s="407">
        <v>-12</v>
      </c>
      <c r="C26" s="407">
        <v>83</v>
      </c>
      <c r="D26" s="407">
        <v>70</v>
      </c>
      <c r="E26" s="407">
        <v>7540</v>
      </c>
      <c r="F26" s="407">
        <v>6</v>
      </c>
      <c r="G26" s="407">
        <v>15</v>
      </c>
      <c r="H26" s="407">
        <f t="shared" si="12"/>
        <v>143</v>
      </c>
      <c r="I26" s="407">
        <f t="shared" si="12"/>
        <v>1016</v>
      </c>
      <c r="J26" s="407">
        <f t="shared" si="12"/>
        <v>50.7</v>
      </c>
      <c r="K26" s="407">
        <v>438</v>
      </c>
      <c r="L26" s="407">
        <f t="shared" si="13"/>
        <v>9.4E-2</v>
      </c>
      <c r="M26" s="407">
        <f t="shared" si="13"/>
        <v>7.2999999999999995E-2</v>
      </c>
      <c r="N26" s="407">
        <f t="shared" si="13"/>
        <v>-2.5999999999999999E-2</v>
      </c>
      <c r="O26" s="407">
        <f t="shared" si="13"/>
        <v>0</v>
      </c>
      <c r="P26" s="407">
        <f t="shared" si="13"/>
        <v>9.3000000000000007</v>
      </c>
      <c r="Q26" s="407">
        <f t="shared" si="13"/>
        <v>20</v>
      </c>
      <c r="R26" s="407">
        <f t="shared" si="13"/>
        <v>17</v>
      </c>
      <c r="S26" s="407">
        <f t="shared" si="13"/>
        <v>9.8000000000000004E-2</v>
      </c>
      <c r="T26" s="407">
        <f t="shared" si="13"/>
        <v>5.0999999999999996</v>
      </c>
      <c r="U26" s="407">
        <f t="shared" si="13"/>
        <v>1.7999999999999999E-2</v>
      </c>
      <c r="V26" s="407">
        <f t="shared" si="14"/>
        <v>45.1</v>
      </c>
      <c r="W26" s="407">
        <f t="shared" si="14"/>
        <v>5.0999999999999996</v>
      </c>
      <c r="X26" s="407">
        <f t="shared" si="14"/>
        <v>1.7999999999999999E-2</v>
      </c>
      <c r="Y26" s="407">
        <f t="shared" si="14"/>
        <v>45.1</v>
      </c>
      <c r="Z26" s="407">
        <f t="shared" si="14"/>
        <v>1.5</v>
      </c>
      <c r="AA26" s="407">
        <f t="shared" si="14"/>
        <v>8.9999999999999993E-3</v>
      </c>
      <c r="AB26" s="407">
        <f t="shared" si="14"/>
        <v>16</v>
      </c>
      <c r="AC26" s="407">
        <f t="shared" si="14"/>
        <v>5.3</v>
      </c>
      <c r="AD26" s="407">
        <f t="shared" si="14"/>
        <v>8.0000000000000002E-3</v>
      </c>
      <c r="AE26" s="407">
        <f t="shared" si="14"/>
        <v>19</v>
      </c>
      <c r="AF26" s="407">
        <f t="shared" si="15"/>
        <v>6.25</v>
      </c>
      <c r="AG26" s="407">
        <f t="shared" si="15"/>
        <v>7.0000000000000001E-3</v>
      </c>
      <c r="AH26" s="407">
        <f t="shared" si="15"/>
        <v>22.349999999999998</v>
      </c>
      <c r="AI26" s="407">
        <f t="shared" si="15"/>
        <v>15.2</v>
      </c>
      <c r="AJ26" s="407">
        <f t="shared" si="15"/>
        <v>1.9E-2</v>
      </c>
      <c r="AK26" s="407">
        <f t="shared" si="15"/>
        <v>54.3</v>
      </c>
      <c r="AL26" s="407">
        <f t="shared" si="15"/>
        <v>8.4499999999999993</v>
      </c>
      <c r="AM26" s="407">
        <f t="shared" si="15"/>
        <v>9.4999999999999998E-3</v>
      </c>
      <c r="AN26" s="407">
        <f t="shared" si="15"/>
        <v>30.299999999999997</v>
      </c>
      <c r="AO26" s="407">
        <f t="shared" si="15"/>
        <v>11.4</v>
      </c>
      <c r="AP26" s="407">
        <f t="shared" si="15"/>
        <v>6.0000000000000001E-3</v>
      </c>
      <c r="AQ26" s="407">
        <f t="shared" si="15"/>
        <v>25.8</v>
      </c>
      <c r="AR26" s="407">
        <v>1934</v>
      </c>
      <c r="AS26" s="407">
        <v>6.0999999999999999E-2</v>
      </c>
      <c r="AT26" s="407">
        <f t="shared" si="16"/>
        <v>0.94899999999999995</v>
      </c>
      <c r="AU26" s="292" t="s">
        <v>450</v>
      </c>
      <c r="AV26" s="2822">
        <f t="shared" si="5"/>
        <v>0.03</v>
      </c>
      <c r="AW26" s="2822">
        <f t="shared" si="6"/>
        <v>0.97</v>
      </c>
    </row>
    <row r="27" spans="1:49">
      <c r="A27" s="634" t="s">
        <v>152</v>
      </c>
      <c r="B27" s="407">
        <v>13</v>
      </c>
      <c r="C27" s="407">
        <v>89</v>
      </c>
      <c r="D27" s="407">
        <v>73</v>
      </c>
      <c r="E27" s="407">
        <v>4910</v>
      </c>
      <c r="F27" s="407">
        <v>4</v>
      </c>
      <c r="G27" s="407" t="s">
        <v>201</v>
      </c>
      <c r="H27" s="407">
        <f t="shared" si="12"/>
        <v>382</v>
      </c>
      <c r="I27" s="407">
        <f t="shared" si="12"/>
        <v>526</v>
      </c>
      <c r="J27" s="407">
        <f t="shared" si="12"/>
        <v>62.5</v>
      </c>
      <c r="K27" s="407">
        <v>1096</v>
      </c>
      <c r="L27" s="407">
        <f t="shared" si="13"/>
        <v>0.19400000000000001</v>
      </c>
      <c r="M27" s="407">
        <f t="shared" si="13"/>
        <v>0.10100000000000001</v>
      </c>
      <c r="N27" s="407">
        <f t="shared" si="13"/>
        <v>-2.1000000000000001E-2</v>
      </c>
      <c r="O27" s="407">
        <f t="shared" si="13"/>
        <v>0</v>
      </c>
      <c r="P27" s="407">
        <f t="shared" si="13"/>
        <v>10.7</v>
      </c>
      <c r="Q27" s="407">
        <f t="shared" si="13"/>
        <v>56</v>
      </c>
      <c r="R27" s="407">
        <f t="shared" si="13"/>
        <v>17</v>
      </c>
      <c r="S27" s="407">
        <f t="shared" si="13"/>
        <v>9.8000000000000004E-2</v>
      </c>
      <c r="T27" s="407">
        <f t="shared" si="13"/>
        <v>20.3</v>
      </c>
      <c r="U27" s="407">
        <f t="shared" si="13"/>
        <v>2.5999999999999999E-2</v>
      </c>
      <c r="V27" s="407">
        <f t="shared" si="14"/>
        <v>28.3</v>
      </c>
      <c r="W27" s="407">
        <f t="shared" si="14"/>
        <v>20.3</v>
      </c>
      <c r="X27" s="407">
        <f t="shared" si="14"/>
        <v>2.5999999999999999E-2</v>
      </c>
      <c r="Y27" s="407">
        <f t="shared" si="14"/>
        <v>28.3</v>
      </c>
      <c r="Z27" s="407">
        <f t="shared" si="14"/>
        <v>6.7</v>
      </c>
      <c r="AA27" s="407">
        <f t="shared" si="14"/>
        <v>8.9999999999999993E-3</v>
      </c>
      <c r="AB27" s="407">
        <f t="shared" si="14"/>
        <v>9.4</v>
      </c>
      <c r="AC27" s="407">
        <f t="shared" si="14"/>
        <v>11</v>
      </c>
      <c r="AD27" s="407">
        <f t="shared" si="14"/>
        <v>3.0000000000000001E-3</v>
      </c>
      <c r="AE27" s="407">
        <f t="shared" si="14"/>
        <v>10.7</v>
      </c>
      <c r="AF27" s="407">
        <f t="shared" si="15"/>
        <v>13.05</v>
      </c>
      <c r="AG27" s="407">
        <f t="shared" si="15"/>
        <v>2.5000000000000001E-3</v>
      </c>
      <c r="AH27" s="407">
        <f t="shared" si="15"/>
        <v>12.75</v>
      </c>
      <c r="AI27" s="407">
        <f t="shared" si="15"/>
        <v>31.7</v>
      </c>
      <c r="AJ27" s="407">
        <f t="shared" si="15"/>
        <v>8.0000000000000002E-3</v>
      </c>
      <c r="AK27" s="407">
        <f t="shared" si="15"/>
        <v>30.9</v>
      </c>
      <c r="AL27" s="407">
        <f t="shared" si="15"/>
        <v>17.600000000000001</v>
      </c>
      <c r="AM27" s="407">
        <f t="shared" si="15"/>
        <v>5.4999999999999997E-3</v>
      </c>
      <c r="AN27" s="407">
        <f t="shared" si="15"/>
        <v>17.350000000000001</v>
      </c>
      <c r="AO27" s="407">
        <f t="shared" si="15"/>
        <v>9.1999999999999993</v>
      </c>
      <c r="AP27" s="407">
        <f t="shared" si="15"/>
        <v>6.0000000000000001E-3</v>
      </c>
      <c r="AQ27" s="407">
        <f t="shared" si="15"/>
        <v>17.399999999999999</v>
      </c>
      <c r="AR27" s="407">
        <v>1934</v>
      </c>
      <c r="AS27" s="407">
        <v>6.0999999999999999E-2</v>
      </c>
      <c r="AT27" s="407">
        <f t="shared" si="16"/>
        <v>1.34</v>
      </c>
      <c r="AU27" s="292" t="s">
        <v>402</v>
      </c>
      <c r="AV27" s="2822">
        <f t="shared" si="5"/>
        <v>0.15</v>
      </c>
      <c r="AW27" s="2822">
        <f t="shared" si="6"/>
        <v>0.85</v>
      </c>
    </row>
    <row r="28" spans="1:49">
      <c r="A28" s="634" t="s">
        <v>153</v>
      </c>
      <c r="B28" s="407">
        <v>-12</v>
      </c>
      <c r="C28" s="407">
        <v>83</v>
      </c>
      <c r="D28" s="407">
        <v>70</v>
      </c>
      <c r="E28" s="407">
        <v>7540</v>
      </c>
      <c r="F28" s="407">
        <v>6</v>
      </c>
      <c r="G28" s="407">
        <v>15</v>
      </c>
      <c r="H28" s="407">
        <f t="shared" si="12"/>
        <v>143</v>
      </c>
      <c r="I28" s="407">
        <f t="shared" si="12"/>
        <v>1016</v>
      </c>
      <c r="J28" s="407">
        <f t="shared" si="12"/>
        <v>50.7</v>
      </c>
      <c r="K28" s="407">
        <v>438</v>
      </c>
      <c r="L28" s="407">
        <f t="shared" si="13"/>
        <v>9.4E-2</v>
      </c>
      <c r="M28" s="407">
        <f t="shared" si="13"/>
        <v>7.2999999999999995E-2</v>
      </c>
      <c r="N28" s="407">
        <f t="shared" si="13"/>
        <v>-2.5999999999999999E-2</v>
      </c>
      <c r="O28" s="407">
        <f t="shared" si="13"/>
        <v>0</v>
      </c>
      <c r="P28" s="407">
        <f t="shared" si="13"/>
        <v>9.3000000000000007</v>
      </c>
      <c r="Q28" s="407">
        <f t="shared" si="13"/>
        <v>20</v>
      </c>
      <c r="R28" s="407">
        <f t="shared" si="13"/>
        <v>17</v>
      </c>
      <c r="S28" s="407">
        <f t="shared" si="13"/>
        <v>9.8000000000000004E-2</v>
      </c>
      <c r="T28" s="407">
        <f t="shared" si="13"/>
        <v>5.0999999999999996</v>
      </c>
      <c r="U28" s="407">
        <f t="shared" si="13"/>
        <v>1.7999999999999999E-2</v>
      </c>
      <c r="V28" s="407">
        <f t="shared" si="14"/>
        <v>45.1</v>
      </c>
      <c r="W28" s="407">
        <f t="shared" si="14"/>
        <v>5.0999999999999996</v>
      </c>
      <c r="X28" s="407">
        <f t="shared" si="14"/>
        <v>1.7999999999999999E-2</v>
      </c>
      <c r="Y28" s="407">
        <f t="shared" si="14"/>
        <v>45.1</v>
      </c>
      <c r="Z28" s="407">
        <f t="shared" si="14"/>
        <v>1.5</v>
      </c>
      <c r="AA28" s="407">
        <f t="shared" si="14"/>
        <v>8.9999999999999993E-3</v>
      </c>
      <c r="AB28" s="407">
        <f t="shared" si="14"/>
        <v>16</v>
      </c>
      <c r="AC28" s="407">
        <f t="shared" si="14"/>
        <v>5.3</v>
      </c>
      <c r="AD28" s="407">
        <f t="shared" si="14"/>
        <v>8.0000000000000002E-3</v>
      </c>
      <c r="AE28" s="407">
        <f t="shared" si="14"/>
        <v>19</v>
      </c>
      <c r="AF28" s="407">
        <f t="shared" si="15"/>
        <v>6.25</v>
      </c>
      <c r="AG28" s="407">
        <f t="shared" si="15"/>
        <v>7.0000000000000001E-3</v>
      </c>
      <c r="AH28" s="407">
        <f t="shared" si="15"/>
        <v>22.349999999999998</v>
      </c>
      <c r="AI28" s="407">
        <f t="shared" si="15"/>
        <v>15.2</v>
      </c>
      <c r="AJ28" s="407">
        <f t="shared" si="15"/>
        <v>1.9E-2</v>
      </c>
      <c r="AK28" s="407">
        <f t="shared" si="15"/>
        <v>54.3</v>
      </c>
      <c r="AL28" s="407">
        <f t="shared" si="15"/>
        <v>8.4499999999999993</v>
      </c>
      <c r="AM28" s="407">
        <f t="shared" si="15"/>
        <v>9.4999999999999998E-3</v>
      </c>
      <c r="AN28" s="407">
        <f t="shared" si="15"/>
        <v>30.299999999999997</v>
      </c>
      <c r="AO28" s="407">
        <f t="shared" si="15"/>
        <v>11.4</v>
      </c>
      <c r="AP28" s="407">
        <f t="shared" si="15"/>
        <v>6.0000000000000001E-3</v>
      </c>
      <c r="AQ28" s="407">
        <f t="shared" si="15"/>
        <v>25.8</v>
      </c>
      <c r="AR28" s="407">
        <v>1934</v>
      </c>
      <c r="AS28" s="407">
        <v>6.0999999999999999E-2</v>
      </c>
      <c r="AT28" s="407">
        <f t="shared" si="16"/>
        <v>0.94899999999999995</v>
      </c>
      <c r="AU28" s="292" t="s">
        <v>450</v>
      </c>
      <c r="AV28" s="2822">
        <f t="shared" si="5"/>
        <v>0.03</v>
      </c>
      <c r="AW28" s="2822">
        <f t="shared" si="6"/>
        <v>0.97</v>
      </c>
    </row>
    <row r="29" spans="1:49">
      <c r="A29" s="634" t="s">
        <v>154</v>
      </c>
      <c r="B29" s="407">
        <v>1</v>
      </c>
      <c r="C29" s="407">
        <v>86</v>
      </c>
      <c r="D29" s="407">
        <v>71</v>
      </c>
      <c r="E29" s="407">
        <v>6734</v>
      </c>
      <c r="F29" s="407">
        <v>5</v>
      </c>
      <c r="G29" s="407" t="s">
        <v>198</v>
      </c>
      <c r="H29" s="407">
        <f t="shared" si="12"/>
        <v>151</v>
      </c>
      <c r="I29" s="407">
        <f t="shared" si="12"/>
        <v>966</v>
      </c>
      <c r="J29" s="407">
        <f t="shared" si="12"/>
        <v>54.3</v>
      </c>
      <c r="K29" s="407">
        <v>507</v>
      </c>
      <c r="L29" s="407">
        <f t="shared" si="13"/>
        <v>0.113</v>
      </c>
      <c r="M29" s="407">
        <f t="shared" si="13"/>
        <v>7.1999999999999995E-2</v>
      </c>
      <c r="N29" s="407">
        <f t="shared" si="13"/>
        <v>-2.5999999999999999E-2</v>
      </c>
      <c r="O29" s="407">
        <f t="shared" si="13"/>
        <v>0</v>
      </c>
      <c r="P29" s="407">
        <f t="shared" si="13"/>
        <v>9.9</v>
      </c>
      <c r="Q29" s="407">
        <f t="shared" si="13"/>
        <v>20</v>
      </c>
      <c r="R29" s="407">
        <f t="shared" si="13"/>
        <v>19</v>
      </c>
      <c r="S29" s="407">
        <f t="shared" si="13"/>
        <v>7.9000000000000001E-2</v>
      </c>
      <c r="T29" s="407">
        <f t="shared" si="13"/>
        <v>3.1</v>
      </c>
      <c r="U29" s="407">
        <f t="shared" si="13"/>
        <v>1.8E-3</v>
      </c>
      <c r="V29" s="407">
        <f t="shared" si="14"/>
        <v>38.6</v>
      </c>
      <c r="W29" s="407">
        <f t="shared" si="14"/>
        <v>3.1</v>
      </c>
      <c r="X29" s="407">
        <f t="shared" si="14"/>
        <v>1.7999999999999999E-2</v>
      </c>
      <c r="Y29" s="407">
        <f t="shared" si="14"/>
        <v>38.6</v>
      </c>
      <c r="Z29" s="407">
        <f t="shared" si="14"/>
        <v>0.7</v>
      </c>
      <c r="AA29" s="407">
        <f t="shared" si="14"/>
        <v>0</v>
      </c>
      <c r="AB29" s="407">
        <f t="shared" si="14"/>
        <v>13.9</v>
      </c>
      <c r="AC29" s="407">
        <f t="shared" si="14"/>
        <v>3</v>
      </c>
      <c r="AD29" s="407">
        <f t="shared" si="14"/>
        <v>3.0000000000000001E-3</v>
      </c>
      <c r="AE29" s="407">
        <f t="shared" si="14"/>
        <v>16.5</v>
      </c>
      <c r="AF29" s="407">
        <f t="shared" si="15"/>
        <v>3.45</v>
      </c>
      <c r="AG29" s="407">
        <f t="shared" si="15"/>
        <v>1.5E-3</v>
      </c>
      <c r="AH29" s="407">
        <f t="shared" si="15"/>
        <v>19.7</v>
      </c>
      <c r="AI29" s="407">
        <f t="shared" si="15"/>
        <v>8.5</v>
      </c>
      <c r="AJ29" s="407">
        <f t="shared" si="15"/>
        <v>5.0000000000000001E-3</v>
      </c>
      <c r="AK29" s="407">
        <f t="shared" si="15"/>
        <v>47.7</v>
      </c>
      <c r="AL29" s="407">
        <f t="shared" si="15"/>
        <v>4.6500000000000004</v>
      </c>
      <c r="AM29" s="407">
        <f t="shared" si="15"/>
        <v>4.0000000000000001E-3</v>
      </c>
      <c r="AN29" s="407">
        <f t="shared" si="15"/>
        <v>26.5</v>
      </c>
      <c r="AO29" s="407">
        <f t="shared" si="15"/>
        <v>11.2</v>
      </c>
      <c r="AP29" s="407">
        <f t="shared" si="15"/>
        <v>6.0000000000000001E-3</v>
      </c>
      <c r="AQ29" s="407">
        <f t="shared" si="15"/>
        <v>24</v>
      </c>
      <c r="AR29" s="407">
        <v>1934</v>
      </c>
      <c r="AS29" s="407">
        <v>6.0999999999999999E-2</v>
      </c>
      <c r="AT29" s="407">
        <f t="shared" si="16"/>
        <v>1.036</v>
      </c>
      <c r="AU29" s="292" t="s">
        <v>448</v>
      </c>
      <c r="AV29" s="2822">
        <f t="shared" si="5"/>
        <v>0.06</v>
      </c>
      <c r="AW29" s="2822">
        <f t="shared" si="6"/>
        <v>0.94</v>
      </c>
    </row>
    <row r="30" spans="1:49">
      <c r="A30" s="634" t="s">
        <v>155</v>
      </c>
      <c r="B30" s="407">
        <v>-5</v>
      </c>
      <c r="C30" s="407">
        <v>86</v>
      </c>
      <c r="D30" s="407">
        <v>70</v>
      </c>
      <c r="E30" s="407">
        <v>7244</v>
      </c>
      <c r="F30" s="407">
        <v>6</v>
      </c>
      <c r="G30" s="407" t="s">
        <v>198</v>
      </c>
      <c r="H30" s="407">
        <f t="shared" si="12"/>
        <v>186</v>
      </c>
      <c r="I30" s="407">
        <f t="shared" si="12"/>
        <v>889</v>
      </c>
      <c r="J30" s="407">
        <f t="shared" si="12"/>
        <v>54.6</v>
      </c>
      <c r="K30" s="407">
        <v>438</v>
      </c>
      <c r="L30" s="407">
        <f t="shared" si="13"/>
        <v>0.113</v>
      </c>
      <c r="M30" s="407">
        <f t="shared" si="13"/>
        <v>0.08</v>
      </c>
      <c r="N30" s="407">
        <f t="shared" si="13"/>
        <v>-2.4E-2</v>
      </c>
      <c r="O30" s="407">
        <f t="shared" si="13"/>
        <v>0</v>
      </c>
      <c r="P30" s="407">
        <f t="shared" si="13"/>
        <v>9.6999999999999993</v>
      </c>
      <c r="Q30" s="407">
        <f t="shared" si="13"/>
        <v>23</v>
      </c>
      <c r="R30" s="407">
        <f t="shared" si="13"/>
        <v>16</v>
      </c>
      <c r="S30" s="407">
        <f t="shared" si="13"/>
        <v>9.1999999999999998E-2</v>
      </c>
      <c r="T30" s="407">
        <f t="shared" si="13"/>
        <v>6.1</v>
      </c>
      <c r="U30" s="407">
        <f t="shared" si="13"/>
        <v>4.3999999999999997E-2</v>
      </c>
      <c r="V30" s="407">
        <f t="shared" si="14"/>
        <v>37.799999999999997</v>
      </c>
      <c r="W30" s="407">
        <f t="shared" si="14"/>
        <v>6.1</v>
      </c>
      <c r="X30" s="407">
        <f t="shared" si="14"/>
        <v>4.3999999999999997E-2</v>
      </c>
      <c r="Y30" s="407">
        <f t="shared" si="14"/>
        <v>37.799999999999997</v>
      </c>
      <c r="Z30" s="407">
        <f t="shared" si="14"/>
        <v>1.7</v>
      </c>
      <c r="AA30" s="407">
        <f t="shared" si="14"/>
        <v>2.5999999999999999E-2</v>
      </c>
      <c r="AB30" s="407">
        <f t="shared" si="14"/>
        <v>15</v>
      </c>
      <c r="AC30" s="407">
        <f t="shared" si="14"/>
        <v>4.8</v>
      </c>
      <c r="AD30" s="407">
        <f t="shared" si="14"/>
        <v>5.0000000000000001E-3</v>
      </c>
      <c r="AE30" s="407">
        <f t="shared" si="14"/>
        <v>15.5</v>
      </c>
      <c r="AF30" s="407">
        <f t="shared" si="15"/>
        <v>5.5500000000000007</v>
      </c>
      <c r="AG30" s="407">
        <f t="shared" si="15"/>
        <v>5.4999999999999997E-3</v>
      </c>
      <c r="AH30" s="407">
        <f t="shared" si="15"/>
        <v>18.599999999999998</v>
      </c>
      <c r="AI30" s="407">
        <f t="shared" si="15"/>
        <v>13.5</v>
      </c>
      <c r="AJ30" s="407">
        <f t="shared" si="15"/>
        <v>1.4E-2</v>
      </c>
      <c r="AK30" s="407">
        <f t="shared" si="15"/>
        <v>44.9</v>
      </c>
      <c r="AL30" s="407">
        <f t="shared" si="15"/>
        <v>7.4</v>
      </c>
      <c r="AM30" s="407">
        <f t="shared" si="15"/>
        <v>8.0000000000000002E-3</v>
      </c>
      <c r="AN30" s="407">
        <f t="shared" si="15"/>
        <v>25.1</v>
      </c>
      <c r="AO30" s="407">
        <f t="shared" si="15"/>
        <v>13.2</v>
      </c>
      <c r="AP30" s="407">
        <f t="shared" si="15"/>
        <v>1.4E-2</v>
      </c>
      <c r="AQ30" s="407">
        <f t="shared" si="15"/>
        <v>23.4</v>
      </c>
      <c r="AR30" s="407">
        <v>1934</v>
      </c>
      <c r="AS30" s="407">
        <v>6.0999999999999999E-2</v>
      </c>
      <c r="AT30" s="407">
        <f t="shared" si="16"/>
        <v>0.99099999999999999</v>
      </c>
      <c r="AU30" s="292" t="s">
        <v>449</v>
      </c>
      <c r="AV30" s="2822">
        <f t="shared" si="5"/>
        <v>0.03</v>
      </c>
      <c r="AW30" s="2822">
        <f t="shared" si="6"/>
        <v>0.97</v>
      </c>
    </row>
    <row r="31" spans="1:49">
      <c r="A31" s="634" t="s">
        <v>156</v>
      </c>
      <c r="B31" s="407">
        <v>1</v>
      </c>
      <c r="C31" s="407">
        <v>86</v>
      </c>
      <c r="D31" s="407">
        <v>71</v>
      </c>
      <c r="E31" s="407">
        <v>6734</v>
      </c>
      <c r="F31" s="407">
        <v>5</v>
      </c>
      <c r="G31" s="407" t="s">
        <v>198</v>
      </c>
      <c r="H31" s="407">
        <f t="shared" si="12"/>
        <v>151</v>
      </c>
      <c r="I31" s="407">
        <f t="shared" si="12"/>
        <v>966</v>
      </c>
      <c r="J31" s="407">
        <f t="shared" si="12"/>
        <v>54.3</v>
      </c>
      <c r="K31" s="407">
        <v>507</v>
      </c>
      <c r="L31" s="407">
        <f t="shared" si="13"/>
        <v>0.113</v>
      </c>
      <c r="M31" s="407">
        <f t="shared" si="13"/>
        <v>7.1999999999999995E-2</v>
      </c>
      <c r="N31" s="407">
        <f t="shared" si="13"/>
        <v>-2.5999999999999999E-2</v>
      </c>
      <c r="O31" s="407">
        <f t="shared" si="13"/>
        <v>0</v>
      </c>
      <c r="P31" s="407">
        <f t="shared" si="13"/>
        <v>9.9</v>
      </c>
      <c r="Q31" s="407">
        <f t="shared" si="13"/>
        <v>20</v>
      </c>
      <c r="R31" s="407">
        <f t="shared" si="13"/>
        <v>19</v>
      </c>
      <c r="S31" s="407">
        <f t="shared" si="13"/>
        <v>7.9000000000000001E-2</v>
      </c>
      <c r="T31" s="407">
        <f t="shared" si="13"/>
        <v>3.1</v>
      </c>
      <c r="U31" s="407">
        <f t="shared" si="13"/>
        <v>1.8E-3</v>
      </c>
      <c r="V31" s="407">
        <f t="shared" si="14"/>
        <v>38.6</v>
      </c>
      <c r="W31" s="407">
        <f t="shared" si="14"/>
        <v>3.1</v>
      </c>
      <c r="X31" s="407">
        <f t="shared" si="14"/>
        <v>1.7999999999999999E-2</v>
      </c>
      <c r="Y31" s="407">
        <f t="shared" si="14"/>
        <v>38.6</v>
      </c>
      <c r="Z31" s="407">
        <f t="shared" si="14"/>
        <v>0.7</v>
      </c>
      <c r="AA31" s="407">
        <f t="shared" si="14"/>
        <v>0</v>
      </c>
      <c r="AB31" s="407">
        <f t="shared" si="14"/>
        <v>13.9</v>
      </c>
      <c r="AC31" s="407">
        <f t="shared" si="14"/>
        <v>3</v>
      </c>
      <c r="AD31" s="407">
        <f t="shared" si="14"/>
        <v>3.0000000000000001E-3</v>
      </c>
      <c r="AE31" s="407">
        <f t="shared" si="14"/>
        <v>16.5</v>
      </c>
      <c r="AF31" s="407">
        <f t="shared" si="15"/>
        <v>3.45</v>
      </c>
      <c r="AG31" s="407">
        <f t="shared" si="15"/>
        <v>1.5E-3</v>
      </c>
      <c r="AH31" s="407">
        <f t="shared" si="15"/>
        <v>19.7</v>
      </c>
      <c r="AI31" s="407">
        <f t="shared" si="15"/>
        <v>8.5</v>
      </c>
      <c r="AJ31" s="407">
        <f t="shared" si="15"/>
        <v>5.0000000000000001E-3</v>
      </c>
      <c r="AK31" s="407">
        <f t="shared" si="15"/>
        <v>47.7</v>
      </c>
      <c r="AL31" s="407">
        <f t="shared" si="15"/>
        <v>4.6500000000000004</v>
      </c>
      <c r="AM31" s="407">
        <f t="shared" si="15"/>
        <v>4.0000000000000001E-3</v>
      </c>
      <c r="AN31" s="407">
        <f t="shared" si="15"/>
        <v>26.5</v>
      </c>
      <c r="AO31" s="407">
        <f t="shared" si="15"/>
        <v>11.2</v>
      </c>
      <c r="AP31" s="407">
        <f t="shared" si="15"/>
        <v>6.0000000000000001E-3</v>
      </c>
      <c r="AQ31" s="407">
        <f t="shared" si="15"/>
        <v>24</v>
      </c>
      <c r="AR31" s="407">
        <v>1934</v>
      </c>
      <c r="AS31" s="407">
        <v>6.0999999999999999E-2</v>
      </c>
      <c r="AT31" s="407">
        <f t="shared" si="16"/>
        <v>1.036</v>
      </c>
      <c r="AU31" s="292" t="s">
        <v>448</v>
      </c>
      <c r="AV31" s="2822">
        <f t="shared" si="5"/>
        <v>0.06</v>
      </c>
      <c r="AW31" s="2822">
        <f t="shared" si="6"/>
        <v>0.94</v>
      </c>
    </row>
    <row r="32" spans="1:49">
      <c r="A32" s="634" t="s">
        <v>157</v>
      </c>
      <c r="B32" s="407">
        <v>-7</v>
      </c>
      <c r="C32" s="407">
        <v>86</v>
      </c>
      <c r="D32" s="407">
        <v>70</v>
      </c>
      <c r="E32" s="407">
        <v>6894</v>
      </c>
      <c r="F32" s="407">
        <v>6</v>
      </c>
      <c r="G32" s="407" t="s">
        <v>198</v>
      </c>
      <c r="H32" s="407">
        <f t="shared" si="12"/>
        <v>181</v>
      </c>
      <c r="I32" s="407">
        <f t="shared" si="12"/>
        <v>786</v>
      </c>
      <c r="J32" s="407">
        <f t="shared" si="12"/>
        <v>54.2</v>
      </c>
      <c r="K32" s="407">
        <v>438</v>
      </c>
      <c r="L32" s="407">
        <f t="shared" si="13"/>
        <v>0.113</v>
      </c>
      <c r="M32" s="407">
        <f t="shared" si="13"/>
        <v>0.08</v>
      </c>
      <c r="N32" s="407">
        <f t="shared" si="13"/>
        <v>-2.5000000000000001E-2</v>
      </c>
      <c r="O32" s="407">
        <f t="shared" si="13"/>
        <v>0</v>
      </c>
      <c r="P32" s="407">
        <f t="shared" si="13"/>
        <v>9.6999999999999993</v>
      </c>
      <c r="Q32" s="407">
        <f t="shared" si="13"/>
        <v>22</v>
      </c>
      <c r="R32" s="407">
        <f t="shared" si="13"/>
        <v>16</v>
      </c>
      <c r="S32" s="407">
        <f t="shared" si="13"/>
        <v>9.9000000000000005E-2</v>
      </c>
      <c r="T32" s="407">
        <f t="shared" si="13"/>
        <v>6.3</v>
      </c>
      <c r="U32" s="407">
        <f t="shared" si="13"/>
        <v>1.7999999999999999E-2</v>
      </c>
      <c r="V32" s="407">
        <f t="shared" si="14"/>
        <v>39.200000000000003</v>
      </c>
      <c r="W32" s="407">
        <f t="shared" si="14"/>
        <v>6.3</v>
      </c>
      <c r="X32" s="407">
        <f t="shared" si="14"/>
        <v>1.7999999999999999E-2</v>
      </c>
      <c r="Y32" s="407">
        <f t="shared" si="14"/>
        <v>39.200000000000003</v>
      </c>
      <c r="Z32" s="407">
        <f t="shared" si="14"/>
        <v>1.8</v>
      </c>
      <c r="AA32" s="407">
        <f t="shared" si="14"/>
        <v>1.7999999999999999E-2</v>
      </c>
      <c r="AB32" s="407">
        <f t="shared" si="14"/>
        <v>14.1</v>
      </c>
      <c r="AC32" s="407">
        <f t="shared" si="14"/>
        <v>4.3</v>
      </c>
      <c r="AD32" s="407">
        <f t="shared" si="14"/>
        <v>5.0000000000000001E-3</v>
      </c>
      <c r="AE32" s="407">
        <f t="shared" si="14"/>
        <v>15.7</v>
      </c>
      <c r="AF32" s="407">
        <f t="shared" si="15"/>
        <v>5</v>
      </c>
      <c r="AG32" s="407">
        <f t="shared" si="15"/>
        <v>4.0000000000000001E-3</v>
      </c>
      <c r="AH32" s="407">
        <f t="shared" si="15"/>
        <v>19</v>
      </c>
      <c r="AI32" s="407">
        <f t="shared" si="15"/>
        <v>12.2</v>
      </c>
      <c r="AJ32" s="407">
        <f t="shared" si="15"/>
        <v>1.0999999999999999E-2</v>
      </c>
      <c r="AK32" s="407">
        <f t="shared" si="15"/>
        <v>45.6</v>
      </c>
      <c r="AL32" s="407">
        <f t="shared" si="15"/>
        <v>6.6999999999999993</v>
      </c>
      <c r="AM32" s="407">
        <f t="shared" si="15"/>
        <v>6.5000000000000002E-2</v>
      </c>
      <c r="AN32" s="407">
        <f t="shared" si="15"/>
        <v>25.6</v>
      </c>
      <c r="AO32" s="407">
        <f t="shared" si="15"/>
        <v>12.8</v>
      </c>
      <c r="AP32" s="407">
        <f t="shared" si="15"/>
        <v>6.0000000000000001E-3</v>
      </c>
      <c r="AQ32" s="407">
        <f t="shared" si="15"/>
        <v>22.6</v>
      </c>
      <c r="AR32" s="407">
        <v>1934</v>
      </c>
      <c r="AS32" s="407">
        <v>6.0999999999999999E-2</v>
      </c>
      <c r="AT32" s="407">
        <f t="shared" si="16"/>
        <v>1</v>
      </c>
      <c r="AU32" s="292" t="s">
        <v>446</v>
      </c>
      <c r="AV32" s="2822">
        <f t="shared" si="5"/>
        <v>0.03</v>
      </c>
      <c r="AW32" s="2822">
        <f t="shared" si="6"/>
        <v>0.97</v>
      </c>
    </row>
    <row r="33" spans="1:49">
      <c r="A33" s="634" t="s">
        <v>158</v>
      </c>
      <c r="B33" s="407">
        <v>13</v>
      </c>
      <c r="C33" s="407">
        <v>89</v>
      </c>
      <c r="D33" s="407">
        <v>73</v>
      </c>
      <c r="E33" s="407">
        <v>4910</v>
      </c>
      <c r="F33" s="407">
        <v>4</v>
      </c>
      <c r="G33" s="407" t="s">
        <v>199</v>
      </c>
      <c r="H33" s="407">
        <f t="shared" si="12"/>
        <v>382</v>
      </c>
      <c r="I33" s="407">
        <f t="shared" si="12"/>
        <v>526</v>
      </c>
      <c r="J33" s="407">
        <f t="shared" si="12"/>
        <v>62.5</v>
      </c>
      <c r="K33" s="407">
        <v>1096</v>
      </c>
      <c r="L33" s="407">
        <f t="shared" si="13"/>
        <v>0.19400000000000001</v>
      </c>
      <c r="M33" s="407">
        <f t="shared" si="13"/>
        <v>0.10100000000000001</v>
      </c>
      <c r="N33" s="407">
        <f t="shared" si="13"/>
        <v>-2.1000000000000001E-2</v>
      </c>
      <c r="O33" s="407">
        <f t="shared" si="13"/>
        <v>0</v>
      </c>
      <c r="P33" s="407">
        <f t="shared" si="13"/>
        <v>10.7</v>
      </c>
      <c r="Q33" s="407">
        <f t="shared" si="13"/>
        <v>56</v>
      </c>
      <c r="R33" s="407">
        <f t="shared" si="13"/>
        <v>17</v>
      </c>
      <c r="S33" s="407">
        <f t="shared" si="13"/>
        <v>9.8000000000000004E-2</v>
      </c>
      <c r="T33" s="407">
        <f t="shared" si="13"/>
        <v>20.3</v>
      </c>
      <c r="U33" s="407">
        <f t="shared" si="13"/>
        <v>2.5999999999999999E-2</v>
      </c>
      <c r="V33" s="407">
        <f t="shared" si="14"/>
        <v>28.3</v>
      </c>
      <c r="W33" s="407">
        <f t="shared" si="14"/>
        <v>20.3</v>
      </c>
      <c r="X33" s="407">
        <f t="shared" si="14"/>
        <v>2.5999999999999999E-2</v>
      </c>
      <c r="Y33" s="407">
        <f t="shared" si="14"/>
        <v>28.3</v>
      </c>
      <c r="Z33" s="407">
        <f t="shared" si="14"/>
        <v>6.7</v>
      </c>
      <c r="AA33" s="407">
        <f t="shared" si="14"/>
        <v>8.9999999999999993E-3</v>
      </c>
      <c r="AB33" s="407">
        <f t="shared" si="14"/>
        <v>9.4</v>
      </c>
      <c r="AC33" s="407">
        <f t="shared" si="14"/>
        <v>11</v>
      </c>
      <c r="AD33" s="407">
        <f t="shared" si="14"/>
        <v>3.0000000000000001E-3</v>
      </c>
      <c r="AE33" s="407">
        <f t="shared" si="14"/>
        <v>10.7</v>
      </c>
      <c r="AF33" s="407">
        <f t="shared" si="15"/>
        <v>13.05</v>
      </c>
      <c r="AG33" s="407">
        <f t="shared" si="15"/>
        <v>2.5000000000000001E-3</v>
      </c>
      <c r="AH33" s="407">
        <f t="shared" si="15"/>
        <v>12.75</v>
      </c>
      <c r="AI33" s="407">
        <f t="shared" si="15"/>
        <v>31.7</v>
      </c>
      <c r="AJ33" s="407">
        <f t="shared" si="15"/>
        <v>8.0000000000000002E-3</v>
      </c>
      <c r="AK33" s="407">
        <f t="shared" si="15"/>
        <v>30.9</v>
      </c>
      <c r="AL33" s="407">
        <f t="shared" si="15"/>
        <v>17.600000000000001</v>
      </c>
      <c r="AM33" s="407">
        <f t="shared" si="15"/>
        <v>5.4999999999999997E-3</v>
      </c>
      <c r="AN33" s="407">
        <f t="shared" si="15"/>
        <v>17.350000000000001</v>
      </c>
      <c r="AO33" s="407">
        <f t="shared" si="15"/>
        <v>9.1999999999999993</v>
      </c>
      <c r="AP33" s="407">
        <f t="shared" si="15"/>
        <v>6.0000000000000001E-3</v>
      </c>
      <c r="AQ33" s="407">
        <f t="shared" si="15"/>
        <v>17.399999999999999</v>
      </c>
      <c r="AR33" s="407">
        <v>1934</v>
      </c>
      <c r="AS33" s="407">
        <v>6.0999999999999999E-2</v>
      </c>
      <c r="AT33" s="407">
        <f t="shared" si="16"/>
        <v>1.34</v>
      </c>
      <c r="AU33" s="292" t="s">
        <v>402</v>
      </c>
      <c r="AV33" s="2822">
        <f t="shared" si="5"/>
        <v>0.15</v>
      </c>
      <c r="AW33" s="2822">
        <f t="shared" si="6"/>
        <v>0.85</v>
      </c>
    </row>
    <row r="34" spans="1:49">
      <c r="A34" s="633" t="s">
        <v>159</v>
      </c>
      <c r="B34" s="407">
        <v>13</v>
      </c>
      <c r="C34" s="407">
        <v>89</v>
      </c>
      <c r="D34" s="407">
        <v>73</v>
      </c>
      <c r="E34" s="407">
        <v>4910</v>
      </c>
      <c r="F34" s="407">
        <v>4</v>
      </c>
      <c r="G34" s="407" t="s">
        <v>201</v>
      </c>
      <c r="H34" s="407">
        <v>382</v>
      </c>
      <c r="I34" s="407">
        <v>526</v>
      </c>
      <c r="J34" s="407">
        <v>62.5</v>
      </c>
      <c r="K34" s="407">
        <v>1096</v>
      </c>
      <c r="L34" s="407">
        <v>0.19400000000000001</v>
      </c>
      <c r="M34" s="407">
        <v>0.10100000000000001</v>
      </c>
      <c r="N34" s="407">
        <v>-2.1000000000000001E-2</v>
      </c>
      <c r="O34" s="407"/>
      <c r="P34" s="407">
        <v>10.7</v>
      </c>
      <c r="Q34" s="407">
        <v>56</v>
      </c>
      <c r="R34" s="407">
        <v>17</v>
      </c>
      <c r="S34" s="407">
        <v>9.8000000000000004E-2</v>
      </c>
      <c r="T34" s="407">
        <v>20.3</v>
      </c>
      <c r="U34" s="407">
        <v>2.5999999999999999E-2</v>
      </c>
      <c r="V34" s="407">
        <v>28.3</v>
      </c>
      <c r="W34" s="407">
        <v>20.3</v>
      </c>
      <c r="X34" s="407">
        <v>2.5999999999999999E-2</v>
      </c>
      <c r="Y34" s="407">
        <v>28.3</v>
      </c>
      <c r="Z34" s="407">
        <v>6.7</v>
      </c>
      <c r="AA34" s="407">
        <v>8.9999999999999993E-3</v>
      </c>
      <c r="AB34" s="407">
        <v>9.4</v>
      </c>
      <c r="AC34" s="407">
        <v>11</v>
      </c>
      <c r="AD34" s="407">
        <v>3.0000000000000001E-3</v>
      </c>
      <c r="AE34" s="407">
        <v>10.7</v>
      </c>
      <c r="AF34" s="407">
        <f>(20.6+5.5)/2</f>
        <v>13.05</v>
      </c>
      <c r="AG34" s="407">
        <v>2.5000000000000001E-3</v>
      </c>
      <c r="AH34" s="407">
        <f>(20.3+5.2)/2</f>
        <v>12.75</v>
      </c>
      <c r="AI34" s="407">
        <v>31.7</v>
      </c>
      <c r="AJ34" s="407">
        <v>8.0000000000000002E-3</v>
      </c>
      <c r="AK34" s="407">
        <v>30.9</v>
      </c>
      <c r="AL34" s="407">
        <f>(25.2+10)/2</f>
        <v>17.600000000000001</v>
      </c>
      <c r="AM34" s="407">
        <v>5.4999999999999997E-3</v>
      </c>
      <c r="AN34" s="407">
        <f>(24.9+9.8)/2</f>
        <v>17.350000000000001</v>
      </c>
      <c r="AO34" s="407">
        <f>2*4.6</f>
        <v>9.1999999999999993</v>
      </c>
      <c r="AP34" s="407">
        <f>2*0.003</f>
        <v>6.0000000000000001E-3</v>
      </c>
      <c r="AQ34" s="407">
        <f>2*8.7</f>
        <v>17.399999999999999</v>
      </c>
      <c r="AR34" s="407">
        <v>1934</v>
      </c>
      <c r="AS34" s="407">
        <v>6.0999999999999999E-2</v>
      </c>
      <c r="AT34" s="407">
        <v>1.34</v>
      </c>
      <c r="AU34" s="292" t="s">
        <v>402</v>
      </c>
      <c r="AV34" s="2822">
        <f t="shared" si="5"/>
        <v>0.15</v>
      </c>
      <c r="AW34" s="2822">
        <f t="shared" si="6"/>
        <v>0.85</v>
      </c>
    </row>
    <row r="35" spans="1:49">
      <c r="A35" s="634" t="s">
        <v>160</v>
      </c>
      <c r="B35" s="407">
        <v>2</v>
      </c>
      <c r="C35" s="407">
        <v>85</v>
      </c>
      <c r="D35" s="407">
        <v>73</v>
      </c>
      <c r="E35" s="407">
        <v>6747</v>
      </c>
      <c r="F35" s="407">
        <v>5</v>
      </c>
      <c r="G35" s="407" t="s">
        <v>198</v>
      </c>
      <c r="H35" s="407">
        <f t="shared" ref="H35:J36" si="17">IF($AU35="Albany",H$4,IF($AU35="Binghamton",H$7,IF($AU35="Buffalo",H$18,IF($AU35="Massena",H$48,IF($AU35="NYC",H$34,IF($AU35="Poughkeepsie",H$17,H$37))))))</f>
        <v>151</v>
      </c>
      <c r="I35" s="407">
        <f t="shared" si="17"/>
        <v>966</v>
      </c>
      <c r="J35" s="407">
        <f t="shared" si="17"/>
        <v>54.3</v>
      </c>
      <c r="K35" s="407">
        <v>507</v>
      </c>
      <c r="L35" s="407">
        <f t="shared" ref="L35:U36" si="18">IF($AU35="Albany",L$4,IF($AU35="Binghamton",L$7,IF($AU35="Buffalo",L$18,IF($AU35="Massena",L$48,IF($AU35="NYC",L$34,IF($AU35="Poughkeepsie",L$17,L$37))))))</f>
        <v>0.113</v>
      </c>
      <c r="M35" s="407">
        <f t="shared" si="18"/>
        <v>7.1999999999999995E-2</v>
      </c>
      <c r="N35" s="407">
        <f t="shared" si="18"/>
        <v>-2.5999999999999999E-2</v>
      </c>
      <c r="O35" s="407">
        <f t="shared" si="18"/>
        <v>0</v>
      </c>
      <c r="P35" s="407">
        <f t="shared" si="18"/>
        <v>9.9</v>
      </c>
      <c r="Q35" s="407">
        <f t="shared" si="18"/>
        <v>20</v>
      </c>
      <c r="R35" s="407">
        <f t="shared" si="18"/>
        <v>19</v>
      </c>
      <c r="S35" s="407">
        <f t="shared" si="18"/>
        <v>7.9000000000000001E-2</v>
      </c>
      <c r="T35" s="407">
        <f t="shared" si="18"/>
        <v>3.1</v>
      </c>
      <c r="U35" s="407">
        <f t="shared" si="18"/>
        <v>1.8E-3</v>
      </c>
      <c r="V35" s="407">
        <f t="shared" ref="V35:AE36" si="19">IF($AU35="Albany",V$4,IF($AU35="Binghamton",V$7,IF($AU35="Buffalo",V$18,IF($AU35="Massena",V$48,IF($AU35="NYC",V$34,IF($AU35="Poughkeepsie",V$17,V$37))))))</f>
        <v>38.6</v>
      </c>
      <c r="W35" s="407">
        <f t="shared" si="19"/>
        <v>3.1</v>
      </c>
      <c r="X35" s="407">
        <f t="shared" si="19"/>
        <v>1.7999999999999999E-2</v>
      </c>
      <c r="Y35" s="407">
        <f t="shared" si="19"/>
        <v>38.6</v>
      </c>
      <c r="Z35" s="407">
        <f t="shared" si="19"/>
        <v>0.7</v>
      </c>
      <c r="AA35" s="407">
        <f t="shared" si="19"/>
        <v>0</v>
      </c>
      <c r="AB35" s="407">
        <f t="shared" si="19"/>
        <v>13.9</v>
      </c>
      <c r="AC35" s="407">
        <f t="shared" si="19"/>
        <v>3</v>
      </c>
      <c r="AD35" s="407">
        <f t="shared" si="19"/>
        <v>3.0000000000000001E-3</v>
      </c>
      <c r="AE35" s="407">
        <f t="shared" si="19"/>
        <v>16.5</v>
      </c>
      <c r="AF35" s="407">
        <f t="shared" ref="AF35:AQ36" si="20">IF($AU35="Albany",AF$4,IF($AU35="Binghamton",AF$7,IF($AU35="Buffalo",AF$18,IF($AU35="Massena",AF$48,IF($AU35="NYC",AF$34,IF($AU35="Poughkeepsie",AF$17,AF$37))))))</f>
        <v>3.45</v>
      </c>
      <c r="AG35" s="407">
        <f t="shared" si="20"/>
        <v>1.5E-3</v>
      </c>
      <c r="AH35" s="407">
        <f t="shared" si="20"/>
        <v>19.7</v>
      </c>
      <c r="AI35" s="407">
        <f t="shared" si="20"/>
        <v>8.5</v>
      </c>
      <c r="AJ35" s="407">
        <f t="shared" si="20"/>
        <v>5.0000000000000001E-3</v>
      </c>
      <c r="AK35" s="407">
        <f t="shared" si="20"/>
        <v>47.7</v>
      </c>
      <c r="AL35" s="407">
        <f t="shared" si="20"/>
        <v>4.6500000000000004</v>
      </c>
      <c r="AM35" s="407">
        <f t="shared" si="20"/>
        <v>4.0000000000000001E-3</v>
      </c>
      <c r="AN35" s="407">
        <f t="shared" si="20"/>
        <v>26.5</v>
      </c>
      <c r="AO35" s="407">
        <f t="shared" si="20"/>
        <v>11.2</v>
      </c>
      <c r="AP35" s="407">
        <f t="shared" si="20"/>
        <v>6.0000000000000001E-3</v>
      </c>
      <c r="AQ35" s="407">
        <f t="shared" si="20"/>
        <v>24</v>
      </c>
      <c r="AR35" s="407">
        <v>1934</v>
      </c>
      <c r="AS35" s="407">
        <v>6.0999999999999999E-2</v>
      </c>
      <c r="AT35" s="407">
        <f>IF($AU35="Albany",AT$4,IF($AU35="Binghamton",AT$7,IF($AU35="Buffalo",AT$18,IF($AU35="Massena",AT$48,IF($AU35="NYC",AT$34,IF($AU35="Poughkeepsie",AT$17,AT$37))))))</f>
        <v>1.036</v>
      </c>
      <c r="AU35" s="292" t="s">
        <v>448</v>
      </c>
      <c r="AV35" s="2822">
        <f t="shared" si="5"/>
        <v>0.06</v>
      </c>
      <c r="AW35" s="2822">
        <f t="shared" si="6"/>
        <v>0.94</v>
      </c>
    </row>
    <row r="36" spans="1:49">
      <c r="A36" s="634" t="s">
        <v>161</v>
      </c>
      <c r="B36" s="407">
        <v>-5</v>
      </c>
      <c r="C36" s="407">
        <v>86</v>
      </c>
      <c r="D36" s="407">
        <v>70</v>
      </c>
      <c r="E36" s="407">
        <v>7244</v>
      </c>
      <c r="F36" s="407">
        <v>6</v>
      </c>
      <c r="G36" s="407">
        <v>15</v>
      </c>
      <c r="H36" s="407">
        <f t="shared" si="17"/>
        <v>186</v>
      </c>
      <c r="I36" s="407">
        <f t="shared" si="17"/>
        <v>889</v>
      </c>
      <c r="J36" s="407">
        <f t="shared" si="17"/>
        <v>54.6</v>
      </c>
      <c r="K36" s="407">
        <v>438</v>
      </c>
      <c r="L36" s="407">
        <f t="shared" si="18"/>
        <v>0.113</v>
      </c>
      <c r="M36" s="407">
        <f t="shared" si="18"/>
        <v>0.08</v>
      </c>
      <c r="N36" s="407">
        <f t="shared" si="18"/>
        <v>-2.4E-2</v>
      </c>
      <c r="O36" s="407">
        <f t="shared" si="18"/>
        <v>0</v>
      </c>
      <c r="P36" s="407">
        <f t="shared" si="18"/>
        <v>9.6999999999999993</v>
      </c>
      <c r="Q36" s="407">
        <f t="shared" si="18"/>
        <v>23</v>
      </c>
      <c r="R36" s="407">
        <f t="shared" si="18"/>
        <v>16</v>
      </c>
      <c r="S36" s="407">
        <f t="shared" si="18"/>
        <v>9.1999999999999998E-2</v>
      </c>
      <c r="T36" s="407">
        <f t="shared" si="18"/>
        <v>6.1</v>
      </c>
      <c r="U36" s="407">
        <f t="shared" si="18"/>
        <v>4.3999999999999997E-2</v>
      </c>
      <c r="V36" s="407">
        <f t="shared" si="19"/>
        <v>37.799999999999997</v>
      </c>
      <c r="W36" s="407">
        <f t="shared" si="19"/>
        <v>6.1</v>
      </c>
      <c r="X36" s="407">
        <f t="shared" si="19"/>
        <v>4.3999999999999997E-2</v>
      </c>
      <c r="Y36" s="407">
        <f t="shared" si="19"/>
        <v>37.799999999999997</v>
      </c>
      <c r="Z36" s="407">
        <f t="shared" si="19"/>
        <v>1.7</v>
      </c>
      <c r="AA36" s="407">
        <f t="shared" si="19"/>
        <v>2.5999999999999999E-2</v>
      </c>
      <c r="AB36" s="407">
        <f t="shared" si="19"/>
        <v>15</v>
      </c>
      <c r="AC36" s="407">
        <f t="shared" si="19"/>
        <v>4.8</v>
      </c>
      <c r="AD36" s="407">
        <f t="shared" si="19"/>
        <v>5.0000000000000001E-3</v>
      </c>
      <c r="AE36" s="407">
        <f t="shared" si="19"/>
        <v>15.5</v>
      </c>
      <c r="AF36" s="407">
        <f t="shared" si="20"/>
        <v>5.5500000000000007</v>
      </c>
      <c r="AG36" s="407">
        <f t="shared" si="20"/>
        <v>5.4999999999999997E-3</v>
      </c>
      <c r="AH36" s="407">
        <f t="shared" si="20"/>
        <v>18.599999999999998</v>
      </c>
      <c r="AI36" s="407">
        <f t="shared" si="20"/>
        <v>13.5</v>
      </c>
      <c r="AJ36" s="407">
        <f t="shared" si="20"/>
        <v>1.4E-2</v>
      </c>
      <c r="AK36" s="407">
        <f t="shared" si="20"/>
        <v>44.9</v>
      </c>
      <c r="AL36" s="407">
        <f t="shared" si="20"/>
        <v>7.4</v>
      </c>
      <c r="AM36" s="407">
        <f t="shared" si="20"/>
        <v>8.0000000000000002E-3</v>
      </c>
      <c r="AN36" s="407">
        <f t="shared" si="20"/>
        <v>25.1</v>
      </c>
      <c r="AO36" s="407">
        <f t="shared" si="20"/>
        <v>13.2</v>
      </c>
      <c r="AP36" s="407">
        <f t="shared" si="20"/>
        <v>1.4E-2</v>
      </c>
      <c r="AQ36" s="407">
        <f t="shared" si="20"/>
        <v>23.4</v>
      </c>
      <c r="AR36" s="407">
        <v>1934</v>
      </c>
      <c r="AS36" s="407">
        <v>6.0999999999999999E-2</v>
      </c>
      <c r="AT36" s="407">
        <f>IF($AU36="Albany",AT$4,IF($AU36="Binghamton",AT$7,IF($AU36="Buffalo",AT$18,IF($AU36="Massena",AT$48,IF($AU36="NYC",AT$34,IF($AU36="Poughkeepsie",AT$17,AT$37))))))</f>
        <v>0.99099999999999999</v>
      </c>
      <c r="AU36" s="292" t="s">
        <v>449</v>
      </c>
      <c r="AV36" s="2822">
        <f t="shared" si="5"/>
        <v>0.03</v>
      </c>
      <c r="AW36" s="2822">
        <f t="shared" si="6"/>
        <v>0.97</v>
      </c>
    </row>
    <row r="37" spans="1:49">
      <c r="A37" s="633" t="s">
        <v>162</v>
      </c>
      <c r="B37" s="407">
        <v>-3</v>
      </c>
      <c r="C37" s="407">
        <v>85</v>
      </c>
      <c r="D37" s="407">
        <v>71</v>
      </c>
      <c r="E37" s="407">
        <v>6834</v>
      </c>
      <c r="F37" s="407">
        <v>5</v>
      </c>
      <c r="G37" s="407" t="s">
        <v>198</v>
      </c>
      <c r="H37" s="407">
        <v>186</v>
      </c>
      <c r="I37" s="407">
        <v>889</v>
      </c>
      <c r="J37" s="407">
        <v>54.6</v>
      </c>
      <c r="K37" s="407">
        <v>507</v>
      </c>
      <c r="L37" s="407">
        <v>0.113</v>
      </c>
      <c r="M37" s="407">
        <v>0.08</v>
      </c>
      <c r="N37" s="407">
        <v>-2.4E-2</v>
      </c>
      <c r="O37" s="407"/>
      <c r="P37" s="407">
        <v>9.6999999999999993</v>
      </c>
      <c r="Q37" s="407">
        <v>23</v>
      </c>
      <c r="R37" s="407">
        <v>16</v>
      </c>
      <c r="S37" s="407">
        <v>9.1999999999999998E-2</v>
      </c>
      <c r="T37" s="407">
        <v>6.1</v>
      </c>
      <c r="U37" s="407">
        <v>4.3999999999999997E-2</v>
      </c>
      <c r="V37" s="407">
        <v>37.799999999999997</v>
      </c>
      <c r="W37" s="407">
        <v>6.1</v>
      </c>
      <c r="X37" s="407">
        <v>4.3999999999999997E-2</v>
      </c>
      <c r="Y37" s="407">
        <v>37.799999999999997</v>
      </c>
      <c r="Z37" s="407">
        <v>1.7</v>
      </c>
      <c r="AA37" s="407">
        <v>2.5999999999999999E-2</v>
      </c>
      <c r="AB37" s="407">
        <v>15</v>
      </c>
      <c r="AC37" s="407">
        <v>4.8</v>
      </c>
      <c r="AD37" s="407">
        <v>5.0000000000000001E-3</v>
      </c>
      <c r="AE37" s="407">
        <v>15.5</v>
      </c>
      <c r="AF37" s="407">
        <f>(2.3+8.8)/2</f>
        <v>5.5500000000000007</v>
      </c>
      <c r="AG37" s="407">
        <v>5.4999999999999997E-3</v>
      </c>
      <c r="AH37" s="407">
        <f>(29.4+7.8)/2</f>
        <v>18.599999999999998</v>
      </c>
      <c r="AI37" s="407">
        <v>13.5</v>
      </c>
      <c r="AJ37" s="407">
        <v>1.4E-2</v>
      </c>
      <c r="AK37" s="407">
        <v>44.9</v>
      </c>
      <c r="AL37" s="407">
        <f>(10.6+4.2)/2</f>
        <v>7.4</v>
      </c>
      <c r="AM37" s="407">
        <v>8.0000000000000002E-3</v>
      </c>
      <c r="AN37" s="407">
        <f>(35.9+14.3)/2</f>
        <v>25.1</v>
      </c>
      <c r="AO37" s="407">
        <f>2*6.6</f>
        <v>13.2</v>
      </c>
      <c r="AP37" s="407">
        <f>2*0.007</f>
        <v>1.4E-2</v>
      </c>
      <c r="AQ37" s="407">
        <f>2*11.7</f>
        <v>23.4</v>
      </c>
      <c r="AR37" s="407">
        <v>1934</v>
      </c>
      <c r="AS37" s="407">
        <v>6.0999999999999999E-2</v>
      </c>
      <c r="AT37" s="407">
        <v>0.99099999999999999</v>
      </c>
      <c r="AU37" s="292" t="s">
        <v>449</v>
      </c>
      <c r="AV37" s="2822">
        <f t="shared" si="5"/>
        <v>0.06</v>
      </c>
      <c r="AW37" s="2822">
        <f t="shared" si="6"/>
        <v>0.94</v>
      </c>
    </row>
    <row r="38" spans="1:49">
      <c r="A38" s="634" t="s">
        <v>163</v>
      </c>
      <c r="B38" s="407">
        <v>1</v>
      </c>
      <c r="C38" s="407">
        <v>86</v>
      </c>
      <c r="D38" s="407">
        <v>71</v>
      </c>
      <c r="E38" s="407">
        <v>6734</v>
      </c>
      <c r="F38" s="407">
        <v>5</v>
      </c>
      <c r="G38" s="407" t="s">
        <v>198</v>
      </c>
      <c r="H38" s="407">
        <f t="shared" ref="H38:J47" si="21">IF($AU38="Albany",H$4,IF($AU38="Binghamton",H$7,IF($AU38="Buffalo",H$18,IF($AU38="Massena",H$48,IF($AU38="NYC",H$34,IF($AU38="Poughkeepsie",H$17,H$37))))))</f>
        <v>151</v>
      </c>
      <c r="I38" s="407">
        <f t="shared" si="21"/>
        <v>966</v>
      </c>
      <c r="J38" s="407">
        <f t="shared" si="21"/>
        <v>54.3</v>
      </c>
      <c r="K38" s="407">
        <v>507</v>
      </c>
      <c r="L38" s="407">
        <f t="shared" ref="L38:U47" si="22">IF($AU38="Albany",L$4,IF($AU38="Binghamton",L$7,IF($AU38="Buffalo",L$18,IF($AU38="Massena",L$48,IF($AU38="NYC",L$34,IF($AU38="Poughkeepsie",L$17,L$37))))))</f>
        <v>0.113</v>
      </c>
      <c r="M38" s="407">
        <f t="shared" si="22"/>
        <v>7.1999999999999995E-2</v>
      </c>
      <c r="N38" s="407">
        <f t="shared" si="22"/>
        <v>-2.5999999999999999E-2</v>
      </c>
      <c r="O38" s="407">
        <f t="shared" si="22"/>
        <v>0</v>
      </c>
      <c r="P38" s="407">
        <f t="shared" si="22"/>
        <v>9.9</v>
      </c>
      <c r="Q38" s="407">
        <f t="shared" si="22"/>
        <v>20</v>
      </c>
      <c r="R38" s="407">
        <f t="shared" si="22"/>
        <v>19</v>
      </c>
      <c r="S38" s="407">
        <f t="shared" si="22"/>
        <v>7.9000000000000001E-2</v>
      </c>
      <c r="T38" s="407">
        <f t="shared" si="22"/>
        <v>3.1</v>
      </c>
      <c r="U38" s="407">
        <f t="shared" si="22"/>
        <v>1.8E-3</v>
      </c>
      <c r="V38" s="407">
        <f t="shared" ref="V38:AE47" si="23">IF($AU38="Albany",V$4,IF($AU38="Binghamton",V$7,IF($AU38="Buffalo",V$18,IF($AU38="Massena",V$48,IF($AU38="NYC",V$34,IF($AU38="Poughkeepsie",V$17,V$37))))))</f>
        <v>38.6</v>
      </c>
      <c r="W38" s="407">
        <f t="shared" si="23"/>
        <v>3.1</v>
      </c>
      <c r="X38" s="407">
        <f t="shared" si="23"/>
        <v>1.7999999999999999E-2</v>
      </c>
      <c r="Y38" s="407">
        <f t="shared" si="23"/>
        <v>38.6</v>
      </c>
      <c r="Z38" s="407">
        <f t="shared" si="23"/>
        <v>0.7</v>
      </c>
      <c r="AA38" s="407">
        <f t="shared" si="23"/>
        <v>0</v>
      </c>
      <c r="AB38" s="407">
        <f t="shared" si="23"/>
        <v>13.9</v>
      </c>
      <c r="AC38" s="407">
        <f t="shared" si="23"/>
        <v>3</v>
      </c>
      <c r="AD38" s="407">
        <f t="shared" si="23"/>
        <v>3.0000000000000001E-3</v>
      </c>
      <c r="AE38" s="407">
        <f t="shared" si="23"/>
        <v>16.5</v>
      </c>
      <c r="AF38" s="407">
        <f t="shared" ref="AF38:AQ47" si="24">IF($AU38="Albany",AF$4,IF($AU38="Binghamton",AF$7,IF($AU38="Buffalo",AF$18,IF($AU38="Massena",AF$48,IF($AU38="NYC",AF$34,IF($AU38="Poughkeepsie",AF$17,AF$37))))))</f>
        <v>3.45</v>
      </c>
      <c r="AG38" s="407">
        <f t="shared" si="24"/>
        <v>1.5E-3</v>
      </c>
      <c r="AH38" s="407">
        <f t="shared" si="24"/>
        <v>19.7</v>
      </c>
      <c r="AI38" s="407">
        <f t="shared" si="24"/>
        <v>8.5</v>
      </c>
      <c r="AJ38" s="407">
        <f t="shared" si="24"/>
        <v>5.0000000000000001E-3</v>
      </c>
      <c r="AK38" s="407">
        <f t="shared" si="24"/>
        <v>47.7</v>
      </c>
      <c r="AL38" s="407">
        <f t="shared" si="24"/>
        <v>4.6500000000000004</v>
      </c>
      <c r="AM38" s="407">
        <f t="shared" si="24"/>
        <v>4.0000000000000001E-3</v>
      </c>
      <c r="AN38" s="407">
        <f t="shared" si="24"/>
        <v>26.5</v>
      </c>
      <c r="AO38" s="407">
        <f t="shared" si="24"/>
        <v>11.2</v>
      </c>
      <c r="AP38" s="407">
        <f t="shared" si="24"/>
        <v>6.0000000000000001E-3</v>
      </c>
      <c r="AQ38" s="407">
        <f t="shared" si="24"/>
        <v>24</v>
      </c>
      <c r="AR38" s="407">
        <v>1934</v>
      </c>
      <c r="AS38" s="407">
        <v>6.0999999999999999E-2</v>
      </c>
      <c r="AT38" s="407">
        <f t="shared" ref="AT38:AT47" si="25">IF($AU38="Albany",AT$4,IF($AU38="Binghamton",AT$7,IF($AU38="Buffalo",AT$18,IF($AU38="Massena",AT$48,IF($AU38="NYC",AT$34,IF($AU38="Poughkeepsie",AT$17,AT$37))))))</f>
        <v>1.036</v>
      </c>
      <c r="AU38" s="292" t="s">
        <v>448</v>
      </c>
      <c r="AV38" s="2822">
        <f t="shared" si="5"/>
        <v>0.06</v>
      </c>
      <c r="AW38" s="2822">
        <f t="shared" si="6"/>
        <v>0.94</v>
      </c>
    </row>
    <row r="39" spans="1:49">
      <c r="A39" s="634" t="s">
        <v>164</v>
      </c>
      <c r="B39" s="407">
        <v>6</v>
      </c>
      <c r="C39" s="407">
        <v>83</v>
      </c>
      <c r="D39" s="407">
        <v>73</v>
      </c>
      <c r="E39" s="407">
        <v>5750</v>
      </c>
      <c r="F39" s="407">
        <v>5</v>
      </c>
      <c r="G39" s="407" t="s">
        <v>202</v>
      </c>
      <c r="H39" s="407">
        <f t="shared" si="21"/>
        <v>208</v>
      </c>
      <c r="I39" s="407">
        <f t="shared" si="21"/>
        <v>656</v>
      </c>
      <c r="J39" s="407">
        <f t="shared" si="21"/>
        <v>62.5</v>
      </c>
      <c r="K39" s="407">
        <v>507</v>
      </c>
      <c r="L39" s="407">
        <f t="shared" si="22"/>
        <v>0.16800000000000001</v>
      </c>
      <c r="M39" s="407">
        <f t="shared" si="22"/>
        <v>9.1999999999999998E-2</v>
      </c>
      <c r="N39" s="407">
        <f t="shared" si="22"/>
        <v>-2.3E-2</v>
      </c>
      <c r="O39" s="407">
        <f t="shared" si="22"/>
        <v>0</v>
      </c>
      <c r="P39" s="407">
        <f t="shared" si="22"/>
        <v>10.7</v>
      </c>
      <c r="Q39" s="407">
        <f t="shared" si="22"/>
        <v>56</v>
      </c>
      <c r="R39" s="407">
        <f t="shared" si="22"/>
        <v>17</v>
      </c>
      <c r="S39" s="407">
        <f t="shared" si="22"/>
        <v>9.8000000000000004E-2</v>
      </c>
      <c r="T39" s="407">
        <f t="shared" si="22"/>
        <v>-0.3</v>
      </c>
      <c r="U39" s="407">
        <f t="shared" si="22"/>
        <v>1.7999999999999999E-2</v>
      </c>
      <c r="V39" s="407">
        <f t="shared" si="23"/>
        <v>38.700000000000003</v>
      </c>
      <c r="W39" s="407">
        <f t="shared" si="23"/>
        <v>-0.3</v>
      </c>
      <c r="X39" s="407">
        <f t="shared" si="23"/>
        <v>1.7999999999999999E-2</v>
      </c>
      <c r="Y39" s="407">
        <f t="shared" si="23"/>
        <v>38.700000000000003</v>
      </c>
      <c r="Z39" s="407">
        <f t="shared" si="23"/>
        <v>-0.9</v>
      </c>
      <c r="AA39" s="407">
        <f t="shared" si="23"/>
        <v>8.9999999999999993E-3</v>
      </c>
      <c r="AB39" s="407">
        <f t="shared" si="23"/>
        <v>13.4</v>
      </c>
      <c r="AC39" s="407">
        <f t="shared" si="23"/>
        <v>3.6</v>
      </c>
      <c r="AD39" s="407">
        <f t="shared" si="23"/>
        <v>3.0000000000000001E-3</v>
      </c>
      <c r="AE39" s="407">
        <f t="shared" si="23"/>
        <v>13</v>
      </c>
      <c r="AF39" s="407">
        <f t="shared" si="24"/>
        <v>3.95</v>
      </c>
      <c r="AG39" s="407">
        <f t="shared" si="24"/>
        <v>1.5E-3</v>
      </c>
      <c r="AH39" s="407">
        <f t="shared" si="24"/>
        <v>15.9</v>
      </c>
      <c r="AI39" s="407">
        <f t="shared" si="24"/>
        <v>9.9</v>
      </c>
      <c r="AJ39" s="407">
        <f t="shared" si="24"/>
        <v>5.0000000000000001E-3</v>
      </c>
      <c r="AK39" s="407">
        <f t="shared" si="24"/>
        <v>38.1</v>
      </c>
      <c r="AL39" s="407">
        <f t="shared" si="24"/>
        <v>5.25</v>
      </c>
      <c r="AM39" s="407">
        <f t="shared" si="24"/>
        <v>4.0000000000000001E-3</v>
      </c>
      <c r="AN39" s="407">
        <f t="shared" si="24"/>
        <v>21.1</v>
      </c>
      <c r="AO39" s="407">
        <f t="shared" si="24"/>
        <v>11.6</v>
      </c>
      <c r="AP39" s="407">
        <f t="shared" si="24"/>
        <v>0</v>
      </c>
      <c r="AQ39" s="407">
        <f t="shared" si="24"/>
        <v>23.6</v>
      </c>
      <c r="AR39" s="407">
        <v>1934</v>
      </c>
      <c r="AS39" s="407">
        <v>6.0999999999999999E-2</v>
      </c>
      <c r="AT39" s="407">
        <f t="shared" si="25"/>
        <v>1.145</v>
      </c>
      <c r="AU39" s="292" t="s">
        <v>451</v>
      </c>
      <c r="AV39" s="2822">
        <f t="shared" si="5"/>
        <v>0.06</v>
      </c>
      <c r="AW39" s="2822">
        <f t="shared" si="6"/>
        <v>0.94</v>
      </c>
    </row>
    <row r="40" spans="1:49">
      <c r="A40" s="634" t="s">
        <v>165</v>
      </c>
      <c r="B40" s="407">
        <v>1</v>
      </c>
      <c r="C40" s="407">
        <v>86</v>
      </c>
      <c r="D40" s="407">
        <v>71</v>
      </c>
      <c r="E40" s="407">
        <v>6734</v>
      </c>
      <c r="F40" s="407">
        <v>5</v>
      </c>
      <c r="G40" s="407" t="s">
        <v>198</v>
      </c>
      <c r="H40" s="407">
        <f t="shared" si="21"/>
        <v>151</v>
      </c>
      <c r="I40" s="407">
        <f t="shared" si="21"/>
        <v>966</v>
      </c>
      <c r="J40" s="407">
        <f t="shared" si="21"/>
        <v>54.3</v>
      </c>
      <c r="K40" s="407">
        <v>507</v>
      </c>
      <c r="L40" s="407">
        <f t="shared" si="22"/>
        <v>0.113</v>
      </c>
      <c r="M40" s="407">
        <f t="shared" si="22"/>
        <v>7.1999999999999995E-2</v>
      </c>
      <c r="N40" s="407">
        <f t="shared" si="22"/>
        <v>-2.5999999999999999E-2</v>
      </c>
      <c r="O40" s="407">
        <f t="shared" si="22"/>
        <v>0</v>
      </c>
      <c r="P40" s="407">
        <f t="shared" si="22"/>
        <v>9.9</v>
      </c>
      <c r="Q40" s="407">
        <f t="shared" si="22"/>
        <v>20</v>
      </c>
      <c r="R40" s="407">
        <f t="shared" si="22"/>
        <v>19</v>
      </c>
      <c r="S40" s="407">
        <f t="shared" si="22"/>
        <v>7.9000000000000001E-2</v>
      </c>
      <c r="T40" s="407">
        <f t="shared" si="22"/>
        <v>3.1</v>
      </c>
      <c r="U40" s="407">
        <f t="shared" si="22"/>
        <v>1.8E-3</v>
      </c>
      <c r="V40" s="407">
        <f t="shared" si="23"/>
        <v>38.6</v>
      </c>
      <c r="W40" s="407">
        <f t="shared" si="23"/>
        <v>3.1</v>
      </c>
      <c r="X40" s="407">
        <f t="shared" si="23"/>
        <v>1.7999999999999999E-2</v>
      </c>
      <c r="Y40" s="407">
        <f t="shared" si="23"/>
        <v>38.6</v>
      </c>
      <c r="Z40" s="407">
        <f t="shared" si="23"/>
        <v>0.7</v>
      </c>
      <c r="AA40" s="407">
        <f t="shared" si="23"/>
        <v>0</v>
      </c>
      <c r="AB40" s="407">
        <f t="shared" si="23"/>
        <v>13.9</v>
      </c>
      <c r="AC40" s="407">
        <f t="shared" si="23"/>
        <v>3</v>
      </c>
      <c r="AD40" s="407">
        <f t="shared" si="23"/>
        <v>3.0000000000000001E-3</v>
      </c>
      <c r="AE40" s="407">
        <f t="shared" si="23"/>
        <v>16.5</v>
      </c>
      <c r="AF40" s="407">
        <f t="shared" si="24"/>
        <v>3.45</v>
      </c>
      <c r="AG40" s="407">
        <f t="shared" si="24"/>
        <v>1.5E-3</v>
      </c>
      <c r="AH40" s="407">
        <f t="shared" si="24"/>
        <v>19.7</v>
      </c>
      <c r="AI40" s="407">
        <f t="shared" si="24"/>
        <v>8.5</v>
      </c>
      <c r="AJ40" s="407">
        <f t="shared" si="24"/>
        <v>5.0000000000000001E-3</v>
      </c>
      <c r="AK40" s="407">
        <f t="shared" si="24"/>
        <v>47.7</v>
      </c>
      <c r="AL40" s="407">
        <f t="shared" si="24"/>
        <v>4.6500000000000004</v>
      </c>
      <c r="AM40" s="407">
        <f t="shared" si="24"/>
        <v>4.0000000000000001E-3</v>
      </c>
      <c r="AN40" s="407">
        <f t="shared" si="24"/>
        <v>26.5</v>
      </c>
      <c r="AO40" s="407">
        <f t="shared" si="24"/>
        <v>11.2</v>
      </c>
      <c r="AP40" s="407">
        <f t="shared" si="24"/>
        <v>6.0000000000000001E-3</v>
      </c>
      <c r="AQ40" s="407">
        <f t="shared" si="24"/>
        <v>24</v>
      </c>
      <c r="AR40" s="407">
        <v>1934</v>
      </c>
      <c r="AS40" s="407">
        <v>6.0999999999999999E-2</v>
      </c>
      <c r="AT40" s="407">
        <f t="shared" si="25"/>
        <v>1.036</v>
      </c>
      <c r="AU40" s="292" t="s">
        <v>448</v>
      </c>
      <c r="AV40" s="2822">
        <f t="shared" si="5"/>
        <v>0.06</v>
      </c>
      <c r="AW40" s="2822">
        <f t="shared" si="6"/>
        <v>0.94</v>
      </c>
    </row>
    <row r="41" spans="1:49">
      <c r="A41" s="634" t="s">
        <v>166</v>
      </c>
      <c r="B41" s="407">
        <v>-3</v>
      </c>
      <c r="C41" s="407">
        <v>85</v>
      </c>
      <c r="D41" s="407">
        <v>71</v>
      </c>
      <c r="E41" s="407">
        <v>6834</v>
      </c>
      <c r="F41" s="407">
        <v>5</v>
      </c>
      <c r="G41" s="407" t="s">
        <v>198</v>
      </c>
      <c r="H41" s="407">
        <f t="shared" si="21"/>
        <v>186</v>
      </c>
      <c r="I41" s="407">
        <f t="shared" si="21"/>
        <v>889</v>
      </c>
      <c r="J41" s="407">
        <f t="shared" si="21"/>
        <v>54.6</v>
      </c>
      <c r="K41" s="407">
        <v>507</v>
      </c>
      <c r="L41" s="407">
        <f t="shared" si="22"/>
        <v>0.113</v>
      </c>
      <c r="M41" s="407">
        <f t="shared" si="22"/>
        <v>0.08</v>
      </c>
      <c r="N41" s="407">
        <f t="shared" si="22"/>
        <v>-2.4E-2</v>
      </c>
      <c r="O41" s="407">
        <f t="shared" si="22"/>
        <v>0</v>
      </c>
      <c r="P41" s="407">
        <f t="shared" si="22"/>
        <v>9.6999999999999993</v>
      </c>
      <c r="Q41" s="407">
        <f t="shared" si="22"/>
        <v>23</v>
      </c>
      <c r="R41" s="407">
        <f t="shared" si="22"/>
        <v>16</v>
      </c>
      <c r="S41" s="407">
        <f t="shared" si="22"/>
        <v>9.1999999999999998E-2</v>
      </c>
      <c r="T41" s="407">
        <f t="shared" si="22"/>
        <v>6.1</v>
      </c>
      <c r="U41" s="407">
        <f t="shared" si="22"/>
        <v>4.3999999999999997E-2</v>
      </c>
      <c r="V41" s="407">
        <f t="shared" si="23"/>
        <v>37.799999999999997</v>
      </c>
      <c r="W41" s="407">
        <f t="shared" si="23"/>
        <v>6.1</v>
      </c>
      <c r="X41" s="407">
        <f t="shared" si="23"/>
        <v>4.3999999999999997E-2</v>
      </c>
      <c r="Y41" s="407">
        <f t="shared" si="23"/>
        <v>37.799999999999997</v>
      </c>
      <c r="Z41" s="407">
        <f t="shared" si="23"/>
        <v>1.7</v>
      </c>
      <c r="AA41" s="407">
        <f t="shared" si="23"/>
        <v>2.5999999999999999E-2</v>
      </c>
      <c r="AB41" s="407">
        <f t="shared" si="23"/>
        <v>15</v>
      </c>
      <c r="AC41" s="407">
        <f t="shared" si="23"/>
        <v>4.8</v>
      </c>
      <c r="AD41" s="407">
        <f t="shared" si="23"/>
        <v>5.0000000000000001E-3</v>
      </c>
      <c r="AE41" s="407">
        <f t="shared" si="23"/>
        <v>15.5</v>
      </c>
      <c r="AF41" s="407">
        <f t="shared" si="24"/>
        <v>5.5500000000000007</v>
      </c>
      <c r="AG41" s="407">
        <f t="shared" si="24"/>
        <v>5.4999999999999997E-3</v>
      </c>
      <c r="AH41" s="407">
        <f t="shared" si="24"/>
        <v>18.599999999999998</v>
      </c>
      <c r="AI41" s="407">
        <f t="shared" si="24"/>
        <v>13.5</v>
      </c>
      <c r="AJ41" s="407">
        <f t="shared" si="24"/>
        <v>1.4E-2</v>
      </c>
      <c r="AK41" s="407">
        <f t="shared" si="24"/>
        <v>44.9</v>
      </c>
      <c r="AL41" s="407">
        <f t="shared" si="24"/>
        <v>7.4</v>
      </c>
      <c r="AM41" s="407">
        <f t="shared" si="24"/>
        <v>8.0000000000000002E-3</v>
      </c>
      <c r="AN41" s="407">
        <f t="shared" si="24"/>
        <v>25.1</v>
      </c>
      <c r="AO41" s="407">
        <f t="shared" si="24"/>
        <v>13.2</v>
      </c>
      <c r="AP41" s="407">
        <f t="shared" si="24"/>
        <v>1.4E-2</v>
      </c>
      <c r="AQ41" s="407">
        <f t="shared" si="24"/>
        <v>23.4</v>
      </c>
      <c r="AR41" s="407">
        <v>1934</v>
      </c>
      <c r="AS41" s="407">
        <v>6.0999999999999999E-2</v>
      </c>
      <c r="AT41" s="407">
        <f t="shared" si="25"/>
        <v>0.99099999999999999</v>
      </c>
      <c r="AU41" s="292" t="s">
        <v>449</v>
      </c>
      <c r="AV41" s="2822">
        <f t="shared" si="5"/>
        <v>0.06</v>
      </c>
      <c r="AW41" s="2822">
        <f t="shared" si="6"/>
        <v>0.94</v>
      </c>
    </row>
    <row r="42" spans="1:49">
      <c r="A42" s="634" t="s">
        <v>167</v>
      </c>
      <c r="B42" s="407">
        <v>-5</v>
      </c>
      <c r="C42" s="407">
        <v>86</v>
      </c>
      <c r="D42" s="407">
        <v>70</v>
      </c>
      <c r="E42" s="407">
        <v>7244</v>
      </c>
      <c r="F42" s="407">
        <v>6</v>
      </c>
      <c r="G42" s="407">
        <v>15</v>
      </c>
      <c r="H42" s="407">
        <f t="shared" si="21"/>
        <v>120</v>
      </c>
      <c r="I42" s="407">
        <f t="shared" si="21"/>
        <v>1006</v>
      </c>
      <c r="J42" s="407">
        <f t="shared" si="21"/>
        <v>52.9</v>
      </c>
      <c r="K42" s="407">
        <v>438</v>
      </c>
      <c r="L42" s="407">
        <f t="shared" si="22"/>
        <v>7.2999999999999995E-2</v>
      </c>
      <c r="M42" s="407">
        <f t="shared" si="22"/>
        <v>6.8000000000000005E-2</v>
      </c>
      <c r="N42" s="407">
        <f t="shared" si="22"/>
        <v>-2.7E-2</v>
      </c>
      <c r="O42" s="407">
        <f t="shared" si="22"/>
        <v>0</v>
      </c>
      <c r="P42" s="407">
        <f t="shared" si="22"/>
        <v>9.6</v>
      </c>
      <c r="Q42" s="407">
        <f t="shared" si="22"/>
        <v>11</v>
      </c>
      <c r="R42" s="407">
        <f t="shared" si="22"/>
        <v>17</v>
      </c>
      <c r="S42" s="407">
        <f t="shared" si="22"/>
        <v>8.5000000000000006E-2</v>
      </c>
      <c r="T42" s="407">
        <f t="shared" si="22"/>
        <v>6</v>
      </c>
      <c r="U42" s="407">
        <f t="shared" si="22"/>
        <v>2.5999999999999999E-2</v>
      </c>
      <c r="V42" s="407">
        <f t="shared" si="23"/>
        <v>42.7</v>
      </c>
      <c r="W42" s="407">
        <f t="shared" si="23"/>
        <v>6</v>
      </c>
      <c r="X42" s="407">
        <f t="shared" si="23"/>
        <v>2.5999999999999999E-2</v>
      </c>
      <c r="Y42" s="407">
        <f t="shared" si="23"/>
        <v>42.7</v>
      </c>
      <c r="Z42" s="407">
        <f t="shared" si="23"/>
        <v>1.8</v>
      </c>
      <c r="AA42" s="407">
        <f t="shared" si="23"/>
        <v>8.9999999999999993E-3</v>
      </c>
      <c r="AB42" s="407">
        <f t="shared" si="23"/>
        <v>14.9</v>
      </c>
      <c r="AC42" s="407">
        <f t="shared" si="23"/>
        <v>2.8</v>
      </c>
      <c r="AD42" s="407">
        <f t="shared" si="23"/>
        <v>0</v>
      </c>
      <c r="AE42" s="407">
        <f t="shared" si="23"/>
        <v>17.2</v>
      </c>
      <c r="AF42" s="407">
        <f t="shared" si="24"/>
        <v>3.1</v>
      </c>
      <c r="AG42" s="407">
        <f t="shared" si="24"/>
        <v>1.5E-3</v>
      </c>
      <c r="AH42" s="407">
        <f t="shared" si="24"/>
        <v>20.650000000000002</v>
      </c>
      <c r="AI42" s="407">
        <f t="shared" si="24"/>
        <v>7.7</v>
      </c>
      <c r="AJ42" s="407">
        <f t="shared" si="24"/>
        <v>3.0000000000000001E-3</v>
      </c>
      <c r="AK42" s="407">
        <f t="shared" si="24"/>
        <v>49.9</v>
      </c>
      <c r="AL42" s="407">
        <f t="shared" si="24"/>
        <v>4.1500000000000004</v>
      </c>
      <c r="AM42" s="407">
        <f t="shared" si="24"/>
        <v>4.0000000000000001E-3</v>
      </c>
      <c r="AN42" s="407">
        <f t="shared" si="24"/>
        <v>27.85</v>
      </c>
      <c r="AO42" s="407">
        <f t="shared" si="24"/>
        <v>13.6</v>
      </c>
      <c r="AP42" s="407">
        <f t="shared" si="24"/>
        <v>6.0000000000000001E-3</v>
      </c>
      <c r="AQ42" s="407">
        <f t="shared" si="24"/>
        <v>24.2</v>
      </c>
      <c r="AR42" s="407">
        <v>1934</v>
      </c>
      <c r="AS42" s="407">
        <v>6.0999999999999999E-2</v>
      </c>
      <c r="AT42" s="407">
        <f t="shared" si="25"/>
        <v>1.008</v>
      </c>
      <c r="AU42" s="292" t="s">
        <v>447</v>
      </c>
      <c r="AV42" s="2822">
        <f t="shared" si="5"/>
        <v>0.03</v>
      </c>
      <c r="AW42" s="2822">
        <f t="shared" si="6"/>
        <v>0.97</v>
      </c>
    </row>
    <row r="43" spans="1:49">
      <c r="A43" s="634" t="s">
        <v>168</v>
      </c>
      <c r="B43" s="407">
        <v>6</v>
      </c>
      <c r="C43" s="407">
        <v>83</v>
      </c>
      <c r="D43" s="407">
        <v>73</v>
      </c>
      <c r="E43" s="407">
        <v>5750</v>
      </c>
      <c r="F43" s="407">
        <v>5</v>
      </c>
      <c r="G43" s="407" t="s">
        <v>202</v>
      </c>
      <c r="H43" s="407">
        <f t="shared" si="21"/>
        <v>208</v>
      </c>
      <c r="I43" s="407">
        <f t="shared" si="21"/>
        <v>656</v>
      </c>
      <c r="J43" s="407">
        <f t="shared" si="21"/>
        <v>62.5</v>
      </c>
      <c r="K43" s="407">
        <v>507</v>
      </c>
      <c r="L43" s="407">
        <f t="shared" si="22"/>
        <v>0.16800000000000001</v>
      </c>
      <c r="M43" s="407">
        <f t="shared" si="22"/>
        <v>9.1999999999999998E-2</v>
      </c>
      <c r="N43" s="407">
        <f t="shared" si="22"/>
        <v>-2.3E-2</v>
      </c>
      <c r="O43" s="407">
        <f t="shared" si="22"/>
        <v>0</v>
      </c>
      <c r="P43" s="407">
        <f t="shared" si="22"/>
        <v>10.7</v>
      </c>
      <c r="Q43" s="407">
        <f t="shared" si="22"/>
        <v>56</v>
      </c>
      <c r="R43" s="407">
        <f t="shared" si="22"/>
        <v>17</v>
      </c>
      <c r="S43" s="407">
        <f t="shared" si="22"/>
        <v>9.8000000000000004E-2</v>
      </c>
      <c r="T43" s="407">
        <f t="shared" si="22"/>
        <v>-0.3</v>
      </c>
      <c r="U43" s="407">
        <f t="shared" si="22"/>
        <v>1.7999999999999999E-2</v>
      </c>
      <c r="V43" s="407">
        <f t="shared" si="23"/>
        <v>38.700000000000003</v>
      </c>
      <c r="W43" s="407">
        <f t="shared" si="23"/>
        <v>-0.3</v>
      </c>
      <c r="X43" s="407">
        <f t="shared" si="23"/>
        <v>1.7999999999999999E-2</v>
      </c>
      <c r="Y43" s="407">
        <f t="shared" si="23"/>
        <v>38.700000000000003</v>
      </c>
      <c r="Z43" s="407">
        <f t="shared" si="23"/>
        <v>-0.9</v>
      </c>
      <c r="AA43" s="407">
        <f t="shared" si="23"/>
        <v>8.9999999999999993E-3</v>
      </c>
      <c r="AB43" s="407">
        <f t="shared" si="23"/>
        <v>13.4</v>
      </c>
      <c r="AC43" s="407">
        <f t="shared" si="23"/>
        <v>3.6</v>
      </c>
      <c r="AD43" s="407">
        <f t="shared" si="23"/>
        <v>3.0000000000000001E-3</v>
      </c>
      <c r="AE43" s="407">
        <f t="shared" si="23"/>
        <v>13</v>
      </c>
      <c r="AF43" s="407">
        <f t="shared" si="24"/>
        <v>3.95</v>
      </c>
      <c r="AG43" s="407">
        <f t="shared" si="24"/>
        <v>1.5E-3</v>
      </c>
      <c r="AH43" s="407">
        <f t="shared" si="24"/>
        <v>15.9</v>
      </c>
      <c r="AI43" s="407">
        <f t="shared" si="24"/>
        <v>9.9</v>
      </c>
      <c r="AJ43" s="407">
        <f t="shared" si="24"/>
        <v>5.0000000000000001E-3</v>
      </c>
      <c r="AK43" s="407">
        <f t="shared" si="24"/>
        <v>38.1</v>
      </c>
      <c r="AL43" s="407">
        <f t="shared" si="24"/>
        <v>5.25</v>
      </c>
      <c r="AM43" s="407">
        <f t="shared" si="24"/>
        <v>4.0000000000000001E-3</v>
      </c>
      <c r="AN43" s="407">
        <f t="shared" si="24"/>
        <v>21.1</v>
      </c>
      <c r="AO43" s="407">
        <f t="shared" si="24"/>
        <v>11.6</v>
      </c>
      <c r="AP43" s="407">
        <f t="shared" si="24"/>
        <v>0</v>
      </c>
      <c r="AQ43" s="407">
        <f t="shared" si="24"/>
        <v>23.6</v>
      </c>
      <c r="AR43" s="407">
        <v>1934</v>
      </c>
      <c r="AS43" s="407">
        <v>6.0999999999999999E-2</v>
      </c>
      <c r="AT43" s="407">
        <f t="shared" si="25"/>
        <v>1.145</v>
      </c>
      <c r="AU43" s="292" t="s">
        <v>451</v>
      </c>
      <c r="AV43" s="2822">
        <f t="shared" si="5"/>
        <v>0.06</v>
      </c>
      <c r="AW43" s="2822">
        <f t="shared" si="6"/>
        <v>0.94</v>
      </c>
    </row>
    <row r="44" spans="1:49">
      <c r="A44" s="634" t="s">
        <v>169</v>
      </c>
      <c r="B44" s="407">
        <v>13</v>
      </c>
      <c r="C44" s="407">
        <v>89</v>
      </c>
      <c r="D44" s="407">
        <v>73</v>
      </c>
      <c r="E44" s="407">
        <v>4910</v>
      </c>
      <c r="F44" s="407">
        <v>4</v>
      </c>
      <c r="G44" s="407" t="s">
        <v>201</v>
      </c>
      <c r="H44" s="407">
        <f t="shared" si="21"/>
        <v>382</v>
      </c>
      <c r="I44" s="407">
        <f t="shared" si="21"/>
        <v>526</v>
      </c>
      <c r="J44" s="407">
        <f t="shared" si="21"/>
        <v>62.5</v>
      </c>
      <c r="K44" s="407">
        <v>1096</v>
      </c>
      <c r="L44" s="407">
        <f t="shared" si="22"/>
        <v>0.19400000000000001</v>
      </c>
      <c r="M44" s="407">
        <f t="shared" si="22"/>
        <v>0.10100000000000001</v>
      </c>
      <c r="N44" s="407">
        <f t="shared" si="22"/>
        <v>-2.1000000000000001E-2</v>
      </c>
      <c r="O44" s="407">
        <f t="shared" si="22"/>
        <v>0</v>
      </c>
      <c r="P44" s="407">
        <f t="shared" si="22"/>
        <v>10.7</v>
      </c>
      <c r="Q44" s="407">
        <f t="shared" si="22"/>
        <v>56</v>
      </c>
      <c r="R44" s="407">
        <f t="shared" si="22"/>
        <v>17</v>
      </c>
      <c r="S44" s="407">
        <f t="shared" si="22"/>
        <v>9.8000000000000004E-2</v>
      </c>
      <c r="T44" s="407">
        <f t="shared" si="22"/>
        <v>20.3</v>
      </c>
      <c r="U44" s="407">
        <f t="shared" si="22"/>
        <v>2.5999999999999999E-2</v>
      </c>
      <c r="V44" s="407">
        <f t="shared" si="23"/>
        <v>28.3</v>
      </c>
      <c r="W44" s="407">
        <f t="shared" si="23"/>
        <v>20.3</v>
      </c>
      <c r="X44" s="407">
        <f t="shared" si="23"/>
        <v>2.5999999999999999E-2</v>
      </c>
      <c r="Y44" s="407">
        <f t="shared" si="23"/>
        <v>28.3</v>
      </c>
      <c r="Z44" s="407">
        <f t="shared" si="23"/>
        <v>6.7</v>
      </c>
      <c r="AA44" s="407">
        <f t="shared" si="23"/>
        <v>8.9999999999999993E-3</v>
      </c>
      <c r="AB44" s="407">
        <f t="shared" si="23"/>
        <v>9.4</v>
      </c>
      <c r="AC44" s="407">
        <f t="shared" si="23"/>
        <v>11</v>
      </c>
      <c r="AD44" s="407">
        <f t="shared" si="23"/>
        <v>3.0000000000000001E-3</v>
      </c>
      <c r="AE44" s="407">
        <f t="shared" si="23"/>
        <v>10.7</v>
      </c>
      <c r="AF44" s="407">
        <f t="shared" si="24"/>
        <v>13.05</v>
      </c>
      <c r="AG44" s="407">
        <f t="shared" si="24"/>
        <v>2.5000000000000001E-3</v>
      </c>
      <c r="AH44" s="407">
        <f t="shared" si="24"/>
        <v>12.75</v>
      </c>
      <c r="AI44" s="407">
        <f t="shared" si="24"/>
        <v>31.7</v>
      </c>
      <c r="AJ44" s="407">
        <f t="shared" si="24"/>
        <v>8.0000000000000002E-3</v>
      </c>
      <c r="AK44" s="407">
        <f t="shared" si="24"/>
        <v>30.9</v>
      </c>
      <c r="AL44" s="407">
        <f t="shared" si="24"/>
        <v>17.600000000000001</v>
      </c>
      <c r="AM44" s="407">
        <f t="shared" si="24"/>
        <v>5.4999999999999997E-3</v>
      </c>
      <c r="AN44" s="407">
        <f t="shared" si="24"/>
        <v>17.350000000000001</v>
      </c>
      <c r="AO44" s="407">
        <f t="shared" si="24"/>
        <v>9.1999999999999993</v>
      </c>
      <c r="AP44" s="407">
        <f t="shared" si="24"/>
        <v>6.0000000000000001E-3</v>
      </c>
      <c r="AQ44" s="407">
        <f t="shared" si="24"/>
        <v>17.399999999999999</v>
      </c>
      <c r="AR44" s="407">
        <v>1934</v>
      </c>
      <c r="AS44" s="407">
        <v>6.0999999999999999E-2</v>
      </c>
      <c r="AT44" s="407">
        <f t="shared" si="25"/>
        <v>1.34</v>
      </c>
      <c r="AU44" s="292" t="s">
        <v>402</v>
      </c>
      <c r="AV44" s="2822">
        <f t="shared" si="5"/>
        <v>0.15</v>
      </c>
      <c r="AW44" s="2822">
        <f t="shared" si="6"/>
        <v>0.85</v>
      </c>
    </row>
    <row r="45" spans="1:49">
      <c r="A45" s="634" t="s">
        <v>170</v>
      </c>
      <c r="B45" s="407">
        <v>-7</v>
      </c>
      <c r="C45" s="407">
        <v>86</v>
      </c>
      <c r="D45" s="407">
        <v>70</v>
      </c>
      <c r="E45" s="407">
        <v>6894</v>
      </c>
      <c r="F45" s="407">
        <v>5</v>
      </c>
      <c r="G45" s="407" t="s">
        <v>198</v>
      </c>
      <c r="H45" s="407">
        <f t="shared" si="21"/>
        <v>181</v>
      </c>
      <c r="I45" s="407">
        <f t="shared" si="21"/>
        <v>786</v>
      </c>
      <c r="J45" s="407">
        <f t="shared" si="21"/>
        <v>54.2</v>
      </c>
      <c r="K45" s="407">
        <v>507</v>
      </c>
      <c r="L45" s="407">
        <f t="shared" si="22"/>
        <v>0.113</v>
      </c>
      <c r="M45" s="407">
        <f t="shared" si="22"/>
        <v>0.08</v>
      </c>
      <c r="N45" s="407">
        <f t="shared" si="22"/>
        <v>-2.5000000000000001E-2</v>
      </c>
      <c r="O45" s="407">
        <f t="shared" si="22"/>
        <v>0</v>
      </c>
      <c r="P45" s="407">
        <f t="shared" si="22"/>
        <v>9.6999999999999993</v>
      </c>
      <c r="Q45" s="407">
        <f t="shared" si="22"/>
        <v>22</v>
      </c>
      <c r="R45" s="407">
        <f t="shared" si="22"/>
        <v>16</v>
      </c>
      <c r="S45" s="407">
        <f t="shared" si="22"/>
        <v>9.9000000000000005E-2</v>
      </c>
      <c r="T45" s="407">
        <f t="shared" si="22"/>
        <v>6.3</v>
      </c>
      <c r="U45" s="407">
        <f t="shared" si="22"/>
        <v>1.7999999999999999E-2</v>
      </c>
      <c r="V45" s="407">
        <f t="shared" si="23"/>
        <v>39.200000000000003</v>
      </c>
      <c r="W45" s="407">
        <f t="shared" si="23"/>
        <v>6.3</v>
      </c>
      <c r="X45" s="407">
        <f t="shared" si="23"/>
        <v>1.7999999999999999E-2</v>
      </c>
      <c r="Y45" s="407">
        <f t="shared" si="23"/>
        <v>39.200000000000003</v>
      </c>
      <c r="Z45" s="407">
        <f t="shared" si="23"/>
        <v>1.8</v>
      </c>
      <c r="AA45" s="407">
        <f t="shared" si="23"/>
        <v>1.7999999999999999E-2</v>
      </c>
      <c r="AB45" s="407">
        <f t="shared" si="23"/>
        <v>14.1</v>
      </c>
      <c r="AC45" s="407">
        <f t="shared" si="23"/>
        <v>4.3</v>
      </c>
      <c r="AD45" s="407">
        <f t="shared" si="23"/>
        <v>5.0000000000000001E-3</v>
      </c>
      <c r="AE45" s="407">
        <f t="shared" si="23"/>
        <v>15.7</v>
      </c>
      <c r="AF45" s="407">
        <f t="shared" si="24"/>
        <v>5</v>
      </c>
      <c r="AG45" s="407">
        <f t="shared" si="24"/>
        <v>4.0000000000000001E-3</v>
      </c>
      <c r="AH45" s="407">
        <f t="shared" si="24"/>
        <v>19</v>
      </c>
      <c r="AI45" s="407">
        <f t="shared" si="24"/>
        <v>12.2</v>
      </c>
      <c r="AJ45" s="407">
        <f t="shared" si="24"/>
        <v>1.0999999999999999E-2</v>
      </c>
      <c r="AK45" s="407">
        <f t="shared" si="24"/>
        <v>45.6</v>
      </c>
      <c r="AL45" s="407">
        <f t="shared" si="24"/>
        <v>6.6999999999999993</v>
      </c>
      <c r="AM45" s="407">
        <f t="shared" si="24"/>
        <v>6.5000000000000002E-2</v>
      </c>
      <c r="AN45" s="407">
        <f t="shared" si="24"/>
        <v>25.6</v>
      </c>
      <c r="AO45" s="407">
        <f t="shared" si="24"/>
        <v>12.8</v>
      </c>
      <c r="AP45" s="407">
        <f t="shared" si="24"/>
        <v>6.0000000000000001E-3</v>
      </c>
      <c r="AQ45" s="407">
        <f t="shared" si="24"/>
        <v>22.6</v>
      </c>
      <c r="AR45" s="407">
        <v>1934</v>
      </c>
      <c r="AS45" s="407">
        <v>6.0999999999999999E-2</v>
      </c>
      <c r="AT45" s="407">
        <f t="shared" si="25"/>
        <v>1</v>
      </c>
      <c r="AU45" s="292" t="s">
        <v>446</v>
      </c>
      <c r="AV45" s="2822">
        <f t="shared" si="5"/>
        <v>0.06</v>
      </c>
      <c r="AW45" s="2822">
        <f t="shared" si="6"/>
        <v>0.94</v>
      </c>
    </row>
    <row r="46" spans="1:49">
      <c r="A46" s="634" t="s">
        <v>171</v>
      </c>
      <c r="B46" s="407">
        <v>13</v>
      </c>
      <c r="C46" s="407">
        <v>89</v>
      </c>
      <c r="D46" s="407">
        <v>73</v>
      </c>
      <c r="E46" s="407">
        <v>4910</v>
      </c>
      <c r="F46" s="407">
        <v>4</v>
      </c>
      <c r="G46" s="407" t="s">
        <v>199</v>
      </c>
      <c r="H46" s="407">
        <f t="shared" si="21"/>
        <v>382</v>
      </c>
      <c r="I46" s="407">
        <f t="shared" si="21"/>
        <v>526</v>
      </c>
      <c r="J46" s="407">
        <f t="shared" si="21"/>
        <v>62.5</v>
      </c>
      <c r="K46" s="407">
        <v>1096</v>
      </c>
      <c r="L46" s="407">
        <f t="shared" si="22"/>
        <v>0.19400000000000001</v>
      </c>
      <c r="M46" s="407">
        <f t="shared" si="22"/>
        <v>0.10100000000000001</v>
      </c>
      <c r="N46" s="407">
        <f t="shared" si="22"/>
        <v>-2.1000000000000001E-2</v>
      </c>
      <c r="O46" s="407">
        <f t="shared" si="22"/>
        <v>0</v>
      </c>
      <c r="P46" s="407">
        <f t="shared" si="22"/>
        <v>10.7</v>
      </c>
      <c r="Q46" s="407">
        <f t="shared" si="22"/>
        <v>56</v>
      </c>
      <c r="R46" s="407">
        <f t="shared" si="22"/>
        <v>17</v>
      </c>
      <c r="S46" s="407">
        <f t="shared" si="22"/>
        <v>9.8000000000000004E-2</v>
      </c>
      <c r="T46" s="407">
        <f t="shared" si="22"/>
        <v>20.3</v>
      </c>
      <c r="U46" s="407">
        <f t="shared" si="22"/>
        <v>2.5999999999999999E-2</v>
      </c>
      <c r="V46" s="407">
        <f t="shared" si="23"/>
        <v>28.3</v>
      </c>
      <c r="W46" s="407">
        <f t="shared" si="23"/>
        <v>20.3</v>
      </c>
      <c r="X46" s="407">
        <f t="shared" si="23"/>
        <v>2.5999999999999999E-2</v>
      </c>
      <c r="Y46" s="407">
        <f t="shared" si="23"/>
        <v>28.3</v>
      </c>
      <c r="Z46" s="407">
        <f t="shared" si="23"/>
        <v>6.7</v>
      </c>
      <c r="AA46" s="407">
        <f t="shared" si="23"/>
        <v>8.9999999999999993E-3</v>
      </c>
      <c r="AB46" s="407">
        <f t="shared" si="23"/>
        <v>9.4</v>
      </c>
      <c r="AC46" s="407">
        <f t="shared" si="23"/>
        <v>11</v>
      </c>
      <c r="AD46" s="407">
        <f t="shared" si="23"/>
        <v>3.0000000000000001E-3</v>
      </c>
      <c r="AE46" s="407">
        <f t="shared" si="23"/>
        <v>10.7</v>
      </c>
      <c r="AF46" s="407">
        <f t="shared" si="24"/>
        <v>13.05</v>
      </c>
      <c r="AG46" s="407">
        <f t="shared" si="24"/>
        <v>2.5000000000000001E-3</v>
      </c>
      <c r="AH46" s="407">
        <f t="shared" si="24"/>
        <v>12.75</v>
      </c>
      <c r="AI46" s="407">
        <f t="shared" si="24"/>
        <v>31.7</v>
      </c>
      <c r="AJ46" s="407">
        <f t="shared" si="24"/>
        <v>8.0000000000000002E-3</v>
      </c>
      <c r="AK46" s="407">
        <f t="shared" si="24"/>
        <v>30.9</v>
      </c>
      <c r="AL46" s="407">
        <f t="shared" si="24"/>
        <v>17.600000000000001</v>
      </c>
      <c r="AM46" s="407">
        <f t="shared" si="24"/>
        <v>5.4999999999999997E-3</v>
      </c>
      <c r="AN46" s="407">
        <f t="shared" si="24"/>
        <v>17.350000000000001</v>
      </c>
      <c r="AO46" s="407">
        <f t="shared" si="24"/>
        <v>9.1999999999999993</v>
      </c>
      <c r="AP46" s="407">
        <f t="shared" si="24"/>
        <v>6.0000000000000001E-3</v>
      </c>
      <c r="AQ46" s="407">
        <f t="shared" si="24"/>
        <v>17.399999999999999</v>
      </c>
      <c r="AR46" s="407">
        <v>1934</v>
      </c>
      <c r="AS46" s="407">
        <v>6.0999999999999999E-2</v>
      </c>
      <c r="AT46" s="407">
        <f t="shared" si="25"/>
        <v>1.34</v>
      </c>
      <c r="AU46" s="292" t="s">
        <v>402</v>
      </c>
      <c r="AV46" s="2822">
        <f t="shared" si="5"/>
        <v>0.15</v>
      </c>
      <c r="AW46" s="2822">
        <f t="shared" si="6"/>
        <v>0.85</v>
      </c>
    </row>
    <row r="47" spans="1:49">
      <c r="A47" s="634" t="s">
        <v>172</v>
      </c>
      <c r="B47" s="407">
        <v>13</v>
      </c>
      <c r="C47" s="407">
        <v>89</v>
      </c>
      <c r="D47" s="407">
        <v>73</v>
      </c>
      <c r="E47" s="407">
        <v>4910</v>
      </c>
      <c r="F47" s="407">
        <v>5</v>
      </c>
      <c r="G47" s="407" t="s">
        <v>202</v>
      </c>
      <c r="H47" s="407">
        <f t="shared" si="21"/>
        <v>382</v>
      </c>
      <c r="I47" s="407">
        <f t="shared" si="21"/>
        <v>526</v>
      </c>
      <c r="J47" s="407">
        <f t="shared" si="21"/>
        <v>62.5</v>
      </c>
      <c r="K47" s="407">
        <v>507</v>
      </c>
      <c r="L47" s="407">
        <f t="shared" si="22"/>
        <v>0.19400000000000001</v>
      </c>
      <c r="M47" s="407">
        <f t="shared" si="22"/>
        <v>0.10100000000000001</v>
      </c>
      <c r="N47" s="407">
        <f t="shared" si="22"/>
        <v>-2.1000000000000001E-2</v>
      </c>
      <c r="O47" s="407">
        <f t="shared" si="22"/>
        <v>0</v>
      </c>
      <c r="P47" s="407">
        <f t="shared" si="22"/>
        <v>10.7</v>
      </c>
      <c r="Q47" s="407">
        <f t="shared" si="22"/>
        <v>56</v>
      </c>
      <c r="R47" s="407">
        <f t="shared" si="22"/>
        <v>17</v>
      </c>
      <c r="S47" s="407">
        <f t="shared" si="22"/>
        <v>9.8000000000000004E-2</v>
      </c>
      <c r="T47" s="407">
        <f t="shared" si="22"/>
        <v>20.3</v>
      </c>
      <c r="U47" s="407">
        <f t="shared" si="22"/>
        <v>2.5999999999999999E-2</v>
      </c>
      <c r="V47" s="407">
        <f t="shared" si="23"/>
        <v>28.3</v>
      </c>
      <c r="W47" s="407">
        <f t="shared" si="23"/>
        <v>20.3</v>
      </c>
      <c r="X47" s="407">
        <f t="shared" si="23"/>
        <v>2.5999999999999999E-2</v>
      </c>
      <c r="Y47" s="407">
        <f t="shared" si="23"/>
        <v>28.3</v>
      </c>
      <c r="Z47" s="407">
        <f t="shared" si="23"/>
        <v>6.7</v>
      </c>
      <c r="AA47" s="407">
        <f t="shared" si="23"/>
        <v>8.9999999999999993E-3</v>
      </c>
      <c r="AB47" s="407">
        <f t="shared" si="23"/>
        <v>9.4</v>
      </c>
      <c r="AC47" s="407">
        <f t="shared" si="23"/>
        <v>11</v>
      </c>
      <c r="AD47" s="407">
        <f t="shared" si="23"/>
        <v>3.0000000000000001E-3</v>
      </c>
      <c r="AE47" s="407">
        <f t="shared" si="23"/>
        <v>10.7</v>
      </c>
      <c r="AF47" s="407">
        <f t="shared" si="24"/>
        <v>13.05</v>
      </c>
      <c r="AG47" s="407">
        <f t="shared" si="24"/>
        <v>2.5000000000000001E-3</v>
      </c>
      <c r="AH47" s="407">
        <f t="shared" si="24"/>
        <v>12.75</v>
      </c>
      <c r="AI47" s="407">
        <f t="shared" si="24"/>
        <v>31.7</v>
      </c>
      <c r="AJ47" s="407">
        <f t="shared" si="24"/>
        <v>8.0000000000000002E-3</v>
      </c>
      <c r="AK47" s="407">
        <f t="shared" si="24"/>
        <v>30.9</v>
      </c>
      <c r="AL47" s="407">
        <f t="shared" si="24"/>
        <v>17.600000000000001</v>
      </c>
      <c r="AM47" s="407">
        <f t="shared" si="24"/>
        <v>5.4999999999999997E-3</v>
      </c>
      <c r="AN47" s="407">
        <f t="shared" si="24"/>
        <v>17.350000000000001</v>
      </c>
      <c r="AO47" s="407">
        <f t="shared" si="24"/>
        <v>9.1999999999999993</v>
      </c>
      <c r="AP47" s="407">
        <f t="shared" si="24"/>
        <v>6.0000000000000001E-3</v>
      </c>
      <c r="AQ47" s="407">
        <f t="shared" si="24"/>
        <v>17.399999999999999</v>
      </c>
      <c r="AR47" s="407">
        <v>1934</v>
      </c>
      <c r="AS47" s="407">
        <v>6.0999999999999999E-2</v>
      </c>
      <c r="AT47" s="407">
        <f t="shared" si="25"/>
        <v>1.34</v>
      </c>
      <c r="AU47" s="292" t="s">
        <v>402</v>
      </c>
      <c r="AV47" s="2822">
        <f t="shared" si="5"/>
        <v>0.06</v>
      </c>
      <c r="AW47" s="2822">
        <f t="shared" si="6"/>
        <v>0.94</v>
      </c>
    </row>
    <row r="48" spans="1:49">
      <c r="A48" s="635" t="s">
        <v>457</v>
      </c>
      <c r="B48" s="407">
        <v>-15</v>
      </c>
      <c r="C48" s="407">
        <v>84</v>
      </c>
      <c r="D48" s="407">
        <v>70</v>
      </c>
      <c r="E48" s="407">
        <v>8255</v>
      </c>
      <c r="F48" s="407">
        <v>6</v>
      </c>
      <c r="G48" s="407">
        <v>15</v>
      </c>
      <c r="H48" s="407">
        <v>143</v>
      </c>
      <c r="I48" s="407">
        <v>1016</v>
      </c>
      <c r="J48" s="407">
        <v>50.7</v>
      </c>
      <c r="K48" s="407">
        <v>438</v>
      </c>
      <c r="L48" s="407">
        <v>9.4E-2</v>
      </c>
      <c r="M48" s="407">
        <v>7.2999999999999995E-2</v>
      </c>
      <c r="N48" s="407">
        <v>-2.5999999999999999E-2</v>
      </c>
      <c r="O48" s="407"/>
      <c r="P48" s="407">
        <v>9.3000000000000007</v>
      </c>
      <c r="Q48" s="407">
        <v>20</v>
      </c>
      <c r="R48" s="407">
        <v>17</v>
      </c>
      <c r="S48" s="407">
        <v>9.8000000000000004E-2</v>
      </c>
      <c r="T48" s="407">
        <v>5.0999999999999996</v>
      </c>
      <c r="U48" s="407">
        <v>1.7999999999999999E-2</v>
      </c>
      <c r="V48" s="407">
        <v>45.1</v>
      </c>
      <c r="W48" s="407">
        <v>5.0999999999999996</v>
      </c>
      <c r="X48" s="407">
        <v>1.7999999999999999E-2</v>
      </c>
      <c r="Y48" s="407">
        <v>45.1</v>
      </c>
      <c r="Z48" s="407">
        <v>1.5</v>
      </c>
      <c r="AA48" s="407">
        <v>8.9999999999999993E-3</v>
      </c>
      <c r="AB48" s="407">
        <v>16</v>
      </c>
      <c r="AC48" s="407">
        <v>5.3</v>
      </c>
      <c r="AD48" s="407">
        <v>8.0000000000000002E-3</v>
      </c>
      <c r="AE48" s="407">
        <v>19</v>
      </c>
      <c r="AF48" s="407">
        <f>(9.9+2.6)/2</f>
        <v>6.25</v>
      </c>
      <c r="AG48" s="407">
        <v>7.0000000000000001E-3</v>
      </c>
      <c r="AH48" s="407">
        <f>(35.3+9.4)/2</f>
        <v>22.349999999999998</v>
      </c>
      <c r="AI48" s="407">
        <v>15.2</v>
      </c>
      <c r="AJ48" s="407">
        <v>1.9E-2</v>
      </c>
      <c r="AK48" s="407">
        <v>54.3</v>
      </c>
      <c r="AL48" s="407">
        <f>(12.1+4.8)/2</f>
        <v>8.4499999999999993</v>
      </c>
      <c r="AM48" s="407">
        <v>9.4999999999999998E-3</v>
      </c>
      <c r="AN48" s="407">
        <f>(43.3+17.3)/2</f>
        <v>30.299999999999997</v>
      </c>
      <c r="AO48" s="407">
        <f>2*5.7</f>
        <v>11.4</v>
      </c>
      <c r="AP48" s="407">
        <f>2*0.003</f>
        <v>6.0000000000000001E-3</v>
      </c>
      <c r="AQ48" s="407">
        <f>2*12.9</f>
        <v>25.8</v>
      </c>
      <c r="AR48" s="407">
        <v>1934</v>
      </c>
      <c r="AS48" s="407">
        <v>6.0999999999999999E-2</v>
      </c>
      <c r="AT48" s="407">
        <v>0.94899999999999995</v>
      </c>
      <c r="AU48" s="292" t="s">
        <v>450</v>
      </c>
      <c r="AV48" s="2822">
        <f t="shared" si="5"/>
        <v>0.03</v>
      </c>
      <c r="AW48" s="2822">
        <f t="shared" si="6"/>
        <v>0.97</v>
      </c>
    </row>
    <row r="49" spans="1:49">
      <c r="A49" s="634" t="s">
        <v>173</v>
      </c>
      <c r="B49" s="407">
        <v>-5</v>
      </c>
      <c r="C49" s="407">
        <v>86</v>
      </c>
      <c r="D49" s="407">
        <v>70</v>
      </c>
      <c r="E49" s="407">
        <v>7244</v>
      </c>
      <c r="F49" s="407">
        <v>5</v>
      </c>
      <c r="G49" s="407" t="s">
        <v>198</v>
      </c>
      <c r="H49" s="407">
        <f t="shared" ref="H49:J65" si="26">IF($AU49="Albany",H$4,IF($AU49="Binghamton",H$7,IF($AU49="Buffalo",H$18,IF($AU49="Massena",H$48,IF($AU49="NYC",H$34,IF($AU49="Poughkeepsie",H$17,H$37))))))</f>
        <v>181</v>
      </c>
      <c r="I49" s="407">
        <f t="shared" si="26"/>
        <v>786</v>
      </c>
      <c r="J49" s="407">
        <f t="shared" si="26"/>
        <v>54.2</v>
      </c>
      <c r="K49" s="407">
        <v>507</v>
      </c>
      <c r="L49" s="407">
        <f t="shared" ref="L49:U58" si="27">IF($AU49="Albany",L$4,IF($AU49="Binghamton",L$7,IF($AU49="Buffalo",L$18,IF($AU49="Massena",L$48,IF($AU49="NYC",L$34,IF($AU49="Poughkeepsie",L$17,L$37))))))</f>
        <v>0.113</v>
      </c>
      <c r="M49" s="407">
        <f t="shared" si="27"/>
        <v>0.08</v>
      </c>
      <c r="N49" s="407">
        <f t="shared" si="27"/>
        <v>-2.5000000000000001E-2</v>
      </c>
      <c r="O49" s="407">
        <f t="shared" si="27"/>
        <v>0</v>
      </c>
      <c r="P49" s="407">
        <f t="shared" si="27"/>
        <v>9.6999999999999993</v>
      </c>
      <c r="Q49" s="407">
        <f t="shared" si="27"/>
        <v>22</v>
      </c>
      <c r="R49" s="407">
        <f t="shared" si="27"/>
        <v>16</v>
      </c>
      <c r="S49" s="407">
        <f t="shared" si="27"/>
        <v>9.9000000000000005E-2</v>
      </c>
      <c r="T49" s="407">
        <f t="shared" si="27"/>
        <v>6.3</v>
      </c>
      <c r="U49" s="407">
        <f t="shared" si="27"/>
        <v>1.7999999999999999E-2</v>
      </c>
      <c r="V49" s="407">
        <f t="shared" ref="V49:AE58" si="28">IF($AU49="Albany",V$4,IF($AU49="Binghamton",V$7,IF($AU49="Buffalo",V$18,IF($AU49="Massena",V$48,IF($AU49="NYC",V$34,IF($AU49="Poughkeepsie",V$17,V$37))))))</f>
        <v>39.200000000000003</v>
      </c>
      <c r="W49" s="407">
        <f t="shared" si="28"/>
        <v>6.3</v>
      </c>
      <c r="X49" s="407">
        <f t="shared" si="28"/>
        <v>1.7999999999999999E-2</v>
      </c>
      <c r="Y49" s="407">
        <f t="shared" si="28"/>
        <v>39.200000000000003</v>
      </c>
      <c r="Z49" s="407">
        <f t="shared" si="28"/>
        <v>1.8</v>
      </c>
      <c r="AA49" s="407">
        <f t="shared" si="28"/>
        <v>1.7999999999999999E-2</v>
      </c>
      <c r="AB49" s="407">
        <f t="shared" si="28"/>
        <v>14.1</v>
      </c>
      <c r="AC49" s="407">
        <f t="shared" si="28"/>
        <v>4.3</v>
      </c>
      <c r="AD49" s="407">
        <f t="shared" si="28"/>
        <v>5.0000000000000001E-3</v>
      </c>
      <c r="AE49" s="407">
        <f t="shared" si="28"/>
        <v>15.7</v>
      </c>
      <c r="AF49" s="407">
        <f t="shared" ref="AF49:AQ58" si="29">IF($AU49="Albany",AF$4,IF($AU49="Binghamton",AF$7,IF($AU49="Buffalo",AF$18,IF($AU49="Massena",AF$48,IF($AU49="NYC",AF$34,IF($AU49="Poughkeepsie",AF$17,AF$37))))))</f>
        <v>5</v>
      </c>
      <c r="AG49" s="407">
        <f t="shared" si="29"/>
        <v>4.0000000000000001E-3</v>
      </c>
      <c r="AH49" s="407">
        <f t="shared" si="29"/>
        <v>19</v>
      </c>
      <c r="AI49" s="407">
        <f t="shared" si="29"/>
        <v>12.2</v>
      </c>
      <c r="AJ49" s="407">
        <f t="shared" si="29"/>
        <v>1.0999999999999999E-2</v>
      </c>
      <c r="AK49" s="407">
        <f t="shared" si="29"/>
        <v>45.6</v>
      </c>
      <c r="AL49" s="407">
        <f t="shared" si="29"/>
        <v>6.6999999999999993</v>
      </c>
      <c r="AM49" s="407">
        <f t="shared" si="29"/>
        <v>6.5000000000000002E-2</v>
      </c>
      <c r="AN49" s="407">
        <f t="shared" si="29"/>
        <v>25.6</v>
      </c>
      <c r="AO49" s="407">
        <f t="shared" si="29"/>
        <v>12.8</v>
      </c>
      <c r="AP49" s="407">
        <f t="shared" si="29"/>
        <v>6.0000000000000001E-3</v>
      </c>
      <c r="AQ49" s="407">
        <f t="shared" si="29"/>
        <v>22.6</v>
      </c>
      <c r="AR49" s="407">
        <v>1934</v>
      </c>
      <c r="AS49" s="407">
        <v>6.0999999999999999E-2</v>
      </c>
      <c r="AT49" s="407">
        <f t="shared" ref="AT49:AT65" si="30">IF($AU49="Albany",AT$4,IF($AU49="Binghamton",AT$7,IF($AU49="Buffalo",AT$18,IF($AU49="Massena",AT$48,IF($AU49="NYC",AT$34,IF($AU49="Poughkeepsie",AT$17,AT$37))))))</f>
        <v>1</v>
      </c>
      <c r="AU49" s="292" t="s">
        <v>446</v>
      </c>
      <c r="AV49" s="2822">
        <f t="shared" si="5"/>
        <v>0.06</v>
      </c>
      <c r="AW49" s="2822">
        <f t="shared" si="6"/>
        <v>0.94</v>
      </c>
    </row>
    <row r="50" spans="1:49">
      <c r="A50" s="634" t="s">
        <v>174</v>
      </c>
      <c r="B50" s="407">
        <v>-7</v>
      </c>
      <c r="C50" s="407">
        <v>86</v>
      </c>
      <c r="D50" s="407">
        <v>70</v>
      </c>
      <c r="E50" s="407">
        <v>6894</v>
      </c>
      <c r="F50" s="407">
        <v>5</v>
      </c>
      <c r="G50" s="407" t="s">
        <v>198</v>
      </c>
      <c r="H50" s="407">
        <f t="shared" si="26"/>
        <v>181</v>
      </c>
      <c r="I50" s="407">
        <f t="shared" si="26"/>
        <v>786</v>
      </c>
      <c r="J50" s="407">
        <f t="shared" si="26"/>
        <v>54.2</v>
      </c>
      <c r="K50" s="407">
        <v>507</v>
      </c>
      <c r="L50" s="407">
        <f t="shared" si="27"/>
        <v>0.113</v>
      </c>
      <c r="M50" s="407">
        <f t="shared" si="27"/>
        <v>0.08</v>
      </c>
      <c r="N50" s="407">
        <f t="shared" si="27"/>
        <v>-2.5000000000000001E-2</v>
      </c>
      <c r="O50" s="407">
        <f t="shared" si="27"/>
        <v>0</v>
      </c>
      <c r="P50" s="407">
        <f t="shared" si="27"/>
        <v>9.6999999999999993</v>
      </c>
      <c r="Q50" s="407">
        <f t="shared" si="27"/>
        <v>22</v>
      </c>
      <c r="R50" s="407">
        <f t="shared" si="27"/>
        <v>16</v>
      </c>
      <c r="S50" s="407">
        <f t="shared" si="27"/>
        <v>9.9000000000000005E-2</v>
      </c>
      <c r="T50" s="407">
        <f t="shared" si="27"/>
        <v>6.3</v>
      </c>
      <c r="U50" s="407">
        <f t="shared" si="27"/>
        <v>1.7999999999999999E-2</v>
      </c>
      <c r="V50" s="407">
        <f t="shared" si="28"/>
        <v>39.200000000000003</v>
      </c>
      <c r="W50" s="407">
        <f t="shared" si="28"/>
        <v>6.3</v>
      </c>
      <c r="X50" s="407">
        <f t="shared" si="28"/>
        <v>1.7999999999999999E-2</v>
      </c>
      <c r="Y50" s="407">
        <f t="shared" si="28"/>
        <v>39.200000000000003</v>
      </c>
      <c r="Z50" s="407">
        <f t="shared" si="28"/>
        <v>1.8</v>
      </c>
      <c r="AA50" s="407">
        <f t="shared" si="28"/>
        <v>1.7999999999999999E-2</v>
      </c>
      <c r="AB50" s="407">
        <f t="shared" si="28"/>
        <v>14.1</v>
      </c>
      <c r="AC50" s="407">
        <f t="shared" si="28"/>
        <v>4.3</v>
      </c>
      <c r="AD50" s="407">
        <f t="shared" si="28"/>
        <v>5.0000000000000001E-3</v>
      </c>
      <c r="AE50" s="407">
        <f t="shared" si="28"/>
        <v>15.7</v>
      </c>
      <c r="AF50" s="407">
        <f t="shared" si="29"/>
        <v>5</v>
      </c>
      <c r="AG50" s="407">
        <f t="shared" si="29"/>
        <v>4.0000000000000001E-3</v>
      </c>
      <c r="AH50" s="407">
        <f t="shared" si="29"/>
        <v>19</v>
      </c>
      <c r="AI50" s="407">
        <f t="shared" si="29"/>
        <v>12.2</v>
      </c>
      <c r="AJ50" s="407">
        <f t="shared" si="29"/>
        <v>1.0999999999999999E-2</v>
      </c>
      <c r="AK50" s="407">
        <f t="shared" si="29"/>
        <v>45.6</v>
      </c>
      <c r="AL50" s="407">
        <f t="shared" si="29"/>
        <v>6.6999999999999993</v>
      </c>
      <c r="AM50" s="407">
        <f t="shared" si="29"/>
        <v>6.5000000000000002E-2</v>
      </c>
      <c r="AN50" s="407">
        <f t="shared" si="29"/>
        <v>25.6</v>
      </c>
      <c r="AO50" s="407">
        <f t="shared" si="29"/>
        <v>12.8</v>
      </c>
      <c r="AP50" s="407">
        <f t="shared" si="29"/>
        <v>6.0000000000000001E-3</v>
      </c>
      <c r="AQ50" s="407">
        <f t="shared" si="29"/>
        <v>22.6</v>
      </c>
      <c r="AR50" s="407">
        <v>1934</v>
      </c>
      <c r="AS50" s="407">
        <v>6.0999999999999999E-2</v>
      </c>
      <c r="AT50" s="407">
        <f t="shared" si="30"/>
        <v>1</v>
      </c>
      <c r="AU50" s="292" t="s">
        <v>446</v>
      </c>
      <c r="AV50" s="2822">
        <f t="shared" si="5"/>
        <v>0.06</v>
      </c>
      <c r="AW50" s="2822">
        <f t="shared" si="6"/>
        <v>0.94</v>
      </c>
    </row>
    <row r="51" spans="1:49">
      <c r="A51" s="634" t="s">
        <v>175</v>
      </c>
      <c r="B51" s="407">
        <v>-7</v>
      </c>
      <c r="C51" s="407">
        <v>86</v>
      </c>
      <c r="D51" s="407">
        <v>70</v>
      </c>
      <c r="E51" s="407">
        <v>6894</v>
      </c>
      <c r="F51" s="407">
        <v>6</v>
      </c>
      <c r="G51" s="407">
        <v>15</v>
      </c>
      <c r="H51" s="407">
        <f t="shared" si="26"/>
        <v>181</v>
      </c>
      <c r="I51" s="407">
        <f t="shared" si="26"/>
        <v>786</v>
      </c>
      <c r="J51" s="407">
        <f t="shared" si="26"/>
        <v>54.2</v>
      </c>
      <c r="K51" s="407">
        <v>438</v>
      </c>
      <c r="L51" s="407">
        <f t="shared" si="27"/>
        <v>0.113</v>
      </c>
      <c r="M51" s="407">
        <f t="shared" si="27"/>
        <v>0.08</v>
      </c>
      <c r="N51" s="407">
        <f t="shared" si="27"/>
        <v>-2.5000000000000001E-2</v>
      </c>
      <c r="O51" s="407">
        <f t="shared" si="27"/>
        <v>0</v>
      </c>
      <c r="P51" s="407">
        <f t="shared" si="27"/>
        <v>9.6999999999999993</v>
      </c>
      <c r="Q51" s="407">
        <f t="shared" si="27"/>
        <v>22</v>
      </c>
      <c r="R51" s="407">
        <f t="shared" si="27"/>
        <v>16</v>
      </c>
      <c r="S51" s="407">
        <f t="shared" si="27"/>
        <v>9.9000000000000005E-2</v>
      </c>
      <c r="T51" s="407">
        <f t="shared" si="27"/>
        <v>6.3</v>
      </c>
      <c r="U51" s="407">
        <f t="shared" si="27"/>
        <v>1.7999999999999999E-2</v>
      </c>
      <c r="V51" s="407">
        <f t="shared" si="28"/>
        <v>39.200000000000003</v>
      </c>
      <c r="W51" s="407">
        <f t="shared" si="28"/>
        <v>6.3</v>
      </c>
      <c r="X51" s="407">
        <f t="shared" si="28"/>
        <v>1.7999999999999999E-2</v>
      </c>
      <c r="Y51" s="407">
        <f t="shared" si="28"/>
        <v>39.200000000000003</v>
      </c>
      <c r="Z51" s="407">
        <f t="shared" si="28"/>
        <v>1.8</v>
      </c>
      <c r="AA51" s="407">
        <f t="shared" si="28"/>
        <v>1.7999999999999999E-2</v>
      </c>
      <c r="AB51" s="407">
        <f t="shared" si="28"/>
        <v>14.1</v>
      </c>
      <c r="AC51" s="407">
        <f t="shared" si="28"/>
        <v>4.3</v>
      </c>
      <c r="AD51" s="407">
        <f t="shared" si="28"/>
        <v>5.0000000000000001E-3</v>
      </c>
      <c r="AE51" s="407">
        <f t="shared" si="28"/>
        <v>15.7</v>
      </c>
      <c r="AF51" s="407">
        <f t="shared" si="29"/>
        <v>5</v>
      </c>
      <c r="AG51" s="407">
        <f t="shared" si="29"/>
        <v>4.0000000000000001E-3</v>
      </c>
      <c r="AH51" s="407">
        <f t="shared" si="29"/>
        <v>19</v>
      </c>
      <c r="AI51" s="407">
        <f t="shared" si="29"/>
        <v>12.2</v>
      </c>
      <c r="AJ51" s="407">
        <f t="shared" si="29"/>
        <v>1.0999999999999999E-2</v>
      </c>
      <c r="AK51" s="407">
        <f t="shared" si="29"/>
        <v>45.6</v>
      </c>
      <c r="AL51" s="407">
        <f t="shared" si="29"/>
        <v>6.6999999999999993</v>
      </c>
      <c r="AM51" s="407">
        <f t="shared" si="29"/>
        <v>6.5000000000000002E-2</v>
      </c>
      <c r="AN51" s="407">
        <f t="shared" si="29"/>
        <v>25.6</v>
      </c>
      <c r="AO51" s="407">
        <f t="shared" si="29"/>
        <v>12.8</v>
      </c>
      <c r="AP51" s="407">
        <f t="shared" si="29"/>
        <v>6.0000000000000001E-3</v>
      </c>
      <c r="AQ51" s="407">
        <f t="shared" si="29"/>
        <v>22.6</v>
      </c>
      <c r="AR51" s="407">
        <v>1934</v>
      </c>
      <c r="AS51" s="407">
        <v>6.0999999999999999E-2</v>
      </c>
      <c r="AT51" s="407">
        <f t="shared" si="30"/>
        <v>1</v>
      </c>
      <c r="AU51" s="292" t="s">
        <v>446</v>
      </c>
      <c r="AV51" s="2822">
        <f t="shared" si="5"/>
        <v>0.03</v>
      </c>
      <c r="AW51" s="2822">
        <f t="shared" si="6"/>
        <v>0.97</v>
      </c>
    </row>
    <row r="52" spans="1:49">
      <c r="A52" s="634" t="s">
        <v>176</v>
      </c>
      <c r="B52" s="407">
        <v>-2</v>
      </c>
      <c r="C52" s="407">
        <v>87</v>
      </c>
      <c r="D52" s="407">
        <v>71</v>
      </c>
      <c r="E52" s="407">
        <v>6845</v>
      </c>
      <c r="F52" s="407">
        <v>6</v>
      </c>
      <c r="G52" s="407">
        <v>15</v>
      </c>
      <c r="H52" s="407">
        <f t="shared" si="26"/>
        <v>186</v>
      </c>
      <c r="I52" s="407">
        <f t="shared" si="26"/>
        <v>889</v>
      </c>
      <c r="J52" s="407">
        <f t="shared" si="26"/>
        <v>54.6</v>
      </c>
      <c r="K52" s="407">
        <v>438</v>
      </c>
      <c r="L52" s="407">
        <f t="shared" si="27"/>
        <v>0.113</v>
      </c>
      <c r="M52" s="407">
        <f t="shared" si="27"/>
        <v>0.08</v>
      </c>
      <c r="N52" s="407">
        <f t="shared" si="27"/>
        <v>-2.4E-2</v>
      </c>
      <c r="O52" s="407">
        <f t="shared" si="27"/>
        <v>0</v>
      </c>
      <c r="P52" s="407">
        <f t="shared" si="27"/>
        <v>9.6999999999999993</v>
      </c>
      <c r="Q52" s="407">
        <f t="shared" si="27"/>
        <v>23</v>
      </c>
      <c r="R52" s="407">
        <f t="shared" si="27"/>
        <v>16</v>
      </c>
      <c r="S52" s="407">
        <f t="shared" si="27"/>
        <v>9.1999999999999998E-2</v>
      </c>
      <c r="T52" s="407">
        <f t="shared" si="27"/>
        <v>6.1</v>
      </c>
      <c r="U52" s="407">
        <f t="shared" si="27"/>
        <v>4.3999999999999997E-2</v>
      </c>
      <c r="V52" s="407">
        <f t="shared" si="28"/>
        <v>37.799999999999997</v>
      </c>
      <c r="W52" s="407">
        <f t="shared" si="28"/>
        <v>6.1</v>
      </c>
      <c r="X52" s="407">
        <f t="shared" si="28"/>
        <v>4.3999999999999997E-2</v>
      </c>
      <c r="Y52" s="407">
        <f t="shared" si="28"/>
        <v>37.799999999999997</v>
      </c>
      <c r="Z52" s="407">
        <f t="shared" si="28"/>
        <v>1.7</v>
      </c>
      <c r="AA52" s="407">
        <f t="shared" si="28"/>
        <v>2.5999999999999999E-2</v>
      </c>
      <c r="AB52" s="407">
        <f t="shared" si="28"/>
        <v>15</v>
      </c>
      <c r="AC52" s="407">
        <f t="shared" si="28"/>
        <v>4.8</v>
      </c>
      <c r="AD52" s="407">
        <f t="shared" si="28"/>
        <v>5.0000000000000001E-3</v>
      </c>
      <c r="AE52" s="407">
        <f t="shared" si="28"/>
        <v>15.5</v>
      </c>
      <c r="AF52" s="407">
        <f t="shared" si="29"/>
        <v>5.5500000000000007</v>
      </c>
      <c r="AG52" s="407">
        <f t="shared" si="29"/>
        <v>5.4999999999999997E-3</v>
      </c>
      <c r="AH52" s="407">
        <f t="shared" si="29"/>
        <v>18.599999999999998</v>
      </c>
      <c r="AI52" s="407">
        <f t="shared" si="29"/>
        <v>13.5</v>
      </c>
      <c r="AJ52" s="407">
        <f t="shared" si="29"/>
        <v>1.4E-2</v>
      </c>
      <c r="AK52" s="407">
        <f t="shared" si="29"/>
        <v>44.9</v>
      </c>
      <c r="AL52" s="407">
        <f t="shared" si="29"/>
        <v>7.4</v>
      </c>
      <c r="AM52" s="407">
        <f t="shared" si="29"/>
        <v>8.0000000000000002E-3</v>
      </c>
      <c r="AN52" s="407">
        <f t="shared" si="29"/>
        <v>25.1</v>
      </c>
      <c r="AO52" s="407">
        <f t="shared" si="29"/>
        <v>13.2</v>
      </c>
      <c r="AP52" s="407">
        <f t="shared" si="29"/>
        <v>1.4E-2</v>
      </c>
      <c r="AQ52" s="407">
        <f t="shared" si="29"/>
        <v>23.4</v>
      </c>
      <c r="AR52" s="407">
        <v>1934</v>
      </c>
      <c r="AS52" s="407">
        <v>6.0999999999999999E-2</v>
      </c>
      <c r="AT52" s="407">
        <f t="shared" si="30"/>
        <v>0.99099999999999999</v>
      </c>
      <c r="AU52" s="292" t="s">
        <v>449</v>
      </c>
      <c r="AV52" s="2822">
        <f t="shared" si="5"/>
        <v>0.03</v>
      </c>
      <c r="AW52" s="2822">
        <f t="shared" si="6"/>
        <v>0.97</v>
      </c>
    </row>
    <row r="53" spans="1:49">
      <c r="A53" s="634" t="s">
        <v>177</v>
      </c>
      <c r="B53" s="407">
        <v>1</v>
      </c>
      <c r="C53" s="407">
        <v>86</v>
      </c>
      <c r="D53" s="407">
        <v>71</v>
      </c>
      <c r="E53" s="407">
        <v>6734</v>
      </c>
      <c r="F53" s="407">
        <v>5</v>
      </c>
      <c r="G53" s="407" t="s">
        <v>198</v>
      </c>
      <c r="H53" s="407">
        <f t="shared" si="26"/>
        <v>186</v>
      </c>
      <c r="I53" s="407">
        <f t="shared" si="26"/>
        <v>889</v>
      </c>
      <c r="J53" s="407">
        <f t="shared" si="26"/>
        <v>54.6</v>
      </c>
      <c r="K53" s="407">
        <v>507</v>
      </c>
      <c r="L53" s="407">
        <f t="shared" si="27"/>
        <v>0.113</v>
      </c>
      <c r="M53" s="407">
        <f t="shared" si="27"/>
        <v>0.08</v>
      </c>
      <c r="N53" s="407">
        <f t="shared" si="27"/>
        <v>-2.4E-2</v>
      </c>
      <c r="O53" s="407">
        <f t="shared" si="27"/>
        <v>0</v>
      </c>
      <c r="P53" s="407">
        <f t="shared" si="27"/>
        <v>9.6999999999999993</v>
      </c>
      <c r="Q53" s="407">
        <f t="shared" si="27"/>
        <v>23</v>
      </c>
      <c r="R53" s="407">
        <f t="shared" si="27"/>
        <v>16</v>
      </c>
      <c r="S53" s="407">
        <f t="shared" si="27"/>
        <v>9.1999999999999998E-2</v>
      </c>
      <c r="T53" s="407">
        <f t="shared" si="27"/>
        <v>6.1</v>
      </c>
      <c r="U53" s="407">
        <f t="shared" si="27"/>
        <v>4.3999999999999997E-2</v>
      </c>
      <c r="V53" s="407">
        <f t="shared" si="28"/>
        <v>37.799999999999997</v>
      </c>
      <c r="W53" s="407">
        <f t="shared" si="28"/>
        <v>6.1</v>
      </c>
      <c r="X53" s="407">
        <f t="shared" si="28"/>
        <v>4.3999999999999997E-2</v>
      </c>
      <c r="Y53" s="407">
        <f t="shared" si="28"/>
        <v>37.799999999999997</v>
      </c>
      <c r="Z53" s="407">
        <f t="shared" si="28"/>
        <v>1.7</v>
      </c>
      <c r="AA53" s="407">
        <f t="shared" si="28"/>
        <v>2.5999999999999999E-2</v>
      </c>
      <c r="AB53" s="407">
        <f t="shared" si="28"/>
        <v>15</v>
      </c>
      <c r="AC53" s="407">
        <f t="shared" si="28"/>
        <v>4.8</v>
      </c>
      <c r="AD53" s="407">
        <f t="shared" si="28"/>
        <v>5.0000000000000001E-3</v>
      </c>
      <c r="AE53" s="407">
        <f t="shared" si="28"/>
        <v>15.5</v>
      </c>
      <c r="AF53" s="407">
        <f t="shared" si="29"/>
        <v>5.5500000000000007</v>
      </c>
      <c r="AG53" s="407">
        <f t="shared" si="29"/>
        <v>5.4999999999999997E-3</v>
      </c>
      <c r="AH53" s="407">
        <f t="shared" si="29"/>
        <v>18.599999999999998</v>
      </c>
      <c r="AI53" s="407">
        <f t="shared" si="29"/>
        <v>13.5</v>
      </c>
      <c r="AJ53" s="407">
        <f t="shared" si="29"/>
        <v>1.4E-2</v>
      </c>
      <c r="AK53" s="407">
        <f t="shared" si="29"/>
        <v>44.9</v>
      </c>
      <c r="AL53" s="407">
        <f t="shared" si="29"/>
        <v>7.4</v>
      </c>
      <c r="AM53" s="407">
        <f t="shared" si="29"/>
        <v>8.0000000000000002E-3</v>
      </c>
      <c r="AN53" s="407">
        <f t="shared" si="29"/>
        <v>25.1</v>
      </c>
      <c r="AO53" s="407">
        <f t="shared" si="29"/>
        <v>13.2</v>
      </c>
      <c r="AP53" s="407">
        <f t="shared" si="29"/>
        <v>1.4E-2</v>
      </c>
      <c r="AQ53" s="407">
        <f t="shared" si="29"/>
        <v>23.4</v>
      </c>
      <c r="AR53" s="407">
        <v>1934</v>
      </c>
      <c r="AS53" s="407">
        <v>6.0999999999999999E-2</v>
      </c>
      <c r="AT53" s="407">
        <f t="shared" si="30"/>
        <v>0.99099999999999999</v>
      </c>
      <c r="AU53" s="292" t="s">
        <v>449</v>
      </c>
      <c r="AV53" s="2822">
        <f t="shared" si="5"/>
        <v>0.06</v>
      </c>
      <c r="AW53" s="2822">
        <f t="shared" si="6"/>
        <v>0.94</v>
      </c>
    </row>
    <row r="54" spans="1:49">
      <c r="A54" s="634" t="s">
        <v>178</v>
      </c>
      <c r="B54" s="407">
        <v>1</v>
      </c>
      <c r="C54" s="407">
        <v>86</v>
      </c>
      <c r="D54" s="407">
        <v>71</v>
      </c>
      <c r="E54" s="407">
        <v>6734</v>
      </c>
      <c r="F54" s="407">
        <v>6</v>
      </c>
      <c r="G54" s="407">
        <v>15</v>
      </c>
      <c r="H54" s="407">
        <f t="shared" si="26"/>
        <v>120</v>
      </c>
      <c r="I54" s="407">
        <f t="shared" si="26"/>
        <v>1006</v>
      </c>
      <c r="J54" s="407">
        <f t="shared" si="26"/>
        <v>52.9</v>
      </c>
      <c r="K54" s="407">
        <v>438</v>
      </c>
      <c r="L54" s="407">
        <f t="shared" si="27"/>
        <v>7.2999999999999995E-2</v>
      </c>
      <c r="M54" s="407">
        <f t="shared" si="27"/>
        <v>6.8000000000000005E-2</v>
      </c>
      <c r="N54" s="407">
        <f t="shared" si="27"/>
        <v>-2.7E-2</v>
      </c>
      <c r="O54" s="407">
        <f t="shared" si="27"/>
        <v>0</v>
      </c>
      <c r="P54" s="407">
        <f t="shared" si="27"/>
        <v>9.6</v>
      </c>
      <c r="Q54" s="407">
        <f t="shared" si="27"/>
        <v>11</v>
      </c>
      <c r="R54" s="407">
        <f t="shared" si="27"/>
        <v>17</v>
      </c>
      <c r="S54" s="407">
        <f t="shared" si="27"/>
        <v>8.5000000000000006E-2</v>
      </c>
      <c r="T54" s="407">
        <f t="shared" si="27"/>
        <v>6</v>
      </c>
      <c r="U54" s="407">
        <f t="shared" si="27"/>
        <v>2.5999999999999999E-2</v>
      </c>
      <c r="V54" s="407">
        <f t="shared" si="28"/>
        <v>42.7</v>
      </c>
      <c r="W54" s="407">
        <f t="shared" si="28"/>
        <v>6</v>
      </c>
      <c r="X54" s="407">
        <f t="shared" si="28"/>
        <v>2.5999999999999999E-2</v>
      </c>
      <c r="Y54" s="407">
        <f t="shared" si="28"/>
        <v>42.7</v>
      </c>
      <c r="Z54" s="407">
        <f t="shared" si="28"/>
        <v>1.8</v>
      </c>
      <c r="AA54" s="407">
        <f t="shared" si="28"/>
        <v>8.9999999999999993E-3</v>
      </c>
      <c r="AB54" s="407">
        <f t="shared" si="28"/>
        <v>14.9</v>
      </c>
      <c r="AC54" s="407">
        <f t="shared" si="28"/>
        <v>2.8</v>
      </c>
      <c r="AD54" s="407">
        <f t="shared" si="28"/>
        <v>0</v>
      </c>
      <c r="AE54" s="407">
        <f t="shared" si="28"/>
        <v>17.2</v>
      </c>
      <c r="AF54" s="407">
        <f t="shared" si="29"/>
        <v>3.1</v>
      </c>
      <c r="AG54" s="407">
        <f t="shared" si="29"/>
        <v>1.5E-3</v>
      </c>
      <c r="AH54" s="407">
        <f t="shared" si="29"/>
        <v>20.650000000000002</v>
      </c>
      <c r="AI54" s="407">
        <f t="shared" si="29"/>
        <v>7.7</v>
      </c>
      <c r="AJ54" s="407">
        <f t="shared" si="29"/>
        <v>3.0000000000000001E-3</v>
      </c>
      <c r="AK54" s="407">
        <f t="shared" si="29"/>
        <v>49.9</v>
      </c>
      <c r="AL54" s="407">
        <f t="shared" si="29"/>
        <v>4.1500000000000004</v>
      </c>
      <c r="AM54" s="407">
        <f t="shared" si="29"/>
        <v>4.0000000000000001E-3</v>
      </c>
      <c r="AN54" s="407">
        <f t="shared" si="29"/>
        <v>27.85</v>
      </c>
      <c r="AO54" s="407">
        <f t="shared" si="29"/>
        <v>13.6</v>
      </c>
      <c r="AP54" s="407">
        <f t="shared" si="29"/>
        <v>6.0000000000000001E-3</v>
      </c>
      <c r="AQ54" s="407">
        <f t="shared" si="29"/>
        <v>24.2</v>
      </c>
      <c r="AR54" s="407">
        <v>1934</v>
      </c>
      <c r="AS54" s="407">
        <v>6.0999999999999999E-2</v>
      </c>
      <c r="AT54" s="407">
        <f t="shared" si="30"/>
        <v>1.008</v>
      </c>
      <c r="AU54" s="292" t="s">
        <v>447</v>
      </c>
      <c r="AV54" s="2822">
        <f t="shared" si="5"/>
        <v>0.03</v>
      </c>
      <c r="AW54" s="2822">
        <f t="shared" si="6"/>
        <v>0.97</v>
      </c>
    </row>
    <row r="55" spans="1:49">
      <c r="A55" s="634" t="s">
        <v>179</v>
      </c>
      <c r="B55" s="407">
        <v>11</v>
      </c>
      <c r="C55" s="407">
        <v>83</v>
      </c>
      <c r="D55" s="407">
        <v>74</v>
      </c>
      <c r="E55" s="407">
        <v>5750</v>
      </c>
      <c r="F55" s="407">
        <v>4</v>
      </c>
      <c r="G55" s="407" t="s">
        <v>199</v>
      </c>
      <c r="H55" s="407">
        <f t="shared" si="26"/>
        <v>382</v>
      </c>
      <c r="I55" s="407">
        <f t="shared" si="26"/>
        <v>526</v>
      </c>
      <c r="J55" s="407">
        <f t="shared" si="26"/>
        <v>62.5</v>
      </c>
      <c r="K55" s="407">
        <v>1096</v>
      </c>
      <c r="L55" s="407">
        <f t="shared" si="27"/>
        <v>0.19400000000000001</v>
      </c>
      <c r="M55" s="407">
        <f t="shared" si="27"/>
        <v>0.10100000000000001</v>
      </c>
      <c r="N55" s="407">
        <f t="shared" si="27"/>
        <v>-2.1000000000000001E-2</v>
      </c>
      <c r="O55" s="407">
        <f t="shared" si="27"/>
        <v>0</v>
      </c>
      <c r="P55" s="407">
        <f t="shared" si="27"/>
        <v>10.7</v>
      </c>
      <c r="Q55" s="407">
        <f t="shared" si="27"/>
        <v>56</v>
      </c>
      <c r="R55" s="407">
        <f t="shared" si="27"/>
        <v>17</v>
      </c>
      <c r="S55" s="407">
        <f t="shared" si="27"/>
        <v>9.8000000000000004E-2</v>
      </c>
      <c r="T55" s="407">
        <f t="shared" si="27"/>
        <v>20.3</v>
      </c>
      <c r="U55" s="407">
        <f t="shared" si="27"/>
        <v>2.5999999999999999E-2</v>
      </c>
      <c r="V55" s="407">
        <f t="shared" si="28"/>
        <v>28.3</v>
      </c>
      <c r="W55" s="407">
        <f t="shared" si="28"/>
        <v>20.3</v>
      </c>
      <c r="X55" s="407">
        <f t="shared" si="28"/>
        <v>2.5999999999999999E-2</v>
      </c>
      <c r="Y55" s="407">
        <f t="shared" si="28"/>
        <v>28.3</v>
      </c>
      <c r="Z55" s="407">
        <f t="shared" si="28"/>
        <v>6.7</v>
      </c>
      <c r="AA55" s="407">
        <f t="shared" si="28"/>
        <v>8.9999999999999993E-3</v>
      </c>
      <c r="AB55" s="407">
        <f t="shared" si="28"/>
        <v>9.4</v>
      </c>
      <c r="AC55" s="407">
        <f t="shared" si="28"/>
        <v>11</v>
      </c>
      <c r="AD55" s="407">
        <f t="shared" si="28"/>
        <v>3.0000000000000001E-3</v>
      </c>
      <c r="AE55" s="407">
        <f t="shared" si="28"/>
        <v>10.7</v>
      </c>
      <c r="AF55" s="407">
        <f t="shared" si="29"/>
        <v>13.05</v>
      </c>
      <c r="AG55" s="407">
        <f t="shared" si="29"/>
        <v>2.5000000000000001E-3</v>
      </c>
      <c r="AH55" s="407">
        <f t="shared" si="29"/>
        <v>12.75</v>
      </c>
      <c r="AI55" s="407">
        <f t="shared" si="29"/>
        <v>31.7</v>
      </c>
      <c r="AJ55" s="407">
        <f t="shared" si="29"/>
        <v>8.0000000000000002E-3</v>
      </c>
      <c r="AK55" s="407">
        <f t="shared" si="29"/>
        <v>30.9</v>
      </c>
      <c r="AL55" s="407">
        <f t="shared" si="29"/>
        <v>17.600000000000001</v>
      </c>
      <c r="AM55" s="407">
        <f t="shared" si="29"/>
        <v>5.4999999999999997E-3</v>
      </c>
      <c r="AN55" s="407">
        <f t="shared" si="29"/>
        <v>17.350000000000001</v>
      </c>
      <c r="AO55" s="407">
        <f t="shared" si="29"/>
        <v>9.1999999999999993</v>
      </c>
      <c r="AP55" s="407">
        <f t="shared" si="29"/>
        <v>6.0000000000000001E-3</v>
      </c>
      <c r="AQ55" s="407">
        <f t="shared" si="29"/>
        <v>17.399999999999999</v>
      </c>
      <c r="AR55" s="407">
        <v>1934</v>
      </c>
      <c r="AS55" s="407">
        <v>6.0999999999999999E-2</v>
      </c>
      <c r="AT55" s="407">
        <f t="shared" si="30"/>
        <v>1.34</v>
      </c>
      <c r="AU55" s="292" t="s">
        <v>402</v>
      </c>
      <c r="AV55" s="2822">
        <f t="shared" si="5"/>
        <v>0.15</v>
      </c>
      <c r="AW55" s="2822">
        <f t="shared" si="6"/>
        <v>0.85</v>
      </c>
    </row>
    <row r="56" spans="1:49">
      <c r="A56" s="634" t="s">
        <v>180</v>
      </c>
      <c r="B56" s="407">
        <v>6</v>
      </c>
      <c r="C56" s="407">
        <v>83</v>
      </c>
      <c r="D56" s="407">
        <v>73</v>
      </c>
      <c r="E56" s="407">
        <v>6750</v>
      </c>
      <c r="F56" s="407">
        <v>6</v>
      </c>
      <c r="G56" s="407">
        <v>15</v>
      </c>
      <c r="H56" s="407">
        <f t="shared" si="26"/>
        <v>208</v>
      </c>
      <c r="I56" s="407">
        <f t="shared" si="26"/>
        <v>656</v>
      </c>
      <c r="J56" s="407">
        <f t="shared" si="26"/>
        <v>62.5</v>
      </c>
      <c r="K56" s="407">
        <v>438</v>
      </c>
      <c r="L56" s="407">
        <f t="shared" si="27"/>
        <v>0.16800000000000001</v>
      </c>
      <c r="M56" s="407">
        <f t="shared" si="27"/>
        <v>9.1999999999999998E-2</v>
      </c>
      <c r="N56" s="407">
        <f t="shared" si="27"/>
        <v>-2.3E-2</v>
      </c>
      <c r="O56" s="407">
        <f t="shared" si="27"/>
        <v>0</v>
      </c>
      <c r="P56" s="407">
        <f t="shared" si="27"/>
        <v>10.7</v>
      </c>
      <c r="Q56" s="407">
        <f t="shared" si="27"/>
        <v>56</v>
      </c>
      <c r="R56" s="407">
        <f t="shared" si="27"/>
        <v>17</v>
      </c>
      <c r="S56" s="407">
        <f t="shared" si="27"/>
        <v>9.8000000000000004E-2</v>
      </c>
      <c r="T56" s="407">
        <f t="shared" si="27"/>
        <v>-0.3</v>
      </c>
      <c r="U56" s="407">
        <f t="shared" si="27"/>
        <v>1.7999999999999999E-2</v>
      </c>
      <c r="V56" s="407">
        <f t="shared" si="28"/>
        <v>38.700000000000003</v>
      </c>
      <c r="W56" s="407">
        <f t="shared" si="28"/>
        <v>-0.3</v>
      </c>
      <c r="X56" s="407">
        <f t="shared" si="28"/>
        <v>1.7999999999999999E-2</v>
      </c>
      <c r="Y56" s="407">
        <f t="shared" si="28"/>
        <v>38.700000000000003</v>
      </c>
      <c r="Z56" s="407">
        <f t="shared" si="28"/>
        <v>-0.9</v>
      </c>
      <c r="AA56" s="407">
        <f t="shared" si="28"/>
        <v>8.9999999999999993E-3</v>
      </c>
      <c r="AB56" s="407">
        <f t="shared" si="28"/>
        <v>13.4</v>
      </c>
      <c r="AC56" s="407">
        <f t="shared" si="28"/>
        <v>3.6</v>
      </c>
      <c r="AD56" s="407">
        <f t="shared" si="28"/>
        <v>3.0000000000000001E-3</v>
      </c>
      <c r="AE56" s="407">
        <f t="shared" si="28"/>
        <v>13</v>
      </c>
      <c r="AF56" s="407">
        <f t="shared" si="29"/>
        <v>3.95</v>
      </c>
      <c r="AG56" s="407">
        <f t="shared" si="29"/>
        <v>1.5E-3</v>
      </c>
      <c r="AH56" s="407">
        <f t="shared" si="29"/>
        <v>15.9</v>
      </c>
      <c r="AI56" s="407">
        <f t="shared" si="29"/>
        <v>9.9</v>
      </c>
      <c r="AJ56" s="407">
        <f t="shared" si="29"/>
        <v>5.0000000000000001E-3</v>
      </c>
      <c r="AK56" s="407">
        <f t="shared" si="29"/>
        <v>38.1</v>
      </c>
      <c r="AL56" s="407">
        <f t="shared" si="29"/>
        <v>5.25</v>
      </c>
      <c r="AM56" s="407">
        <f t="shared" si="29"/>
        <v>4.0000000000000001E-3</v>
      </c>
      <c r="AN56" s="407">
        <f t="shared" si="29"/>
        <v>21.1</v>
      </c>
      <c r="AO56" s="407">
        <f t="shared" si="29"/>
        <v>11.6</v>
      </c>
      <c r="AP56" s="407">
        <f t="shared" si="29"/>
        <v>0</v>
      </c>
      <c r="AQ56" s="407">
        <f t="shared" si="29"/>
        <v>23.6</v>
      </c>
      <c r="AR56" s="407">
        <v>1934</v>
      </c>
      <c r="AS56" s="407">
        <v>6.0999999999999999E-2</v>
      </c>
      <c r="AT56" s="407">
        <f t="shared" si="30"/>
        <v>1.145</v>
      </c>
      <c r="AU56" s="292" t="s">
        <v>451</v>
      </c>
      <c r="AV56" s="2822">
        <f t="shared" si="5"/>
        <v>0.03</v>
      </c>
      <c r="AW56" s="2822">
        <f t="shared" si="6"/>
        <v>0.97</v>
      </c>
    </row>
    <row r="57" spans="1:49">
      <c r="A57" s="634" t="s">
        <v>181</v>
      </c>
      <c r="B57" s="407">
        <v>-2</v>
      </c>
      <c r="C57" s="407">
        <v>87</v>
      </c>
      <c r="D57" s="407">
        <v>71</v>
      </c>
      <c r="E57" s="407">
        <v>6845</v>
      </c>
      <c r="F57" s="407">
        <v>5</v>
      </c>
      <c r="G57" s="407">
        <v>15</v>
      </c>
      <c r="H57" s="407">
        <f t="shared" si="26"/>
        <v>120</v>
      </c>
      <c r="I57" s="407">
        <f t="shared" si="26"/>
        <v>1006</v>
      </c>
      <c r="J57" s="407">
        <f t="shared" si="26"/>
        <v>52.9</v>
      </c>
      <c r="K57" s="407">
        <v>507</v>
      </c>
      <c r="L57" s="407">
        <f t="shared" si="27"/>
        <v>7.2999999999999995E-2</v>
      </c>
      <c r="M57" s="407">
        <f t="shared" si="27"/>
        <v>6.8000000000000005E-2</v>
      </c>
      <c r="N57" s="407">
        <f t="shared" si="27"/>
        <v>-2.7E-2</v>
      </c>
      <c r="O57" s="407">
        <f t="shared" si="27"/>
        <v>0</v>
      </c>
      <c r="P57" s="407">
        <f t="shared" si="27"/>
        <v>9.6</v>
      </c>
      <c r="Q57" s="407">
        <f t="shared" si="27"/>
        <v>11</v>
      </c>
      <c r="R57" s="407">
        <f t="shared" si="27"/>
        <v>17</v>
      </c>
      <c r="S57" s="407">
        <f t="shared" si="27"/>
        <v>8.5000000000000006E-2</v>
      </c>
      <c r="T57" s="407">
        <f t="shared" si="27"/>
        <v>6</v>
      </c>
      <c r="U57" s="407">
        <f t="shared" si="27"/>
        <v>2.5999999999999999E-2</v>
      </c>
      <c r="V57" s="407">
        <f t="shared" si="28"/>
        <v>42.7</v>
      </c>
      <c r="W57" s="407">
        <f t="shared" si="28"/>
        <v>6</v>
      </c>
      <c r="X57" s="407">
        <f t="shared" si="28"/>
        <v>2.5999999999999999E-2</v>
      </c>
      <c r="Y57" s="407">
        <f t="shared" si="28"/>
        <v>42.7</v>
      </c>
      <c r="Z57" s="407">
        <f t="shared" si="28"/>
        <v>1.8</v>
      </c>
      <c r="AA57" s="407">
        <f t="shared" si="28"/>
        <v>8.9999999999999993E-3</v>
      </c>
      <c r="AB57" s="407">
        <f t="shared" si="28"/>
        <v>14.9</v>
      </c>
      <c r="AC57" s="407">
        <f t="shared" si="28"/>
        <v>2.8</v>
      </c>
      <c r="AD57" s="407">
        <f t="shared" si="28"/>
        <v>0</v>
      </c>
      <c r="AE57" s="407">
        <f t="shared" si="28"/>
        <v>17.2</v>
      </c>
      <c r="AF57" s="407">
        <f t="shared" si="29"/>
        <v>3.1</v>
      </c>
      <c r="AG57" s="407">
        <f t="shared" si="29"/>
        <v>1.5E-3</v>
      </c>
      <c r="AH57" s="407">
        <f t="shared" si="29"/>
        <v>20.650000000000002</v>
      </c>
      <c r="AI57" s="407">
        <f t="shared" si="29"/>
        <v>7.7</v>
      </c>
      <c r="AJ57" s="407">
        <f t="shared" si="29"/>
        <v>3.0000000000000001E-3</v>
      </c>
      <c r="AK57" s="407">
        <f t="shared" si="29"/>
        <v>49.9</v>
      </c>
      <c r="AL57" s="407">
        <f t="shared" si="29"/>
        <v>4.1500000000000004</v>
      </c>
      <c r="AM57" s="407">
        <f t="shared" si="29"/>
        <v>4.0000000000000001E-3</v>
      </c>
      <c r="AN57" s="407">
        <f t="shared" si="29"/>
        <v>27.85</v>
      </c>
      <c r="AO57" s="407">
        <f t="shared" si="29"/>
        <v>13.6</v>
      </c>
      <c r="AP57" s="407">
        <f t="shared" si="29"/>
        <v>6.0000000000000001E-3</v>
      </c>
      <c r="AQ57" s="407">
        <f t="shared" si="29"/>
        <v>24.2</v>
      </c>
      <c r="AR57" s="407">
        <v>1934</v>
      </c>
      <c r="AS57" s="407">
        <v>6.0999999999999999E-2</v>
      </c>
      <c r="AT57" s="407">
        <f t="shared" si="30"/>
        <v>1.008</v>
      </c>
      <c r="AU57" s="292" t="s">
        <v>447</v>
      </c>
      <c r="AV57" s="2822">
        <f t="shared" si="5"/>
        <v>0.06</v>
      </c>
      <c r="AW57" s="2822">
        <f t="shared" si="6"/>
        <v>0.94</v>
      </c>
    </row>
    <row r="58" spans="1:49">
      <c r="A58" s="634" t="s">
        <v>182</v>
      </c>
      <c r="B58" s="407">
        <v>-2</v>
      </c>
      <c r="C58" s="407">
        <v>82</v>
      </c>
      <c r="D58" s="407">
        <v>69</v>
      </c>
      <c r="E58" s="407">
        <v>7273</v>
      </c>
      <c r="F58" s="407">
        <v>6</v>
      </c>
      <c r="G58" s="407">
        <v>15</v>
      </c>
      <c r="H58" s="407">
        <f t="shared" si="26"/>
        <v>120</v>
      </c>
      <c r="I58" s="407">
        <f t="shared" si="26"/>
        <v>1006</v>
      </c>
      <c r="J58" s="407">
        <f t="shared" si="26"/>
        <v>52.9</v>
      </c>
      <c r="K58" s="407">
        <v>438</v>
      </c>
      <c r="L58" s="407">
        <f t="shared" si="27"/>
        <v>7.2999999999999995E-2</v>
      </c>
      <c r="M58" s="407">
        <f t="shared" si="27"/>
        <v>6.8000000000000005E-2</v>
      </c>
      <c r="N58" s="407">
        <f t="shared" si="27"/>
        <v>-2.7E-2</v>
      </c>
      <c r="O58" s="407">
        <f t="shared" si="27"/>
        <v>0</v>
      </c>
      <c r="P58" s="407">
        <f t="shared" si="27"/>
        <v>9.6</v>
      </c>
      <c r="Q58" s="407">
        <f t="shared" si="27"/>
        <v>11</v>
      </c>
      <c r="R58" s="407">
        <f t="shared" si="27"/>
        <v>17</v>
      </c>
      <c r="S58" s="407">
        <f t="shared" si="27"/>
        <v>8.5000000000000006E-2</v>
      </c>
      <c r="T58" s="407">
        <f t="shared" si="27"/>
        <v>6</v>
      </c>
      <c r="U58" s="407">
        <f t="shared" si="27"/>
        <v>2.5999999999999999E-2</v>
      </c>
      <c r="V58" s="407">
        <f t="shared" si="28"/>
        <v>42.7</v>
      </c>
      <c r="W58" s="407">
        <f t="shared" si="28"/>
        <v>6</v>
      </c>
      <c r="X58" s="407">
        <f t="shared" si="28"/>
        <v>2.5999999999999999E-2</v>
      </c>
      <c r="Y58" s="407">
        <f t="shared" si="28"/>
        <v>42.7</v>
      </c>
      <c r="Z58" s="407">
        <f t="shared" si="28"/>
        <v>1.8</v>
      </c>
      <c r="AA58" s="407">
        <f t="shared" si="28"/>
        <v>8.9999999999999993E-3</v>
      </c>
      <c r="AB58" s="407">
        <f t="shared" si="28"/>
        <v>14.9</v>
      </c>
      <c r="AC58" s="407">
        <f t="shared" si="28"/>
        <v>2.8</v>
      </c>
      <c r="AD58" s="407">
        <f t="shared" si="28"/>
        <v>0</v>
      </c>
      <c r="AE58" s="407">
        <f t="shared" si="28"/>
        <v>17.2</v>
      </c>
      <c r="AF58" s="407">
        <f t="shared" si="29"/>
        <v>3.1</v>
      </c>
      <c r="AG58" s="407">
        <f t="shared" si="29"/>
        <v>1.5E-3</v>
      </c>
      <c r="AH58" s="407">
        <f t="shared" si="29"/>
        <v>20.650000000000002</v>
      </c>
      <c r="AI58" s="407">
        <f t="shared" si="29"/>
        <v>7.7</v>
      </c>
      <c r="AJ58" s="407">
        <f t="shared" si="29"/>
        <v>3.0000000000000001E-3</v>
      </c>
      <c r="AK58" s="407">
        <f t="shared" si="29"/>
        <v>49.9</v>
      </c>
      <c r="AL58" s="407">
        <f t="shared" si="29"/>
        <v>4.1500000000000004</v>
      </c>
      <c r="AM58" s="407">
        <f t="shared" si="29"/>
        <v>4.0000000000000001E-3</v>
      </c>
      <c r="AN58" s="407">
        <f t="shared" si="29"/>
        <v>27.85</v>
      </c>
      <c r="AO58" s="407">
        <f t="shared" si="29"/>
        <v>13.6</v>
      </c>
      <c r="AP58" s="407">
        <f t="shared" si="29"/>
        <v>6.0000000000000001E-3</v>
      </c>
      <c r="AQ58" s="407">
        <f t="shared" si="29"/>
        <v>24.2</v>
      </c>
      <c r="AR58" s="407">
        <v>1934</v>
      </c>
      <c r="AS58" s="407">
        <v>6.0999999999999999E-2</v>
      </c>
      <c r="AT58" s="407">
        <f t="shared" si="30"/>
        <v>1.008</v>
      </c>
      <c r="AU58" s="292" t="s">
        <v>447</v>
      </c>
      <c r="AV58" s="2822">
        <f t="shared" si="5"/>
        <v>0.03</v>
      </c>
      <c r="AW58" s="2822">
        <f t="shared" si="6"/>
        <v>0.97</v>
      </c>
    </row>
    <row r="59" spans="1:49">
      <c r="A59" s="634" t="s">
        <v>183</v>
      </c>
      <c r="B59" s="407">
        <v>6</v>
      </c>
      <c r="C59" s="407">
        <v>83</v>
      </c>
      <c r="D59" s="407">
        <v>73</v>
      </c>
      <c r="E59" s="407">
        <v>6750</v>
      </c>
      <c r="F59" s="407">
        <v>6</v>
      </c>
      <c r="G59" s="407">
        <v>15</v>
      </c>
      <c r="H59" s="407">
        <f t="shared" si="26"/>
        <v>208</v>
      </c>
      <c r="I59" s="407">
        <f t="shared" si="26"/>
        <v>656</v>
      </c>
      <c r="J59" s="407">
        <f t="shared" si="26"/>
        <v>62.5</v>
      </c>
      <c r="K59" s="407">
        <v>438</v>
      </c>
      <c r="L59" s="407">
        <f t="shared" ref="L59:U65" si="31">IF($AU59="Albany",L$4,IF($AU59="Binghamton",L$7,IF($AU59="Buffalo",L$18,IF($AU59="Massena",L$48,IF($AU59="NYC",L$34,IF($AU59="Poughkeepsie",L$17,L$37))))))</f>
        <v>0.16800000000000001</v>
      </c>
      <c r="M59" s="407">
        <f t="shared" si="31"/>
        <v>9.1999999999999998E-2</v>
      </c>
      <c r="N59" s="407">
        <f t="shared" si="31"/>
        <v>-2.3E-2</v>
      </c>
      <c r="O59" s="407">
        <f t="shared" si="31"/>
        <v>0</v>
      </c>
      <c r="P59" s="407">
        <f t="shared" si="31"/>
        <v>10.7</v>
      </c>
      <c r="Q59" s="407">
        <f t="shared" si="31"/>
        <v>56</v>
      </c>
      <c r="R59" s="407">
        <f t="shared" si="31"/>
        <v>17</v>
      </c>
      <c r="S59" s="407">
        <f t="shared" si="31"/>
        <v>9.8000000000000004E-2</v>
      </c>
      <c r="T59" s="407">
        <f t="shared" si="31"/>
        <v>-0.3</v>
      </c>
      <c r="U59" s="407">
        <f t="shared" si="31"/>
        <v>1.7999999999999999E-2</v>
      </c>
      <c r="V59" s="407">
        <f t="shared" ref="V59:AE65" si="32">IF($AU59="Albany",V$4,IF($AU59="Binghamton",V$7,IF($AU59="Buffalo",V$18,IF($AU59="Massena",V$48,IF($AU59="NYC",V$34,IF($AU59="Poughkeepsie",V$17,V$37))))))</f>
        <v>38.700000000000003</v>
      </c>
      <c r="W59" s="407">
        <f t="shared" si="32"/>
        <v>-0.3</v>
      </c>
      <c r="X59" s="407">
        <f t="shared" si="32"/>
        <v>1.7999999999999999E-2</v>
      </c>
      <c r="Y59" s="407">
        <f t="shared" si="32"/>
        <v>38.700000000000003</v>
      </c>
      <c r="Z59" s="407">
        <f t="shared" si="32"/>
        <v>-0.9</v>
      </c>
      <c r="AA59" s="407">
        <f t="shared" si="32"/>
        <v>8.9999999999999993E-3</v>
      </c>
      <c r="AB59" s="407">
        <f t="shared" si="32"/>
        <v>13.4</v>
      </c>
      <c r="AC59" s="407">
        <f t="shared" si="32"/>
        <v>3.6</v>
      </c>
      <c r="AD59" s="407">
        <f t="shared" si="32"/>
        <v>3.0000000000000001E-3</v>
      </c>
      <c r="AE59" s="407">
        <f t="shared" si="32"/>
        <v>13</v>
      </c>
      <c r="AF59" s="407">
        <f t="shared" ref="AF59:AQ65" si="33">IF($AU59="Albany",AF$4,IF($AU59="Binghamton",AF$7,IF($AU59="Buffalo",AF$18,IF($AU59="Massena",AF$48,IF($AU59="NYC",AF$34,IF($AU59="Poughkeepsie",AF$17,AF$37))))))</f>
        <v>3.95</v>
      </c>
      <c r="AG59" s="407">
        <f t="shared" si="33"/>
        <v>1.5E-3</v>
      </c>
      <c r="AH59" s="407">
        <f t="shared" si="33"/>
        <v>15.9</v>
      </c>
      <c r="AI59" s="407">
        <f t="shared" si="33"/>
        <v>9.9</v>
      </c>
      <c r="AJ59" s="407">
        <f t="shared" si="33"/>
        <v>5.0000000000000001E-3</v>
      </c>
      <c r="AK59" s="407">
        <f t="shared" si="33"/>
        <v>38.1</v>
      </c>
      <c r="AL59" s="407">
        <f t="shared" si="33"/>
        <v>5.25</v>
      </c>
      <c r="AM59" s="407">
        <f t="shared" si="33"/>
        <v>4.0000000000000001E-3</v>
      </c>
      <c r="AN59" s="407">
        <f t="shared" si="33"/>
        <v>21.1</v>
      </c>
      <c r="AO59" s="407">
        <f t="shared" si="33"/>
        <v>11.6</v>
      </c>
      <c r="AP59" s="407">
        <f t="shared" si="33"/>
        <v>0</v>
      </c>
      <c r="AQ59" s="407">
        <f t="shared" si="33"/>
        <v>23.6</v>
      </c>
      <c r="AR59" s="407">
        <v>1934</v>
      </c>
      <c r="AS59" s="407">
        <v>6.0999999999999999E-2</v>
      </c>
      <c r="AT59" s="407">
        <f t="shared" si="30"/>
        <v>1.145</v>
      </c>
      <c r="AU59" s="292" t="s">
        <v>451</v>
      </c>
      <c r="AV59" s="2822">
        <f t="shared" si="5"/>
        <v>0.03</v>
      </c>
      <c r="AW59" s="2822">
        <f t="shared" si="6"/>
        <v>0.97</v>
      </c>
    </row>
    <row r="60" spans="1:49">
      <c r="A60" s="634" t="s">
        <v>184</v>
      </c>
      <c r="B60" s="407">
        <v>-10</v>
      </c>
      <c r="C60" s="407">
        <v>85</v>
      </c>
      <c r="D60" s="407">
        <v>71</v>
      </c>
      <c r="E60" s="407">
        <v>7635</v>
      </c>
      <c r="F60" s="407">
        <v>6</v>
      </c>
      <c r="G60" s="407">
        <v>15</v>
      </c>
      <c r="H60" s="407">
        <f t="shared" si="26"/>
        <v>181</v>
      </c>
      <c r="I60" s="407">
        <f t="shared" si="26"/>
        <v>786</v>
      </c>
      <c r="J60" s="407">
        <f t="shared" si="26"/>
        <v>54.2</v>
      </c>
      <c r="K60" s="407">
        <v>438</v>
      </c>
      <c r="L60" s="407">
        <f t="shared" si="31"/>
        <v>0.113</v>
      </c>
      <c r="M60" s="407">
        <f t="shared" si="31"/>
        <v>0.08</v>
      </c>
      <c r="N60" s="407">
        <f t="shared" si="31"/>
        <v>-2.5000000000000001E-2</v>
      </c>
      <c r="O60" s="407">
        <f t="shared" si="31"/>
        <v>0</v>
      </c>
      <c r="P60" s="407">
        <f t="shared" si="31"/>
        <v>9.6999999999999993</v>
      </c>
      <c r="Q60" s="407">
        <f t="shared" si="31"/>
        <v>22</v>
      </c>
      <c r="R60" s="407">
        <f t="shared" si="31"/>
        <v>16</v>
      </c>
      <c r="S60" s="407">
        <f t="shared" si="31"/>
        <v>9.9000000000000005E-2</v>
      </c>
      <c r="T60" s="407">
        <f t="shared" si="31"/>
        <v>6.3</v>
      </c>
      <c r="U60" s="407">
        <f t="shared" si="31"/>
        <v>1.7999999999999999E-2</v>
      </c>
      <c r="V60" s="407">
        <f t="shared" si="32"/>
        <v>39.200000000000003</v>
      </c>
      <c r="W60" s="407">
        <f t="shared" si="32"/>
        <v>6.3</v>
      </c>
      <c r="X60" s="407">
        <f t="shared" si="32"/>
        <v>1.7999999999999999E-2</v>
      </c>
      <c r="Y60" s="407">
        <f t="shared" si="32"/>
        <v>39.200000000000003</v>
      </c>
      <c r="Z60" s="407">
        <f t="shared" si="32"/>
        <v>1.8</v>
      </c>
      <c r="AA60" s="407">
        <f t="shared" si="32"/>
        <v>1.7999999999999999E-2</v>
      </c>
      <c r="AB60" s="407">
        <f t="shared" si="32"/>
        <v>14.1</v>
      </c>
      <c r="AC60" s="407">
        <f t="shared" si="32"/>
        <v>4.3</v>
      </c>
      <c r="AD60" s="407">
        <f t="shared" si="32"/>
        <v>5.0000000000000001E-3</v>
      </c>
      <c r="AE60" s="407">
        <f t="shared" si="32"/>
        <v>15.7</v>
      </c>
      <c r="AF60" s="407">
        <f t="shared" si="33"/>
        <v>5</v>
      </c>
      <c r="AG60" s="407">
        <f t="shared" si="33"/>
        <v>4.0000000000000001E-3</v>
      </c>
      <c r="AH60" s="407">
        <f t="shared" si="33"/>
        <v>19</v>
      </c>
      <c r="AI60" s="407">
        <f t="shared" si="33"/>
        <v>12.2</v>
      </c>
      <c r="AJ60" s="407">
        <f t="shared" si="33"/>
        <v>1.0999999999999999E-2</v>
      </c>
      <c r="AK60" s="407">
        <f t="shared" si="33"/>
        <v>45.6</v>
      </c>
      <c r="AL60" s="407">
        <f t="shared" si="33"/>
        <v>6.6999999999999993</v>
      </c>
      <c r="AM60" s="407">
        <f t="shared" si="33"/>
        <v>6.5000000000000002E-2</v>
      </c>
      <c r="AN60" s="407">
        <f t="shared" si="33"/>
        <v>25.6</v>
      </c>
      <c r="AO60" s="407">
        <f t="shared" si="33"/>
        <v>12.8</v>
      </c>
      <c r="AP60" s="407">
        <f t="shared" si="33"/>
        <v>6.0000000000000001E-3</v>
      </c>
      <c r="AQ60" s="407">
        <f t="shared" si="33"/>
        <v>22.6</v>
      </c>
      <c r="AR60" s="407">
        <v>1934</v>
      </c>
      <c r="AS60" s="407">
        <v>6.0999999999999999E-2</v>
      </c>
      <c r="AT60" s="407">
        <f t="shared" si="30"/>
        <v>1</v>
      </c>
      <c r="AU60" s="292" t="s">
        <v>446</v>
      </c>
      <c r="AV60" s="2822">
        <f t="shared" si="5"/>
        <v>0.03</v>
      </c>
      <c r="AW60" s="2822">
        <f t="shared" si="6"/>
        <v>0.97</v>
      </c>
    </row>
    <row r="61" spans="1:49">
      <c r="A61" s="634" t="s">
        <v>185</v>
      </c>
      <c r="B61" s="407">
        <v>-10</v>
      </c>
      <c r="C61" s="407">
        <v>85</v>
      </c>
      <c r="D61" s="407">
        <v>71</v>
      </c>
      <c r="E61" s="407">
        <v>7635</v>
      </c>
      <c r="F61" s="407">
        <v>5</v>
      </c>
      <c r="G61" s="407">
        <v>15</v>
      </c>
      <c r="H61" s="407">
        <f t="shared" si="26"/>
        <v>181</v>
      </c>
      <c r="I61" s="407">
        <f t="shared" si="26"/>
        <v>786</v>
      </c>
      <c r="J61" s="407">
        <f t="shared" si="26"/>
        <v>54.2</v>
      </c>
      <c r="K61" s="407">
        <v>507</v>
      </c>
      <c r="L61" s="407">
        <f t="shared" si="31"/>
        <v>0.113</v>
      </c>
      <c r="M61" s="407">
        <f t="shared" si="31"/>
        <v>0.08</v>
      </c>
      <c r="N61" s="407">
        <f t="shared" si="31"/>
        <v>-2.5000000000000001E-2</v>
      </c>
      <c r="O61" s="407">
        <f t="shared" si="31"/>
        <v>0</v>
      </c>
      <c r="P61" s="407">
        <f t="shared" si="31"/>
        <v>9.6999999999999993</v>
      </c>
      <c r="Q61" s="407">
        <f t="shared" si="31"/>
        <v>22</v>
      </c>
      <c r="R61" s="407">
        <f t="shared" si="31"/>
        <v>16</v>
      </c>
      <c r="S61" s="407">
        <f t="shared" si="31"/>
        <v>9.9000000000000005E-2</v>
      </c>
      <c r="T61" s="407">
        <f t="shared" si="31"/>
        <v>6.3</v>
      </c>
      <c r="U61" s="407">
        <f t="shared" si="31"/>
        <v>1.7999999999999999E-2</v>
      </c>
      <c r="V61" s="407">
        <f t="shared" si="32"/>
        <v>39.200000000000003</v>
      </c>
      <c r="W61" s="407">
        <f t="shared" si="32"/>
        <v>6.3</v>
      </c>
      <c r="X61" s="407">
        <f t="shared" si="32"/>
        <v>1.7999999999999999E-2</v>
      </c>
      <c r="Y61" s="407">
        <f t="shared" si="32"/>
        <v>39.200000000000003</v>
      </c>
      <c r="Z61" s="407">
        <f t="shared" si="32"/>
        <v>1.8</v>
      </c>
      <c r="AA61" s="407">
        <f t="shared" si="32"/>
        <v>1.7999999999999999E-2</v>
      </c>
      <c r="AB61" s="407">
        <f t="shared" si="32"/>
        <v>14.1</v>
      </c>
      <c r="AC61" s="407">
        <f t="shared" si="32"/>
        <v>4.3</v>
      </c>
      <c r="AD61" s="407">
        <f t="shared" si="32"/>
        <v>5.0000000000000001E-3</v>
      </c>
      <c r="AE61" s="407">
        <f t="shared" si="32"/>
        <v>15.7</v>
      </c>
      <c r="AF61" s="407">
        <f t="shared" si="33"/>
        <v>5</v>
      </c>
      <c r="AG61" s="407">
        <f t="shared" si="33"/>
        <v>4.0000000000000001E-3</v>
      </c>
      <c r="AH61" s="407">
        <f t="shared" si="33"/>
        <v>19</v>
      </c>
      <c r="AI61" s="407">
        <f t="shared" si="33"/>
        <v>12.2</v>
      </c>
      <c r="AJ61" s="407">
        <f t="shared" si="33"/>
        <v>1.0999999999999999E-2</v>
      </c>
      <c r="AK61" s="407">
        <f t="shared" si="33"/>
        <v>45.6</v>
      </c>
      <c r="AL61" s="407">
        <f t="shared" si="33"/>
        <v>6.6999999999999993</v>
      </c>
      <c r="AM61" s="407">
        <f t="shared" si="33"/>
        <v>6.5000000000000002E-2</v>
      </c>
      <c r="AN61" s="407">
        <f t="shared" si="33"/>
        <v>25.6</v>
      </c>
      <c r="AO61" s="407">
        <f t="shared" si="33"/>
        <v>12.8</v>
      </c>
      <c r="AP61" s="407">
        <f t="shared" si="33"/>
        <v>6.0000000000000001E-3</v>
      </c>
      <c r="AQ61" s="407">
        <f t="shared" si="33"/>
        <v>22.6</v>
      </c>
      <c r="AR61" s="407">
        <v>1934</v>
      </c>
      <c r="AS61" s="407">
        <v>6.0999999999999999E-2</v>
      </c>
      <c r="AT61" s="407">
        <f t="shared" si="30"/>
        <v>1</v>
      </c>
      <c r="AU61" s="292" t="s">
        <v>446</v>
      </c>
      <c r="AV61" s="2822">
        <f t="shared" si="5"/>
        <v>0.06</v>
      </c>
      <c r="AW61" s="2822">
        <f t="shared" si="6"/>
        <v>0.94</v>
      </c>
    </row>
    <row r="62" spans="1:49">
      <c r="A62" s="634" t="s">
        <v>186</v>
      </c>
      <c r="B62" s="407">
        <v>1</v>
      </c>
      <c r="C62" s="407">
        <v>86</v>
      </c>
      <c r="D62" s="407">
        <v>71</v>
      </c>
      <c r="E62" s="407">
        <v>6734</v>
      </c>
      <c r="F62" s="407">
        <v>5</v>
      </c>
      <c r="G62" s="407" t="s">
        <v>198</v>
      </c>
      <c r="H62" s="407">
        <f t="shared" si="26"/>
        <v>186</v>
      </c>
      <c r="I62" s="407">
        <f t="shared" si="26"/>
        <v>889</v>
      </c>
      <c r="J62" s="407">
        <f t="shared" si="26"/>
        <v>54.6</v>
      </c>
      <c r="K62" s="407">
        <v>507</v>
      </c>
      <c r="L62" s="407">
        <f t="shared" si="31"/>
        <v>0.113</v>
      </c>
      <c r="M62" s="407">
        <f t="shared" si="31"/>
        <v>0.08</v>
      </c>
      <c r="N62" s="407">
        <f t="shared" si="31"/>
        <v>-2.4E-2</v>
      </c>
      <c r="O62" s="407">
        <f t="shared" si="31"/>
        <v>0</v>
      </c>
      <c r="P62" s="407">
        <f t="shared" si="31"/>
        <v>9.6999999999999993</v>
      </c>
      <c r="Q62" s="407">
        <f t="shared" si="31"/>
        <v>23</v>
      </c>
      <c r="R62" s="407">
        <f t="shared" si="31"/>
        <v>16</v>
      </c>
      <c r="S62" s="407">
        <f t="shared" si="31"/>
        <v>9.1999999999999998E-2</v>
      </c>
      <c r="T62" s="407">
        <f t="shared" si="31"/>
        <v>6.1</v>
      </c>
      <c r="U62" s="407">
        <f t="shared" si="31"/>
        <v>4.3999999999999997E-2</v>
      </c>
      <c r="V62" s="407">
        <f t="shared" si="32"/>
        <v>37.799999999999997</v>
      </c>
      <c r="W62" s="407">
        <f t="shared" si="32"/>
        <v>6.1</v>
      </c>
      <c r="X62" s="407">
        <f t="shared" si="32"/>
        <v>4.3999999999999997E-2</v>
      </c>
      <c r="Y62" s="407">
        <f t="shared" si="32"/>
        <v>37.799999999999997</v>
      </c>
      <c r="Z62" s="407">
        <f t="shared" si="32"/>
        <v>1.7</v>
      </c>
      <c r="AA62" s="407">
        <f t="shared" si="32"/>
        <v>2.5999999999999999E-2</v>
      </c>
      <c r="AB62" s="407">
        <f t="shared" si="32"/>
        <v>15</v>
      </c>
      <c r="AC62" s="407">
        <f t="shared" si="32"/>
        <v>4.8</v>
      </c>
      <c r="AD62" s="407">
        <f t="shared" si="32"/>
        <v>5.0000000000000001E-3</v>
      </c>
      <c r="AE62" s="407">
        <f t="shared" si="32"/>
        <v>15.5</v>
      </c>
      <c r="AF62" s="407">
        <f t="shared" si="33"/>
        <v>5.5500000000000007</v>
      </c>
      <c r="AG62" s="407">
        <f t="shared" si="33"/>
        <v>5.4999999999999997E-3</v>
      </c>
      <c r="AH62" s="407">
        <f t="shared" si="33"/>
        <v>18.599999999999998</v>
      </c>
      <c r="AI62" s="407">
        <f t="shared" si="33"/>
        <v>13.5</v>
      </c>
      <c r="AJ62" s="407">
        <f t="shared" si="33"/>
        <v>1.4E-2</v>
      </c>
      <c r="AK62" s="407">
        <f t="shared" si="33"/>
        <v>44.9</v>
      </c>
      <c r="AL62" s="407">
        <f t="shared" si="33"/>
        <v>7.4</v>
      </c>
      <c r="AM62" s="407">
        <f t="shared" si="33"/>
        <v>8.0000000000000002E-3</v>
      </c>
      <c r="AN62" s="407">
        <f t="shared" si="33"/>
        <v>25.1</v>
      </c>
      <c r="AO62" s="407">
        <f t="shared" si="33"/>
        <v>13.2</v>
      </c>
      <c r="AP62" s="407">
        <f t="shared" si="33"/>
        <v>1.4E-2</v>
      </c>
      <c r="AQ62" s="407">
        <f t="shared" si="33"/>
        <v>23.4</v>
      </c>
      <c r="AR62" s="407">
        <v>1934</v>
      </c>
      <c r="AS62" s="407">
        <v>6.0999999999999999E-2</v>
      </c>
      <c r="AT62" s="407">
        <f t="shared" si="30"/>
        <v>0.99099999999999999</v>
      </c>
      <c r="AU62" s="292" t="s">
        <v>449</v>
      </c>
      <c r="AV62" s="2822">
        <f t="shared" si="5"/>
        <v>0.06</v>
      </c>
      <c r="AW62" s="2822">
        <f t="shared" si="6"/>
        <v>0.94</v>
      </c>
    </row>
    <row r="63" spans="1:49">
      <c r="A63" s="634" t="s">
        <v>187</v>
      </c>
      <c r="B63" s="407">
        <v>7</v>
      </c>
      <c r="C63" s="407">
        <v>84</v>
      </c>
      <c r="D63" s="407">
        <v>73</v>
      </c>
      <c r="E63" s="407">
        <v>5750</v>
      </c>
      <c r="F63" s="407">
        <v>4</v>
      </c>
      <c r="G63" s="407" t="s">
        <v>202</v>
      </c>
      <c r="H63" s="407">
        <f t="shared" si="26"/>
        <v>382</v>
      </c>
      <c r="I63" s="407">
        <f t="shared" si="26"/>
        <v>526</v>
      </c>
      <c r="J63" s="407">
        <f t="shared" si="26"/>
        <v>62.5</v>
      </c>
      <c r="K63" s="407">
        <v>1096</v>
      </c>
      <c r="L63" s="407">
        <f t="shared" si="31"/>
        <v>0.19400000000000001</v>
      </c>
      <c r="M63" s="407">
        <f t="shared" si="31"/>
        <v>0.10100000000000001</v>
      </c>
      <c r="N63" s="407">
        <f t="shared" si="31"/>
        <v>-2.1000000000000001E-2</v>
      </c>
      <c r="O63" s="407">
        <f t="shared" si="31"/>
        <v>0</v>
      </c>
      <c r="P63" s="407">
        <f t="shared" si="31"/>
        <v>10.7</v>
      </c>
      <c r="Q63" s="407">
        <f t="shared" si="31"/>
        <v>56</v>
      </c>
      <c r="R63" s="407">
        <f t="shared" si="31"/>
        <v>17</v>
      </c>
      <c r="S63" s="407">
        <f t="shared" si="31"/>
        <v>9.8000000000000004E-2</v>
      </c>
      <c r="T63" s="407">
        <f t="shared" si="31"/>
        <v>20.3</v>
      </c>
      <c r="U63" s="407">
        <f t="shared" si="31"/>
        <v>2.5999999999999999E-2</v>
      </c>
      <c r="V63" s="407">
        <f t="shared" si="32"/>
        <v>28.3</v>
      </c>
      <c r="W63" s="407">
        <f t="shared" si="32"/>
        <v>20.3</v>
      </c>
      <c r="X63" s="407">
        <f t="shared" si="32"/>
        <v>2.5999999999999999E-2</v>
      </c>
      <c r="Y63" s="407">
        <f t="shared" si="32"/>
        <v>28.3</v>
      </c>
      <c r="Z63" s="407">
        <f t="shared" si="32"/>
        <v>6.7</v>
      </c>
      <c r="AA63" s="407">
        <f t="shared" si="32"/>
        <v>8.9999999999999993E-3</v>
      </c>
      <c r="AB63" s="407">
        <f t="shared" si="32"/>
        <v>9.4</v>
      </c>
      <c r="AC63" s="407">
        <f t="shared" si="32"/>
        <v>11</v>
      </c>
      <c r="AD63" s="407">
        <f t="shared" si="32"/>
        <v>3.0000000000000001E-3</v>
      </c>
      <c r="AE63" s="407">
        <f t="shared" si="32"/>
        <v>10.7</v>
      </c>
      <c r="AF63" s="407">
        <f t="shared" si="33"/>
        <v>13.05</v>
      </c>
      <c r="AG63" s="407">
        <f t="shared" si="33"/>
        <v>2.5000000000000001E-3</v>
      </c>
      <c r="AH63" s="407">
        <f t="shared" si="33"/>
        <v>12.75</v>
      </c>
      <c r="AI63" s="407">
        <f t="shared" si="33"/>
        <v>31.7</v>
      </c>
      <c r="AJ63" s="407">
        <f t="shared" si="33"/>
        <v>8.0000000000000002E-3</v>
      </c>
      <c r="AK63" s="407">
        <f t="shared" si="33"/>
        <v>30.9</v>
      </c>
      <c r="AL63" s="407">
        <f t="shared" si="33"/>
        <v>17.600000000000001</v>
      </c>
      <c r="AM63" s="407">
        <f t="shared" si="33"/>
        <v>5.4999999999999997E-3</v>
      </c>
      <c r="AN63" s="407">
        <f t="shared" si="33"/>
        <v>17.350000000000001</v>
      </c>
      <c r="AO63" s="407">
        <f t="shared" si="33"/>
        <v>9.1999999999999993</v>
      </c>
      <c r="AP63" s="407">
        <f t="shared" si="33"/>
        <v>6.0000000000000001E-3</v>
      </c>
      <c r="AQ63" s="407">
        <f t="shared" si="33"/>
        <v>17.399999999999999</v>
      </c>
      <c r="AR63" s="407">
        <v>1934</v>
      </c>
      <c r="AS63" s="407">
        <v>6.0999999999999999E-2</v>
      </c>
      <c r="AT63" s="407">
        <f t="shared" si="30"/>
        <v>1.34</v>
      </c>
      <c r="AU63" s="292" t="s">
        <v>402</v>
      </c>
      <c r="AV63" s="2822">
        <f t="shared" si="5"/>
        <v>0.15</v>
      </c>
      <c r="AW63" s="2822">
        <f t="shared" si="6"/>
        <v>0.85</v>
      </c>
    </row>
    <row r="64" spans="1:49">
      <c r="A64" s="634" t="s">
        <v>188</v>
      </c>
      <c r="B64" s="407">
        <v>1</v>
      </c>
      <c r="C64" s="407">
        <v>86</v>
      </c>
      <c r="D64" s="407">
        <v>71</v>
      </c>
      <c r="E64" s="407">
        <v>6734</v>
      </c>
      <c r="F64" s="407">
        <v>6</v>
      </c>
      <c r="G64" s="407" t="s">
        <v>198</v>
      </c>
      <c r="H64" s="407">
        <f t="shared" si="26"/>
        <v>151</v>
      </c>
      <c r="I64" s="407">
        <f t="shared" si="26"/>
        <v>966</v>
      </c>
      <c r="J64" s="407">
        <f t="shared" si="26"/>
        <v>54.3</v>
      </c>
      <c r="K64" s="407">
        <v>438</v>
      </c>
      <c r="L64" s="407">
        <f t="shared" si="31"/>
        <v>0.113</v>
      </c>
      <c r="M64" s="407">
        <f t="shared" si="31"/>
        <v>7.1999999999999995E-2</v>
      </c>
      <c r="N64" s="407">
        <f t="shared" si="31"/>
        <v>-2.5999999999999999E-2</v>
      </c>
      <c r="O64" s="407">
        <f t="shared" si="31"/>
        <v>0</v>
      </c>
      <c r="P64" s="407">
        <f t="shared" si="31"/>
        <v>9.9</v>
      </c>
      <c r="Q64" s="407">
        <f t="shared" si="31"/>
        <v>20</v>
      </c>
      <c r="R64" s="407">
        <f t="shared" si="31"/>
        <v>19</v>
      </c>
      <c r="S64" s="407">
        <f t="shared" si="31"/>
        <v>7.9000000000000001E-2</v>
      </c>
      <c r="T64" s="407">
        <f t="shared" si="31"/>
        <v>3.1</v>
      </c>
      <c r="U64" s="407">
        <f t="shared" si="31"/>
        <v>1.8E-3</v>
      </c>
      <c r="V64" s="407">
        <f t="shared" si="32"/>
        <v>38.6</v>
      </c>
      <c r="W64" s="407">
        <f t="shared" si="32"/>
        <v>3.1</v>
      </c>
      <c r="X64" s="407">
        <f t="shared" si="32"/>
        <v>1.7999999999999999E-2</v>
      </c>
      <c r="Y64" s="407">
        <f t="shared" si="32"/>
        <v>38.6</v>
      </c>
      <c r="Z64" s="407">
        <f t="shared" si="32"/>
        <v>0.7</v>
      </c>
      <c r="AA64" s="407">
        <f t="shared" si="32"/>
        <v>0</v>
      </c>
      <c r="AB64" s="407">
        <f t="shared" si="32"/>
        <v>13.9</v>
      </c>
      <c r="AC64" s="407">
        <f t="shared" si="32"/>
        <v>3</v>
      </c>
      <c r="AD64" s="407">
        <f t="shared" si="32"/>
        <v>3.0000000000000001E-3</v>
      </c>
      <c r="AE64" s="407">
        <f t="shared" si="32"/>
        <v>16.5</v>
      </c>
      <c r="AF64" s="407">
        <f t="shared" si="33"/>
        <v>3.45</v>
      </c>
      <c r="AG64" s="407">
        <f t="shared" si="33"/>
        <v>1.5E-3</v>
      </c>
      <c r="AH64" s="407">
        <f t="shared" si="33"/>
        <v>19.7</v>
      </c>
      <c r="AI64" s="407">
        <f t="shared" si="33"/>
        <v>8.5</v>
      </c>
      <c r="AJ64" s="407">
        <f t="shared" si="33"/>
        <v>5.0000000000000001E-3</v>
      </c>
      <c r="AK64" s="407">
        <f t="shared" si="33"/>
        <v>47.7</v>
      </c>
      <c r="AL64" s="407">
        <f t="shared" si="33"/>
        <v>4.6500000000000004</v>
      </c>
      <c r="AM64" s="407">
        <f t="shared" si="33"/>
        <v>4.0000000000000001E-3</v>
      </c>
      <c r="AN64" s="407">
        <f t="shared" si="33"/>
        <v>26.5</v>
      </c>
      <c r="AO64" s="407">
        <f t="shared" si="33"/>
        <v>11.2</v>
      </c>
      <c r="AP64" s="407">
        <f t="shared" si="33"/>
        <v>6.0000000000000001E-3</v>
      </c>
      <c r="AQ64" s="407">
        <f t="shared" si="33"/>
        <v>24</v>
      </c>
      <c r="AR64" s="407">
        <v>1934</v>
      </c>
      <c r="AS64" s="407">
        <v>6.0999999999999999E-2</v>
      </c>
      <c r="AT64" s="407">
        <f t="shared" si="30"/>
        <v>1.036</v>
      </c>
      <c r="AU64" s="292" t="s">
        <v>448</v>
      </c>
      <c r="AV64" s="2822">
        <f t="shared" si="5"/>
        <v>0.03</v>
      </c>
      <c r="AW64" s="2822">
        <f t="shared" si="6"/>
        <v>0.97</v>
      </c>
    </row>
    <row r="65" spans="1:49">
      <c r="A65" s="634" t="s">
        <v>189</v>
      </c>
      <c r="B65" s="407">
        <v>1</v>
      </c>
      <c r="C65" s="407">
        <v>86</v>
      </c>
      <c r="D65" s="407">
        <v>71</v>
      </c>
      <c r="E65" s="407">
        <v>6734</v>
      </c>
      <c r="F65" s="407">
        <v>5</v>
      </c>
      <c r="G65" s="407" t="s">
        <v>198</v>
      </c>
      <c r="H65" s="407">
        <f t="shared" si="26"/>
        <v>186</v>
      </c>
      <c r="I65" s="407">
        <f t="shared" si="26"/>
        <v>889</v>
      </c>
      <c r="J65" s="407">
        <f t="shared" si="26"/>
        <v>54.6</v>
      </c>
      <c r="K65" s="407">
        <v>507</v>
      </c>
      <c r="L65" s="407">
        <f t="shared" si="31"/>
        <v>0.113</v>
      </c>
      <c r="M65" s="407">
        <f t="shared" si="31"/>
        <v>0.08</v>
      </c>
      <c r="N65" s="407">
        <f t="shared" si="31"/>
        <v>-2.4E-2</v>
      </c>
      <c r="O65" s="407">
        <f t="shared" si="31"/>
        <v>0</v>
      </c>
      <c r="P65" s="407">
        <f t="shared" si="31"/>
        <v>9.6999999999999993</v>
      </c>
      <c r="Q65" s="407">
        <f t="shared" si="31"/>
        <v>23</v>
      </c>
      <c r="R65" s="407">
        <f t="shared" si="31"/>
        <v>16</v>
      </c>
      <c r="S65" s="407">
        <f t="shared" si="31"/>
        <v>9.1999999999999998E-2</v>
      </c>
      <c r="T65" s="407">
        <f t="shared" si="31"/>
        <v>6.1</v>
      </c>
      <c r="U65" s="407">
        <f t="shared" si="31"/>
        <v>4.3999999999999997E-2</v>
      </c>
      <c r="V65" s="407">
        <f t="shared" si="32"/>
        <v>37.799999999999997</v>
      </c>
      <c r="W65" s="407">
        <f t="shared" si="32"/>
        <v>6.1</v>
      </c>
      <c r="X65" s="407">
        <f t="shared" si="32"/>
        <v>4.3999999999999997E-2</v>
      </c>
      <c r="Y65" s="407">
        <f t="shared" si="32"/>
        <v>37.799999999999997</v>
      </c>
      <c r="Z65" s="407">
        <f t="shared" si="32"/>
        <v>1.7</v>
      </c>
      <c r="AA65" s="407">
        <f t="shared" si="32"/>
        <v>2.5999999999999999E-2</v>
      </c>
      <c r="AB65" s="407">
        <f t="shared" si="32"/>
        <v>15</v>
      </c>
      <c r="AC65" s="407">
        <f t="shared" si="32"/>
        <v>4.8</v>
      </c>
      <c r="AD65" s="407">
        <f t="shared" si="32"/>
        <v>5.0000000000000001E-3</v>
      </c>
      <c r="AE65" s="407">
        <f t="shared" si="32"/>
        <v>15.5</v>
      </c>
      <c r="AF65" s="407">
        <f t="shared" si="33"/>
        <v>5.5500000000000007</v>
      </c>
      <c r="AG65" s="407">
        <f t="shared" si="33"/>
        <v>5.4999999999999997E-3</v>
      </c>
      <c r="AH65" s="407">
        <f t="shared" si="33"/>
        <v>18.599999999999998</v>
      </c>
      <c r="AI65" s="407">
        <f t="shared" si="33"/>
        <v>13.5</v>
      </c>
      <c r="AJ65" s="407">
        <f t="shared" si="33"/>
        <v>1.4E-2</v>
      </c>
      <c r="AK65" s="407">
        <f t="shared" si="33"/>
        <v>44.9</v>
      </c>
      <c r="AL65" s="407">
        <f t="shared" si="33"/>
        <v>7.4</v>
      </c>
      <c r="AM65" s="407">
        <f t="shared" si="33"/>
        <v>8.0000000000000002E-3</v>
      </c>
      <c r="AN65" s="407">
        <f t="shared" si="33"/>
        <v>25.1</v>
      </c>
      <c r="AO65" s="407">
        <f t="shared" si="33"/>
        <v>13.2</v>
      </c>
      <c r="AP65" s="407">
        <f t="shared" si="33"/>
        <v>1.4E-2</v>
      </c>
      <c r="AQ65" s="407">
        <f t="shared" si="33"/>
        <v>23.4</v>
      </c>
      <c r="AR65" s="407">
        <v>1934</v>
      </c>
      <c r="AS65" s="407">
        <v>6.0999999999999999E-2</v>
      </c>
      <c r="AT65" s="407">
        <f t="shared" si="30"/>
        <v>0.99099999999999999</v>
      </c>
      <c r="AU65" s="292" t="s">
        <v>449</v>
      </c>
      <c r="AV65" s="2822">
        <f t="shared" si="5"/>
        <v>0.06</v>
      </c>
      <c r="AW65" s="2822">
        <f t="shared" si="6"/>
        <v>0.94</v>
      </c>
    </row>
    <row r="66" spans="1:49">
      <c r="K66" s="45"/>
    </row>
    <row r="67" spans="1:49">
      <c r="K67" s="45"/>
    </row>
    <row r="68" spans="1:49">
      <c r="K68" s="45"/>
    </row>
    <row r="69" spans="1:49">
      <c r="K69" s="45"/>
    </row>
    <row r="70" spans="1:49">
      <c r="K70" s="45"/>
    </row>
    <row r="71" spans="1:49">
      <c r="K71" s="45"/>
    </row>
    <row r="72" spans="1:49">
      <c r="K72" s="45"/>
    </row>
    <row r="73" spans="1:49">
      <c r="K73" s="45"/>
    </row>
    <row r="74" spans="1:49">
      <c r="K74" s="45"/>
    </row>
    <row r="75" spans="1:49">
      <c r="K75" s="45"/>
    </row>
    <row r="76" spans="1:49">
      <c r="K76" s="45"/>
    </row>
    <row r="77" spans="1:49">
      <c r="K77" s="45"/>
    </row>
    <row r="78" spans="1:49">
      <c r="K78" s="45"/>
    </row>
    <row r="79" spans="1:49">
      <c r="K79" s="45"/>
    </row>
    <row r="80" spans="1:49">
      <c r="K80" s="45"/>
    </row>
    <row r="81" spans="11:11">
      <c r="K81" s="45"/>
    </row>
    <row r="82" spans="11:11">
      <c r="K82" s="45"/>
    </row>
    <row r="83" spans="11:11">
      <c r="K83" s="45"/>
    </row>
    <row r="84" spans="11:11">
      <c r="K84" s="45"/>
    </row>
    <row r="85" spans="11:11">
      <c r="K85" s="45"/>
    </row>
    <row r="86" spans="11:11">
      <c r="K86" s="45"/>
    </row>
  </sheetData>
  <mergeCells count="27">
    <mergeCell ref="AU2:AU3"/>
    <mergeCell ref="H2:H3"/>
    <mergeCell ref="I2:I3"/>
    <mergeCell ref="J2:J3"/>
    <mergeCell ref="Q2:S2"/>
    <mergeCell ref="AT2:AT3"/>
    <mergeCell ref="K2:K3"/>
    <mergeCell ref="O2:O3"/>
    <mergeCell ref="P2:P3"/>
    <mergeCell ref="L2:L3"/>
    <mergeCell ref="M2:M3"/>
    <mergeCell ref="N2:N3"/>
    <mergeCell ref="AR2:AR3"/>
    <mergeCell ref="AS2:AS3"/>
    <mergeCell ref="AO2:AQ2"/>
    <mergeCell ref="T2:V2"/>
    <mergeCell ref="B2:B3"/>
    <mergeCell ref="C2:C3"/>
    <mergeCell ref="D2:D3"/>
    <mergeCell ref="E2:E3"/>
    <mergeCell ref="F2:G2"/>
    <mergeCell ref="W2:Y2"/>
    <mergeCell ref="AL2:AN2"/>
    <mergeCell ref="AI2:AK2"/>
    <mergeCell ref="AF2:AH2"/>
    <mergeCell ref="AC2:AE2"/>
    <mergeCell ref="Z2:AB2"/>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14999847407452621"/>
  </sheetPr>
  <dimension ref="A1:AZ48"/>
  <sheetViews>
    <sheetView workbookViewId="0"/>
  </sheetViews>
  <sheetFormatPr defaultRowHeight="12"/>
  <cols>
    <col min="1" max="1" width="2.7109375" style="35" bestFit="1" customWidth="1"/>
    <col min="2" max="2" width="92.5703125" style="35" customWidth="1"/>
    <col min="3" max="3" width="12.42578125" style="35" customWidth="1"/>
    <col min="4" max="4" width="12" style="35" customWidth="1"/>
    <col min="5" max="52" width="11.28515625" style="35" customWidth="1"/>
    <col min="53" max="256" width="9.140625" style="35"/>
    <col min="257" max="257" width="81.140625" style="35" bestFit="1" customWidth="1"/>
    <col min="258" max="258" width="11.85546875" style="35" bestFit="1" customWidth="1"/>
    <col min="259" max="259" width="9.140625" style="35" bestFit="1" customWidth="1"/>
    <col min="260" max="307" width="8.28515625" style="35" bestFit="1" customWidth="1"/>
    <col min="308" max="512" width="9.140625" style="35"/>
    <col min="513" max="513" width="81.140625" style="35" bestFit="1" customWidth="1"/>
    <col min="514" max="514" width="11.85546875" style="35" bestFit="1" customWidth="1"/>
    <col min="515" max="515" width="9.140625" style="35" bestFit="1" customWidth="1"/>
    <col min="516" max="563" width="8.28515625" style="35" bestFit="1" customWidth="1"/>
    <col min="564" max="768" width="9.140625" style="35"/>
    <col min="769" max="769" width="81.140625" style="35" bestFit="1" customWidth="1"/>
    <col min="770" max="770" width="11.85546875" style="35" bestFit="1" customWidth="1"/>
    <col min="771" max="771" width="9.140625" style="35" bestFit="1" customWidth="1"/>
    <col min="772" max="819" width="8.28515625" style="35" bestFit="1" customWidth="1"/>
    <col min="820" max="1024" width="9.140625" style="35"/>
    <col min="1025" max="1025" width="81.140625" style="35" bestFit="1" customWidth="1"/>
    <col min="1026" max="1026" width="11.85546875" style="35" bestFit="1" customWidth="1"/>
    <col min="1027" max="1027" width="9.140625" style="35" bestFit="1" customWidth="1"/>
    <col min="1028" max="1075" width="8.28515625" style="35" bestFit="1" customWidth="1"/>
    <col min="1076" max="1280" width="9.140625" style="35"/>
    <col min="1281" max="1281" width="81.140625" style="35" bestFit="1" customWidth="1"/>
    <col min="1282" max="1282" width="11.85546875" style="35" bestFit="1" customWidth="1"/>
    <col min="1283" max="1283" width="9.140625" style="35" bestFit="1" customWidth="1"/>
    <col min="1284" max="1331" width="8.28515625" style="35" bestFit="1" customWidth="1"/>
    <col min="1332" max="1536" width="9.140625" style="35"/>
    <col min="1537" max="1537" width="81.140625" style="35" bestFit="1" customWidth="1"/>
    <col min="1538" max="1538" width="11.85546875" style="35" bestFit="1" customWidth="1"/>
    <col min="1539" max="1539" width="9.140625" style="35" bestFit="1" customWidth="1"/>
    <col min="1540" max="1587" width="8.28515625" style="35" bestFit="1" customWidth="1"/>
    <col min="1588" max="1792" width="9.140625" style="35"/>
    <col min="1793" max="1793" width="81.140625" style="35" bestFit="1" customWidth="1"/>
    <col min="1794" max="1794" width="11.85546875" style="35" bestFit="1" customWidth="1"/>
    <col min="1795" max="1795" width="9.140625" style="35" bestFit="1" customWidth="1"/>
    <col min="1796" max="1843" width="8.28515625" style="35" bestFit="1" customWidth="1"/>
    <col min="1844" max="2048" width="9.140625" style="35"/>
    <col min="2049" max="2049" width="81.140625" style="35" bestFit="1" customWidth="1"/>
    <col min="2050" max="2050" width="11.85546875" style="35" bestFit="1" customWidth="1"/>
    <col min="2051" max="2051" width="9.140625" style="35" bestFit="1" customWidth="1"/>
    <col min="2052" max="2099" width="8.28515625" style="35" bestFit="1" customWidth="1"/>
    <col min="2100" max="2304" width="9.140625" style="35"/>
    <col min="2305" max="2305" width="81.140625" style="35" bestFit="1" customWidth="1"/>
    <col min="2306" max="2306" width="11.85546875" style="35" bestFit="1" customWidth="1"/>
    <col min="2307" max="2307" width="9.140625" style="35" bestFit="1" customWidth="1"/>
    <col min="2308" max="2355" width="8.28515625" style="35" bestFit="1" customWidth="1"/>
    <col min="2356" max="2560" width="9.140625" style="35"/>
    <col min="2561" max="2561" width="81.140625" style="35" bestFit="1" customWidth="1"/>
    <col min="2562" max="2562" width="11.85546875" style="35" bestFit="1" customWidth="1"/>
    <col min="2563" max="2563" width="9.140625" style="35" bestFit="1" customWidth="1"/>
    <col min="2564" max="2611" width="8.28515625" style="35" bestFit="1" customWidth="1"/>
    <col min="2612" max="2816" width="9.140625" style="35"/>
    <col min="2817" max="2817" width="81.140625" style="35" bestFit="1" customWidth="1"/>
    <col min="2818" max="2818" width="11.85546875" style="35" bestFit="1" customWidth="1"/>
    <col min="2819" max="2819" width="9.140625" style="35" bestFit="1" customWidth="1"/>
    <col min="2820" max="2867" width="8.28515625" style="35" bestFit="1" customWidth="1"/>
    <col min="2868" max="3072" width="9.140625" style="35"/>
    <col min="3073" max="3073" width="81.140625" style="35" bestFit="1" customWidth="1"/>
    <col min="3074" max="3074" width="11.85546875" style="35" bestFit="1" customWidth="1"/>
    <col min="3075" max="3075" width="9.140625" style="35" bestFit="1" customWidth="1"/>
    <col min="3076" max="3123" width="8.28515625" style="35" bestFit="1" customWidth="1"/>
    <col min="3124" max="3328" width="9.140625" style="35"/>
    <col min="3329" max="3329" width="81.140625" style="35" bestFit="1" customWidth="1"/>
    <col min="3330" max="3330" width="11.85546875" style="35" bestFit="1" customWidth="1"/>
    <col min="3331" max="3331" width="9.140625" style="35" bestFit="1" customWidth="1"/>
    <col min="3332" max="3379" width="8.28515625" style="35" bestFit="1" customWidth="1"/>
    <col min="3380" max="3584" width="9.140625" style="35"/>
    <col min="3585" max="3585" width="81.140625" style="35" bestFit="1" customWidth="1"/>
    <col min="3586" max="3586" width="11.85546875" style="35" bestFit="1" customWidth="1"/>
    <col min="3587" max="3587" width="9.140625" style="35" bestFit="1" customWidth="1"/>
    <col min="3588" max="3635" width="8.28515625" style="35" bestFit="1" customWidth="1"/>
    <col min="3636" max="3840" width="9.140625" style="35"/>
    <col min="3841" max="3841" width="81.140625" style="35" bestFit="1" customWidth="1"/>
    <col min="3842" max="3842" width="11.85546875" style="35" bestFit="1" customWidth="1"/>
    <col min="3843" max="3843" width="9.140625" style="35" bestFit="1" customWidth="1"/>
    <col min="3844" max="3891" width="8.28515625" style="35" bestFit="1" customWidth="1"/>
    <col min="3892" max="4096" width="9.140625" style="35"/>
    <col min="4097" max="4097" width="81.140625" style="35" bestFit="1" customWidth="1"/>
    <col min="4098" max="4098" width="11.85546875" style="35" bestFit="1" customWidth="1"/>
    <col min="4099" max="4099" width="9.140625" style="35" bestFit="1" customWidth="1"/>
    <col min="4100" max="4147" width="8.28515625" style="35" bestFit="1" customWidth="1"/>
    <col min="4148" max="4352" width="9.140625" style="35"/>
    <col min="4353" max="4353" width="81.140625" style="35" bestFit="1" customWidth="1"/>
    <col min="4354" max="4354" width="11.85546875" style="35" bestFit="1" customWidth="1"/>
    <col min="4355" max="4355" width="9.140625" style="35" bestFit="1" customWidth="1"/>
    <col min="4356" max="4403" width="8.28515625" style="35" bestFit="1" customWidth="1"/>
    <col min="4404" max="4608" width="9.140625" style="35"/>
    <col min="4609" max="4609" width="81.140625" style="35" bestFit="1" customWidth="1"/>
    <col min="4610" max="4610" width="11.85546875" style="35" bestFit="1" customWidth="1"/>
    <col min="4611" max="4611" width="9.140625" style="35" bestFit="1" customWidth="1"/>
    <col min="4612" max="4659" width="8.28515625" style="35" bestFit="1" customWidth="1"/>
    <col min="4660" max="4864" width="9.140625" style="35"/>
    <col min="4865" max="4865" width="81.140625" style="35" bestFit="1" customWidth="1"/>
    <col min="4866" max="4866" width="11.85546875" style="35" bestFit="1" customWidth="1"/>
    <col min="4867" max="4867" width="9.140625" style="35" bestFit="1" customWidth="1"/>
    <col min="4868" max="4915" width="8.28515625" style="35" bestFit="1" customWidth="1"/>
    <col min="4916" max="5120" width="9.140625" style="35"/>
    <col min="5121" max="5121" width="81.140625" style="35" bestFit="1" customWidth="1"/>
    <col min="5122" max="5122" width="11.85546875" style="35" bestFit="1" customWidth="1"/>
    <col min="5123" max="5123" width="9.140625" style="35" bestFit="1" customWidth="1"/>
    <col min="5124" max="5171" width="8.28515625" style="35" bestFit="1" customWidth="1"/>
    <col min="5172" max="5376" width="9.140625" style="35"/>
    <col min="5377" max="5377" width="81.140625" style="35" bestFit="1" customWidth="1"/>
    <col min="5378" max="5378" width="11.85546875" style="35" bestFit="1" customWidth="1"/>
    <col min="5379" max="5379" width="9.140625" style="35" bestFit="1" customWidth="1"/>
    <col min="5380" max="5427" width="8.28515625" style="35" bestFit="1" customWidth="1"/>
    <col min="5428" max="5632" width="9.140625" style="35"/>
    <col min="5633" max="5633" width="81.140625" style="35" bestFit="1" customWidth="1"/>
    <col min="5634" max="5634" width="11.85546875" style="35" bestFit="1" customWidth="1"/>
    <col min="5635" max="5635" width="9.140625" style="35" bestFit="1" customWidth="1"/>
    <col min="5636" max="5683" width="8.28515625" style="35" bestFit="1" customWidth="1"/>
    <col min="5684" max="5888" width="9.140625" style="35"/>
    <col min="5889" max="5889" width="81.140625" style="35" bestFit="1" customWidth="1"/>
    <col min="5890" max="5890" width="11.85546875" style="35" bestFit="1" customWidth="1"/>
    <col min="5891" max="5891" width="9.140625" style="35" bestFit="1" customWidth="1"/>
    <col min="5892" max="5939" width="8.28515625" style="35" bestFit="1" customWidth="1"/>
    <col min="5940" max="6144" width="9.140625" style="35"/>
    <col min="6145" max="6145" width="81.140625" style="35" bestFit="1" customWidth="1"/>
    <col min="6146" max="6146" width="11.85546875" style="35" bestFit="1" customWidth="1"/>
    <col min="6147" max="6147" width="9.140625" style="35" bestFit="1" customWidth="1"/>
    <col min="6148" max="6195" width="8.28515625" style="35" bestFit="1" customWidth="1"/>
    <col min="6196" max="6400" width="9.140625" style="35"/>
    <col min="6401" max="6401" width="81.140625" style="35" bestFit="1" customWidth="1"/>
    <col min="6402" max="6402" width="11.85546875" style="35" bestFit="1" customWidth="1"/>
    <col min="6403" max="6403" width="9.140625" style="35" bestFit="1" customWidth="1"/>
    <col min="6404" max="6451" width="8.28515625" style="35" bestFit="1" customWidth="1"/>
    <col min="6452" max="6656" width="9.140625" style="35"/>
    <col min="6657" max="6657" width="81.140625" style="35" bestFit="1" customWidth="1"/>
    <col min="6658" max="6658" width="11.85546875" style="35" bestFit="1" customWidth="1"/>
    <col min="6659" max="6659" width="9.140625" style="35" bestFit="1" customWidth="1"/>
    <col min="6660" max="6707" width="8.28515625" style="35" bestFit="1" customWidth="1"/>
    <col min="6708" max="6912" width="9.140625" style="35"/>
    <col min="6913" max="6913" width="81.140625" style="35" bestFit="1" customWidth="1"/>
    <col min="6914" max="6914" width="11.85546875" style="35" bestFit="1" customWidth="1"/>
    <col min="6915" max="6915" width="9.140625" style="35" bestFit="1" customWidth="1"/>
    <col min="6916" max="6963" width="8.28515625" style="35" bestFit="1" customWidth="1"/>
    <col min="6964" max="7168" width="9.140625" style="35"/>
    <col min="7169" max="7169" width="81.140625" style="35" bestFit="1" customWidth="1"/>
    <col min="7170" max="7170" width="11.85546875" style="35" bestFit="1" customWidth="1"/>
    <col min="7171" max="7171" width="9.140625" style="35" bestFit="1" customWidth="1"/>
    <col min="7172" max="7219" width="8.28515625" style="35" bestFit="1" customWidth="1"/>
    <col min="7220" max="7424" width="9.140625" style="35"/>
    <col min="7425" max="7425" width="81.140625" style="35" bestFit="1" customWidth="1"/>
    <col min="7426" max="7426" width="11.85546875" style="35" bestFit="1" customWidth="1"/>
    <col min="7427" max="7427" width="9.140625" style="35" bestFit="1" customWidth="1"/>
    <col min="7428" max="7475" width="8.28515625" style="35" bestFit="1" customWidth="1"/>
    <col min="7476" max="7680" width="9.140625" style="35"/>
    <col min="7681" max="7681" width="81.140625" style="35" bestFit="1" customWidth="1"/>
    <col min="7682" max="7682" width="11.85546875" style="35" bestFit="1" customWidth="1"/>
    <col min="7683" max="7683" width="9.140625" style="35" bestFit="1" customWidth="1"/>
    <col min="7684" max="7731" width="8.28515625" style="35" bestFit="1" customWidth="1"/>
    <col min="7732" max="7936" width="9.140625" style="35"/>
    <col min="7937" max="7937" width="81.140625" style="35" bestFit="1" customWidth="1"/>
    <col min="7938" max="7938" width="11.85546875" style="35" bestFit="1" customWidth="1"/>
    <col min="7939" max="7939" width="9.140625" style="35" bestFit="1" customWidth="1"/>
    <col min="7940" max="7987" width="8.28515625" style="35" bestFit="1" customWidth="1"/>
    <col min="7988" max="8192" width="9.140625" style="35"/>
    <col min="8193" max="8193" width="81.140625" style="35" bestFit="1" customWidth="1"/>
    <col min="8194" max="8194" width="11.85546875" style="35" bestFit="1" customWidth="1"/>
    <col min="8195" max="8195" width="9.140625" style="35" bestFit="1" customWidth="1"/>
    <col min="8196" max="8243" width="8.28515625" style="35" bestFit="1" customWidth="1"/>
    <col min="8244" max="8448" width="9.140625" style="35"/>
    <col min="8449" max="8449" width="81.140625" style="35" bestFit="1" customWidth="1"/>
    <col min="8450" max="8450" width="11.85546875" style="35" bestFit="1" customWidth="1"/>
    <col min="8451" max="8451" width="9.140625" style="35" bestFit="1" customWidth="1"/>
    <col min="8452" max="8499" width="8.28515625" style="35" bestFit="1" customWidth="1"/>
    <col min="8500" max="8704" width="9.140625" style="35"/>
    <col min="8705" max="8705" width="81.140625" style="35" bestFit="1" customWidth="1"/>
    <col min="8706" max="8706" width="11.85546875" style="35" bestFit="1" customWidth="1"/>
    <col min="8707" max="8707" width="9.140625" style="35" bestFit="1" customWidth="1"/>
    <col min="8708" max="8755" width="8.28515625" style="35" bestFit="1" customWidth="1"/>
    <col min="8756" max="8960" width="9.140625" style="35"/>
    <col min="8961" max="8961" width="81.140625" style="35" bestFit="1" customWidth="1"/>
    <col min="8962" max="8962" width="11.85546875" style="35" bestFit="1" customWidth="1"/>
    <col min="8963" max="8963" width="9.140625" style="35" bestFit="1" customWidth="1"/>
    <col min="8964" max="9011" width="8.28515625" style="35" bestFit="1" customWidth="1"/>
    <col min="9012" max="9216" width="9.140625" style="35"/>
    <col min="9217" max="9217" width="81.140625" style="35" bestFit="1" customWidth="1"/>
    <col min="9218" max="9218" width="11.85546875" style="35" bestFit="1" customWidth="1"/>
    <col min="9219" max="9219" width="9.140625" style="35" bestFit="1" customWidth="1"/>
    <col min="9220" max="9267" width="8.28515625" style="35" bestFit="1" customWidth="1"/>
    <col min="9268" max="9472" width="9.140625" style="35"/>
    <col min="9473" max="9473" width="81.140625" style="35" bestFit="1" customWidth="1"/>
    <col min="9474" max="9474" width="11.85546875" style="35" bestFit="1" customWidth="1"/>
    <col min="9475" max="9475" width="9.140625" style="35" bestFit="1" customWidth="1"/>
    <col min="9476" max="9523" width="8.28515625" style="35" bestFit="1" customWidth="1"/>
    <col min="9524" max="9728" width="9.140625" style="35"/>
    <col min="9729" max="9729" width="81.140625" style="35" bestFit="1" customWidth="1"/>
    <col min="9730" max="9730" width="11.85546875" style="35" bestFit="1" customWidth="1"/>
    <col min="9731" max="9731" width="9.140625" style="35" bestFit="1" customWidth="1"/>
    <col min="9732" max="9779" width="8.28515625" style="35" bestFit="1" customWidth="1"/>
    <col min="9780" max="9984" width="9.140625" style="35"/>
    <col min="9985" max="9985" width="81.140625" style="35" bestFit="1" customWidth="1"/>
    <col min="9986" max="9986" width="11.85546875" style="35" bestFit="1" customWidth="1"/>
    <col min="9987" max="9987" width="9.140625" style="35" bestFit="1" customWidth="1"/>
    <col min="9988" max="10035" width="8.28515625" style="35" bestFit="1" customWidth="1"/>
    <col min="10036" max="10240" width="9.140625" style="35"/>
    <col min="10241" max="10241" width="81.140625" style="35" bestFit="1" customWidth="1"/>
    <col min="10242" max="10242" width="11.85546875" style="35" bestFit="1" customWidth="1"/>
    <col min="10243" max="10243" width="9.140625" style="35" bestFit="1" customWidth="1"/>
    <col min="10244" max="10291" width="8.28515625" style="35" bestFit="1" customWidth="1"/>
    <col min="10292" max="10496" width="9.140625" style="35"/>
    <col min="10497" max="10497" width="81.140625" style="35" bestFit="1" customWidth="1"/>
    <col min="10498" max="10498" width="11.85546875" style="35" bestFit="1" customWidth="1"/>
    <col min="10499" max="10499" width="9.140625" style="35" bestFit="1" customWidth="1"/>
    <col min="10500" max="10547" width="8.28515625" style="35" bestFit="1" customWidth="1"/>
    <col min="10548" max="10752" width="9.140625" style="35"/>
    <col min="10753" max="10753" width="81.140625" style="35" bestFit="1" customWidth="1"/>
    <col min="10754" max="10754" width="11.85546875" style="35" bestFit="1" customWidth="1"/>
    <col min="10755" max="10755" width="9.140625" style="35" bestFit="1" customWidth="1"/>
    <col min="10756" max="10803" width="8.28515625" style="35" bestFit="1" customWidth="1"/>
    <col min="10804" max="11008" width="9.140625" style="35"/>
    <col min="11009" max="11009" width="81.140625" style="35" bestFit="1" customWidth="1"/>
    <col min="11010" max="11010" width="11.85546875" style="35" bestFit="1" customWidth="1"/>
    <col min="11011" max="11011" width="9.140625" style="35" bestFit="1" customWidth="1"/>
    <col min="11012" max="11059" width="8.28515625" style="35" bestFit="1" customWidth="1"/>
    <col min="11060" max="11264" width="9.140625" style="35"/>
    <col min="11265" max="11265" width="81.140625" style="35" bestFit="1" customWidth="1"/>
    <col min="11266" max="11266" width="11.85546875" style="35" bestFit="1" customWidth="1"/>
    <col min="11267" max="11267" width="9.140625" style="35" bestFit="1" customWidth="1"/>
    <col min="11268" max="11315" width="8.28515625" style="35" bestFit="1" customWidth="1"/>
    <col min="11316" max="11520" width="9.140625" style="35"/>
    <col min="11521" max="11521" width="81.140625" style="35" bestFit="1" customWidth="1"/>
    <col min="11522" max="11522" width="11.85546875" style="35" bestFit="1" customWidth="1"/>
    <col min="11523" max="11523" width="9.140625" style="35" bestFit="1" customWidth="1"/>
    <col min="11524" max="11571" width="8.28515625" style="35" bestFit="1" customWidth="1"/>
    <col min="11572" max="11776" width="9.140625" style="35"/>
    <col min="11777" max="11777" width="81.140625" style="35" bestFit="1" customWidth="1"/>
    <col min="11778" max="11778" width="11.85546875" style="35" bestFit="1" customWidth="1"/>
    <col min="11779" max="11779" width="9.140625" style="35" bestFit="1" customWidth="1"/>
    <col min="11780" max="11827" width="8.28515625" style="35" bestFit="1" customWidth="1"/>
    <col min="11828" max="12032" width="9.140625" style="35"/>
    <col min="12033" max="12033" width="81.140625" style="35" bestFit="1" customWidth="1"/>
    <col min="12034" max="12034" width="11.85546875" style="35" bestFit="1" customWidth="1"/>
    <col min="12035" max="12035" width="9.140625" style="35" bestFit="1" customWidth="1"/>
    <col min="12036" max="12083" width="8.28515625" style="35" bestFit="1" customWidth="1"/>
    <col min="12084" max="12288" width="9.140625" style="35"/>
    <col min="12289" max="12289" width="81.140625" style="35" bestFit="1" customWidth="1"/>
    <col min="12290" max="12290" width="11.85546875" style="35" bestFit="1" customWidth="1"/>
    <col min="12291" max="12291" width="9.140625" style="35" bestFit="1" customWidth="1"/>
    <col min="12292" max="12339" width="8.28515625" style="35" bestFit="1" customWidth="1"/>
    <col min="12340" max="12544" width="9.140625" style="35"/>
    <col min="12545" max="12545" width="81.140625" style="35" bestFit="1" customWidth="1"/>
    <col min="12546" max="12546" width="11.85546875" style="35" bestFit="1" customWidth="1"/>
    <col min="12547" max="12547" width="9.140625" style="35" bestFit="1" customWidth="1"/>
    <col min="12548" max="12595" width="8.28515625" style="35" bestFit="1" customWidth="1"/>
    <col min="12596" max="12800" width="9.140625" style="35"/>
    <col min="12801" max="12801" width="81.140625" style="35" bestFit="1" customWidth="1"/>
    <col min="12802" max="12802" width="11.85546875" style="35" bestFit="1" customWidth="1"/>
    <col min="12803" max="12803" width="9.140625" style="35" bestFit="1" customWidth="1"/>
    <col min="12804" max="12851" width="8.28515625" style="35" bestFit="1" customWidth="1"/>
    <col min="12852" max="13056" width="9.140625" style="35"/>
    <col min="13057" max="13057" width="81.140625" style="35" bestFit="1" customWidth="1"/>
    <col min="13058" max="13058" width="11.85546875" style="35" bestFit="1" customWidth="1"/>
    <col min="13059" max="13059" width="9.140625" style="35" bestFit="1" customWidth="1"/>
    <col min="13060" max="13107" width="8.28515625" style="35" bestFit="1" customWidth="1"/>
    <col min="13108" max="13312" width="9.140625" style="35"/>
    <col min="13313" max="13313" width="81.140625" style="35" bestFit="1" customWidth="1"/>
    <col min="13314" max="13314" width="11.85546875" style="35" bestFit="1" customWidth="1"/>
    <col min="13315" max="13315" width="9.140625" style="35" bestFit="1" customWidth="1"/>
    <col min="13316" max="13363" width="8.28515625" style="35" bestFit="1" customWidth="1"/>
    <col min="13364" max="13568" width="9.140625" style="35"/>
    <col min="13569" max="13569" width="81.140625" style="35" bestFit="1" customWidth="1"/>
    <col min="13570" max="13570" width="11.85546875" style="35" bestFit="1" customWidth="1"/>
    <col min="13571" max="13571" width="9.140625" style="35" bestFit="1" customWidth="1"/>
    <col min="13572" max="13619" width="8.28515625" style="35" bestFit="1" customWidth="1"/>
    <col min="13620" max="13824" width="9.140625" style="35"/>
    <col min="13825" max="13825" width="81.140625" style="35" bestFit="1" customWidth="1"/>
    <col min="13826" max="13826" width="11.85546875" style="35" bestFit="1" customWidth="1"/>
    <col min="13827" max="13827" width="9.140625" style="35" bestFit="1" customWidth="1"/>
    <col min="13828" max="13875" width="8.28515625" style="35" bestFit="1" customWidth="1"/>
    <col min="13876" max="14080" width="9.140625" style="35"/>
    <col min="14081" max="14081" width="81.140625" style="35" bestFit="1" customWidth="1"/>
    <col min="14082" max="14082" width="11.85546875" style="35" bestFit="1" customWidth="1"/>
    <col min="14083" max="14083" width="9.140625" style="35" bestFit="1" customWidth="1"/>
    <col min="14084" max="14131" width="8.28515625" style="35" bestFit="1" customWidth="1"/>
    <col min="14132" max="14336" width="9.140625" style="35"/>
    <col min="14337" max="14337" width="81.140625" style="35" bestFit="1" customWidth="1"/>
    <col min="14338" max="14338" width="11.85546875" style="35" bestFit="1" customWidth="1"/>
    <col min="14339" max="14339" width="9.140625" style="35" bestFit="1" customWidth="1"/>
    <col min="14340" max="14387" width="8.28515625" style="35" bestFit="1" customWidth="1"/>
    <col min="14388" max="14592" width="9.140625" style="35"/>
    <col min="14593" max="14593" width="81.140625" style="35" bestFit="1" customWidth="1"/>
    <col min="14594" max="14594" width="11.85546875" style="35" bestFit="1" customWidth="1"/>
    <col min="14595" max="14595" width="9.140625" style="35" bestFit="1" customWidth="1"/>
    <col min="14596" max="14643" width="8.28515625" style="35" bestFit="1" customWidth="1"/>
    <col min="14644" max="14848" width="9.140625" style="35"/>
    <col min="14849" max="14849" width="81.140625" style="35" bestFit="1" customWidth="1"/>
    <col min="14850" max="14850" width="11.85546875" style="35" bestFit="1" customWidth="1"/>
    <col min="14851" max="14851" width="9.140625" style="35" bestFit="1" customWidth="1"/>
    <col min="14852" max="14899" width="8.28515625" style="35" bestFit="1" customWidth="1"/>
    <col min="14900" max="15104" width="9.140625" style="35"/>
    <col min="15105" max="15105" width="81.140625" style="35" bestFit="1" customWidth="1"/>
    <col min="15106" max="15106" width="11.85546875" style="35" bestFit="1" customWidth="1"/>
    <col min="15107" max="15107" width="9.140625" style="35" bestFit="1" customWidth="1"/>
    <col min="15108" max="15155" width="8.28515625" style="35" bestFit="1" customWidth="1"/>
    <col min="15156" max="15360" width="9.140625" style="35"/>
    <col min="15361" max="15361" width="81.140625" style="35" bestFit="1" customWidth="1"/>
    <col min="15362" max="15362" width="11.85546875" style="35" bestFit="1" customWidth="1"/>
    <col min="15363" max="15363" width="9.140625" style="35" bestFit="1" customWidth="1"/>
    <col min="15364" max="15411" width="8.28515625" style="35" bestFit="1" customWidth="1"/>
    <col min="15412" max="15616" width="9.140625" style="35"/>
    <col min="15617" max="15617" width="81.140625" style="35" bestFit="1" customWidth="1"/>
    <col min="15618" max="15618" width="11.85546875" style="35" bestFit="1" customWidth="1"/>
    <col min="15619" max="15619" width="9.140625" style="35" bestFit="1" customWidth="1"/>
    <col min="15620" max="15667" width="8.28515625" style="35" bestFit="1" customWidth="1"/>
    <col min="15668" max="15872" width="9.140625" style="35"/>
    <col min="15873" max="15873" width="81.140625" style="35" bestFit="1" customWidth="1"/>
    <col min="15874" max="15874" width="11.85546875" style="35" bestFit="1" customWidth="1"/>
    <col min="15875" max="15875" width="9.140625" style="35" bestFit="1" customWidth="1"/>
    <col min="15876" max="15923" width="8.28515625" style="35" bestFit="1" customWidth="1"/>
    <col min="15924" max="16128" width="9.140625" style="35"/>
    <col min="16129" max="16129" width="81.140625" style="35" bestFit="1" customWidth="1"/>
    <col min="16130" max="16130" width="11.85546875" style="35" bestFit="1" customWidth="1"/>
    <col min="16131" max="16131" width="9.140625" style="35" bestFit="1" customWidth="1"/>
    <col min="16132" max="16179" width="8.28515625" style="35" bestFit="1" customWidth="1"/>
    <col min="16180" max="16384" width="9.140625" style="35"/>
  </cols>
  <sheetData>
    <row r="1" spans="2:52" s="833" customFormat="1" ht="19.5" thickBot="1">
      <c r="B1" s="834" t="s">
        <v>276</v>
      </c>
      <c r="C1" s="835" t="s">
        <v>577</v>
      </c>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836"/>
      <c r="AO1" s="836"/>
      <c r="AP1" s="836"/>
      <c r="AQ1" s="836"/>
      <c r="AR1" s="836"/>
      <c r="AS1" s="836"/>
      <c r="AT1" s="836"/>
      <c r="AU1" s="836"/>
      <c r="AV1" s="836"/>
      <c r="AW1" s="836"/>
      <c r="AX1" s="836"/>
      <c r="AY1" s="836"/>
      <c r="AZ1" s="836"/>
    </row>
    <row r="2" spans="2:52" s="833" customFormat="1" ht="12.75" thickBot="1">
      <c r="C2" s="837" t="s">
        <v>277</v>
      </c>
      <c r="D2" s="838">
        <v>5.5E-2</v>
      </c>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row>
    <row r="3" spans="2:52" s="833" customFormat="1" ht="15.75" thickBot="1">
      <c r="B3" s="839" t="s">
        <v>278</v>
      </c>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row>
    <row r="4" spans="2:52" s="840" customFormat="1" ht="12.75" thickBot="1">
      <c r="B4" s="841" t="s">
        <v>243</v>
      </c>
      <c r="C4" s="842">
        <v>2012</v>
      </c>
      <c r="D4" s="843">
        <v>2013</v>
      </c>
      <c r="E4" s="842">
        <v>2014</v>
      </c>
      <c r="F4" s="843">
        <v>2015</v>
      </c>
      <c r="G4" s="842">
        <v>2016</v>
      </c>
      <c r="H4" s="843">
        <v>2017</v>
      </c>
      <c r="I4" s="842">
        <v>2018</v>
      </c>
      <c r="J4" s="843">
        <v>2019</v>
      </c>
      <c r="K4" s="842">
        <v>2020</v>
      </c>
      <c r="L4" s="843">
        <v>2021</v>
      </c>
      <c r="M4" s="842">
        <v>2022</v>
      </c>
      <c r="N4" s="843">
        <v>2023</v>
      </c>
      <c r="O4" s="842">
        <v>2024</v>
      </c>
      <c r="P4" s="843">
        <v>2025</v>
      </c>
      <c r="Q4" s="842">
        <v>2026</v>
      </c>
      <c r="R4" s="843">
        <v>2027</v>
      </c>
      <c r="S4" s="842">
        <v>2028</v>
      </c>
      <c r="T4" s="843">
        <v>2029</v>
      </c>
      <c r="U4" s="842">
        <v>2030</v>
      </c>
      <c r="V4" s="843">
        <v>2031</v>
      </c>
      <c r="W4" s="842">
        <v>2032</v>
      </c>
      <c r="X4" s="843">
        <v>2033</v>
      </c>
      <c r="Y4" s="842">
        <v>2034</v>
      </c>
      <c r="Z4" s="843">
        <v>2035</v>
      </c>
      <c r="AA4" s="842">
        <v>2036</v>
      </c>
      <c r="AB4" s="843">
        <v>2037</v>
      </c>
      <c r="AC4" s="842">
        <v>2038</v>
      </c>
      <c r="AD4" s="843">
        <v>2039</v>
      </c>
      <c r="AE4" s="842">
        <v>2040</v>
      </c>
      <c r="AF4" s="843">
        <v>2041</v>
      </c>
      <c r="AG4" s="842">
        <v>2042</v>
      </c>
      <c r="AH4" s="843">
        <v>2043</v>
      </c>
      <c r="AI4" s="842">
        <v>2044</v>
      </c>
      <c r="AJ4" s="843">
        <v>2045</v>
      </c>
      <c r="AK4" s="842">
        <v>2046</v>
      </c>
      <c r="AL4" s="843">
        <v>2047</v>
      </c>
      <c r="AM4" s="842">
        <v>2048</v>
      </c>
      <c r="AN4" s="843">
        <v>2049</v>
      </c>
      <c r="AO4" s="842">
        <v>2050</v>
      </c>
      <c r="AP4" s="843">
        <v>2051</v>
      </c>
      <c r="AQ4" s="842">
        <v>2052</v>
      </c>
      <c r="AR4" s="843">
        <v>2053</v>
      </c>
      <c r="AS4" s="842">
        <v>2054</v>
      </c>
      <c r="AT4" s="843">
        <v>2055</v>
      </c>
      <c r="AU4" s="842">
        <v>2056</v>
      </c>
      <c r="AV4" s="843">
        <v>2057</v>
      </c>
      <c r="AW4" s="842">
        <v>2058</v>
      </c>
      <c r="AX4" s="843">
        <v>2059</v>
      </c>
      <c r="AY4" s="842">
        <v>2060</v>
      </c>
      <c r="AZ4" s="843">
        <v>2061</v>
      </c>
    </row>
    <row r="5" spans="2:52" s="840" customFormat="1">
      <c r="B5" s="844" t="s">
        <v>578</v>
      </c>
      <c r="C5" s="845">
        <v>6.5588502098988602E-2</v>
      </c>
      <c r="D5" s="846">
        <v>6.5435445711828133E-2</v>
      </c>
      <c r="E5" s="846">
        <v>6.5282747024346111E-2</v>
      </c>
      <c r="F5" s="846">
        <v>6.5130405199274086E-2</v>
      </c>
      <c r="G5" s="846">
        <v>6.5290245871708744E-2</v>
      </c>
      <c r="H5" s="846">
        <v>6.5450478819310237E-2</v>
      </c>
      <c r="I5" s="846">
        <v>6.5611105004785966E-2</v>
      </c>
      <c r="J5" s="846">
        <v>6.5772125393206066E-2</v>
      </c>
      <c r="K5" s="846">
        <v>6.5933540952009068E-2</v>
      </c>
      <c r="L5" s="846">
        <v>6.6095352651007758E-2</v>
      </c>
      <c r="M5" s="846">
        <v>6.6257561462395004E-2</v>
      </c>
      <c r="N5" s="846">
        <v>6.6420168360749557E-2</v>
      </c>
      <c r="O5" s="846">
        <v>6.6583174323042019E-2</v>
      </c>
      <c r="P5" s="846">
        <v>6.6583174323042019E-2</v>
      </c>
      <c r="Q5" s="846">
        <v>6.6583174323042019E-2</v>
      </c>
      <c r="R5" s="846">
        <v>6.6583174323042019E-2</v>
      </c>
      <c r="S5" s="846">
        <v>6.6583174323042005E-2</v>
      </c>
      <c r="T5" s="846">
        <v>6.6583174323042005E-2</v>
      </c>
      <c r="U5" s="846">
        <v>6.6583174323042005E-2</v>
      </c>
      <c r="V5" s="846">
        <v>6.6583174323042005E-2</v>
      </c>
      <c r="W5" s="846">
        <v>6.6583174323042005E-2</v>
      </c>
      <c r="X5" s="846">
        <v>6.6583174323042005E-2</v>
      </c>
      <c r="Y5" s="846">
        <v>6.6583174323042005E-2</v>
      </c>
      <c r="Z5" s="846">
        <v>6.6583174323042005E-2</v>
      </c>
      <c r="AA5" s="846">
        <v>6.6583174323042005E-2</v>
      </c>
      <c r="AB5" s="846">
        <v>6.6583174323042005E-2</v>
      </c>
      <c r="AC5" s="846">
        <v>6.6583174323042005E-2</v>
      </c>
      <c r="AD5" s="846">
        <v>6.6583174323042005E-2</v>
      </c>
      <c r="AE5" s="846">
        <v>6.6583174323042005E-2</v>
      </c>
      <c r="AF5" s="846">
        <v>6.6583174323042005E-2</v>
      </c>
      <c r="AG5" s="846">
        <v>6.6583174323042005E-2</v>
      </c>
      <c r="AH5" s="846">
        <v>6.6583174323042005E-2</v>
      </c>
      <c r="AI5" s="846">
        <v>6.6583174323042005E-2</v>
      </c>
      <c r="AJ5" s="846">
        <v>6.6583174323042005E-2</v>
      </c>
      <c r="AK5" s="846">
        <v>6.6583174323042005E-2</v>
      </c>
      <c r="AL5" s="846">
        <v>6.6583174323042005E-2</v>
      </c>
      <c r="AM5" s="846">
        <v>6.6583174323042005E-2</v>
      </c>
      <c r="AN5" s="846">
        <v>6.6583174323042005E-2</v>
      </c>
      <c r="AO5" s="846">
        <v>6.6583174323042005E-2</v>
      </c>
      <c r="AP5" s="846">
        <v>6.6583174323042005E-2</v>
      </c>
      <c r="AQ5" s="846">
        <v>6.6583174323042005E-2</v>
      </c>
      <c r="AR5" s="846">
        <v>6.6583174323042005E-2</v>
      </c>
      <c r="AS5" s="846">
        <v>6.6583174323042005E-2</v>
      </c>
      <c r="AT5" s="846">
        <v>6.6583174323042005E-2</v>
      </c>
      <c r="AU5" s="846">
        <v>6.6583174323042005E-2</v>
      </c>
      <c r="AV5" s="846">
        <v>6.6583174323042005E-2</v>
      </c>
      <c r="AW5" s="846">
        <v>6.6583174323042005E-2</v>
      </c>
      <c r="AX5" s="846">
        <v>6.6586025539465465E-2</v>
      </c>
      <c r="AY5" s="846">
        <v>6.6586025539465465E-2</v>
      </c>
      <c r="AZ5" s="847">
        <v>6.6586025539465465E-2</v>
      </c>
    </row>
    <row r="6" spans="2:52" s="840" customFormat="1">
      <c r="B6" s="848" t="s">
        <v>579</v>
      </c>
      <c r="C6" s="849">
        <v>8.2733317921206181E-2</v>
      </c>
      <c r="D6" s="850">
        <v>8.2091437401162343E-2</v>
      </c>
      <c r="E6" s="850">
        <v>8.1454536865148627E-2</v>
      </c>
      <c r="F6" s="850">
        <v>8.0822577676315802E-2</v>
      </c>
      <c r="G6" s="850">
        <v>8.102092950790904E-2</v>
      </c>
      <c r="H6" s="850">
        <v>8.1219768127355679E-2</v>
      </c>
      <c r="I6" s="850">
        <v>8.141909472931283E-2</v>
      </c>
      <c r="J6" s="850">
        <v>8.1618910511369408E-2</v>
      </c>
      <c r="K6" s="850">
        <v>8.1819216674053424E-2</v>
      </c>
      <c r="L6" s="850">
        <v>8.2020014420839171E-2</v>
      </c>
      <c r="M6" s="850">
        <v>8.2221304958154509E-2</v>
      </c>
      <c r="N6" s="850">
        <v>8.2423089495388027E-2</v>
      </c>
      <c r="O6" s="850">
        <v>8.2625369244896343E-2</v>
      </c>
      <c r="P6" s="850">
        <v>8.2625369244896343E-2</v>
      </c>
      <c r="Q6" s="850">
        <v>8.2625369244896343E-2</v>
      </c>
      <c r="R6" s="850">
        <v>8.2625369244896357E-2</v>
      </c>
      <c r="S6" s="850">
        <v>8.2625369244896343E-2</v>
      </c>
      <c r="T6" s="850">
        <v>8.2625369244896343E-2</v>
      </c>
      <c r="U6" s="850">
        <v>8.2625369244896343E-2</v>
      </c>
      <c r="V6" s="850">
        <v>8.2625369244896343E-2</v>
      </c>
      <c r="W6" s="850">
        <v>8.2625369244896343E-2</v>
      </c>
      <c r="X6" s="850">
        <v>8.2625369244896343E-2</v>
      </c>
      <c r="Y6" s="850">
        <v>8.2625369244896343E-2</v>
      </c>
      <c r="Z6" s="850">
        <v>8.2625369244896343E-2</v>
      </c>
      <c r="AA6" s="850">
        <v>8.2625369244896343E-2</v>
      </c>
      <c r="AB6" s="850">
        <v>8.2625369244896343E-2</v>
      </c>
      <c r="AC6" s="850">
        <v>8.2625369244896343E-2</v>
      </c>
      <c r="AD6" s="850">
        <v>8.2625369244896343E-2</v>
      </c>
      <c r="AE6" s="850">
        <v>8.2625369244896343E-2</v>
      </c>
      <c r="AF6" s="850">
        <v>8.2625369244896343E-2</v>
      </c>
      <c r="AG6" s="850">
        <v>8.2625369244896343E-2</v>
      </c>
      <c r="AH6" s="850">
        <v>8.2625369244896343E-2</v>
      </c>
      <c r="AI6" s="850">
        <v>8.2625369244896343E-2</v>
      </c>
      <c r="AJ6" s="850">
        <v>8.2625369244896343E-2</v>
      </c>
      <c r="AK6" s="850">
        <v>8.2625369244896343E-2</v>
      </c>
      <c r="AL6" s="850">
        <v>8.2625369244896343E-2</v>
      </c>
      <c r="AM6" s="850">
        <v>8.2625369244896343E-2</v>
      </c>
      <c r="AN6" s="850">
        <v>8.2625369244896343E-2</v>
      </c>
      <c r="AO6" s="850">
        <v>8.2625369244896343E-2</v>
      </c>
      <c r="AP6" s="850">
        <v>8.2625369244896343E-2</v>
      </c>
      <c r="AQ6" s="850">
        <v>8.2625369244896343E-2</v>
      </c>
      <c r="AR6" s="850">
        <v>8.2625369244896343E-2</v>
      </c>
      <c r="AS6" s="850">
        <v>8.2625369244896343E-2</v>
      </c>
      <c r="AT6" s="850">
        <v>8.2625369244896343E-2</v>
      </c>
      <c r="AU6" s="850">
        <v>8.2625369244896343E-2</v>
      </c>
      <c r="AV6" s="850">
        <v>8.2625369244896343E-2</v>
      </c>
      <c r="AW6" s="850">
        <v>8.2625369244896343E-2</v>
      </c>
      <c r="AX6" s="850">
        <v>8.2629310344827595E-2</v>
      </c>
      <c r="AY6" s="850">
        <v>8.2629310344827595E-2</v>
      </c>
      <c r="AZ6" s="851">
        <v>8.2629310344827595E-2</v>
      </c>
    </row>
    <row r="7" spans="2:52" s="840" customFormat="1">
      <c r="B7" s="848" t="s">
        <v>580</v>
      </c>
      <c r="C7" s="849">
        <v>8.4651579508867661E-2</v>
      </c>
      <c r="D7" s="850">
        <v>8.4336349386247261E-2</v>
      </c>
      <c r="E7" s="850">
        <v>8.4022293134578652E-2</v>
      </c>
      <c r="F7" s="850">
        <v>8.3709406382537752E-2</v>
      </c>
      <c r="G7" s="850">
        <v>8.3914842964182709E-2</v>
      </c>
      <c r="H7" s="850">
        <v>8.4120783720817119E-2</v>
      </c>
      <c r="I7" s="850">
        <v>8.4327229889768873E-2</v>
      </c>
      <c r="J7" s="850">
        <v>8.4534182711402506E-2</v>
      </c>
      <c r="K7" s="850">
        <v>8.4741643429126642E-2</v>
      </c>
      <c r="L7" s="850">
        <v>8.4949613289401385E-2</v>
      </c>
      <c r="M7" s="850">
        <v>8.5158093541745861E-2</v>
      </c>
      <c r="N7" s="850">
        <v>8.5367085438745716E-2</v>
      </c>
      <c r="O7" s="850">
        <v>8.5576590236060679E-2</v>
      </c>
      <c r="P7" s="850">
        <v>8.5576590236060679E-2</v>
      </c>
      <c r="Q7" s="850">
        <v>8.5576590236060679E-2</v>
      </c>
      <c r="R7" s="850">
        <v>8.5576590236060679E-2</v>
      </c>
      <c r="S7" s="850">
        <v>8.5576590236060679E-2</v>
      </c>
      <c r="T7" s="850">
        <v>8.5576590236060679E-2</v>
      </c>
      <c r="U7" s="850">
        <v>8.5576590236060679E-2</v>
      </c>
      <c r="V7" s="850">
        <v>8.5576590236060679E-2</v>
      </c>
      <c r="W7" s="850">
        <v>8.5576590236060679E-2</v>
      </c>
      <c r="X7" s="850">
        <v>8.5576590236060679E-2</v>
      </c>
      <c r="Y7" s="850">
        <v>8.5576590236060679E-2</v>
      </c>
      <c r="Z7" s="850">
        <v>8.5576590236060679E-2</v>
      </c>
      <c r="AA7" s="850">
        <v>8.5576590236060679E-2</v>
      </c>
      <c r="AB7" s="850">
        <v>8.5576590236060679E-2</v>
      </c>
      <c r="AC7" s="850">
        <v>8.5576590236060679E-2</v>
      </c>
      <c r="AD7" s="850">
        <v>8.5576590236060679E-2</v>
      </c>
      <c r="AE7" s="850">
        <v>8.5576590236060679E-2</v>
      </c>
      <c r="AF7" s="850">
        <v>8.5576590236060679E-2</v>
      </c>
      <c r="AG7" s="850">
        <v>8.5576590236060679E-2</v>
      </c>
      <c r="AH7" s="850">
        <v>8.5576590236060679E-2</v>
      </c>
      <c r="AI7" s="850">
        <v>8.5576590236060679E-2</v>
      </c>
      <c r="AJ7" s="850">
        <v>8.5576590236060679E-2</v>
      </c>
      <c r="AK7" s="850">
        <v>8.5576590236060679E-2</v>
      </c>
      <c r="AL7" s="850">
        <v>8.5576590236060679E-2</v>
      </c>
      <c r="AM7" s="850">
        <v>8.5576590236060679E-2</v>
      </c>
      <c r="AN7" s="850">
        <v>8.5576590236060679E-2</v>
      </c>
      <c r="AO7" s="850">
        <v>8.5576590236060679E-2</v>
      </c>
      <c r="AP7" s="850">
        <v>8.5576590236060679E-2</v>
      </c>
      <c r="AQ7" s="850">
        <v>8.5576590236060679E-2</v>
      </c>
      <c r="AR7" s="850">
        <v>8.5576590236060679E-2</v>
      </c>
      <c r="AS7" s="850">
        <v>8.5576590236060679E-2</v>
      </c>
      <c r="AT7" s="850">
        <v>8.5576590236060679E-2</v>
      </c>
      <c r="AU7" s="850">
        <v>8.5576590236060679E-2</v>
      </c>
      <c r="AV7" s="850">
        <v>8.5576590236060679E-2</v>
      </c>
      <c r="AW7" s="850">
        <v>8.5576590236060679E-2</v>
      </c>
      <c r="AX7" s="850">
        <v>8.5580000000000003E-2</v>
      </c>
      <c r="AY7" s="850">
        <v>8.5580000000000003E-2</v>
      </c>
      <c r="AZ7" s="851">
        <v>8.5580000000000003E-2</v>
      </c>
    </row>
    <row r="8" spans="2:52" s="840" customFormat="1">
      <c r="B8" s="848" t="s">
        <v>581</v>
      </c>
      <c r="C8" s="852">
        <v>99.234913793103445</v>
      </c>
      <c r="D8" s="853">
        <v>105.54956896551722</v>
      </c>
      <c r="E8" s="853">
        <v>111.48706896551724</v>
      </c>
      <c r="F8" s="853">
        <v>117.06896551724135</v>
      </c>
      <c r="G8" s="853">
        <v>122.32758620689656</v>
      </c>
      <c r="H8" s="853">
        <v>127.26293103448275</v>
      </c>
      <c r="I8" s="853">
        <v>131.90732758620689</v>
      </c>
      <c r="J8" s="853">
        <v>136.27155172413794</v>
      </c>
      <c r="K8" s="853">
        <v>140.3663793103448</v>
      </c>
      <c r="L8" s="853">
        <v>144.21336206896549</v>
      </c>
      <c r="M8" s="853">
        <v>144.21336206896549</v>
      </c>
      <c r="N8" s="853">
        <v>144.21336206896549</v>
      </c>
      <c r="O8" s="853">
        <v>144.21336206896549</v>
      </c>
      <c r="P8" s="853">
        <v>144.21336206896549</v>
      </c>
      <c r="Q8" s="853">
        <v>144.21336206896549</v>
      </c>
      <c r="R8" s="853">
        <v>144.21336206896549</v>
      </c>
      <c r="S8" s="853">
        <v>144.21336206896549</v>
      </c>
      <c r="T8" s="853">
        <v>144.21336206896549</v>
      </c>
      <c r="U8" s="853">
        <v>144.21336206896549</v>
      </c>
      <c r="V8" s="853">
        <v>144.21336206896549</v>
      </c>
      <c r="W8" s="853">
        <v>144.21336206896549</v>
      </c>
      <c r="X8" s="853">
        <v>144.21336206896549</v>
      </c>
      <c r="Y8" s="853">
        <v>144.21336206896549</v>
      </c>
      <c r="Z8" s="853">
        <v>144.21336206896549</v>
      </c>
      <c r="AA8" s="853">
        <v>144.21336206896549</v>
      </c>
      <c r="AB8" s="853">
        <v>144.21336206896549</v>
      </c>
      <c r="AC8" s="853">
        <v>144.21336206896549</v>
      </c>
      <c r="AD8" s="853">
        <v>144.21336206896549</v>
      </c>
      <c r="AE8" s="853">
        <v>144.21336206896549</v>
      </c>
      <c r="AF8" s="853">
        <v>144.21336206896549</v>
      </c>
      <c r="AG8" s="853">
        <v>144.21336206896549</v>
      </c>
      <c r="AH8" s="853">
        <v>144.21336206896549</v>
      </c>
      <c r="AI8" s="853">
        <v>144.21336206896549</v>
      </c>
      <c r="AJ8" s="853">
        <v>144.21336206896549</v>
      </c>
      <c r="AK8" s="853">
        <v>144.21336206896549</v>
      </c>
      <c r="AL8" s="853">
        <v>144.21336206896549</v>
      </c>
      <c r="AM8" s="853">
        <v>144.21336206896549</v>
      </c>
      <c r="AN8" s="853">
        <v>144.21336206896549</v>
      </c>
      <c r="AO8" s="853">
        <v>144.21336206896549</v>
      </c>
      <c r="AP8" s="853">
        <v>144.21336206896549</v>
      </c>
      <c r="AQ8" s="853">
        <v>144.21336206896549</v>
      </c>
      <c r="AR8" s="853">
        <v>144.21336206896549</v>
      </c>
      <c r="AS8" s="853">
        <v>144.21336206896549</v>
      </c>
      <c r="AT8" s="853">
        <v>144.21336206896549</v>
      </c>
      <c r="AU8" s="853">
        <v>144.21336206896549</v>
      </c>
      <c r="AV8" s="853">
        <v>144.21336206896549</v>
      </c>
      <c r="AW8" s="853">
        <v>144.21336206896549</v>
      </c>
      <c r="AX8" s="853">
        <v>144.21336206896501</v>
      </c>
      <c r="AY8" s="853">
        <v>144.21336206896501</v>
      </c>
      <c r="AZ8" s="854">
        <v>144.21336206896501</v>
      </c>
    </row>
    <row r="9" spans="2:52" s="840" customFormat="1">
      <c r="B9" s="848" t="s">
        <v>582</v>
      </c>
      <c r="C9" s="852">
        <v>236.22844827586206</v>
      </c>
      <c r="D9" s="853">
        <v>242.54310344827584</v>
      </c>
      <c r="E9" s="853">
        <v>238.18965517241381</v>
      </c>
      <c r="F9" s="853">
        <v>229.91379310344828</v>
      </c>
      <c r="G9" s="853">
        <v>239.53663793103451</v>
      </c>
      <c r="H9" s="853">
        <v>254.39655172413794</v>
      </c>
      <c r="I9" s="853">
        <v>255.54956896551724</v>
      </c>
      <c r="J9" s="853">
        <v>256.58405172413791</v>
      </c>
      <c r="K9" s="853">
        <v>257.52155172413791</v>
      </c>
      <c r="L9" s="853">
        <v>258.36206896551721</v>
      </c>
      <c r="M9" s="853">
        <v>258.36206896551721</v>
      </c>
      <c r="N9" s="853">
        <v>258.36206896551721</v>
      </c>
      <c r="O9" s="853">
        <v>258.36206896551721</v>
      </c>
      <c r="P9" s="853">
        <v>258.36206896551721</v>
      </c>
      <c r="Q9" s="853">
        <v>258.36206896551721</v>
      </c>
      <c r="R9" s="853">
        <v>258.36206896551721</v>
      </c>
      <c r="S9" s="853">
        <v>258.36206896551721</v>
      </c>
      <c r="T9" s="853">
        <v>258.36206896551721</v>
      </c>
      <c r="U9" s="853">
        <v>258.36206896551721</v>
      </c>
      <c r="V9" s="853">
        <v>258.36206896551721</v>
      </c>
      <c r="W9" s="853">
        <v>258.36206896551721</v>
      </c>
      <c r="X9" s="853">
        <v>258.36206896551721</v>
      </c>
      <c r="Y9" s="853">
        <v>258.36206896551721</v>
      </c>
      <c r="Z9" s="853">
        <v>258.36206896551721</v>
      </c>
      <c r="AA9" s="853">
        <v>258.36206896551721</v>
      </c>
      <c r="AB9" s="853">
        <v>258.36206896551721</v>
      </c>
      <c r="AC9" s="853">
        <v>258.36206896551721</v>
      </c>
      <c r="AD9" s="853">
        <v>258.36206896551721</v>
      </c>
      <c r="AE9" s="853">
        <v>258.36206896551721</v>
      </c>
      <c r="AF9" s="853">
        <v>258.36206896551721</v>
      </c>
      <c r="AG9" s="853">
        <v>258.36206896551721</v>
      </c>
      <c r="AH9" s="853">
        <v>258.36206896551721</v>
      </c>
      <c r="AI9" s="853">
        <v>258.36206896551721</v>
      </c>
      <c r="AJ9" s="853">
        <v>258.36206896551721</v>
      </c>
      <c r="AK9" s="853">
        <v>258.36206896551721</v>
      </c>
      <c r="AL9" s="853">
        <v>258.36206896551721</v>
      </c>
      <c r="AM9" s="853">
        <v>258.36206896551721</v>
      </c>
      <c r="AN9" s="853">
        <v>258.36206896551721</v>
      </c>
      <c r="AO9" s="853">
        <v>258.36206896551721</v>
      </c>
      <c r="AP9" s="853">
        <v>258.36206896551721</v>
      </c>
      <c r="AQ9" s="853">
        <v>258.36206896551721</v>
      </c>
      <c r="AR9" s="853">
        <v>258.36206896551721</v>
      </c>
      <c r="AS9" s="853">
        <v>258.36206896551721</v>
      </c>
      <c r="AT9" s="853">
        <v>258.36206896551721</v>
      </c>
      <c r="AU9" s="853">
        <v>258.36206896551721</v>
      </c>
      <c r="AV9" s="853">
        <v>258.36206896551721</v>
      </c>
      <c r="AW9" s="853">
        <v>258.36206896551721</v>
      </c>
      <c r="AX9" s="853">
        <v>258.36200000000002</v>
      </c>
      <c r="AY9" s="853">
        <v>258.36200000000002</v>
      </c>
      <c r="AZ9" s="854">
        <v>258.36200000000002</v>
      </c>
    </row>
    <row r="10" spans="2:52" s="840" customFormat="1">
      <c r="B10" s="848" t="s">
        <v>583</v>
      </c>
      <c r="C10" s="852">
        <v>13.190951389656604</v>
      </c>
      <c r="D10" s="853">
        <v>13.190951389656604</v>
      </c>
      <c r="E10" s="853">
        <v>13.190951389656604</v>
      </c>
      <c r="F10" s="853">
        <v>13.190951389656604</v>
      </c>
      <c r="G10" s="853">
        <v>13.266769846394517</v>
      </c>
      <c r="H10" s="853">
        <v>13.34258830313243</v>
      </c>
      <c r="I10" s="853">
        <v>13.418406759870344</v>
      </c>
      <c r="J10" s="853">
        <v>13.418406759870344</v>
      </c>
      <c r="K10" s="853">
        <v>13.418406759870344</v>
      </c>
      <c r="L10" s="853">
        <v>13.418406759870344</v>
      </c>
      <c r="M10" s="853">
        <v>13.418406759870344</v>
      </c>
      <c r="N10" s="853">
        <v>13.418406759870344</v>
      </c>
      <c r="O10" s="853">
        <v>13.418406759870344</v>
      </c>
      <c r="P10" s="853">
        <v>13.418406759870344</v>
      </c>
      <c r="Q10" s="853">
        <v>13.42</v>
      </c>
      <c r="R10" s="853">
        <v>13.42</v>
      </c>
      <c r="S10" s="853">
        <v>13.42</v>
      </c>
      <c r="T10" s="853">
        <v>13.42</v>
      </c>
      <c r="U10" s="853">
        <v>13.42</v>
      </c>
      <c r="V10" s="853">
        <v>13.42</v>
      </c>
      <c r="W10" s="853">
        <v>13.42</v>
      </c>
      <c r="X10" s="853">
        <v>13.42</v>
      </c>
      <c r="Y10" s="853">
        <v>13.42</v>
      </c>
      <c r="Z10" s="853">
        <v>13.42</v>
      </c>
      <c r="AA10" s="853">
        <v>13.42</v>
      </c>
      <c r="AB10" s="853">
        <v>13.42</v>
      </c>
      <c r="AC10" s="853">
        <v>13.42</v>
      </c>
      <c r="AD10" s="853">
        <v>13.42</v>
      </c>
      <c r="AE10" s="853">
        <v>13.42</v>
      </c>
      <c r="AF10" s="853">
        <v>13.42</v>
      </c>
      <c r="AG10" s="853">
        <v>13.42</v>
      </c>
      <c r="AH10" s="853">
        <v>13.42</v>
      </c>
      <c r="AI10" s="853">
        <v>13.42</v>
      </c>
      <c r="AJ10" s="853">
        <v>13.42</v>
      </c>
      <c r="AK10" s="853">
        <v>13.42</v>
      </c>
      <c r="AL10" s="853">
        <v>13.42</v>
      </c>
      <c r="AM10" s="853">
        <v>13.42</v>
      </c>
      <c r="AN10" s="853">
        <v>13.42</v>
      </c>
      <c r="AO10" s="853">
        <v>13.42</v>
      </c>
      <c r="AP10" s="853">
        <v>13.42</v>
      </c>
      <c r="AQ10" s="853">
        <v>13.42</v>
      </c>
      <c r="AR10" s="853">
        <v>13.42</v>
      </c>
      <c r="AS10" s="853">
        <v>13.42</v>
      </c>
      <c r="AT10" s="853">
        <v>13.42</v>
      </c>
      <c r="AU10" s="853">
        <v>13.42</v>
      </c>
      <c r="AV10" s="853">
        <v>13.42</v>
      </c>
      <c r="AW10" s="853">
        <v>13.42</v>
      </c>
      <c r="AX10" s="853">
        <v>13.42</v>
      </c>
      <c r="AY10" s="853">
        <v>13.42</v>
      </c>
      <c r="AZ10" s="854">
        <v>13.42</v>
      </c>
    </row>
    <row r="11" spans="2:52" s="840" customFormat="1">
      <c r="B11" s="848" t="s">
        <v>584</v>
      </c>
      <c r="C11" s="852">
        <v>9.7918893785465375</v>
      </c>
      <c r="D11" s="853">
        <v>9.7918893785465375</v>
      </c>
      <c r="E11" s="853">
        <v>9.7918893785465375</v>
      </c>
      <c r="F11" s="853">
        <v>9.7918893785465375</v>
      </c>
      <c r="G11" s="853">
        <v>9.8677078352844525</v>
      </c>
      <c r="H11" s="853">
        <v>9.9435262920223639</v>
      </c>
      <c r="I11" s="853">
        <v>10.019344748760279</v>
      </c>
      <c r="J11" s="853">
        <v>10.019344748760279</v>
      </c>
      <c r="K11" s="853">
        <v>10.019344748760279</v>
      </c>
      <c r="L11" s="853">
        <v>10.019344748760279</v>
      </c>
      <c r="M11" s="853">
        <v>10.019344748760279</v>
      </c>
      <c r="N11" s="853">
        <v>10.019344748760279</v>
      </c>
      <c r="O11" s="853">
        <v>10.019344748760279</v>
      </c>
      <c r="P11" s="853">
        <v>10.019344748760279</v>
      </c>
      <c r="Q11" s="853">
        <v>10.02</v>
      </c>
      <c r="R11" s="853">
        <v>10.02</v>
      </c>
      <c r="S11" s="853">
        <v>10.02</v>
      </c>
      <c r="T11" s="853">
        <v>10.02</v>
      </c>
      <c r="U11" s="853">
        <v>10.02</v>
      </c>
      <c r="V11" s="853">
        <v>10.02</v>
      </c>
      <c r="W11" s="853">
        <v>10.02</v>
      </c>
      <c r="X11" s="853">
        <v>10.02</v>
      </c>
      <c r="Y11" s="853">
        <v>10.02</v>
      </c>
      <c r="Z11" s="853">
        <v>10.02</v>
      </c>
      <c r="AA11" s="853">
        <v>10.02</v>
      </c>
      <c r="AB11" s="853">
        <v>10.02</v>
      </c>
      <c r="AC11" s="853">
        <v>10.02</v>
      </c>
      <c r="AD11" s="853">
        <v>10.02</v>
      </c>
      <c r="AE11" s="853">
        <v>10.02</v>
      </c>
      <c r="AF11" s="853">
        <v>10.02</v>
      </c>
      <c r="AG11" s="853">
        <v>10.02</v>
      </c>
      <c r="AH11" s="853">
        <v>10.02</v>
      </c>
      <c r="AI11" s="853">
        <v>10.02</v>
      </c>
      <c r="AJ11" s="853">
        <v>10.02</v>
      </c>
      <c r="AK11" s="853">
        <v>10.02</v>
      </c>
      <c r="AL11" s="853">
        <v>10.02</v>
      </c>
      <c r="AM11" s="853">
        <v>10.02</v>
      </c>
      <c r="AN11" s="853">
        <v>10.02</v>
      </c>
      <c r="AO11" s="853">
        <v>10.02</v>
      </c>
      <c r="AP11" s="853">
        <v>10.02</v>
      </c>
      <c r="AQ11" s="853">
        <v>10.02</v>
      </c>
      <c r="AR11" s="853">
        <v>10.02</v>
      </c>
      <c r="AS11" s="853">
        <v>10.02</v>
      </c>
      <c r="AT11" s="853">
        <v>10.02</v>
      </c>
      <c r="AU11" s="853">
        <v>10.02</v>
      </c>
      <c r="AV11" s="853">
        <v>10.02</v>
      </c>
      <c r="AW11" s="853">
        <v>10.02</v>
      </c>
      <c r="AX11" s="853">
        <v>10.02</v>
      </c>
      <c r="AY11" s="853">
        <v>10.02</v>
      </c>
      <c r="AZ11" s="854">
        <v>10.02</v>
      </c>
    </row>
    <row r="12" spans="2:52" s="840" customFormat="1">
      <c r="B12" s="848" t="s">
        <v>585</v>
      </c>
      <c r="C12" s="852">
        <v>11.586722846755794</v>
      </c>
      <c r="D12" s="853">
        <v>11.586722846755794</v>
      </c>
      <c r="E12" s="853">
        <v>11.586722846755794</v>
      </c>
      <c r="F12" s="853">
        <v>11.586722846755794</v>
      </c>
      <c r="G12" s="853">
        <v>11.659522846755793</v>
      </c>
      <c r="H12" s="853">
        <v>11.732322846755793</v>
      </c>
      <c r="I12" s="853">
        <v>11.805122846755793</v>
      </c>
      <c r="J12" s="853">
        <v>11.805122846755793</v>
      </c>
      <c r="K12" s="853">
        <v>11.805122846755793</v>
      </c>
      <c r="L12" s="853">
        <v>11.805122846755793</v>
      </c>
      <c r="M12" s="853">
        <v>11.805122846755793</v>
      </c>
      <c r="N12" s="853">
        <v>11.805122846755793</v>
      </c>
      <c r="O12" s="853">
        <v>11.805122846755793</v>
      </c>
      <c r="P12" s="853">
        <v>11.805122846755793</v>
      </c>
      <c r="Q12" s="853">
        <v>11.804166666666667</v>
      </c>
      <c r="R12" s="853">
        <v>11.804166666666667</v>
      </c>
      <c r="S12" s="853">
        <v>11.804166666666667</v>
      </c>
      <c r="T12" s="853">
        <v>11.804166666666667</v>
      </c>
      <c r="U12" s="853">
        <v>11.804166666666667</v>
      </c>
      <c r="V12" s="853">
        <v>11.804166666666667</v>
      </c>
      <c r="W12" s="853">
        <v>11.804166666666667</v>
      </c>
      <c r="X12" s="853">
        <v>11.804166666666667</v>
      </c>
      <c r="Y12" s="853">
        <v>11.804166666666667</v>
      </c>
      <c r="Z12" s="853">
        <v>11.804166666666667</v>
      </c>
      <c r="AA12" s="853">
        <v>11.804166666666667</v>
      </c>
      <c r="AB12" s="853">
        <v>11.804166666666667</v>
      </c>
      <c r="AC12" s="853">
        <v>11.804166666666667</v>
      </c>
      <c r="AD12" s="853">
        <v>11.804166666666667</v>
      </c>
      <c r="AE12" s="853">
        <v>11.804166666666667</v>
      </c>
      <c r="AF12" s="853">
        <v>11.804166666666667</v>
      </c>
      <c r="AG12" s="853">
        <v>11.804166666666667</v>
      </c>
      <c r="AH12" s="853">
        <v>11.804166666666667</v>
      </c>
      <c r="AI12" s="853">
        <v>11.804166666666667</v>
      </c>
      <c r="AJ12" s="853">
        <v>11.804166666666667</v>
      </c>
      <c r="AK12" s="853">
        <v>11.804166666666667</v>
      </c>
      <c r="AL12" s="853">
        <v>11.804166666666667</v>
      </c>
      <c r="AM12" s="853">
        <v>11.804166666666667</v>
      </c>
      <c r="AN12" s="853">
        <v>11.804166666666667</v>
      </c>
      <c r="AO12" s="853">
        <v>11.804166666666667</v>
      </c>
      <c r="AP12" s="853">
        <v>11.804166666666667</v>
      </c>
      <c r="AQ12" s="853">
        <v>11.804166666666667</v>
      </c>
      <c r="AR12" s="853">
        <v>11.804166666666667</v>
      </c>
      <c r="AS12" s="853">
        <v>11.804166666666667</v>
      </c>
      <c r="AT12" s="853">
        <v>11.804166666666667</v>
      </c>
      <c r="AU12" s="853">
        <v>11.804166666666667</v>
      </c>
      <c r="AV12" s="853">
        <v>11.804166666666699</v>
      </c>
      <c r="AW12" s="853">
        <v>11.804166666666699</v>
      </c>
      <c r="AX12" s="853">
        <v>11.804166666666667</v>
      </c>
      <c r="AY12" s="853">
        <v>11.804166666666699</v>
      </c>
      <c r="AZ12" s="854">
        <v>11.804166666666699</v>
      </c>
    </row>
    <row r="13" spans="2:52" s="840" customFormat="1">
      <c r="B13" s="848" t="s">
        <v>586</v>
      </c>
      <c r="C13" s="852">
        <v>9.0231722420115865</v>
      </c>
      <c r="D13" s="853">
        <v>9.0231722420115865</v>
      </c>
      <c r="E13" s="853">
        <v>9.0231722420115865</v>
      </c>
      <c r="F13" s="853">
        <v>9.0231722420115865</v>
      </c>
      <c r="G13" s="853">
        <v>9.0959722420115874</v>
      </c>
      <c r="H13" s="853">
        <v>9.1687722420115847</v>
      </c>
      <c r="I13" s="853">
        <v>9.2415722420115856</v>
      </c>
      <c r="J13" s="853">
        <v>9.2415722420115856</v>
      </c>
      <c r="K13" s="853">
        <v>9.2415722420115856</v>
      </c>
      <c r="L13" s="853">
        <v>9.2415722420115856</v>
      </c>
      <c r="M13" s="853">
        <v>9.2415722420115856</v>
      </c>
      <c r="N13" s="853">
        <v>9.2415722420115856</v>
      </c>
      <c r="O13" s="853">
        <v>9.2415722420115856</v>
      </c>
      <c r="P13" s="853">
        <v>9.2415722420115856</v>
      </c>
      <c r="Q13" s="853">
        <v>9.2441666666666666</v>
      </c>
      <c r="R13" s="853">
        <v>9.2441666666666666</v>
      </c>
      <c r="S13" s="853">
        <v>9.2441666666666666</v>
      </c>
      <c r="T13" s="853">
        <v>9.2441666666666666</v>
      </c>
      <c r="U13" s="853">
        <v>9.2441666666666666</v>
      </c>
      <c r="V13" s="853">
        <v>9.2441666666666666</v>
      </c>
      <c r="W13" s="853">
        <v>9.2441666666666666</v>
      </c>
      <c r="X13" s="853">
        <v>9.2441666666666666</v>
      </c>
      <c r="Y13" s="853">
        <v>9.2441666666666666</v>
      </c>
      <c r="Z13" s="853">
        <v>9.2441666666666666</v>
      </c>
      <c r="AA13" s="853">
        <v>9.2441666666666666</v>
      </c>
      <c r="AB13" s="853">
        <v>9.2441666666666666</v>
      </c>
      <c r="AC13" s="853">
        <v>9.2441666666666666</v>
      </c>
      <c r="AD13" s="853">
        <v>9.2441666666666666</v>
      </c>
      <c r="AE13" s="853">
        <v>9.2441666666666666</v>
      </c>
      <c r="AF13" s="853">
        <v>9.2441666666666666</v>
      </c>
      <c r="AG13" s="853">
        <v>9.2441666666666666</v>
      </c>
      <c r="AH13" s="853">
        <v>9.2441666666666666</v>
      </c>
      <c r="AI13" s="853">
        <v>9.2441666666666666</v>
      </c>
      <c r="AJ13" s="853">
        <v>9.2441666666666666</v>
      </c>
      <c r="AK13" s="853">
        <v>9.2441666666666666</v>
      </c>
      <c r="AL13" s="853">
        <v>9.2441666666666666</v>
      </c>
      <c r="AM13" s="853">
        <v>9.2441666666666666</v>
      </c>
      <c r="AN13" s="853">
        <v>9.2441666666666666</v>
      </c>
      <c r="AO13" s="853">
        <v>9.2441666666666666</v>
      </c>
      <c r="AP13" s="853">
        <v>9.2441666666666666</v>
      </c>
      <c r="AQ13" s="853">
        <v>9.2441666666666666</v>
      </c>
      <c r="AR13" s="853">
        <v>9.2441666666666666</v>
      </c>
      <c r="AS13" s="853">
        <v>9.2441666666666666</v>
      </c>
      <c r="AT13" s="853">
        <v>9.2441666666666666</v>
      </c>
      <c r="AU13" s="853">
        <v>9.2441666666666666</v>
      </c>
      <c r="AV13" s="853">
        <v>9.2441666666666702</v>
      </c>
      <c r="AW13" s="853">
        <v>9.2441666666666702</v>
      </c>
      <c r="AX13" s="853">
        <v>9.2441666666666666</v>
      </c>
      <c r="AY13" s="853">
        <v>9.2441666666666702</v>
      </c>
      <c r="AZ13" s="854">
        <v>9.2441666666666702</v>
      </c>
    </row>
    <row r="14" spans="2:52" s="840" customFormat="1">
      <c r="B14" s="855" t="s">
        <v>279</v>
      </c>
      <c r="C14" s="856">
        <v>7.2607266726146298</v>
      </c>
      <c r="D14" s="857">
        <v>7.9112857970161548</v>
      </c>
      <c r="E14" s="857">
        <v>8.1995068031839171</v>
      </c>
      <c r="F14" s="857">
        <v>8.4073776927334265</v>
      </c>
      <c r="G14" s="857">
        <v>8.5736326363918245</v>
      </c>
      <c r="H14" s="857">
        <v>8.7208261649062617</v>
      </c>
      <c r="I14" s="857">
        <v>8.8285181377174773</v>
      </c>
      <c r="J14" s="857">
        <v>8.8829506598476691</v>
      </c>
      <c r="K14" s="857">
        <v>9.0100552678251411</v>
      </c>
      <c r="L14" s="857">
        <v>9.0500408716374903</v>
      </c>
      <c r="M14" s="857">
        <v>9.1558646250250764</v>
      </c>
      <c r="N14" s="857">
        <v>9.244954159045637</v>
      </c>
      <c r="O14" s="857">
        <v>9.2425044625563437</v>
      </c>
      <c r="P14" s="857">
        <v>9.3135366023628183</v>
      </c>
      <c r="Q14" s="857">
        <v>9.3834258849192018</v>
      </c>
      <c r="R14" s="857">
        <v>9.4457625151136106</v>
      </c>
      <c r="S14" s="857">
        <v>9.4294343454096037</v>
      </c>
      <c r="T14" s="857">
        <v>9.4065940080935402</v>
      </c>
      <c r="U14" s="857">
        <v>9.3718934835830296</v>
      </c>
      <c r="V14" s="857">
        <v>9.3718934835830296</v>
      </c>
      <c r="W14" s="857">
        <v>9.3718934835830296</v>
      </c>
      <c r="X14" s="857">
        <v>9.3718934835830296</v>
      </c>
      <c r="Y14" s="857">
        <v>9.3718934835830296</v>
      </c>
      <c r="Z14" s="857">
        <v>9.3718934835830296</v>
      </c>
      <c r="AA14" s="857">
        <v>9.3718934835830296</v>
      </c>
      <c r="AB14" s="857">
        <v>9.3718934835830296</v>
      </c>
      <c r="AC14" s="857">
        <v>9.3718934835830296</v>
      </c>
      <c r="AD14" s="857">
        <v>9.3718934835830296</v>
      </c>
      <c r="AE14" s="857">
        <v>9.3718934835830296</v>
      </c>
      <c r="AF14" s="857">
        <v>9.3718934835830296</v>
      </c>
      <c r="AG14" s="857">
        <v>9.3718934835830296</v>
      </c>
      <c r="AH14" s="857">
        <v>9.3718934835830296</v>
      </c>
      <c r="AI14" s="857">
        <v>9.3718934835830296</v>
      </c>
      <c r="AJ14" s="857">
        <v>9.3718934835830296</v>
      </c>
      <c r="AK14" s="857">
        <v>9.3718934835830296</v>
      </c>
      <c r="AL14" s="857">
        <v>9.3718934835830296</v>
      </c>
      <c r="AM14" s="857">
        <v>9.3718934835830296</v>
      </c>
      <c r="AN14" s="857">
        <v>9.3718934835830296</v>
      </c>
      <c r="AO14" s="857">
        <v>9.3718934835830296</v>
      </c>
      <c r="AP14" s="857">
        <v>9.3718934835830296</v>
      </c>
      <c r="AQ14" s="857">
        <v>9.3718934835830296</v>
      </c>
      <c r="AR14" s="857">
        <v>9.3718934835830296</v>
      </c>
      <c r="AS14" s="857">
        <v>9.3718934835830296</v>
      </c>
      <c r="AT14" s="857">
        <v>9.3718934835830296</v>
      </c>
      <c r="AU14" s="857">
        <v>9.3718934835830296</v>
      </c>
      <c r="AV14" s="857">
        <v>9.3718934835830296</v>
      </c>
      <c r="AW14" s="857">
        <v>9.3718934835830296</v>
      </c>
      <c r="AX14" s="857">
        <v>9.3718934835830296</v>
      </c>
      <c r="AY14" s="857">
        <v>9.3718934835830296</v>
      </c>
      <c r="AZ14" s="858">
        <v>9.3718934835830296</v>
      </c>
    </row>
    <row r="15" spans="2:52" s="840" customFormat="1">
      <c r="B15" s="848" t="s">
        <v>280</v>
      </c>
      <c r="C15" s="849">
        <v>6.1196529523205416E-3</v>
      </c>
      <c r="D15" s="850">
        <v>5.9978268477040445E-3</v>
      </c>
      <c r="E15" s="850">
        <v>5.8815987968481786E-3</v>
      </c>
      <c r="F15" s="850">
        <v>5.7707817871553947E-3</v>
      </c>
      <c r="G15" s="850">
        <v>5.7665380026881916E-3</v>
      </c>
      <c r="H15" s="850">
        <v>5.762283803279443E-3</v>
      </c>
      <c r="I15" s="850">
        <v>5.7580191633691807E-3</v>
      </c>
      <c r="J15" s="850">
        <v>5.7537440573347037E-3</v>
      </c>
      <c r="K15" s="850">
        <v>5.7494584594904299E-3</v>
      </c>
      <c r="L15" s="850">
        <v>5.7451623440877425E-3</v>
      </c>
      <c r="M15" s="850">
        <v>5.7408556853148322E-3</v>
      </c>
      <c r="N15" s="850">
        <v>5.736538457296542E-3</v>
      </c>
      <c r="O15" s="850">
        <v>5.7322106340942152E-3</v>
      </c>
      <c r="P15" s="850">
        <v>5.7322106340942152E-3</v>
      </c>
      <c r="Q15" s="850">
        <v>5.7322106340942152E-3</v>
      </c>
      <c r="R15" s="850">
        <v>5.7322106340942152E-3</v>
      </c>
      <c r="S15" s="850">
        <v>5.7322106340942152E-3</v>
      </c>
      <c r="T15" s="850">
        <v>5.7322106340942152E-3</v>
      </c>
      <c r="U15" s="850">
        <v>5.7322106340942152E-3</v>
      </c>
      <c r="V15" s="850">
        <v>5.7322106340942152E-3</v>
      </c>
      <c r="W15" s="850">
        <v>5.7322106340942152E-3</v>
      </c>
      <c r="X15" s="850">
        <v>5.7322106340942152E-3</v>
      </c>
      <c r="Y15" s="850">
        <v>5.7300000000000007E-3</v>
      </c>
      <c r="Z15" s="850">
        <v>5.7300000000000007E-3</v>
      </c>
      <c r="AA15" s="850">
        <v>5.7300000000000007E-3</v>
      </c>
      <c r="AB15" s="850">
        <v>5.7300000000000007E-3</v>
      </c>
      <c r="AC15" s="850">
        <v>5.7300000000000007E-3</v>
      </c>
      <c r="AD15" s="850">
        <v>5.7300000000000007E-3</v>
      </c>
      <c r="AE15" s="850">
        <v>5.7300000000000007E-3</v>
      </c>
      <c r="AF15" s="850">
        <v>5.7300000000000007E-3</v>
      </c>
      <c r="AG15" s="850">
        <v>5.7300000000000007E-3</v>
      </c>
      <c r="AH15" s="850">
        <v>5.7300000000000007E-3</v>
      </c>
      <c r="AI15" s="850">
        <v>5.7300000000000007E-3</v>
      </c>
      <c r="AJ15" s="850">
        <v>5.7300000000000007E-3</v>
      </c>
      <c r="AK15" s="850">
        <v>5.7300000000000007E-3</v>
      </c>
      <c r="AL15" s="850">
        <v>5.7300000000000007E-3</v>
      </c>
      <c r="AM15" s="850">
        <v>5.7300000000000007E-3</v>
      </c>
      <c r="AN15" s="850">
        <v>5.7300000000000007E-3</v>
      </c>
      <c r="AO15" s="850">
        <v>5.7300000000000007E-3</v>
      </c>
      <c r="AP15" s="850">
        <v>5.7300000000000007E-3</v>
      </c>
      <c r="AQ15" s="850">
        <v>5.7300000000000007E-3</v>
      </c>
      <c r="AR15" s="850">
        <v>5.7300000000000007E-3</v>
      </c>
      <c r="AS15" s="850">
        <v>5.7300000000000007E-3</v>
      </c>
      <c r="AT15" s="850">
        <v>5.7300000000000007E-3</v>
      </c>
      <c r="AU15" s="850">
        <v>5.7300000000000007E-3</v>
      </c>
      <c r="AV15" s="850">
        <v>5.7300000000000007E-3</v>
      </c>
      <c r="AW15" s="850">
        <v>5.7300000000000007E-3</v>
      </c>
      <c r="AX15" s="850">
        <v>5.7300000000000007E-3</v>
      </c>
      <c r="AY15" s="850">
        <v>5.7300000000000007E-3</v>
      </c>
      <c r="AZ15" s="851">
        <v>5.7300000000000007E-3</v>
      </c>
    </row>
    <row r="16" spans="2:52" s="840" customFormat="1">
      <c r="B16" s="848" t="s">
        <v>281</v>
      </c>
      <c r="C16" s="852">
        <v>0.87750000000000006</v>
      </c>
      <c r="D16" s="853">
        <v>0.87750000000000006</v>
      </c>
      <c r="E16" s="853">
        <v>0.87750000000000006</v>
      </c>
      <c r="F16" s="853">
        <v>0.87750000000000006</v>
      </c>
      <c r="G16" s="853">
        <v>0.87750000000000006</v>
      </c>
      <c r="H16" s="853">
        <v>0.87750000000000006</v>
      </c>
      <c r="I16" s="853">
        <v>0.87750000000000006</v>
      </c>
      <c r="J16" s="853">
        <v>0.87750000000000006</v>
      </c>
      <c r="K16" s="853">
        <v>0.87750000000000006</v>
      </c>
      <c r="L16" s="853">
        <v>0.87750000000000006</v>
      </c>
      <c r="M16" s="853">
        <v>0.87750000000000006</v>
      </c>
      <c r="N16" s="853">
        <v>0.87750000000000006</v>
      </c>
      <c r="O16" s="853">
        <v>0.87750000000000006</v>
      </c>
      <c r="P16" s="853">
        <v>0.87750000000000006</v>
      </c>
      <c r="Q16" s="853">
        <v>0.87750000000000006</v>
      </c>
      <c r="R16" s="853">
        <v>0.87750000000000006</v>
      </c>
      <c r="S16" s="853">
        <v>0.87750000000000006</v>
      </c>
      <c r="T16" s="853">
        <v>0.87750000000000006</v>
      </c>
      <c r="U16" s="853">
        <v>0.87750000000000006</v>
      </c>
      <c r="V16" s="853">
        <v>0.87750000000000006</v>
      </c>
      <c r="W16" s="853">
        <v>0.87750000000000006</v>
      </c>
      <c r="X16" s="853">
        <v>0.87750000000000006</v>
      </c>
      <c r="Y16" s="853">
        <v>0.87750000000000006</v>
      </c>
      <c r="Z16" s="853">
        <v>0.87750000000000006</v>
      </c>
      <c r="AA16" s="853">
        <v>0.87750000000000006</v>
      </c>
      <c r="AB16" s="853">
        <v>0.87750000000000006</v>
      </c>
      <c r="AC16" s="853">
        <v>0.87750000000000006</v>
      </c>
      <c r="AD16" s="853">
        <v>0.87750000000000006</v>
      </c>
      <c r="AE16" s="853">
        <v>0.87750000000000006</v>
      </c>
      <c r="AF16" s="853">
        <v>0.87750000000000006</v>
      </c>
      <c r="AG16" s="853">
        <v>0.87750000000000006</v>
      </c>
      <c r="AH16" s="853">
        <v>0.87750000000000006</v>
      </c>
      <c r="AI16" s="853">
        <v>0.87750000000000006</v>
      </c>
      <c r="AJ16" s="853">
        <v>0.87750000000000006</v>
      </c>
      <c r="AK16" s="853">
        <v>0.87750000000000006</v>
      </c>
      <c r="AL16" s="853">
        <v>0.87750000000000006</v>
      </c>
      <c r="AM16" s="853">
        <v>0.87750000000000006</v>
      </c>
      <c r="AN16" s="853">
        <v>0.87750000000000006</v>
      </c>
      <c r="AO16" s="853">
        <v>0.87750000000000006</v>
      </c>
      <c r="AP16" s="853">
        <v>0.87750000000000006</v>
      </c>
      <c r="AQ16" s="853">
        <v>0.87750000000000006</v>
      </c>
      <c r="AR16" s="853">
        <v>0.87750000000000006</v>
      </c>
      <c r="AS16" s="853">
        <v>0.87750000000000006</v>
      </c>
      <c r="AT16" s="853">
        <v>0.87750000000000006</v>
      </c>
      <c r="AU16" s="853">
        <v>0.87750000000000006</v>
      </c>
      <c r="AV16" s="853">
        <v>0.87750000000000006</v>
      </c>
      <c r="AW16" s="853">
        <v>0.87750000000000006</v>
      </c>
      <c r="AX16" s="853">
        <f t="shared" ref="AX16:AZ17" si="0">(58.5/1000)*15</f>
        <v>0.87750000000000006</v>
      </c>
      <c r="AY16" s="853">
        <f t="shared" si="0"/>
        <v>0.87750000000000006</v>
      </c>
      <c r="AZ16" s="854">
        <f t="shared" si="0"/>
        <v>0.87750000000000006</v>
      </c>
    </row>
    <row r="17" spans="1:52" s="840" customFormat="1" ht="12.75" thickBot="1">
      <c r="B17" s="859" t="s">
        <v>282</v>
      </c>
      <c r="C17" s="860">
        <v>0.87750000000000006</v>
      </c>
      <c r="D17" s="861">
        <v>0.87750000000000006</v>
      </c>
      <c r="E17" s="861">
        <v>0.87750000000000006</v>
      </c>
      <c r="F17" s="861">
        <v>0.87750000000000006</v>
      </c>
      <c r="G17" s="861">
        <v>0.87750000000000006</v>
      </c>
      <c r="H17" s="861">
        <v>0.87750000000000006</v>
      </c>
      <c r="I17" s="861">
        <v>0.87750000000000006</v>
      </c>
      <c r="J17" s="861">
        <v>0.87750000000000006</v>
      </c>
      <c r="K17" s="861">
        <v>0.87750000000000006</v>
      </c>
      <c r="L17" s="861">
        <v>0.87750000000000006</v>
      </c>
      <c r="M17" s="861">
        <v>0.87750000000000006</v>
      </c>
      <c r="N17" s="861">
        <v>0.87750000000000006</v>
      </c>
      <c r="O17" s="861">
        <v>0.87750000000000006</v>
      </c>
      <c r="P17" s="861">
        <v>0.87750000000000006</v>
      </c>
      <c r="Q17" s="861">
        <v>0.87750000000000006</v>
      </c>
      <c r="R17" s="861">
        <v>0.87750000000000006</v>
      </c>
      <c r="S17" s="861">
        <v>0.87750000000000006</v>
      </c>
      <c r="T17" s="861">
        <v>0.87750000000000006</v>
      </c>
      <c r="U17" s="861">
        <v>0.87750000000000006</v>
      </c>
      <c r="V17" s="861">
        <v>0.87750000000000006</v>
      </c>
      <c r="W17" s="861">
        <v>0.87750000000000006</v>
      </c>
      <c r="X17" s="861">
        <v>0.87750000000000006</v>
      </c>
      <c r="Y17" s="861">
        <v>0.87750000000000006</v>
      </c>
      <c r="Z17" s="861">
        <v>0.87750000000000006</v>
      </c>
      <c r="AA17" s="861">
        <v>0.87750000000000006</v>
      </c>
      <c r="AB17" s="861">
        <v>0.87750000000000006</v>
      </c>
      <c r="AC17" s="861">
        <v>0.87750000000000006</v>
      </c>
      <c r="AD17" s="861">
        <v>0.87750000000000006</v>
      </c>
      <c r="AE17" s="861">
        <v>0.87750000000000006</v>
      </c>
      <c r="AF17" s="861">
        <v>0.87750000000000006</v>
      </c>
      <c r="AG17" s="861">
        <v>0.87750000000000006</v>
      </c>
      <c r="AH17" s="861">
        <v>0.87750000000000006</v>
      </c>
      <c r="AI17" s="861">
        <v>0.87750000000000006</v>
      </c>
      <c r="AJ17" s="861">
        <v>0.87750000000000006</v>
      </c>
      <c r="AK17" s="861">
        <v>0.87750000000000006</v>
      </c>
      <c r="AL17" s="861">
        <v>0.87750000000000006</v>
      </c>
      <c r="AM17" s="861">
        <v>0.87750000000000006</v>
      </c>
      <c r="AN17" s="861">
        <v>0.87750000000000006</v>
      </c>
      <c r="AO17" s="861">
        <v>0.87750000000000006</v>
      </c>
      <c r="AP17" s="861">
        <v>0.87750000000000006</v>
      </c>
      <c r="AQ17" s="861">
        <v>0.87750000000000006</v>
      </c>
      <c r="AR17" s="861">
        <v>0.87750000000000006</v>
      </c>
      <c r="AS17" s="861">
        <v>0.87750000000000006</v>
      </c>
      <c r="AT17" s="861">
        <v>0.87750000000000006</v>
      </c>
      <c r="AU17" s="861">
        <v>0.87750000000000006</v>
      </c>
      <c r="AV17" s="861">
        <v>0.87750000000000006</v>
      </c>
      <c r="AW17" s="861">
        <v>0.87750000000000006</v>
      </c>
      <c r="AX17" s="861">
        <f t="shared" si="0"/>
        <v>0.87750000000000006</v>
      </c>
      <c r="AY17" s="861">
        <f t="shared" si="0"/>
        <v>0.87750000000000006</v>
      </c>
      <c r="AZ17" s="862">
        <f t="shared" si="0"/>
        <v>0.87750000000000006</v>
      </c>
    </row>
    <row r="18" spans="1:52" s="833" customFormat="1">
      <c r="C18" s="836"/>
      <c r="D18" s="836"/>
      <c r="E18" s="836"/>
      <c r="F18" s="836"/>
      <c r="G18" s="836"/>
      <c r="H18" s="836"/>
      <c r="I18" s="836"/>
      <c r="J18" s="836"/>
      <c r="K18" s="836"/>
      <c r="L18" s="836"/>
      <c r="M18" s="836"/>
      <c r="N18" s="836"/>
      <c r="O18" s="836"/>
      <c r="P18" s="836"/>
      <c r="Q18" s="836"/>
      <c r="R18" s="836"/>
      <c r="S18" s="836"/>
      <c r="T18" s="836"/>
      <c r="U18" s="836"/>
      <c r="V18" s="836"/>
      <c r="W18" s="836"/>
      <c r="X18" s="836"/>
      <c r="Y18" s="836"/>
      <c r="Z18" s="836"/>
      <c r="AA18" s="836"/>
      <c r="AB18" s="836"/>
      <c r="AC18" s="836"/>
      <c r="AD18" s="836"/>
      <c r="AE18" s="836"/>
      <c r="AF18" s="836"/>
    </row>
    <row r="19" spans="1:52" s="833" customFormat="1" ht="15.75" thickBot="1">
      <c r="B19" s="839" t="s">
        <v>283</v>
      </c>
      <c r="C19" s="836"/>
      <c r="D19" s="836"/>
      <c r="E19" s="836"/>
      <c r="F19" s="836"/>
      <c r="G19" s="836"/>
      <c r="H19" s="836"/>
      <c r="I19" s="836"/>
      <c r="J19" s="836"/>
      <c r="K19" s="836"/>
      <c r="L19" s="836"/>
      <c r="M19" s="836"/>
      <c r="N19" s="836"/>
      <c r="O19" s="836"/>
      <c r="P19" s="836"/>
      <c r="Q19" s="836"/>
      <c r="R19" s="836"/>
      <c r="S19" s="836"/>
      <c r="T19" s="836"/>
      <c r="U19" s="836"/>
      <c r="V19" s="836"/>
      <c r="W19" s="836"/>
      <c r="X19" s="836"/>
      <c r="Y19" s="836"/>
      <c r="Z19" s="836"/>
      <c r="AA19" s="836"/>
      <c r="AB19" s="836"/>
      <c r="AC19" s="836"/>
      <c r="AD19" s="836"/>
      <c r="AE19" s="836"/>
      <c r="AF19" s="836"/>
    </row>
    <row r="20" spans="1:52" s="840" customFormat="1" ht="12.75" thickBot="1">
      <c r="A20" s="863">
        <v>1</v>
      </c>
      <c r="B20" s="841" t="s">
        <v>243</v>
      </c>
      <c r="C20" s="842">
        <v>1</v>
      </c>
      <c r="D20" s="843">
        <v>2</v>
      </c>
      <c r="E20" s="842">
        <v>3</v>
      </c>
      <c r="F20" s="843">
        <v>4</v>
      </c>
      <c r="G20" s="842">
        <v>5</v>
      </c>
      <c r="H20" s="843">
        <v>6</v>
      </c>
      <c r="I20" s="842">
        <v>7</v>
      </c>
      <c r="J20" s="843">
        <v>8</v>
      </c>
      <c r="K20" s="842">
        <v>9</v>
      </c>
      <c r="L20" s="843">
        <v>10</v>
      </c>
      <c r="M20" s="842">
        <v>11</v>
      </c>
      <c r="N20" s="843">
        <v>12</v>
      </c>
      <c r="O20" s="842">
        <v>13</v>
      </c>
      <c r="P20" s="843">
        <v>14</v>
      </c>
      <c r="Q20" s="842">
        <v>15</v>
      </c>
      <c r="R20" s="843">
        <v>16</v>
      </c>
      <c r="S20" s="842">
        <v>17</v>
      </c>
      <c r="T20" s="843">
        <v>18</v>
      </c>
      <c r="U20" s="842">
        <v>19</v>
      </c>
      <c r="V20" s="843">
        <v>20</v>
      </c>
      <c r="W20" s="842">
        <v>21</v>
      </c>
      <c r="X20" s="843">
        <v>22</v>
      </c>
      <c r="Y20" s="842">
        <v>23</v>
      </c>
      <c r="Z20" s="843">
        <v>24</v>
      </c>
      <c r="AA20" s="842">
        <v>25</v>
      </c>
      <c r="AB20" s="843">
        <v>26</v>
      </c>
      <c r="AC20" s="842">
        <v>27</v>
      </c>
      <c r="AD20" s="843">
        <v>28</v>
      </c>
      <c r="AE20" s="842">
        <v>29</v>
      </c>
      <c r="AF20" s="843">
        <v>30</v>
      </c>
      <c r="AG20" s="842">
        <f t="shared" ref="AG20:AZ20" si="1">AF20+1</f>
        <v>31</v>
      </c>
      <c r="AH20" s="843">
        <f t="shared" si="1"/>
        <v>32</v>
      </c>
      <c r="AI20" s="842">
        <f t="shared" si="1"/>
        <v>33</v>
      </c>
      <c r="AJ20" s="843">
        <f t="shared" si="1"/>
        <v>34</v>
      </c>
      <c r="AK20" s="842">
        <f t="shared" si="1"/>
        <v>35</v>
      </c>
      <c r="AL20" s="843">
        <f t="shared" si="1"/>
        <v>36</v>
      </c>
      <c r="AM20" s="842">
        <f t="shared" si="1"/>
        <v>37</v>
      </c>
      <c r="AN20" s="843">
        <f t="shared" si="1"/>
        <v>38</v>
      </c>
      <c r="AO20" s="842">
        <f t="shared" si="1"/>
        <v>39</v>
      </c>
      <c r="AP20" s="843">
        <f t="shared" si="1"/>
        <v>40</v>
      </c>
      <c r="AQ20" s="842">
        <f t="shared" si="1"/>
        <v>41</v>
      </c>
      <c r="AR20" s="843">
        <f t="shared" si="1"/>
        <v>42</v>
      </c>
      <c r="AS20" s="842">
        <f t="shared" si="1"/>
        <v>43</v>
      </c>
      <c r="AT20" s="843">
        <f t="shared" si="1"/>
        <v>44</v>
      </c>
      <c r="AU20" s="842">
        <f t="shared" si="1"/>
        <v>45</v>
      </c>
      <c r="AV20" s="843">
        <f t="shared" si="1"/>
        <v>46</v>
      </c>
      <c r="AW20" s="842">
        <f t="shared" si="1"/>
        <v>47</v>
      </c>
      <c r="AX20" s="843">
        <f t="shared" si="1"/>
        <v>48</v>
      </c>
      <c r="AY20" s="842">
        <f t="shared" si="1"/>
        <v>49</v>
      </c>
      <c r="AZ20" s="843">
        <f t="shared" si="1"/>
        <v>50</v>
      </c>
    </row>
    <row r="21" spans="1:52" s="840" customFormat="1">
      <c r="A21" s="863">
        <v>2</v>
      </c>
      <c r="B21" s="844" t="s">
        <v>587</v>
      </c>
      <c r="C21" s="845">
        <f>NPV($D$2,$C5:C5)*1.061*1.055</f>
        <v>6.9589400727026907E-2</v>
      </c>
      <c r="D21" s="846">
        <f>NPV($D$2,$C5:D5)*1.061*1.055</f>
        <v>0.13539699115380383</v>
      </c>
      <c r="E21" s="846">
        <f>NPV($D$2,$C5:E5)*1.061*1.055</f>
        <v>0.19762829287014549</v>
      </c>
      <c r="F21" s="846">
        <f>NPV($D$2,$C5:F5)*1.061*1.055</f>
        <v>0.2564776584159898</v>
      </c>
      <c r="G21" s="846">
        <f>NPV($D$2,$C5:G5)*1.061*1.055</f>
        <v>0.31239594421611017</v>
      </c>
      <c r="H21" s="846">
        <f>NPV($D$2,$C5:H5)*1.061*1.055</f>
        <v>0.36552913703512341</v>
      </c>
      <c r="I21" s="846">
        <f>NPV($D$2,$C5:I5)*1.061*1.055</f>
        <v>0.41601595255078022</v>
      </c>
      <c r="J21" s="846">
        <f>NPV($D$2,$C5:J5)*1.061*1.055</f>
        <v>0.46398819750120696</v>
      </c>
      <c r="K21" s="846">
        <f>NPV($D$2,$C5:K5)*1.061*1.055</f>
        <v>0.50957111379486897</v>
      </c>
      <c r="L21" s="846">
        <f>NPV($D$2,$C5:L5)*1.061*1.055</f>
        <v>0.5528837054816278</v>
      </c>
      <c r="M21" s="846">
        <f>NPV($D$2,$C5:M5)*1.061*1.055</f>
        <v>0.59403904943851982</v>
      </c>
      <c r="N21" s="846">
        <f>NPV($D$2,$C5:N5)*1.061*1.055</f>
        <v>0.63314459058137174</v>
      </c>
      <c r="O21" s="846">
        <f>NPV($D$2,$C5:O5)*1.061*1.055</f>
        <v>0.67030242237296311</v>
      </c>
      <c r="P21" s="846">
        <f>NPV($D$2,$C5:P5)*1.061*1.055</f>
        <v>0.70552311601428208</v>
      </c>
      <c r="Q21" s="846">
        <f>NPV($D$2,$C5:Q5)*1.061*1.055</f>
        <v>0.73890765975012929</v>
      </c>
      <c r="R21" s="846">
        <f>NPV($D$2,$C5:R5)*1.061*1.055</f>
        <v>0.77055177703529254</v>
      </c>
      <c r="S21" s="846">
        <f>NPV($D$2,$C5:S5)*1.061*1.055</f>
        <v>0.80054620100227181</v>
      </c>
      <c r="T21" s="846">
        <f>NPV($D$2,$C5:T5)*1.061*1.055</f>
        <v>0.8289769346202619</v>
      </c>
      <c r="U21" s="846">
        <f>NPV($D$2,$C5:U5)*1.061*1.055</f>
        <v>0.85592549729134237</v>
      </c>
      <c r="V21" s="846">
        <f>NPV($D$2,$C5:V5)*1.061*1.055</f>
        <v>0.88146915859094477</v>
      </c>
      <c r="W21" s="846">
        <f>NPV($D$2,$C5:W5)*1.061*1.055</f>
        <v>0.90568115982279529</v>
      </c>
      <c r="X21" s="846">
        <f>NPV($D$2,$C5:X5)*1.061*1.055</f>
        <v>0.92863092402360159</v>
      </c>
      <c r="Y21" s="846">
        <f>NPV($D$2,$C5:Y5)*1.061*1.055</f>
        <v>0.95038425501962642</v>
      </c>
      <c r="Z21" s="846">
        <f>NPV($D$2,$C5:Z5)*1.061*1.055</f>
        <v>0.97100352610590612</v>
      </c>
      <c r="AA21" s="846">
        <f>NPV($D$2,$C5:AA5)*1.061*1.055</f>
        <v>0.99054785888910934</v>
      </c>
      <c r="AB21" s="846">
        <f>NPV($D$2,$C5:AB5)*1.061*1.055</f>
        <v>1.0090732928068378</v>
      </c>
      <c r="AC21" s="846">
        <f>NPV($D$2,$C5:AC5)*1.061*1.055</f>
        <v>1.0266329458094237</v>
      </c>
      <c r="AD21" s="846">
        <f>NPV($D$2,$C5:AD5)*1.061*1.055</f>
        <v>1.0432771666649554</v>
      </c>
      <c r="AE21" s="846">
        <f>NPV($D$2,$C5:AE5)*1.061*1.055</f>
        <v>1.0590536793242273</v>
      </c>
      <c r="AF21" s="846">
        <f>NPV($D$2,$C5:AF5)*1.061*1.055</f>
        <v>1.0740077197595563</v>
      </c>
      <c r="AG21" s="846">
        <f>NPV($D$2,$C5:AG5)*1.061*1.055</f>
        <v>1.0881821656698203</v>
      </c>
      <c r="AH21" s="846">
        <f>NPV($D$2,$C5:AH5)*1.061*1.055</f>
        <v>1.1016176594236253</v>
      </c>
      <c r="AI21" s="846">
        <f>NPV($D$2,$C5:AI5)*1.061*1.055</f>
        <v>1.1143527245931086</v>
      </c>
      <c r="AJ21" s="846">
        <f>NPV($D$2,$C5:AJ5)*1.061*1.055</f>
        <v>1.1264238764125243</v>
      </c>
      <c r="AK21" s="846">
        <f>NPV($D$2,$C5:AK5)*1.061*1.055</f>
        <v>1.137865726478321</v>
      </c>
      <c r="AL21" s="846">
        <f>NPV($D$2,$C5:AL5)*1.061*1.055</f>
        <v>1.1487110819909245</v>
      </c>
      <c r="AM21" s="846">
        <f>NPV($D$2,$C5:AM5)*1.061*1.055</f>
        <v>1.1589910398227761</v>
      </c>
      <c r="AN21" s="846">
        <f>NPV($D$2,$C5:AN5)*1.061*1.055</f>
        <v>1.1687350756823511</v>
      </c>
      <c r="AO21" s="846">
        <f>NPV($D$2,$C5:AO5)*1.061*1.055</f>
        <v>1.1779711286298153</v>
      </c>
      <c r="AP21" s="846">
        <f>NPV($D$2,$C5:AP5)*1.061*1.055</f>
        <v>1.186725681186654</v>
      </c>
      <c r="AQ21" s="846">
        <f>NPV($D$2,$C5:AQ5)*1.061*1.055</f>
        <v>1.1950238352689653</v>
      </c>
      <c r="AR21" s="846">
        <f>NPV($D$2,$C5:AR5)*1.061*1.055</f>
        <v>1.2028893841621513</v>
      </c>
      <c r="AS21" s="846">
        <f>NPV($D$2,$C5:AS5)*1.061*1.055</f>
        <v>1.2103448807433701</v>
      </c>
      <c r="AT21" s="846">
        <f>NPV($D$2,$C5:AT5)*1.061*1.055</f>
        <v>1.2174117021473694</v>
      </c>
      <c r="AU21" s="846">
        <f>NPV($D$2,$C5:AU5)*1.061*1.055</f>
        <v>1.2241101110611123</v>
      </c>
      <c r="AV21" s="846">
        <f>NPV($D$2,$C5:AV5)*1.061*1.055</f>
        <v>1.2304593138229545</v>
      </c>
      <c r="AW21" s="846">
        <f>NPV($D$2,$C5:AW5)*1.061*1.055</f>
        <v>1.2364775154929466</v>
      </c>
      <c r="AX21" s="846">
        <f>NPV($D$2,$C5:AX5)*1.061*1.055</f>
        <v>1.2421822163277119</v>
      </c>
      <c r="AY21" s="846">
        <f>NPV($D$2,$C5:AY5)*1.061*1.055</f>
        <v>1.247589515697157</v>
      </c>
      <c r="AZ21" s="847">
        <f>NPV($D$2,$C5:AZ5)*1.061*1.055</f>
        <v>1.2527149179430772</v>
      </c>
    </row>
    <row r="22" spans="1:52" s="840" customFormat="1">
      <c r="A22" s="863">
        <v>3</v>
      </c>
      <c r="B22" s="848" t="s">
        <v>588</v>
      </c>
      <c r="C22" s="849">
        <f>NPV($D$2,$C6:C6)*1.061*1.055</f>
        <v>8.7780050314399755E-2</v>
      </c>
      <c r="D22" s="850">
        <f>NPV($D$2,$C6:D6)*1.061*1.055</f>
        <v>0.17033835844959713</v>
      </c>
      <c r="E22" s="850">
        <f>NPV($D$2,$C6:E6)*1.061*1.055</f>
        <v>0.247985548417408</v>
      </c>
      <c r="F22" s="850">
        <f>NPV($D$2,$C6:F6)*1.061*1.055</f>
        <v>0.32101376624406319</v>
      </c>
      <c r="G22" s="850">
        <f>NPV($D$2,$C6:G6)*1.061*1.055</f>
        <v>0.39040470560301294</v>
      </c>
      <c r="H22" s="850">
        <f>NPV($D$2,$C6:H6)*1.061*1.055</f>
        <v>0.45633952653136833</v>
      </c>
      <c r="I22" s="850">
        <f>NPV($D$2,$C6:I6)*1.061*1.055</f>
        <v>0.5189903661224825</v>
      </c>
      <c r="J22" s="850">
        <f>NPV($D$2,$C6:J6)*1.061*1.055</f>
        <v>0.57852078792701822</v>
      </c>
      <c r="K22" s="850">
        <f>NPV($D$2,$C6:K6)*1.061*1.055</f>
        <v>0.6350862089709296</v>
      </c>
      <c r="L22" s="850">
        <f>NPV($D$2,$C6:L6)*1.061*1.055</f>
        <v>0.68883430550518288</v>
      </c>
      <c r="M22" s="850">
        <f>NPV($D$2,$C6:M6)*1.061*1.055</f>
        <v>0.73990539854650894</v>
      </c>
      <c r="N22" s="850">
        <f>NPV($D$2,$C6:N6)*1.061*1.055</f>
        <v>0.78843282021573169</v>
      </c>
      <c r="O22" s="850">
        <f>NPV($D$2,$C6:O6)*1.061*1.055</f>
        <v>0.83454326183007077</v>
      </c>
      <c r="P22" s="850">
        <f>NPV($D$2,$C6:P6)*1.061*1.055</f>
        <v>0.87824984155930208</v>
      </c>
      <c r="Q22" s="850">
        <f>NPV($D$2,$C6:Q6)*1.061*1.055</f>
        <v>0.91967787921734123</v>
      </c>
      <c r="R22" s="850">
        <f>NPV($D$2,$C6:R6)*1.061*1.055</f>
        <v>0.95894616135766264</v>
      </c>
      <c r="S22" s="850">
        <f>NPV($D$2,$C6:S6)*1.061*1.055</f>
        <v>0.99616728186981562</v>
      </c>
      <c r="T22" s="850">
        <f>NPV($D$2,$C6:T6)*1.061*1.055</f>
        <v>1.0314479648197237</v>
      </c>
      <c r="U22" s="850">
        <f>NPV($D$2,$C6:U6)*1.061*1.055</f>
        <v>1.0648893704594471</v>
      </c>
      <c r="V22" s="850">
        <f>NPV($D$2,$C6:V6)*1.061*1.055</f>
        <v>1.0965873852838293</v>
      </c>
      <c r="W22" s="850">
        <f>NPV($D$2,$C6:W6)*1.061*1.055</f>
        <v>1.1266328969657085</v>
      </c>
      <c r="X22" s="850">
        <f>NPV($D$2,$C6:X6)*1.061*1.055</f>
        <v>1.1551120549580107</v>
      </c>
      <c r="Y22" s="850">
        <f>NPV($D$2,$C6:Y6)*1.061*1.055</f>
        <v>1.1821065175099561</v>
      </c>
      <c r="Z22" s="850">
        <f>NPV($D$2,$C6:Z6)*1.061*1.055</f>
        <v>1.2076936858056389</v>
      </c>
      <c r="AA22" s="850">
        <f>NPV($D$2,$C6:AA6)*1.061*1.055</f>
        <v>1.2319469258963336</v>
      </c>
      <c r="AB22" s="850">
        <f>NPV($D$2,$C6:AB6)*1.061*1.055</f>
        <v>1.2549357790628684</v>
      </c>
      <c r="AC22" s="850">
        <f>NPV($D$2,$C6:AC6)*1.061*1.055</f>
        <v>1.2767261612112433</v>
      </c>
      <c r="AD22" s="850">
        <f>NPV($D$2,$C6:AD6)*1.061*1.055</f>
        <v>1.2973805518732093</v>
      </c>
      <c r="AE22" s="850">
        <f>NPV($D$2,$C6:AE6)*1.061*1.055</f>
        <v>1.3169581733537461</v>
      </c>
      <c r="AF22" s="850">
        <f>NPV($D$2,$C6:AF6)*1.061*1.055</f>
        <v>1.3355151605390891</v>
      </c>
      <c r="AG22" s="850">
        <f>NPV($D$2,$C6:AG6)*1.061*1.055</f>
        <v>1.3531047218522108</v>
      </c>
      <c r="AH22" s="850">
        <f>NPV($D$2,$C6:AH6)*1.061*1.055</f>
        <v>1.3697772918172546</v>
      </c>
      <c r="AI22" s="850">
        <f>NPV($D$2,$C6:AI6)*1.061*1.055</f>
        <v>1.385580675670377</v>
      </c>
      <c r="AJ22" s="850">
        <f>NPV($D$2,$C6:AJ6)*1.061*1.055</f>
        <v>1.4005601864316302</v>
      </c>
      <c r="AK22" s="850">
        <f>NPV($D$2,$C6:AK6)*1.061*1.055</f>
        <v>1.4147587748309225</v>
      </c>
      <c r="AL22" s="850">
        <f>NPV($D$2,$C6:AL6)*1.061*1.055</f>
        <v>1.4282171524605833</v>
      </c>
      <c r="AM22" s="850">
        <f>NPV($D$2,$C6:AM6)*1.061*1.055</f>
        <v>1.4409739085076554</v>
      </c>
      <c r="AN22" s="850">
        <f>NPV($D$2,$C6:AN6)*1.061*1.055</f>
        <v>1.4530656204006147</v>
      </c>
      <c r="AO22" s="850">
        <f>NPV($D$2,$C6:AO6)*1.061*1.055</f>
        <v>1.4645269586877798</v>
      </c>
      <c r="AP22" s="850">
        <f>NPV($D$2,$C6:AP6)*1.061*1.055</f>
        <v>1.4753907864481257</v>
      </c>
      <c r="AQ22" s="850">
        <f>NPV($D$2,$C6:AQ6)*1.061*1.055</f>
        <v>1.4856882535195437</v>
      </c>
      <c r="AR22" s="850">
        <f>NPV($D$2,$C6:AR6)*1.061*1.055</f>
        <v>1.4954488858147266</v>
      </c>
      <c r="AS22" s="850">
        <f>NPV($D$2,$C6:AS6)*1.061*1.055</f>
        <v>1.504700669980777</v>
      </c>
      <c r="AT22" s="850">
        <f>NPV($D$2,$C6:AT6)*1.061*1.055</f>
        <v>1.5134701336452794</v>
      </c>
      <c r="AU22" s="850">
        <f>NPV($D$2,$C6:AU6)*1.061*1.055</f>
        <v>1.5217824214789313</v>
      </c>
      <c r="AV22" s="850">
        <f>NPV($D$2,$C6:AV6)*1.061*1.055</f>
        <v>1.529661367292819</v>
      </c>
      <c r="AW22" s="850">
        <f>NPV($D$2,$C6:AW6)*1.061*1.055</f>
        <v>1.5371295623770731</v>
      </c>
      <c r="AX22" s="850">
        <f>NPV($D$2,$C6:AX6)*1.061*1.055</f>
        <v>1.5442087579272086</v>
      </c>
      <c r="AY22" s="850">
        <f>NPV($D$2,$C6:AY6)*1.061*1.055</f>
        <v>1.5509188958894222</v>
      </c>
      <c r="AZ22" s="851">
        <f>NPV($D$2,$C6:AZ6)*1.061*1.055</f>
        <v>1.5572792162327527</v>
      </c>
    </row>
    <row r="23" spans="1:52" s="840" customFormat="1">
      <c r="A23" s="863">
        <v>4</v>
      </c>
      <c r="B23" s="848" t="s">
        <v>589</v>
      </c>
      <c r="C23" s="849">
        <f>NPV($D$2,$C7:C7)*1.061*1.055</f>
        <v>8.9815325858908585E-2</v>
      </c>
      <c r="D23" s="850">
        <f>NPV($D$2,$C7:D7)*1.061*1.055</f>
        <v>0.17463131325114395</v>
      </c>
      <c r="E23" s="850">
        <f>NPV($D$2,$C7:E7)*1.061*1.055</f>
        <v>0.25472623745840611</v>
      </c>
      <c r="F23" s="850">
        <f>NPV($D$2,$C7:F7)*1.061*1.055</f>
        <v>0.33036288428655297</v>
      </c>
      <c r="G23" s="850">
        <f>NPV($D$2,$C7:G7)*1.061*1.055</f>
        <v>0.40223233598020425</v>
      </c>
      <c r="H23" s="850">
        <f>NPV($D$2,$C7:H7)*1.061*1.055</f>
        <v>0.47052222326833198</v>
      </c>
      <c r="I23" s="850">
        <f>NPV($D$2,$C7:I7)*1.061*1.055</f>
        <v>0.53541083165376591</v>
      </c>
      <c r="J23" s="850">
        <f>NPV($D$2,$C7:J7)*1.061*1.055</f>
        <v>0.59706756686601159</v>
      </c>
      <c r="K23" s="850">
        <f>NPV($D$2,$C7:K7)*1.061*1.055</f>
        <v>0.65565339713150317</v>
      </c>
      <c r="L23" s="850">
        <f>NPV($D$2,$C7:L7)*1.061*1.055</f>
        <v>0.71132127341593054</v>
      </c>
      <c r="M23" s="850">
        <f>NPV($D$2,$C7:M7)*1.061*1.055</f>
        <v>0.76421652873577595</v>
      </c>
      <c r="N23" s="850">
        <f>NPV($D$2,$C7:N7)*1.061*1.055</f>
        <v>0.81447725758154887</v>
      </c>
      <c r="O23" s="850">
        <f>NPV($D$2,$C7:O7)*1.061*1.055</f>
        <v>0.86223467644328455</v>
      </c>
      <c r="P23" s="850">
        <f>NPV($D$2,$C7:P7)*1.061*1.055</f>
        <v>0.9075023720468256</v>
      </c>
      <c r="Q23" s="850">
        <f>NPV($D$2,$C7:Q7)*1.061*1.055</f>
        <v>0.95041014039141425</v>
      </c>
      <c r="R23" s="850">
        <f>NPV($D$2,$C7:R7)*1.061*1.055</f>
        <v>0.9910810108602186</v>
      </c>
      <c r="S23" s="850">
        <f>NPV($D$2,$C7:S7)*1.061*1.055</f>
        <v>1.0296315989823082</v>
      </c>
      <c r="T23" s="850">
        <f>NPV($D$2,$C7:T7)*1.061*1.055</f>
        <v>1.0661724408041937</v>
      </c>
      <c r="U23" s="850">
        <f>NPV($D$2,$C7:U7)*1.061*1.055</f>
        <v>1.1008083098296779</v>
      </c>
      <c r="V23" s="850">
        <f>NPV($D$2,$C7:V7)*1.061*1.055</f>
        <v>1.1336385174367718</v>
      </c>
      <c r="W23" s="850">
        <f>NPV($D$2,$C7:W7)*1.061*1.055</f>
        <v>1.1647571976330697</v>
      </c>
      <c r="X23" s="850">
        <f>NPV($D$2,$C7:X7)*1.061*1.055</f>
        <v>1.1942535769660529</v>
      </c>
      <c r="Y23" s="850">
        <f>NPV($D$2,$C7:Y7)*1.061*1.055</f>
        <v>1.2222122303622458</v>
      </c>
      <c r="Z23" s="850">
        <f>NPV($D$2,$C7:Z7)*1.061*1.055</f>
        <v>1.2487133236287795</v>
      </c>
      <c r="AA23" s="850">
        <f>NPV($D$2,$C7:AA7)*1.061*1.055</f>
        <v>1.2738328433126973</v>
      </c>
      <c r="AB23" s="850">
        <f>NPV($D$2,$C7:AB7)*1.061*1.055</f>
        <v>1.2976428145770746</v>
      </c>
      <c r="AC23" s="850">
        <f>NPV($D$2,$C7:AC7)*1.061*1.055</f>
        <v>1.3202115077186642</v>
      </c>
      <c r="AD23" s="850">
        <f>NPV($D$2,$C7:AD7)*1.061*1.055</f>
        <v>1.3416036339192237</v>
      </c>
      <c r="AE23" s="850">
        <f>NPV($D$2,$C7:AE7)*1.061*1.055</f>
        <v>1.3618805307917916</v>
      </c>
      <c r="AF23" s="850">
        <f>NPV($D$2,$C7:AF7)*1.061*1.055</f>
        <v>1.3811003382539413</v>
      </c>
      <c r="AG23" s="850">
        <f>NPV($D$2,$C7:AG7)*1.061*1.055</f>
        <v>1.3993181652322821</v>
      </c>
      <c r="AH23" s="850">
        <f>NPV($D$2,$C7:AH7)*1.061*1.055</f>
        <v>1.4165862476762072</v>
      </c>
      <c r="AI23" s="850">
        <f>NPV($D$2,$C7:AI7)*1.061*1.055</f>
        <v>1.4329540983339561</v>
      </c>
      <c r="AJ23" s="850">
        <f>NPV($D$2,$C7:AJ7)*1.061*1.055</f>
        <v>1.4484686487204479</v>
      </c>
      <c r="AK23" s="850">
        <f>NPV($D$2,$C7:AK7)*1.061*1.055</f>
        <v>1.4631743836839473</v>
      </c>
      <c r="AL23" s="850">
        <f>NPV($D$2,$C7:AL7)*1.061*1.055</f>
        <v>1.4771134689574064</v>
      </c>
      <c r="AM23" s="850">
        <f>NPV($D$2,$C7:AM7)*1.061*1.055</f>
        <v>1.4903258720602111</v>
      </c>
      <c r="AN23" s="850">
        <f>NPV($D$2,$C7:AN7)*1.061*1.055</f>
        <v>1.5028494768969929</v>
      </c>
      <c r="AO23" s="850">
        <f>NPV($D$2,$C7:AO7)*1.061*1.055</f>
        <v>1.5147201923820939</v>
      </c>
      <c r="AP23" s="850">
        <f>NPV($D$2,$C7:AP7)*1.061*1.055</f>
        <v>1.5259720554011471</v>
      </c>
      <c r="AQ23" s="850">
        <f>NPV($D$2,$C7:AQ7)*1.061*1.055</f>
        <v>1.5366373284049892</v>
      </c>
      <c r="AR23" s="850">
        <f>NPV($D$2,$C7:AR7)*1.061*1.055</f>
        <v>1.5467465919157399</v>
      </c>
      <c r="AS23" s="850">
        <f>NPV($D$2,$C7:AS7)*1.061*1.055</f>
        <v>1.5563288322102902</v>
      </c>
      <c r="AT23" s="850">
        <f>NPV($D$2,$C7:AT7)*1.061*1.055</f>
        <v>1.5654115244326132</v>
      </c>
      <c r="AU23" s="850">
        <f>NPV($D$2,$C7:AU7)*1.061*1.055</f>
        <v>1.5740207113732032</v>
      </c>
      <c r="AV23" s="850">
        <f>NPV($D$2,$C7:AV7)*1.061*1.055</f>
        <v>1.5821810781415355</v>
      </c>
      <c r="AW23" s="850">
        <f>NPV($D$2,$C7:AW7)*1.061*1.055</f>
        <v>1.5899160229456415</v>
      </c>
      <c r="AX23" s="850">
        <f>NPV($D$2,$C7:AX7)*1.061*1.055</f>
        <v>1.5972480163103728</v>
      </c>
      <c r="AY23" s="850">
        <f>NPV($D$2,$C7:AY7)*1.061*1.055</f>
        <v>1.6041977730541936</v>
      </c>
      <c r="AZ23" s="851">
        <f>NPV($D$2,$C7:AZ7)*1.061*1.055</f>
        <v>1.610785220204735</v>
      </c>
    </row>
    <row r="24" spans="1:52" s="840" customFormat="1">
      <c r="A24" s="863">
        <v>5</v>
      </c>
      <c r="B24" s="848" t="s">
        <v>590</v>
      </c>
      <c r="C24" s="852">
        <f>NPV($D$2,$C8:C8)*1.061*1.055</f>
        <v>105.28824353448275</v>
      </c>
      <c r="D24" s="853">
        <f>NPV($D$2,$C8:D8)*1.061*1.055</f>
        <v>211.43809440880861</v>
      </c>
      <c r="E24" s="853">
        <f>NPV($D$2,$C8:E8)*1.061*1.055</f>
        <v>317.71403625415246</v>
      </c>
      <c r="F24" s="853">
        <f>NPV($D$2,$C8:F8)*1.061*1.055</f>
        <v>423.49311631236714</v>
      </c>
      <c r="G24" s="853">
        <f>NPV($D$2,$C8:G8)*1.061*1.055</f>
        <v>528.26142948730842</v>
      </c>
      <c r="H24" s="853">
        <f>NPV($D$2,$C8:H8)*1.061*1.055</f>
        <v>631.57443766308609</v>
      </c>
      <c r="I24" s="853">
        <f>NPV($D$2,$C8:I8)*1.061*1.055</f>
        <v>733.07525696070888</v>
      </c>
      <c r="J24" s="853">
        <f>NPV($D$2,$C8:J8)*1.061*1.055</f>
        <v>832.46770049211943</v>
      </c>
      <c r="K24" s="853">
        <f>NPV($D$2,$C8:K8)*1.061*1.055</f>
        <v>929.50949175894959</v>
      </c>
      <c r="L24" s="853">
        <f>NPV($D$2,$C8:L8)*1.061*1.055</f>
        <v>1024.0131779719404</v>
      </c>
      <c r="M24" s="853">
        <f>NPV($D$2,$C8:M8)*1.061*1.055</f>
        <v>1113.5901317283297</v>
      </c>
      <c r="N24" s="853">
        <f>NPV($D$2,$C8:N8)*1.061*1.055</f>
        <v>1198.4971969002625</v>
      </c>
      <c r="O24" s="853">
        <f>NPV($D$2,$C8:O8)*1.061*1.055</f>
        <v>1278.9778273949858</v>
      </c>
      <c r="P24" s="853">
        <f>NPV($D$2,$C8:P8)*1.061*1.055</f>
        <v>1355.2627852098894</v>
      </c>
      <c r="Q24" s="853">
        <f>NPV($D$2,$C8:Q8)*1.061*1.055</f>
        <v>1427.5708020960535</v>
      </c>
      <c r="R24" s="853">
        <f>NPV($D$2,$C8:R8)*1.061*1.055</f>
        <v>1496.1092067274892</v>
      </c>
      <c r="S24" s="853">
        <f>NPV($D$2,$C8:S8)*1.061*1.055</f>
        <v>1561.0745191743474</v>
      </c>
      <c r="T24" s="853">
        <f>NPV($D$2,$C8:T8)*1.061*1.055</f>
        <v>1622.6530143846394</v>
      </c>
      <c r="U24" s="853">
        <f>NPV($D$2,$C8:U8)*1.061*1.055</f>
        <v>1681.0212562901299</v>
      </c>
      <c r="V24" s="853">
        <f>NPV($D$2,$C8:V8)*1.061*1.055</f>
        <v>1736.3466040678456</v>
      </c>
      <c r="W24" s="853">
        <f>NPV($D$2,$C8:W8)*1.061*1.055</f>
        <v>1788.7876920088088</v>
      </c>
      <c r="X24" s="853">
        <f>NPV($D$2,$C8:X8)*1.061*1.055</f>
        <v>1838.494884369911</v>
      </c>
      <c r="Y24" s="853">
        <f>NPV($D$2,$C8:Y8)*1.061*1.055</f>
        <v>1885.6107065131359</v>
      </c>
      <c r="Z24" s="853">
        <f>NPV($D$2,$C8:Z8)*1.061*1.055</f>
        <v>1930.2702535683256</v>
      </c>
      <c r="AA24" s="853">
        <f>NPV($D$2,$C8:AA8)*1.061*1.055</f>
        <v>1972.6015777912537</v>
      </c>
      <c r="AB24" s="853">
        <f>NPV($D$2,$C8:AB8)*1.061*1.055</f>
        <v>2012.7260557276786</v>
      </c>
      <c r="AC24" s="853">
        <f>NPV($D$2,$C8:AC8)*1.061*1.055</f>
        <v>2050.7587362361387</v>
      </c>
      <c r="AD24" s="853">
        <f>NPV($D$2,$C8:AD8)*1.061*1.055</f>
        <v>2086.8086703673803</v>
      </c>
      <c r="AE24" s="853">
        <f>NPV($D$2,$C8:AE8)*1.061*1.055</f>
        <v>2120.9792240462821</v>
      </c>
      <c r="AF24" s="853">
        <f>NPV($D$2,$C8:AF8)*1.061*1.055</f>
        <v>2153.3683744528244</v>
      </c>
      <c r="AG24" s="853">
        <f>NPV($D$2,$C8:AG8)*1.061*1.055</f>
        <v>2184.0689909519165</v>
      </c>
      <c r="AH24" s="853">
        <f>NPV($D$2,$C8:AH8)*1.061*1.055</f>
        <v>2213.1691013775958</v>
      </c>
      <c r="AI24" s="853">
        <f>NPV($D$2,$C8:AI8)*1.061*1.055</f>
        <v>2240.7521444351123</v>
      </c>
      <c r="AJ24" s="853">
        <f>NPV($D$2,$C8:AJ8)*1.061*1.055</f>
        <v>2266.8972089446065</v>
      </c>
      <c r="AK24" s="853">
        <f>NPV($D$2,$C8:AK8)*1.061*1.055</f>
        <v>2291.6792606123731</v>
      </c>
      <c r="AL24" s="853">
        <f>NPV($D$2,$C8:AL8)*1.061*1.055</f>
        <v>2315.1693569799245</v>
      </c>
      <c r="AM24" s="853">
        <f>NPV($D$2,$C8:AM8)*1.061*1.055</f>
        <v>2337.4348511671774</v>
      </c>
      <c r="AN24" s="853">
        <f>NPV($D$2,$C8:AN8)*1.061*1.055</f>
        <v>2358.5395849939569</v>
      </c>
      <c r="AO24" s="853">
        <f>NPV($D$2,$C8:AO8)*1.061*1.055</f>
        <v>2378.5440720335587</v>
      </c>
      <c r="AP24" s="853">
        <f>NPV($D$2,$C8:AP8)*1.061*1.055</f>
        <v>2397.5056711232287</v>
      </c>
      <c r="AQ24" s="853">
        <f>NPV($D$2,$C8:AQ8)*1.061*1.055</f>
        <v>2415.4787508290765</v>
      </c>
      <c r="AR24" s="853">
        <f>NPV($D$2,$C8:AR8)*1.061*1.055</f>
        <v>2432.5148453369898</v>
      </c>
      <c r="AS24" s="853">
        <f>NPV($D$2,$C8:AS8)*1.061*1.055</f>
        <v>2448.6628022165287</v>
      </c>
      <c r="AT24" s="853">
        <f>NPV($D$2,$C8:AT8)*1.061*1.055</f>
        <v>2463.9689224814933</v>
      </c>
      <c r="AU24" s="853">
        <f>NPV($D$2,$C8:AU8)*1.061*1.055</f>
        <v>2478.4770933487598</v>
      </c>
      <c r="AV24" s="853">
        <f>NPV($D$2,$C8:AV8)*1.061*1.055</f>
        <v>2492.2289140760249</v>
      </c>
      <c r="AW24" s="853">
        <f>NPV($D$2,$C8:AW8)*1.061*1.055</f>
        <v>2505.263815239311</v>
      </c>
      <c r="AX24" s="853">
        <f>NPV($D$2,$C8:AX8)*1.061*1.055</f>
        <v>2517.6191717921884</v>
      </c>
      <c r="AY24" s="853">
        <f>NPV($D$2,$C8:AY8)*1.061*1.055</f>
        <v>2529.3304102309339</v>
      </c>
      <c r="AZ24" s="854">
        <f>NPV($D$2,$C8:AZ8)*1.061*1.055</f>
        <v>2540.4311101728736</v>
      </c>
    </row>
    <row r="25" spans="1:52" s="840" customFormat="1">
      <c r="A25" s="863">
        <v>6</v>
      </c>
      <c r="B25" s="848" t="s">
        <v>591</v>
      </c>
      <c r="C25" s="852">
        <f>NPV($D$2,$C9:C9)*1.061*1.055</f>
        <v>250.63838362068964</v>
      </c>
      <c r="D25" s="853">
        <f>NPV($D$2,$C9:D9)*1.061*1.055</f>
        <v>494.56087912649122</v>
      </c>
      <c r="E25" s="853">
        <f>NPV($D$2,$C9:E9)*1.061*1.055</f>
        <v>721.61707655056614</v>
      </c>
      <c r="F25" s="853">
        <f>NPV($D$2,$C9:F9)*1.061*1.055</f>
        <v>929.3584657370601</v>
      </c>
      <c r="G25" s="853">
        <f>NPV($D$2,$C9:G9)*1.061*1.055</f>
        <v>1134.5112875804152</v>
      </c>
      <c r="H25" s="853">
        <f>NPV($D$2,$C9:H9)*1.061*1.055</f>
        <v>1341.0323288178211</v>
      </c>
      <c r="I25" s="853">
        <f>NPV($D$2,$C9:I9)*1.061*1.055</f>
        <v>1537.6741007027263</v>
      </c>
      <c r="J25" s="853">
        <f>NPV($D$2,$C9:J9)*1.061*1.055</f>
        <v>1724.8189269660834</v>
      </c>
      <c r="K25" s="853">
        <f>NPV($D$2,$C9:K9)*1.061*1.055</f>
        <v>1902.8555251308851</v>
      </c>
      <c r="L25" s="853">
        <f>NPV($D$2,$C9:L9)*1.061*1.055</f>
        <v>2072.1613893349249</v>
      </c>
      <c r="M25" s="853">
        <f>NPV($D$2,$C9:M9)*1.061*1.055</f>
        <v>2232.6408814714555</v>
      </c>
      <c r="N25" s="853">
        <f>NPV($D$2,$C9:N9)*1.061*1.055</f>
        <v>2384.7541441601106</v>
      </c>
      <c r="O25" s="853">
        <f>NPV($D$2,$C9:O9)*1.061*1.055</f>
        <v>2528.937331542721</v>
      </c>
      <c r="P25" s="853">
        <f>NPV($D$2,$C9:P9)*1.061*1.055</f>
        <v>2665.6038598674713</v>
      </c>
      <c r="Q25" s="853">
        <f>NPV($D$2,$C9:Q9)*1.061*1.055</f>
        <v>2795.1455928767127</v>
      </c>
      <c r="R25" s="853">
        <f>NPV($D$2,$C9:R9)*1.061*1.055</f>
        <v>2917.9339653973211</v>
      </c>
      <c r="S25" s="853">
        <f>NPV($D$2,$C9:S9)*1.061*1.055</f>
        <v>3034.3210483552434</v>
      </c>
      <c r="T25" s="853">
        <f>NPV($D$2,$C9:T9)*1.061*1.055</f>
        <v>3144.6405582679658</v>
      </c>
      <c r="U25" s="853">
        <f>NPV($D$2,$C9:U9)*1.061*1.055</f>
        <v>3249.2088141094091</v>
      </c>
      <c r="V25" s="853">
        <f>NPV($D$2,$C9:V9)*1.061*1.055</f>
        <v>3348.3256442908719</v>
      </c>
      <c r="W25" s="853">
        <f>NPV($D$2,$C9:W9)*1.061*1.055</f>
        <v>3442.2752463586089</v>
      </c>
      <c r="X25" s="853">
        <f>NPV($D$2,$C9:X9)*1.061*1.055</f>
        <v>3531.3270018730523</v>
      </c>
      <c r="Y25" s="853">
        <f>NPV($D$2,$C9:Y9)*1.061*1.055</f>
        <v>3615.7362488061735</v>
      </c>
      <c r="Z25" s="853">
        <f>NPV($D$2,$C9:Z9)*1.061*1.055</f>
        <v>3695.7450136716907</v>
      </c>
      <c r="AA25" s="853">
        <f>NPV($D$2,$C9:AA9)*1.061*1.055</f>
        <v>3771.5827054873475</v>
      </c>
      <c r="AB25" s="853">
        <f>NPV($D$2,$C9:AB9)*1.061*1.055</f>
        <v>3843.4667735590597</v>
      </c>
      <c r="AC25" s="853">
        <f>NPV($D$2,$C9:AC9)*1.061*1.055</f>
        <v>3911.6033309730055</v>
      </c>
      <c r="AD25" s="853">
        <f>NPV($D$2,$C9:AD9)*1.061*1.055</f>
        <v>3976.1877455833801</v>
      </c>
      <c r="AE25" s="853">
        <f>NPV($D$2,$C9:AE9)*1.061*1.055</f>
        <v>4037.4052001903706</v>
      </c>
      <c r="AF25" s="853">
        <f>NPV($D$2,$C9:AF9)*1.061*1.055</f>
        <v>4095.4312235145321</v>
      </c>
      <c r="AG25" s="853">
        <f>NPV($D$2,$C9:AG9)*1.061*1.055</f>
        <v>4150.4321934900408</v>
      </c>
      <c r="AH25" s="853">
        <f>NPV($D$2,$C9:AH9)*1.061*1.055</f>
        <v>4202.5658143199062</v>
      </c>
      <c r="AI25" s="853">
        <f>NPV($D$2,$C9:AI9)*1.061*1.055</f>
        <v>4251.9815686610118</v>
      </c>
      <c r="AJ25" s="853">
        <f>NPV($D$2,$C9:AJ9)*1.061*1.055</f>
        <v>4298.8211462355184</v>
      </c>
      <c r="AK25" s="853">
        <f>NPV($D$2,$C9:AK9)*1.061*1.055</f>
        <v>4343.2188500976108</v>
      </c>
      <c r="AL25" s="853">
        <f>NPV($D$2,$C9:AL9)*1.061*1.055</f>
        <v>4385.3019817204477</v>
      </c>
      <c r="AM25" s="853">
        <f>NPV($D$2,$C9:AM9)*1.061*1.055</f>
        <v>4425.1912060074956</v>
      </c>
      <c r="AN25" s="853">
        <f>NPV($D$2,$C9:AN9)*1.061*1.055</f>
        <v>4463.0008972748401</v>
      </c>
      <c r="AO25" s="853">
        <f>NPV($D$2,$C9:AO9)*1.061*1.055</f>
        <v>4498.8394671964934</v>
      </c>
      <c r="AP25" s="853">
        <f>NPV($D$2,$C9:AP9)*1.061*1.055</f>
        <v>4532.8096756530376</v>
      </c>
      <c r="AQ25" s="853">
        <f>NPV($D$2,$C9:AQ9)*1.061*1.055</f>
        <v>4565.0089253748802</v>
      </c>
      <c r="AR25" s="853">
        <f>NPV($D$2,$C9:AR9)*1.061*1.055</f>
        <v>4595.5295412249679</v>
      </c>
      <c r="AS25" s="853">
        <f>NPV($D$2,$C9:AS9)*1.061*1.055</f>
        <v>4624.4590349217333</v>
      </c>
      <c r="AT25" s="853">
        <f>NPV($D$2,$C9:AT9)*1.061*1.055</f>
        <v>4651.8803559613216</v>
      </c>
      <c r="AU25" s="853">
        <f>NPV($D$2,$C9:AU9)*1.061*1.055</f>
        <v>4677.8721294585612</v>
      </c>
      <c r="AV25" s="853">
        <f>NPV($D$2,$C9:AV9)*1.061*1.055</f>
        <v>4702.5088815886475</v>
      </c>
      <c r="AW25" s="853">
        <f>NPV($D$2,$C9:AW9)*1.061*1.055</f>
        <v>4725.8612532759316</v>
      </c>
      <c r="AX25" s="853">
        <f>NPV($D$2,$C9:AX9)*1.061*1.055</f>
        <v>4747.9961968339903</v>
      </c>
      <c r="AY25" s="853">
        <f>NPV($D$2,$C9:AY9)*1.061*1.055</f>
        <v>4768.9771859885495</v>
      </c>
      <c r="AZ25" s="854">
        <f>NPV($D$2,$C9:AZ9)*1.061*1.055</f>
        <v>4788.8643794999789</v>
      </c>
    </row>
    <row r="26" spans="1:52" s="840" customFormat="1">
      <c r="A26" s="863">
        <v>7</v>
      </c>
      <c r="B26" s="848" t="s">
        <v>592</v>
      </c>
      <c r="C26" s="852">
        <f>NPV($D$2,$C10:C10)*1.061*1.055</f>
        <v>13.995599424425656</v>
      </c>
      <c r="D26" s="853">
        <f>NPV($D$2,$C10:D10)*1.061*1.055</f>
        <v>27.261570442838604</v>
      </c>
      <c r="E26" s="853">
        <f>NPV($D$2,$C10:E10)*1.061*1.055</f>
        <v>39.835950555078362</v>
      </c>
      <c r="F26" s="853">
        <f>NPV($D$2,$C10:F10)*1.061*1.055</f>
        <v>51.754794263362484</v>
      </c>
      <c r="G26" s="853">
        <f>NPV($D$2,$C10:G10)*1.061*1.055</f>
        <v>63.117211696631252</v>
      </c>
      <c r="H26" s="853">
        <f>NPV($D$2,$C10:H10)*1.061*1.055</f>
        <v>73.948825609987182</v>
      </c>
      <c r="I26" s="853">
        <f>NPV($D$2,$C10:I10)*1.061*1.055</f>
        <v>84.274099457306136</v>
      </c>
      <c r="J26" s="853">
        <f>NPV($D$2,$C10:J10)*1.061*1.055</f>
        <v>94.061088886044502</v>
      </c>
      <c r="K26" s="853">
        <f>NPV($D$2,$C10:K10)*1.061*1.055</f>
        <v>103.3378561170761</v>
      </c>
      <c r="L26" s="853">
        <f>NPV($D$2,$C10:L10)*1.061*1.055</f>
        <v>112.13100041189284</v>
      </c>
      <c r="M26" s="853">
        <f>NPV($D$2,$C10:M10)*1.061*1.055</f>
        <v>120.46573434062903</v>
      </c>
      <c r="N26" s="853">
        <f>NPV($D$2,$C10:N10)*1.061*1.055</f>
        <v>128.3659560740283</v>
      </c>
      <c r="O26" s="853">
        <f>NPV($D$2,$C10:O10)*1.061*1.055</f>
        <v>135.85431790663424</v>
      </c>
      <c r="P26" s="853">
        <f>NPV($D$2,$C10:P10)*1.061*1.055</f>
        <v>142.95229120768252</v>
      </c>
      <c r="Q26" s="853">
        <f>NPV($D$2,$C10:Q10)*1.061*1.055</f>
        <v>149.68102683031003</v>
      </c>
      <c r="R26" s="853">
        <f>NPV($D$2,$C10:R10)*1.061*1.055</f>
        <v>156.05897528777686</v>
      </c>
      <c r="S26" s="853">
        <f>NPV($D$2,$C10:S10)*1.061*1.055</f>
        <v>162.10442406262692</v>
      </c>
      <c r="T26" s="853">
        <f>NPV($D$2,$C10:T10)*1.061*1.055</f>
        <v>167.83470726153695</v>
      </c>
      <c r="U26" s="853">
        <f>NPV($D$2,$C10:U10)*1.061*1.055</f>
        <v>173.26625531737582</v>
      </c>
      <c r="V26" s="853">
        <f>NPV($D$2,$C10:V10)*1.061*1.055</f>
        <v>178.4146421001615</v>
      </c>
      <c r="W26" s="853">
        <f>NPV($D$2,$C10:W10)*1.061*1.055</f>
        <v>183.2946295719963</v>
      </c>
      <c r="X26" s="853">
        <f>NPV($D$2,$C10:X10)*1.061*1.055</f>
        <v>187.92021011401977</v>
      </c>
      <c r="Y26" s="853">
        <f>NPV($D$2,$C10:Y10)*1.061*1.055</f>
        <v>192.30464664674344</v>
      </c>
      <c r="Z26" s="853">
        <f>NPV($D$2,$C10:Z10)*1.061*1.055</f>
        <v>196.4605106588038</v>
      </c>
      <c r="AA26" s="853">
        <f>NPV($D$2,$C10:AA10)*1.061*1.055</f>
        <v>200.39971825317383</v>
      </c>
      <c r="AB26" s="853">
        <f>NPV($D$2,$C10:AB10)*1.061*1.055</f>
        <v>204.13356431418805</v>
      </c>
      <c r="AC26" s="853">
        <f>NPV($D$2,$C10:AC10)*1.061*1.055</f>
        <v>207.67275489334844</v>
      </c>
      <c r="AD26" s="853">
        <f>NPV($D$2,$C10:AD10)*1.061*1.055</f>
        <v>211.02743790677061</v>
      </c>
      <c r="AE26" s="853">
        <f>NPV($D$2,$C10:AE10)*1.061*1.055</f>
        <v>214.20723223228924</v>
      </c>
      <c r="AF26" s="853">
        <f>NPV($D$2,$C10:AF10)*1.061*1.055</f>
        <v>217.2212552896529</v>
      </c>
      <c r="AG26" s="853">
        <f>NPV($D$2,$C10:AG10)*1.061*1.055</f>
        <v>220.07814918288858</v>
      </c>
      <c r="AH26" s="853">
        <f>NPV($D$2,$C10:AH10)*1.061*1.055</f>
        <v>222.78610547979446</v>
      </c>
      <c r="AI26" s="853">
        <f>NPV($D$2,$C10:AI10)*1.061*1.055</f>
        <v>225.35288869961045</v>
      </c>
      <c r="AJ26" s="853">
        <f>NPV($D$2,$C10:AJ10)*1.061*1.055</f>
        <v>227.78585857621331</v>
      </c>
      <c r="AK26" s="853">
        <f>NPV($D$2,$C10:AK10)*1.061*1.055</f>
        <v>230.09199116067097</v>
      </c>
      <c r="AL26" s="853">
        <f>NPV($D$2,$C10:AL10)*1.061*1.055</f>
        <v>232.27789882366406</v>
      </c>
      <c r="AM26" s="853">
        <f>NPV($D$2,$C10:AM10)*1.061*1.055</f>
        <v>234.34984921512662</v>
      </c>
      <c r="AN26" s="853">
        <f>NPV($D$2,$C10:AN10)*1.061*1.055</f>
        <v>236.31378323547031</v>
      </c>
      <c r="AO26" s="853">
        <f>NPV($D$2,$C10:AO10)*1.061*1.055</f>
        <v>238.17533206991934</v>
      </c>
      <c r="AP26" s="853">
        <f>NPV($D$2,$C10:AP10)*1.061*1.055</f>
        <v>239.93983333479986</v>
      </c>
      <c r="AQ26" s="853">
        <f>NPV($D$2,$C10:AQ10)*1.061*1.055</f>
        <v>241.61234638208006</v>
      </c>
      <c r="AR26" s="853">
        <f>NPV($D$2,$C10:AR10)*1.061*1.055</f>
        <v>243.19766680604226</v>
      </c>
      <c r="AS26" s="853">
        <f>NPV($D$2,$C10:AS10)*1.061*1.055</f>
        <v>244.70034019368421</v>
      </c>
      <c r="AT26" s="853">
        <f>NPV($D$2,$C10:AT10)*1.061*1.055</f>
        <v>246.12467515827373</v>
      </c>
      <c r="AU26" s="853">
        <f>NPV($D$2,$C10:AU10)*1.061*1.055</f>
        <v>247.47475569342967</v>
      </c>
      <c r="AV26" s="853">
        <f>NPV($D$2,$C10:AV10)*1.061*1.055</f>
        <v>248.75445288315095</v>
      </c>
      <c r="AW26" s="853">
        <f>NPV($D$2,$C10:AW10)*1.061*1.055</f>
        <v>249.96743600137015</v>
      </c>
      <c r="AX26" s="853">
        <f>NPV($D$2,$C10:AX10)*1.061*1.055</f>
        <v>251.11718303285753</v>
      </c>
      <c r="AY26" s="853">
        <f>NPV($D$2,$C10:AY10)*1.061*1.055</f>
        <v>252.20699064564181</v>
      </c>
      <c r="AZ26" s="854">
        <f>NPV($D$2,$C10:AZ10)*1.061*1.055</f>
        <v>253.23998364354159</v>
      </c>
    </row>
    <row r="27" spans="1:52" s="840" customFormat="1">
      <c r="A27" s="863">
        <v>8</v>
      </c>
      <c r="B27" s="848" t="s">
        <v>593</v>
      </c>
      <c r="C27" s="852">
        <f>NPV($D$2,$C11:C11)*1.061*1.055</f>
        <v>10.389194630637876</v>
      </c>
      <c r="D27" s="853">
        <f>NPV($D$2,$C11:D11)*1.061*1.055</f>
        <v>20.236772479583731</v>
      </c>
      <c r="E27" s="853">
        <f>NPV($D$2,$C11:E11)*1.061*1.055</f>
        <v>29.570969492802554</v>
      </c>
      <c r="F27" s="853">
        <f>NPV($D$2,$C11:F11)*1.061*1.055</f>
        <v>38.418549600118972</v>
      </c>
      <c r="G27" s="853">
        <f>NPV($D$2,$C11:G11)*1.061*1.055</f>
        <v>46.869816700716925</v>
      </c>
      <c r="H27" s="853">
        <f>NPV($D$2,$C11:H11)*1.061*1.055</f>
        <v>54.942046412489105</v>
      </c>
      <c r="I27" s="853">
        <f>NPV($D$2,$C11:I11)*1.061*1.055</f>
        <v>62.65179021091356</v>
      </c>
      <c r="J27" s="853">
        <f>NPV($D$2,$C11:J11)*1.061*1.055</f>
        <v>69.959604237856169</v>
      </c>
      <c r="K27" s="853">
        <f>NPV($D$2,$C11:K11)*1.061*1.055</f>
        <v>76.886442178086156</v>
      </c>
      <c r="L27" s="853">
        <f>NPV($D$2,$C11:L11)*1.061*1.055</f>
        <v>83.452165344180898</v>
      </c>
      <c r="M27" s="853">
        <f>NPV($D$2,$C11:M11)*1.061*1.055</f>
        <v>89.675599624839421</v>
      </c>
      <c r="N27" s="853">
        <f>NPV($D$2,$C11:N11)*1.061*1.055</f>
        <v>95.574589464326181</v>
      </c>
      <c r="O27" s="853">
        <f>NPV($D$2,$C11:O11)*1.061*1.055</f>
        <v>101.16604902782073</v>
      </c>
      <c r="P27" s="853">
        <f>NPV($D$2,$C11:P11)*1.061*1.055</f>
        <v>106.46601069937955</v>
      </c>
      <c r="Q27" s="853">
        <f>NPV($D$2,$C11:Q11)*1.061*1.055</f>
        <v>111.48999959198223</v>
      </c>
      <c r="R27" s="853">
        <f>NPV($D$2,$C11:R11)*1.061*1.055</f>
        <v>116.25207437170039</v>
      </c>
      <c r="S27" s="853">
        <f>NPV($D$2,$C11:S11)*1.061*1.055</f>
        <v>120.76588932877922</v>
      </c>
      <c r="T27" s="853">
        <f>NPV($D$2,$C11:T11)*1.061*1.055</f>
        <v>125.04438691842738</v>
      </c>
      <c r="U27" s="853">
        <f>NPV($D$2,$C11:U11)*1.061*1.055</f>
        <v>129.09983487070053</v>
      </c>
      <c r="V27" s="853">
        <f>NPV($D$2,$C11:V11)*1.061*1.055</f>
        <v>132.94386136574616</v>
      </c>
      <c r="W27" s="853">
        <f>NPV($D$2,$C11:W11)*1.061*1.055</f>
        <v>136.58748837526807</v>
      </c>
      <c r="X27" s="853">
        <f>NPV($D$2,$C11:X11)*1.061*1.055</f>
        <v>140.04116326581018</v>
      </c>
      <c r="Y27" s="853">
        <f>NPV($D$2,$C11:Y11)*1.061*1.055</f>
        <v>143.3147887544757</v>
      </c>
      <c r="Z27" s="853">
        <f>NPV($D$2,$C11:Z11)*1.061*1.055</f>
        <v>146.41775130297384</v>
      </c>
      <c r="AA27" s="853">
        <f>NPV($D$2,$C11:AA11)*1.061*1.055</f>
        <v>149.35894803140806</v>
      </c>
      <c r="AB27" s="853">
        <f>NPV($D$2,$C11:AB11)*1.061*1.055</f>
        <v>152.14681222897607</v>
      </c>
      <c r="AC27" s="853">
        <f>NPV($D$2,$C11:AC11)*1.061*1.055</f>
        <v>154.78933753472768</v>
      </c>
      <c r="AD27" s="853">
        <f>NPV($D$2,$C11:AD11)*1.061*1.055</f>
        <v>157.29410085771505</v>
      </c>
      <c r="AE27" s="853">
        <f>NPV($D$2,$C11:AE11)*1.061*1.055</f>
        <v>159.66828410225281</v>
      </c>
      <c r="AF27" s="853">
        <f>NPV($D$2,$C11:AF11)*1.061*1.055</f>
        <v>161.91869476058244</v>
      </c>
      <c r="AG27" s="853">
        <f>NPV($D$2,$C11:AG11)*1.061*1.055</f>
        <v>164.05178543198497</v>
      </c>
      <c r="AH27" s="853">
        <f>NPV($D$2,$C11:AH11)*1.061*1.055</f>
        <v>166.07367232430963</v>
      </c>
      <c r="AI27" s="853">
        <f>NPV($D$2,$C11:AI11)*1.061*1.055</f>
        <v>167.99015279096807</v>
      </c>
      <c r="AJ27" s="853">
        <f>NPV($D$2,$C11:AJ11)*1.061*1.055</f>
        <v>169.80672195367748</v>
      </c>
      <c r="AK27" s="853">
        <f>NPV($D$2,$C11:AK11)*1.061*1.055</f>
        <v>171.52858845861533</v>
      </c>
      <c r="AL27" s="853">
        <f>NPV($D$2,$C11:AL11)*1.061*1.055</f>
        <v>173.16068941116302</v>
      </c>
      <c r="AM27" s="853">
        <f>NPV($D$2,$C11:AM11)*1.061*1.055</f>
        <v>174.70770453206131</v>
      </c>
      <c r="AN27" s="853">
        <f>NPV($D$2,$C11:AN11)*1.061*1.055</f>
        <v>176.17406957556685</v>
      </c>
      <c r="AO27" s="853">
        <f>NPV($D$2,$C11:AO11)*1.061*1.055</f>
        <v>177.56398904808387</v>
      </c>
      <c r="AP27" s="853">
        <f>NPV($D$2,$C11:AP11)*1.061*1.055</f>
        <v>178.88144826373991</v>
      </c>
      <c r="AQ27" s="853">
        <f>NPV($D$2,$C11:AQ11)*1.061*1.055</f>
        <v>180.13022477147067</v>
      </c>
      <c r="AR27" s="853">
        <f>NPV($D$2,$C11:AR11)*1.061*1.055</f>
        <v>181.31389918638138</v>
      </c>
      <c r="AS27" s="853">
        <f>NPV($D$2,$C11:AS11)*1.061*1.055</f>
        <v>182.4358654564389</v>
      </c>
      <c r="AT27" s="853">
        <f>NPV($D$2,$C11:AT11)*1.061*1.055</f>
        <v>183.49934059393422</v>
      </c>
      <c r="AU27" s="853">
        <f>NPV($D$2,$C11:AU11)*1.061*1.055</f>
        <v>184.50737389961697</v>
      </c>
      <c r="AV27" s="853">
        <f>NPV($D$2,$C11:AV11)*1.061*1.055</f>
        <v>185.46285570595131</v>
      </c>
      <c r="AW27" s="853">
        <f>NPV($D$2,$C11:AW11)*1.061*1.055</f>
        <v>186.3685256645621</v>
      </c>
      <c r="AX27" s="853">
        <f>NPV($D$2,$C11:AX11)*1.061*1.055</f>
        <v>187.22698060163393</v>
      </c>
      <c r="AY27" s="853">
        <f>NPV($D$2,$C11:AY11)*1.061*1.055</f>
        <v>188.04068196378734</v>
      </c>
      <c r="AZ27" s="854">
        <f>NPV($D$2,$C11:AZ11)*1.061*1.055</f>
        <v>188.81196287578103</v>
      </c>
    </row>
    <row r="28" spans="1:52" s="840" customFormat="1">
      <c r="A28" s="863">
        <v>9</v>
      </c>
      <c r="B28" s="848" t="s">
        <v>594</v>
      </c>
      <c r="C28" s="852">
        <f>NPV($D$2,$C12:C12)*1.061*1.055</f>
        <v>12.293512940407895</v>
      </c>
      <c r="D28" s="853">
        <f>NPV($D$2,$C12:D12)*1.061*1.055</f>
        <v>23.946131841268464</v>
      </c>
      <c r="E28" s="853">
        <f>NPV($D$2,$C12:E12)*1.061*1.055</f>
        <v>34.991268240188425</v>
      </c>
      <c r="F28" s="853">
        <f>NPV($D$2,$C12:F12)*1.061*1.055</f>
        <v>45.460591841060427</v>
      </c>
      <c r="G28" s="853">
        <f>NPV($D$2,$C12:G12)*1.061*1.055</f>
        <v>55.44647138758603</v>
      </c>
      <c r="H28" s="853">
        <f>NPV($D$2,$C12:H12)*1.061*1.055</f>
        <v>64.97085964687669</v>
      </c>
      <c r="I28" s="853">
        <f>NPV($D$2,$C12:I12)*1.061*1.055</f>
        <v>74.054734385159932</v>
      </c>
      <c r="J28" s="853">
        <f>NPV($D$2,$C12:J12)*1.061*1.055</f>
        <v>82.665042193959195</v>
      </c>
      <c r="K28" s="853">
        <f>NPV($D$2,$C12:K12)*1.061*1.055</f>
        <v>90.826471396612561</v>
      </c>
      <c r="L28" s="853">
        <f>NPV($D$2,$C12:L12)*1.061*1.055</f>
        <v>98.562423247468814</v>
      </c>
      <c r="M28" s="853">
        <f>NPV($D$2,$C12:M12)*1.061*1.055</f>
        <v>105.89507903027095</v>
      </c>
      <c r="N28" s="853">
        <f>NPV($D$2,$C12:N12)*1.061*1.055</f>
        <v>112.84546365851941</v>
      </c>
      <c r="O28" s="853">
        <f>NPV($D$2,$C12:O12)*1.061*1.055</f>
        <v>119.43350596017673</v>
      </c>
      <c r="P28" s="853">
        <f>NPV($D$2,$C12:P12)*1.061*1.055</f>
        <v>125.67809581956756</v>
      </c>
      <c r="Q28" s="853">
        <f>NPV($D$2,$C12:Q12)*1.061*1.055</f>
        <v>131.59665891535238</v>
      </c>
      <c r="R28" s="853">
        <f>NPV($D$2,$C12:R12)*1.061*1.055</f>
        <v>137.20667132841854</v>
      </c>
      <c r="S28" s="853">
        <f>NPV($D$2,$C12:S12)*1.061*1.055</f>
        <v>142.52421863938173</v>
      </c>
      <c r="T28" s="853">
        <f>NPV($D$2,$C12:T12)*1.061*1.055</f>
        <v>147.56454784408615</v>
      </c>
      <c r="U28" s="853">
        <f>NPV($D$2,$C12:U12)*1.061*1.055</f>
        <v>152.3421110712942</v>
      </c>
      <c r="V28" s="853">
        <f>NPV($D$2,$C12:V12)*1.061*1.055</f>
        <v>156.87060702125439</v>
      </c>
      <c r="W28" s="853">
        <f>NPV($D$2,$C12:W12)*1.061*1.055</f>
        <v>161.16302024396549</v>
      </c>
      <c r="X28" s="853">
        <f>NPV($D$2,$C12:X12)*1.061*1.055</f>
        <v>165.23165836975798</v>
      </c>
      <c r="Y28" s="853">
        <f>NPV($D$2,$C12:Y12)*1.061*1.055</f>
        <v>169.08818739894519</v>
      </c>
      <c r="Z28" s="853">
        <f>NPV($D$2,$C12:Z12)*1.061*1.055</f>
        <v>172.74366515172929</v>
      </c>
      <c r="AA28" s="853">
        <f>NPV($D$2,$C12:AA12)*1.061*1.055</f>
        <v>176.20857297427344</v>
      </c>
      <c r="AB28" s="853">
        <f>NPV($D$2,$C12:AB12)*1.061*1.055</f>
        <v>179.49284579185081</v>
      </c>
      <c r="AC28" s="853">
        <f>NPV($D$2,$C12:AC12)*1.061*1.055</f>
        <v>182.60590059524171</v>
      </c>
      <c r="AD28" s="853">
        <f>NPV($D$2,$C12:AD12)*1.061*1.055</f>
        <v>185.55666344205775</v>
      </c>
      <c r="AE28" s="853">
        <f>NPV($D$2,$C12:AE12)*1.061*1.055</f>
        <v>188.35359505041413</v>
      </c>
      <c r="AF28" s="853">
        <f>NPV($D$2,$C12:AF12)*1.061*1.055</f>
        <v>191.00471505833491</v>
      </c>
      <c r="AG28" s="853">
        <f>NPV($D$2,$C12:AG12)*1.061*1.055</f>
        <v>193.51762501844945</v>
      </c>
      <c r="AH28" s="853">
        <f>NPV($D$2,$C12:AH12)*1.061*1.055</f>
        <v>195.89953019391339</v>
      </c>
      <c r="AI28" s="853">
        <f>NPV($D$2,$C12:AI12)*1.061*1.055</f>
        <v>198.15726021804983</v>
      </c>
      <c r="AJ28" s="853">
        <f>NPV($D$2,$C12:AJ12)*1.061*1.055</f>
        <v>200.29728867694695</v>
      </c>
      <c r="AK28" s="853">
        <f>NPV($D$2,$C12:AK12)*1.061*1.055</f>
        <v>202.32575167116221</v>
      </c>
      <c r="AL28" s="853">
        <f>NPV($D$2,$C12:AL12)*1.061*1.055</f>
        <v>204.24846540975486</v>
      </c>
      <c r="AM28" s="853">
        <f>NPV($D$2,$C12:AM12)*1.061*1.055</f>
        <v>206.07094288709388</v>
      </c>
      <c r="AN28" s="853">
        <f>NPV($D$2,$C12:AN12)*1.061*1.055</f>
        <v>207.79840969025886</v>
      </c>
      <c r="AO28" s="853">
        <f>NPV($D$2,$C12:AO12)*1.061*1.055</f>
        <v>209.43581898235837</v>
      </c>
      <c r="AP28" s="853">
        <f>NPV($D$2,$C12:AP12)*1.061*1.055</f>
        <v>210.98786570472751</v>
      </c>
      <c r="AQ28" s="853">
        <f>NPV($D$2,$C12:AQ12)*1.061*1.055</f>
        <v>212.45900003872677</v>
      </c>
      <c r="AR28" s="853">
        <f>NPV($D$2,$C12:AR12)*1.061*1.055</f>
        <v>213.85344016574021</v>
      </c>
      <c r="AS28" s="853">
        <f>NPV($D$2,$C12:AS12)*1.061*1.055</f>
        <v>215.17518436196153</v>
      </c>
      <c r="AT28" s="853">
        <f>NPV($D$2,$C12:AT12)*1.061*1.055</f>
        <v>216.42802246264523</v>
      </c>
      <c r="AU28" s="853">
        <f>NPV($D$2,$C12:AU12)*1.061*1.055</f>
        <v>217.61554672869616</v>
      </c>
      <c r="AV28" s="853">
        <f>NPV($D$2,$C12:AV12)*1.061*1.055</f>
        <v>218.74116214675388</v>
      </c>
      <c r="AW28" s="853">
        <f>NPV($D$2,$C12:AW12)*1.061*1.055</f>
        <v>219.80809619230624</v>
      </c>
      <c r="AX28" s="853">
        <f>NPV($D$2,$C12:AX12)*1.061*1.055</f>
        <v>220.81940808382507</v>
      </c>
      <c r="AY28" s="853">
        <f>NPV($D$2,$C12:AY12)*1.061*1.055</f>
        <v>221.77799755445903</v>
      </c>
      <c r="AZ28" s="854">
        <f>NPV($D$2,$C12:AZ12)*1.061*1.055</f>
        <v>222.68661316643431</v>
      </c>
    </row>
    <row r="29" spans="1:52" s="840" customFormat="1">
      <c r="A29" s="863">
        <v>10</v>
      </c>
      <c r="B29" s="848" t="s">
        <v>595</v>
      </c>
      <c r="C29" s="852">
        <f>NPV($D$2,$C13:C13)*1.061*1.055</f>
        <v>9.5735857487742937</v>
      </c>
      <c r="D29" s="853">
        <f>NPV($D$2,$C13:D13)*1.061*1.055</f>
        <v>18.648074610171726</v>
      </c>
      <c r="E29" s="853">
        <f>NPV($D$2,$C13:E13)*1.061*1.055</f>
        <v>27.249485853202472</v>
      </c>
      <c r="F29" s="853">
        <f>NPV($D$2,$C13:F13)*1.061*1.055</f>
        <v>35.402482292094177</v>
      </c>
      <c r="G29" s="853">
        <f>NPV($D$2,$C13:G13)*1.061*1.055</f>
        <v>43.192791068970195</v>
      </c>
      <c r="H29" s="853">
        <f>NPV($D$2,$C13:H13)*1.061*1.055</f>
        <v>50.636069593995842</v>
      </c>
      <c r="I29" s="853">
        <f>NPV($D$2,$C13:I13)*1.061*1.055</f>
        <v>57.74732847041652</v>
      </c>
      <c r="J29" s="853">
        <f>NPV($D$2,$C13:J13)*1.061*1.055</f>
        <v>64.487858211099621</v>
      </c>
      <c r="K29" s="853">
        <f>NPV($D$2,$C13:K13)*1.061*1.055</f>
        <v>70.87698592738694</v>
      </c>
      <c r="L29" s="853">
        <f>NPV($D$2,$C13:L13)*1.061*1.055</f>
        <v>76.933031156095268</v>
      </c>
      <c r="M29" s="853">
        <f>NPV($D$2,$C13:M13)*1.061*1.055</f>
        <v>82.673358387098446</v>
      </c>
      <c r="N29" s="853">
        <f>NPV($D$2,$C13:N13)*1.061*1.055</f>
        <v>88.114426852504295</v>
      </c>
      <c r="O29" s="853">
        <f>NPV($D$2,$C13:O13)*1.061*1.055</f>
        <v>93.271837720187563</v>
      </c>
      <c r="P29" s="853">
        <f>NPV($D$2,$C13:P13)*1.061*1.055</f>
        <v>98.160378826996336</v>
      </c>
      <c r="Q29" s="853">
        <f>NPV($D$2,$C13:Q13)*1.061*1.055</f>
        <v>102.79536791429186</v>
      </c>
      <c r="R29" s="853">
        <f>NPV($D$2,$C13:R13)*1.061*1.055</f>
        <v>107.18872249940608</v>
      </c>
      <c r="S29" s="853">
        <f>NPV($D$2,$C13:S13)*1.061*1.055</f>
        <v>111.35303964169447</v>
      </c>
      <c r="T29" s="853">
        <f>NPV($D$2,$C13:T13)*1.061*1.055</f>
        <v>115.30025968177821</v>
      </c>
      <c r="U29" s="853">
        <f>NPV($D$2,$C13:U13)*1.061*1.055</f>
        <v>119.04170047806613</v>
      </c>
      <c r="V29" s="853">
        <f>NPV($D$2,$C13:V13)*1.061*1.055</f>
        <v>122.58808985843385</v>
      </c>
      <c r="W29" s="853">
        <f>NPV($D$2,$C13:W13)*1.061*1.055</f>
        <v>125.94959638010938</v>
      </c>
      <c r="X29" s="853">
        <f>NPV($D$2,$C13:X13)*1.061*1.055</f>
        <v>129.13585848596298</v>
      </c>
      <c r="Y29" s="853">
        <f>NPV($D$2,$C13:Y13)*1.061*1.055</f>
        <v>132.15601214080053</v>
      </c>
      <c r="Z29" s="853">
        <f>NPV($D$2,$C13:Z13)*1.061*1.055</f>
        <v>135.01871702690246</v>
      </c>
      <c r="AA29" s="853">
        <f>NPV($D$2,$C13:AA13)*1.061*1.055</f>
        <v>137.73218137391854</v>
      </c>
      <c r="AB29" s="853">
        <f>NPV($D$2,$C13:AB13)*1.061*1.055</f>
        <v>140.30418549431286</v>
      </c>
      <c r="AC29" s="853">
        <f>NPV($D$2,$C13:AC13)*1.061*1.055</f>
        <v>142.74210409184306</v>
      </c>
      <c r="AD29" s="853">
        <f>NPV($D$2,$C13:AD13)*1.061*1.055</f>
        <v>145.05292740703757</v>
      </c>
      <c r="AE29" s="853">
        <f>NPV($D$2,$C13:AE13)*1.061*1.055</f>
        <v>147.2432812603025</v>
      </c>
      <c r="AF29" s="853">
        <f>NPV($D$2,$C13:AF13)*1.061*1.055</f>
        <v>149.31944605012706</v>
      </c>
      <c r="AG29" s="853">
        <f>NPV($D$2,$C13:AG13)*1.061*1.055</f>
        <v>151.28737476086127</v>
      </c>
      <c r="AH29" s="853">
        <f>NPV($D$2,$C13:AH13)*1.061*1.055</f>
        <v>153.15271003169934</v>
      </c>
      <c r="AI29" s="853">
        <f>NPV($D$2,$C13:AI13)*1.061*1.055</f>
        <v>154.92080033581132</v>
      </c>
      <c r="AJ29" s="853">
        <f>NPV($D$2,$C13:AJ13)*1.061*1.055</f>
        <v>156.59671531601219</v>
      </c>
      <c r="AK29" s="853">
        <f>NPV($D$2,$C13:AK13)*1.061*1.055</f>
        <v>158.18526032094195</v>
      </c>
      <c r="AL29" s="853">
        <f>NPV($D$2,$C13:AL13)*1.061*1.055</f>
        <v>159.69099018343465</v>
      </c>
      <c r="AM29" s="853">
        <f>NPV($D$2,$C13:AM13)*1.061*1.055</f>
        <v>161.11822228058406</v>
      </c>
      <c r="AN29" s="853">
        <f>NPV($D$2,$C13:AN13)*1.061*1.055</f>
        <v>162.47104891295319</v>
      </c>
      <c r="AO29" s="853">
        <f>NPV($D$2,$C13:AO13)*1.061*1.055</f>
        <v>163.75334903842159</v>
      </c>
      <c r="AP29" s="853">
        <f>NPV($D$2,$C13:AP13)*1.061*1.055</f>
        <v>164.96879939431577</v>
      </c>
      <c r="AQ29" s="853">
        <f>NPV($D$2,$C13:AQ13)*1.061*1.055</f>
        <v>166.12088503971313</v>
      </c>
      <c r="AR29" s="853">
        <f>NPV($D$2,$C13:AR13)*1.061*1.055</f>
        <v>167.21290934814667</v>
      </c>
      <c r="AS29" s="853">
        <f>NPV($D$2,$C13:AS13)*1.061*1.055</f>
        <v>168.24800347936321</v>
      </c>
      <c r="AT29" s="853">
        <f>NPV($D$2,$C13:AT13)*1.061*1.055</f>
        <v>169.22913535729364</v>
      </c>
      <c r="AU29" s="853">
        <f>NPV($D$2,$C13:AU13)*1.061*1.055</f>
        <v>170.1591181799765</v>
      </c>
      <c r="AV29" s="853">
        <f>NPV($D$2,$C13:AV13)*1.061*1.055</f>
        <v>171.04061848583703</v>
      </c>
      <c r="AW29" s="853">
        <f>NPV($D$2,$C13:AW13)*1.061*1.055</f>
        <v>171.8761637994489</v>
      </c>
      <c r="AX29" s="853">
        <f>NPV($D$2,$C13:AX13)*1.061*1.055</f>
        <v>172.66814987870185</v>
      </c>
      <c r="AY29" s="853">
        <f>NPV($D$2,$C13:AY13)*1.061*1.055</f>
        <v>173.41884758415495</v>
      </c>
      <c r="AZ29" s="854">
        <f>NPV($D$2,$C13:AZ13)*1.061*1.055</f>
        <v>174.13040939027158</v>
      </c>
    </row>
    <row r="30" spans="1:52" s="840" customFormat="1">
      <c r="A30" s="863">
        <v>11</v>
      </c>
      <c r="B30" s="855" t="s">
        <v>279</v>
      </c>
      <c r="C30" s="856">
        <f>NPV($D$2,$C14:C14)*1.061*1.055</f>
        <v>7.7036309996441217</v>
      </c>
      <c r="D30" s="857">
        <f>NPV($D$2,$C14:D14)*1.061*1.055</f>
        <v>15.659909891240462</v>
      </c>
      <c r="E30" s="857">
        <f>NPV($D$2,$C14:E14)*1.061*1.055</f>
        <v>23.476155454617867</v>
      </c>
      <c r="F30" s="857">
        <f>NPV($D$2,$C14:F14)*1.061*1.055</f>
        <v>31.072743278812162</v>
      </c>
      <c r="G30" s="857">
        <f>NPV($D$2,$C14:G14)*1.061*1.055</f>
        <v>38.415690662545913</v>
      </c>
      <c r="H30" s="857">
        <f>NPV($D$2,$C14:H14)*1.061*1.055</f>
        <v>45.495323180442043</v>
      </c>
      <c r="I30" s="857">
        <f>NPV($D$2,$C14:I14)*1.061*1.055</f>
        <v>52.28874277706457</v>
      </c>
      <c r="J30" s="857">
        <f>NPV($D$2,$C14:J14)*1.061*1.055</f>
        <v>58.767704531595086</v>
      </c>
      <c r="K30" s="857">
        <f>NPV($D$2,$C14:K14)*1.061*1.055</f>
        <v>64.996773820828039</v>
      </c>
      <c r="L30" s="857">
        <f>NPV($D$2,$C14:L14)*1.061*1.055</f>
        <v>70.927307652630446</v>
      </c>
      <c r="M30" s="857">
        <f>NPV($D$2,$C14:M14)*1.061*1.055</f>
        <v>76.614398296307556</v>
      </c>
      <c r="N30" s="857">
        <f>NPV($D$2,$C14:N14)*1.061*1.055</f>
        <v>82.057457899329876</v>
      </c>
      <c r="O30" s="857">
        <f>NPV($D$2,$C14:O14)*1.061*1.055</f>
        <v>87.215389007968113</v>
      </c>
      <c r="P30" s="857">
        <f>NPV($D$2,$C14:P14)*1.061*1.055</f>
        <v>92.141997309902308</v>
      </c>
      <c r="Q30" s="857">
        <f>NPV($D$2,$C14:Q14)*1.061*1.055</f>
        <v>96.846810425710132</v>
      </c>
      <c r="R30" s="857">
        <f>NPV($D$2,$C14:R14)*1.061*1.055</f>
        <v>101.33597484172108</v>
      </c>
      <c r="S30" s="857">
        <f>NPV($D$2,$C14:S14)*1.061*1.055</f>
        <v>105.58375146698084</v>
      </c>
      <c r="T30" s="857">
        <f>NPV($D$2,$C14:T14)*1.061*1.055</f>
        <v>109.60032729436878</v>
      </c>
      <c r="U30" s="857">
        <f>NPV($D$2,$C14:U14)*1.061*1.055</f>
        <v>113.39346364535868</v>
      </c>
      <c r="V30" s="857">
        <f>NPV($D$2,$C14:V14)*1.061*1.055</f>
        <v>116.98885355151026</v>
      </c>
      <c r="W30" s="857">
        <f>NPV($D$2,$C14:W14)*1.061*1.055</f>
        <v>120.39680606918947</v>
      </c>
      <c r="X30" s="857">
        <f>NPV($D$2,$C14:X14)*1.061*1.055</f>
        <v>123.62709281580484</v>
      </c>
      <c r="Y30" s="857">
        <f>NPV($D$2,$C14:Y14)*1.061*1.055</f>
        <v>126.68897598795212</v>
      </c>
      <c r="Z30" s="857">
        <f>NPV($D$2,$C14:Z14)*1.061*1.055</f>
        <v>129.59123491889738</v>
      </c>
      <c r="AA30" s="857">
        <f>NPV($D$2,$C14:AA14)*1.061*1.055</f>
        <v>132.34219125154695</v>
      </c>
      <c r="AB30" s="857">
        <f>NPV($D$2,$C14:AB14)*1.061*1.055</f>
        <v>134.94973279908206</v>
      </c>
      <c r="AC30" s="857">
        <f>NPV($D$2,$C14:AC14)*1.061*1.055</f>
        <v>137.42133616167459</v>
      </c>
      <c r="AD30" s="857">
        <f>NPV($D$2,$C14:AD14)*1.061*1.055</f>
        <v>139.76408816413198</v>
      </c>
      <c r="AE30" s="857">
        <f>NPV($D$2,$C14:AE14)*1.061*1.055</f>
        <v>141.98470617593992</v>
      </c>
      <c r="AF30" s="857">
        <f>NPV($D$2,$C14:AF14)*1.061*1.055</f>
        <v>144.08955737196641</v>
      </c>
      <c r="AG30" s="857">
        <f>NPV($D$2,$C14:AG14)*1.061*1.055</f>
        <v>146.08467698905312</v>
      </c>
      <c r="AH30" s="857">
        <f>NPV($D$2,$C14:AH14)*1.061*1.055</f>
        <v>147.97578563084144</v>
      </c>
      <c r="AI30" s="857">
        <f>NPV($D$2,$C14:AI14)*1.061*1.055</f>
        <v>149.7683056704513</v>
      </c>
      <c r="AJ30" s="857">
        <f>NPV($D$2,$C14:AJ14)*1.061*1.055</f>
        <v>151.46737679804355</v>
      </c>
      <c r="AK30" s="857">
        <f>NPV($D$2,$C14:AK14)*1.061*1.055</f>
        <v>153.07787075784663</v>
      </c>
      <c r="AL30" s="857">
        <f>NPV($D$2,$C14:AL14)*1.061*1.055</f>
        <v>154.60440531690165</v>
      </c>
      <c r="AM30" s="857">
        <f>NPV($D$2,$C14:AM14)*1.061*1.055</f>
        <v>156.05135750557946</v>
      </c>
      <c r="AN30" s="857">
        <f>NPV($D$2,$C14:AN14)*1.061*1.055</f>
        <v>157.42287616783327</v>
      </c>
      <c r="AO30" s="857">
        <f>NPV($D$2,$C14:AO14)*1.061*1.055</f>
        <v>158.72289385717337</v>
      </c>
      <c r="AP30" s="857">
        <f>NPV($D$2,$C14:AP14)*1.061*1.055</f>
        <v>159.95513811247204</v>
      </c>
      <c r="AQ30" s="857">
        <f>NPV($D$2,$C14:AQ14)*1.061*1.055</f>
        <v>161.1231421459305</v>
      </c>
      <c r="AR30" s="857">
        <f>NPV($D$2,$C14:AR14)*1.061*1.055</f>
        <v>162.23025497385319</v>
      </c>
      <c r="AS30" s="857">
        <f>NPV($D$2,$C14:AS14)*1.061*1.055</f>
        <v>163.27965101927759</v>
      </c>
      <c r="AT30" s="857">
        <f>NPV($D$2,$C14:AT14)*1.061*1.055</f>
        <v>164.27433921399259</v>
      </c>
      <c r="AU30" s="857">
        <f>NPV($D$2,$C14:AU14)*1.061*1.055</f>
        <v>165.21717162604477</v>
      </c>
      <c r="AV30" s="857">
        <f>NPV($D$2,$C14:AV14)*1.061*1.055</f>
        <v>166.11085163746864</v>
      </c>
      <c r="AW30" s="857">
        <f>NPV($D$2,$C14:AW14)*1.061*1.055</f>
        <v>166.95794169569035</v>
      </c>
      <c r="AX30" s="857">
        <f>NPV($D$2,$C14:AX14)*1.061*1.055</f>
        <v>167.76087066082934</v>
      </c>
      <c r="AY30" s="857">
        <f>NPV($D$2,$C14:AY14)*1.061*1.055</f>
        <v>168.52194076996582</v>
      </c>
      <c r="AZ30" s="858">
        <f>NPV($D$2,$C14:AZ14)*1.061*1.055</f>
        <v>169.24333423834167</v>
      </c>
    </row>
    <row r="31" spans="1:52" s="840" customFormat="1">
      <c r="A31" s="863">
        <v>12</v>
      </c>
      <c r="B31" s="848" t="s">
        <v>596</v>
      </c>
      <c r="C31" s="849">
        <f>NPV($D$2,$C15:C15)*1.061*1.055/0.928</f>
        <v>6.996715282771653E-3</v>
      </c>
      <c r="D31" s="850">
        <f>NPV($D$2,$C15:D15)*1.061*1.055/0.928</f>
        <v>1.3496648161320016E-2</v>
      </c>
      <c r="E31" s="850">
        <f>NPV($D$2,$C15:E15)*1.061*1.055/0.928</f>
        <v>1.9538330470342646E-2</v>
      </c>
      <c r="F31" s="850">
        <f>NPV($D$2,$C15:F15)*1.061*1.055/0.928</f>
        <v>2.5157144798969279E-2</v>
      </c>
      <c r="G31" s="850">
        <f>NPV($D$2,$C15:G15)*1.061*1.055/0.928</f>
        <v>3.0479118542810338E-2</v>
      </c>
      <c r="H31" s="850">
        <f>NPV($D$2,$C15:H15)*1.061*1.055/0.928</f>
        <v>3.5519921876251158E-2</v>
      </c>
      <c r="I31" s="850">
        <f>NPV($D$2,$C15:I15)*1.061*1.055/0.928</f>
        <v>4.0294398329264666E-2</v>
      </c>
      <c r="J31" s="850">
        <f>NPV($D$2,$C15:J15)*1.061*1.055/0.928</f>
        <v>4.4816608366532014E-2</v>
      </c>
      <c r="K31" s="850">
        <f>NPV($D$2,$C15:K15)*1.061*1.055/0.928</f>
        <v>4.9099870670563803E-2</v>
      </c>
      <c r="L31" s="850">
        <f>NPV($D$2,$C15:L15)*1.061*1.055/0.928</f>
        <v>5.3156801249719152E-2</v>
      </c>
      <c r="M31" s="850">
        <f>NPV($D$2,$C15:M15)*1.061*1.055/0.928</f>
        <v>5.6999350485656901E-2</v>
      </c>
      <c r="N31" s="850">
        <f>NPV($D$2,$C15:N15)*1.061*1.055/0.928</f>
        <v>6.0638838228726295E-2</v>
      </c>
      <c r="O31" s="850">
        <f>NPV($D$2,$C15:O15)*1.061*1.055/0.928</f>
        <v>6.4085987044092491E-2</v>
      </c>
      <c r="P31" s="850">
        <f>NPV($D$2,$C15:P15)*1.061*1.055/0.928</f>
        <v>6.7353426679510719E-2</v>
      </c>
      <c r="Q31" s="850">
        <f>NPV($D$2,$C15:Q15)*1.061*1.055/0.928</f>
        <v>7.0450525860001903E-2</v>
      </c>
      <c r="R31" s="850">
        <f>NPV($D$2,$C15:R15)*1.061*1.055/0.928</f>
        <v>7.3386164893642844E-2</v>
      </c>
      <c r="S31" s="850">
        <f>NPV($D$2,$C15:S15)*1.061*1.055/0.928</f>
        <v>7.6168761134060806E-2</v>
      </c>
      <c r="T31" s="850">
        <f>NPV($D$2,$C15:T15)*1.061*1.055/0.928</f>
        <v>7.8806293115499609E-2</v>
      </c>
      <c r="U31" s="850">
        <f>NPV($D$2,$C15:U15)*1.061*1.055/0.928</f>
        <v>8.1306323429659641E-2</v>
      </c>
      <c r="V31" s="850">
        <f>NPV($D$2,$C15:V15)*1.061*1.055/0.928</f>
        <v>8.3676020409906085E-2</v>
      </c>
      <c r="W31" s="850">
        <f>NPV($D$2,$C15:W15)*1.061*1.055/0.928</f>
        <v>8.5922178685021222E-2</v>
      </c>
      <c r="X31" s="850">
        <f>NPV($D$2,$C15:X15)*1.061*1.055/0.928</f>
        <v>8.8051238661433676E-2</v>
      </c>
      <c r="Y31" s="850">
        <f>NPV($D$2,$C15:Y15)*1.061*1.055/0.928</f>
        <v>9.0068526720020539E-2</v>
      </c>
      <c r="Z31" s="850">
        <f>NPV($D$2,$C15:Z15)*1.061*1.055/0.928</f>
        <v>9.19806481025673E-2</v>
      </c>
      <c r="AA31" s="850">
        <f>NPV($D$2,$C15:AA15)*1.061*1.055/0.928</f>
        <v>9.3793085431995535E-2</v>
      </c>
      <c r="AB31" s="850">
        <f>NPV($D$2,$C15:AB15)*1.061*1.055/0.928</f>
        <v>9.551103550728296E-2</v>
      </c>
      <c r="AC31" s="850">
        <f>NPV($D$2,$C15:AC15)*1.061*1.055/0.928</f>
        <v>9.7139424204237851E-2</v>
      </c>
      <c r="AD31" s="850">
        <f>NPV($D$2,$C15:AD15)*1.061*1.055/0.928</f>
        <v>9.8682920599455756E-2</v>
      </c>
      <c r="AE31" s="850">
        <f>NPV($D$2,$C15:AE15)*1.061*1.055/0.928</f>
        <v>0.10014595035795616</v>
      </c>
      <c r="AF31" s="850">
        <f>NPV($D$2,$C15:AF15)*1.061*1.055/0.928</f>
        <v>0.10153270842288545</v>
      </c>
      <c r="AG31" s="850">
        <f>NPV($D$2,$C15:AG15)*1.061*1.055/0.928</f>
        <v>0.1028471710436715</v>
      </c>
      <c r="AH31" s="850">
        <f>NPV($D$2,$C15:AH15)*1.061*1.055/0.928</f>
        <v>0.104093107177118</v>
      </c>
      <c r="AI31" s="850">
        <f>NPV($D$2,$C15:AI15)*1.061*1.055/0.928</f>
        <v>0.10527408929412888</v>
      </c>
      <c r="AJ31" s="850">
        <f>NPV($D$2,$C15:AJ15)*1.061*1.055/0.928</f>
        <v>0.10639350362304915</v>
      </c>
      <c r="AK31" s="850">
        <f>NPV($D$2,$C15:AK15)*1.061*1.055/0.928</f>
        <v>0.10745455985899258</v>
      </c>
      <c r="AL31" s="850">
        <f>NPV($D$2,$C15:AL15)*1.061*1.055/0.928</f>
        <v>0.10846030036699579</v>
      </c>
      <c r="AM31" s="850">
        <f>NPV($D$2,$C15:AM15)*1.061*1.055/0.928</f>
        <v>0.10941360890538744</v>
      </c>
      <c r="AN31" s="850">
        <f>NPV($D$2,$C15:AN15)*1.061*1.055/0.928</f>
        <v>0.1103172188943843</v>
      </c>
      <c r="AO31" s="850">
        <f>NPV($D$2,$C15:AO15)*1.061*1.055/0.928</f>
        <v>0.11117372125362301</v>
      </c>
      <c r="AP31" s="850">
        <f>NPV($D$2,$C15:AP15)*1.061*1.055/0.928</f>
        <v>0.11198557183110047</v>
      </c>
      <c r="AQ31" s="850">
        <f>NPV($D$2,$C15:AQ15)*1.061*1.055/0.928</f>
        <v>0.11275509844482319</v>
      </c>
      <c r="AR31" s="850">
        <f>NPV($D$2,$C15:AR15)*1.061*1.055/0.928</f>
        <v>0.11348450755735656</v>
      </c>
      <c r="AS31" s="850">
        <f>NPV($D$2,$C15:AS15)*1.061*1.055/0.928</f>
        <v>0.1141758906024119</v>
      </c>
      <c r="AT31" s="850">
        <f>NPV($D$2,$C15:AT15)*1.061*1.055/0.928</f>
        <v>0.11483122998161126</v>
      </c>
      <c r="AU31" s="850">
        <f>NPV($D$2,$C15:AU15)*1.061*1.055/0.928</f>
        <v>0.11545240474862488</v>
      </c>
      <c r="AV31" s="850">
        <f>NPV($D$2,$C15:AV15)*1.061*1.055/0.928</f>
        <v>0.116041195996979</v>
      </c>
      <c r="AW31" s="850">
        <f>NPV($D$2,$C15:AW15)*1.061*1.055/0.928</f>
        <v>0.11659929196698295</v>
      </c>
      <c r="AX31" s="850">
        <f>NPV($D$2,$C15:AX15)*1.061*1.055/0.928</f>
        <v>0.11712829288641798</v>
      </c>
      <c r="AY31" s="850">
        <f>NPV($D$2,$C15:AY15)*1.061*1.055/0.928</f>
        <v>0.11762971555886818</v>
      </c>
      <c r="AZ31" s="851">
        <f>NPV($D$2,$C15:AZ15)*1.061*1.055/0.928</f>
        <v>0.11810499771284945</v>
      </c>
    </row>
    <row r="32" spans="1:52" s="840" customFormat="1">
      <c r="A32" s="863">
        <v>13</v>
      </c>
      <c r="B32" s="848" t="s">
        <v>597</v>
      </c>
      <c r="C32" s="852">
        <f>NPV($D$2,$C16:C16)*1.061*1.055</f>
        <v>0.9310274999999999</v>
      </c>
      <c r="D32" s="853">
        <f>NPV($D$2,$C16:D16)*1.061*1.055</f>
        <v>1.8135180213270139</v>
      </c>
      <c r="E32" s="853">
        <f>NPV($D$2,$C16:E16)*1.061*1.055</f>
        <v>2.6500019277981179</v>
      </c>
      <c r="F32" s="853">
        <f>NPV($D$2,$C16:F16)*1.061*1.055</f>
        <v>3.4428776685290212</v>
      </c>
      <c r="G32" s="853">
        <f>NPV($D$2,$C16:G16)*1.061*1.055</f>
        <v>4.1944186550038118</v>
      </c>
      <c r="H32" s="853">
        <f>NPV($D$2,$C16:H16)*1.061*1.055</f>
        <v>4.9067797796244665</v>
      </c>
      <c r="I32" s="853">
        <f>NPV($D$2,$C16:I16)*1.061*1.055</f>
        <v>5.5820035944307742</v>
      </c>
      <c r="J32" s="853">
        <f>NPV($D$2,$C16:J16)*1.061*1.055</f>
        <v>6.2220261677068942</v>
      </c>
      <c r="K32" s="853">
        <f>NPV($D$2,$C16:K16)*1.061*1.055</f>
        <v>6.8286826352671994</v>
      </c>
      <c r="L32" s="853">
        <f>NPV($D$2,$C16:L16)*1.061*1.055</f>
        <v>7.4037124623385786</v>
      </c>
      <c r="M32" s="853">
        <f>NPV($D$2,$C16:M16)*1.061*1.055</f>
        <v>7.9487644311266141</v>
      </c>
      <c r="N32" s="853">
        <f>NPV($D$2,$C16:N16)*1.061*1.055</f>
        <v>8.4654013683664591</v>
      </c>
      <c r="O32" s="853">
        <f>NPV($D$2,$C16:O16)*1.061*1.055</f>
        <v>8.9551046264137053</v>
      </c>
      <c r="P32" s="853">
        <f>NPV($D$2,$C16:P16)*1.061*1.055</f>
        <v>9.4192783307238912</v>
      </c>
      <c r="Q32" s="853">
        <f>NPV($D$2,$C16:Q16)*1.061*1.055</f>
        <v>9.8592534058994232</v>
      </c>
      <c r="R32" s="853">
        <f>NPV($D$2,$C16:R16)*1.061*1.055</f>
        <v>10.276291391847796</v>
      </c>
      <c r="S32" s="853">
        <f>NPV($D$2,$C16:S16)*1.061*1.055</f>
        <v>10.671588060993169</v>
      </c>
      <c r="T32" s="853">
        <f>NPV($D$2,$C16:T16)*1.061*1.055</f>
        <v>11.046276846912958</v>
      </c>
      <c r="U32" s="853">
        <f>NPV($D$2,$C16:U16)*1.061*1.055</f>
        <v>11.401432094230293</v>
      </c>
      <c r="V32" s="853">
        <f>NPV($D$2,$C16:V16)*1.061*1.055</f>
        <v>11.738072139080845</v>
      </c>
      <c r="W32" s="853">
        <f>NPV($D$2,$C16:W16)*1.061*1.055</f>
        <v>12.057162228986583</v>
      </c>
      <c r="X32" s="853">
        <f>NPV($D$2,$C16:X16)*1.061*1.055</f>
        <v>12.359617290508609</v>
      </c>
      <c r="Y32" s="853">
        <f>NPV($D$2,$C16:Y16)*1.061*1.055</f>
        <v>12.646304552614797</v>
      </c>
      <c r="Z32" s="853">
        <f>NPV($D$2,$C16:Z16)*1.061*1.055</f>
        <v>12.918046033284169</v>
      </c>
      <c r="AA32" s="853">
        <f>NPV($D$2,$C16:AA16)*1.061*1.055</f>
        <v>13.175620896477886</v>
      </c>
      <c r="AB32" s="853">
        <f>NPV($D$2,$C16:AB16)*1.061*1.055</f>
        <v>13.419767686234962</v>
      </c>
      <c r="AC32" s="853">
        <f>NPV($D$2,$C16:AC16)*1.061*1.055</f>
        <v>13.651186444298542</v>
      </c>
      <c r="AD32" s="853">
        <f>NPV($D$2,$C16:AD16)*1.061*1.055</f>
        <v>13.870540717344591</v>
      </c>
      <c r="AE32" s="853">
        <f>NPV($D$2,$C16:AE16)*1.061*1.055</f>
        <v>14.078459459568332</v>
      </c>
      <c r="AF32" s="853">
        <f>NPV($D$2,$C16:AF16)*1.061*1.055</f>
        <v>14.275538836083728</v>
      </c>
      <c r="AG32" s="853">
        <f>NPV($D$2,$C16:AG16)*1.061*1.055</f>
        <v>14.462343932306851</v>
      </c>
      <c r="AH32" s="853">
        <f>NPV($D$2,$C16:AH16)*1.061*1.055</f>
        <v>14.639410374224505</v>
      </c>
      <c r="AI32" s="853">
        <f>NPV($D$2,$C16:AI16)*1.061*1.055</f>
        <v>14.807245864193845</v>
      </c>
      <c r="AJ32" s="853">
        <f>NPV($D$2,$C16:AJ16)*1.061*1.055</f>
        <v>14.96633163667663</v>
      </c>
      <c r="AK32" s="853">
        <f>NPV($D$2,$C16:AK16)*1.061*1.055</f>
        <v>15.117123838082113</v>
      </c>
      <c r="AL32" s="853">
        <f>NPV($D$2,$C16:AL16)*1.061*1.055</f>
        <v>15.260054834674989</v>
      </c>
      <c r="AM32" s="853">
        <f>NPV($D$2,$C16:AM16)*1.061*1.055</f>
        <v>15.395534452298568</v>
      </c>
      <c r="AN32" s="853">
        <f>NPV($D$2,$C16:AN16)*1.061*1.055</f>
        <v>15.523951151467836</v>
      </c>
      <c r="AO32" s="853">
        <f>NPV($D$2,$C16:AO16)*1.061*1.055</f>
        <v>15.645673141201742</v>
      </c>
      <c r="AP32" s="853">
        <f>NPV($D$2,$C16:AP16)*1.061*1.055</f>
        <v>15.761049434788381</v>
      </c>
      <c r="AQ32" s="853">
        <f>NPV($D$2,$C16:AQ16)*1.061*1.055</f>
        <v>15.870410850510314</v>
      </c>
      <c r="AR32" s="853">
        <f>NPV($D$2,$C16:AR16)*1.061*1.055</f>
        <v>15.97407096019935</v>
      </c>
      <c r="AS32" s="853">
        <f>NPV($D$2,$C16:AS16)*1.061*1.055</f>
        <v>16.07232698834062</v>
      </c>
      <c r="AT32" s="853">
        <f>NPV($D$2,$C16:AT16)*1.061*1.055</f>
        <v>16.165460664303904</v>
      </c>
      <c r="AU32" s="853">
        <f>NPV($D$2,$C16:AU16)*1.061*1.055</f>
        <v>16.25373903014588</v>
      </c>
      <c r="AV32" s="853">
        <f>NPV($D$2,$C16:AV16)*1.061*1.055</f>
        <v>16.337415206299415</v>
      </c>
      <c r="AW32" s="853">
        <f>NPV($D$2,$C16:AW16)*1.061*1.055</f>
        <v>16.416729117345419</v>
      </c>
      <c r="AX32" s="853">
        <f>NPV($D$2,$C16:AX16)*1.061*1.055</f>
        <v>16.491908179948265</v>
      </c>
      <c r="AY32" s="853">
        <f>NPV($D$2,$C16:AY16)*1.061*1.055</f>
        <v>16.563167954927266</v>
      </c>
      <c r="AZ32" s="854">
        <f>NPV($D$2,$C16:AZ16)*1.061*1.055</f>
        <v>16.6307127653339</v>
      </c>
    </row>
    <row r="33" spans="1:52" s="840" customFormat="1" ht="12.75" thickBot="1">
      <c r="A33" s="863">
        <v>14</v>
      </c>
      <c r="B33" s="859" t="s">
        <v>598</v>
      </c>
      <c r="C33" s="860">
        <f>NPV($D$2,$C17:C17)*1.061*1.055</f>
        <v>0.9310274999999999</v>
      </c>
      <c r="D33" s="861">
        <f>NPV($D$2,$C17:D17)*1.061*1.055</f>
        <v>1.8135180213270139</v>
      </c>
      <c r="E33" s="861">
        <f>NPV($D$2,$C17:E17)*1.061*1.055</f>
        <v>2.6500019277981179</v>
      </c>
      <c r="F33" s="861">
        <f>NPV($D$2,$C17:F17)*1.061*1.055</f>
        <v>3.4428776685290212</v>
      </c>
      <c r="G33" s="861">
        <f>NPV($D$2,$C17:G17)*1.061*1.055</f>
        <v>4.1944186550038118</v>
      </c>
      <c r="H33" s="861">
        <f>NPV($D$2,$C17:H17)*1.061*1.055</f>
        <v>4.9067797796244665</v>
      </c>
      <c r="I33" s="861">
        <f>NPV($D$2,$C17:I17)*1.061*1.055</f>
        <v>5.5820035944307742</v>
      </c>
      <c r="J33" s="861">
        <f>NPV($D$2,$C17:J17)*1.061*1.055</f>
        <v>6.2220261677068942</v>
      </c>
      <c r="K33" s="861">
        <f>NPV($D$2,$C17:K17)*1.061*1.055</f>
        <v>6.8286826352671994</v>
      </c>
      <c r="L33" s="861">
        <f>NPV($D$2,$C17:L17)*1.061*1.055</f>
        <v>7.4037124623385786</v>
      </c>
      <c r="M33" s="861">
        <f>NPV($D$2,$C17:M17)*1.061*1.055</f>
        <v>7.9487644311266141</v>
      </c>
      <c r="N33" s="861">
        <f>NPV($D$2,$C17:N17)*1.061*1.055</f>
        <v>8.4654013683664591</v>
      </c>
      <c r="O33" s="861">
        <f>NPV($D$2,$C17:O17)*1.061*1.055</f>
        <v>8.9551046264137053</v>
      </c>
      <c r="P33" s="861">
        <f>NPV($D$2,$C17:P17)*1.061*1.055</f>
        <v>9.4192783307238912</v>
      </c>
      <c r="Q33" s="861">
        <f>NPV($D$2,$C17:Q17)*1.061*1.055</f>
        <v>9.8592534058994232</v>
      </c>
      <c r="R33" s="861">
        <f>NPV($D$2,$C17:R17)*1.061*1.055</f>
        <v>10.276291391847796</v>
      </c>
      <c r="S33" s="861">
        <f>NPV($D$2,$C17:S17)*1.061*1.055</f>
        <v>10.671588060993169</v>
      </c>
      <c r="T33" s="861">
        <f>NPV($D$2,$C17:T17)*1.061*1.055</f>
        <v>11.046276846912958</v>
      </c>
      <c r="U33" s="861">
        <f>NPV($D$2,$C17:U17)*1.061*1.055</f>
        <v>11.401432094230293</v>
      </c>
      <c r="V33" s="861">
        <f>NPV($D$2,$C17:V17)*1.061*1.055</f>
        <v>11.738072139080845</v>
      </c>
      <c r="W33" s="861">
        <f>NPV($D$2,$C17:W17)*1.061*1.055</f>
        <v>12.057162228986583</v>
      </c>
      <c r="X33" s="861">
        <f>NPV($D$2,$C17:X17)*1.061*1.055</f>
        <v>12.359617290508609</v>
      </c>
      <c r="Y33" s="861">
        <f>NPV($D$2,$C17:Y17)*1.061*1.055</f>
        <v>12.646304552614797</v>
      </c>
      <c r="Z33" s="861">
        <f>NPV($D$2,$C17:Z17)*1.061*1.055</f>
        <v>12.918046033284169</v>
      </c>
      <c r="AA33" s="861">
        <f>NPV($D$2,$C17:AA17)*1.061*1.055</f>
        <v>13.175620896477886</v>
      </c>
      <c r="AB33" s="861">
        <f>NPV($D$2,$C17:AB17)*1.061*1.055</f>
        <v>13.419767686234962</v>
      </c>
      <c r="AC33" s="861">
        <f>NPV($D$2,$C17:AC17)*1.061*1.055</f>
        <v>13.651186444298542</v>
      </c>
      <c r="AD33" s="861">
        <f>NPV($D$2,$C17:AD17)*1.061*1.055</f>
        <v>13.870540717344591</v>
      </c>
      <c r="AE33" s="861">
        <f>NPV($D$2,$C17:AE17)*1.061*1.055</f>
        <v>14.078459459568332</v>
      </c>
      <c r="AF33" s="861">
        <f>NPV($D$2,$C17:AF17)*1.061*1.055</f>
        <v>14.275538836083728</v>
      </c>
      <c r="AG33" s="861">
        <f>NPV($D$2,$C17:AG17)*1.061*1.055</f>
        <v>14.462343932306851</v>
      </c>
      <c r="AH33" s="861">
        <f>NPV($D$2,$C17:AH17)*1.061*1.055</f>
        <v>14.639410374224505</v>
      </c>
      <c r="AI33" s="861">
        <f>NPV($D$2,$C17:AI17)*1.061*1.055</f>
        <v>14.807245864193845</v>
      </c>
      <c r="AJ33" s="861">
        <f>NPV($D$2,$C17:AJ17)*1.061*1.055</f>
        <v>14.96633163667663</v>
      </c>
      <c r="AK33" s="861">
        <f>NPV($D$2,$C17:AK17)*1.061*1.055</f>
        <v>15.117123838082113</v>
      </c>
      <c r="AL33" s="861">
        <f>NPV($D$2,$C17:AL17)*1.061*1.055</f>
        <v>15.260054834674989</v>
      </c>
      <c r="AM33" s="861">
        <f>NPV($D$2,$C17:AM17)*1.061*1.055</f>
        <v>15.395534452298568</v>
      </c>
      <c r="AN33" s="861">
        <f>NPV($D$2,$C17:AN17)*1.061*1.055</f>
        <v>15.523951151467836</v>
      </c>
      <c r="AO33" s="861">
        <f>NPV($D$2,$C17:AO17)*1.061*1.055</f>
        <v>15.645673141201742</v>
      </c>
      <c r="AP33" s="861">
        <f>NPV($D$2,$C17:AP17)*1.061*1.055</f>
        <v>15.761049434788381</v>
      </c>
      <c r="AQ33" s="861">
        <f>NPV($D$2,$C17:AQ17)*1.061*1.055</f>
        <v>15.870410850510314</v>
      </c>
      <c r="AR33" s="861">
        <f>NPV($D$2,$C17:AR17)*1.061*1.055</f>
        <v>15.97407096019935</v>
      </c>
      <c r="AS33" s="861">
        <f>NPV($D$2,$C17:AS17)*1.061*1.055</f>
        <v>16.07232698834062</v>
      </c>
      <c r="AT33" s="861">
        <f>NPV($D$2,$C17:AT17)*1.061*1.055</f>
        <v>16.165460664303904</v>
      </c>
      <c r="AU33" s="861">
        <f>NPV($D$2,$C17:AU17)*1.061*1.055</f>
        <v>16.25373903014588</v>
      </c>
      <c r="AV33" s="861">
        <f>NPV($D$2,$C17:AV17)*1.061*1.055</f>
        <v>16.337415206299415</v>
      </c>
      <c r="AW33" s="861">
        <f>NPV($D$2,$C17:AW17)*1.061*1.055</f>
        <v>16.416729117345419</v>
      </c>
      <c r="AX33" s="861">
        <f>NPV($D$2,$C17:AX17)*1.061*1.055</f>
        <v>16.491908179948265</v>
      </c>
      <c r="AY33" s="861">
        <f>NPV($D$2,$C17:AY17)*1.061*1.055</f>
        <v>16.563167954927266</v>
      </c>
      <c r="AZ33" s="862">
        <f>NPV($D$2,$C17:AZ17)*1.061*1.055</f>
        <v>16.6307127653339</v>
      </c>
    </row>
    <row r="41" spans="1:52" ht="12.75" thickBot="1"/>
    <row r="42" spans="1:52" ht="13.5" thickBot="1">
      <c r="C42" s="865" t="s">
        <v>575</v>
      </c>
      <c r="D42" s="864" t="s">
        <v>576</v>
      </c>
    </row>
    <row r="43" spans="1:52" ht="12.75">
      <c r="C43" s="866" t="str">
        <f>IF('Prescriptive Path'!I6="","",IF('Prescriptive Path'!I6="Yes","N","Not N"))</f>
        <v/>
      </c>
      <c r="D43" s="867" t="s">
        <v>404</v>
      </c>
    </row>
    <row r="44" spans="1:52" ht="12.75">
      <c r="C44" s="868" t="str">
        <f>IF(OR(ElecUtility="&lt;Select One&gt;", ElecUtility=""),"NEED Elec Utility",IF(OR(ElecUtility="NYSEG",ElecUtility="RG &amp; E",ElecUtility="NatGrid"),"Upstate",IF(C43="N","NYC","Lower Hudson")))</f>
        <v>NEED Elec Utility</v>
      </c>
      <c r="D44" s="869" t="str">
        <f>IF(C44="NYC",4, IF(C44="lower hudson",3,IF(C44="upstate",2,"")))</f>
        <v/>
      </c>
    </row>
    <row r="45" spans="1:52" ht="12.75">
      <c r="C45" s="868" t="str">
        <f>IF(OR(ElecUtility="&lt;Select One&gt;", ElecUtility=""),"NEED Elec Utility",IF(C43="N","NYC","Upstate"))</f>
        <v>NEED Elec Utility</v>
      </c>
      <c r="D45" s="869" t="str">
        <f>IF(C45="NYC",6,IF(C45="upstate",5,""))</f>
        <v/>
      </c>
    </row>
    <row r="46" spans="1:52" ht="12.75">
      <c r="C46" s="868" t="str">
        <f>IF(OR(GasUtility="&lt;Select One&gt;", GasUtility=""),"NEED Gas Utility",IF(GasUtility="Other","Upstate","Downstate"))</f>
        <v>NEED Gas Utility</v>
      </c>
      <c r="D46" s="869" t="str">
        <f>IF(C46="downstate",7,IF(C46="upstate",8,""))</f>
        <v/>
      </c>
    </row>
    <row r="47" spans="1:52" ht="12.75">
      <c r="C47" s="868" t="str">
        <f>C46</f>
        <v>NEED Gas Utility</v>
      </c>
      <c r="D47" s="869" t="str">
        <f>IF(C47="downstate",9,IF(C47="upstate",10,""))</f>
        <v/>
      </c>
    </row>
    <row r="48" spans="1:52" ht="13.5" thickBot="1">
      <c r="C48" s="870">
        <f>'Avoided Costs'!D2</f>
        <v>5.5E-2</v>
      </c>
      <c r="D48" s="871" t="s">
        <v>404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O30"/>
  <sheetViews>
    <sheetView topLeftCell="A2" zoomScaleNormal="100" workbookViewId="0">
      <selection activeCell="B7" sqref="B7"/>
    </sheetView>
  </sheetViews>
  <sheetFormatPr defaultRowHeight="15"/>
  <cols>
    <col min="1" max="1" width="19.28515625" style="297" bestFit="1" customWidth="1"/>
    <col min="2" max="2" width="11.42578125" style="297" customWidth="1"/>
    <col min="3" max="3" width="11.140625" style="297" customWidth="1"/>
    <col min="4" max="4" width="16.85546875" style="297" customWidth="1"/>
    <col min="5" max="5" width="15.85546875" style="297" customWidth="1"/>
    <col min="6" max="7" width="12.140625" style="297" customWidth="1"/>
    <col min="8" max="10" width="11.140625" style="297" customWidth="1"/>
    <col min="11" max="19" width="12.140625" style="297" customWidth="1"/>
    <col min="20" max="22" width="11.140625" style="297" customWidth="1"/>
    <col min="23" max="34" width="12.140625" style="297" customWidth="1"/>
    <col min="35" max="40" width="11.28515625" style="297" customWidth="1"/>
    <col min="41" max="56" width="12.28515625" style="297" customWidth="1"/>
    <col min="57" max="58" width="9.140625" style="297" customWidth="1"/>
    <col min="59" max="67" width="9.7109375" style="297" customWidth="1"/>
    <col min="68" max="16384" width="9.140625" style="297"/>
  </cols>
  <sheetData>
    <row r="1" spans="1:67" ht="15.75" hidden="1" thickBot="1">
      <c r="A1" s="297">
        <v>1</v>
      </c>
      <c r="B1" s="297">
        <v>2</v>
      </c>
      <c r="C1" s="297">
        <v>3</v>
      </c>
      <c r="D1" s="297">
        <v>4</v>
      </c>
      <c r="E1" s="297">
        <v>5</v>
      </c>
      <c r="F1" s="297">
        <v>6</v>
      </c>
      <c r="G1" s="297">
        <v>7</v>
      </c>
      <c r="H1" s="297">
        <v>8</v>
      </c>
      <c r="I1" s="297">
        <v>9</v>
      </c>
      <c r="J1" s="297">
        <v>10</v>
      </c>
      <c r="K1" s="297">
        <v>11</v>
      </c>
      <c r="L1" s="297">
        <v>12</v>
      </c>
      <c r="M1" s="297">
        <v>13</v>
      </c>
      <c r="N1" s="297">
        <v>14</v>
      </c>
      <c r="O1" s="297">
        <v>15</v>
      </c>
      <c r="P1" s="297">
        <v>16</v>
      </c>
      <c r="Q1" s="297">
        <v>17</v>
      </c>
      <c r="R1" s="297">
        <v>18</v>
      </c>
      <c r="S1" s="297">
        <v>19</v>
      </c>
      <c r="T1" s="297">
        <v>20</v>
      </c>
      <c r="U1" s="297">
        <v>21</v>
      </c>
      <c r="V1" s="297">
        <v>22</v>
      </c>
      <c r="W1" s="297">
        <v>23</v>
      </c>
      <c r="X1" s="297">
        <v>24</v>
      </c>
      <c r="Y1" s="297">
        <v>25</v>
      </c>
      <c r="Z1" s="297">
        <v>26</v>
      </c>
      <c r="AA1" s="297">
        <v>27</v>
      </c>
      <c r="AB1" s="297">
        <v>28</v>
      </c>
      <c r="AC1" s="297">
        <v>29</v>
      </c>
      <c r="AD1" s="297">
        <v>30</v>
      </c>
      <c r="AE1" s="297">
        <v>31</v>
      </c>
      <c r="AF1" s="297">
        <v>32</v>
      </c>
      <c r="AG1" s="297">
        <v>33</v>
      </c>
      <c r="AH1" s="297">
        <v>34</v>
      </c>
      <c r="AI1" s="297">
        <v>35</v>
      </c>
      <c r="AJ1" s="297">
        <v>36</v>
      </c>
      <c r="AK1" s="297">
        <v>37</v>
      </c>
      <c r="AL1" s="297">
        <v>38</v>
      </c>
      <c r="AM1" s="297">
        <v>39</v>
      </c>
      <c r="AN1" s="297">
        <v>40</v>
      </c>
      <c r="AO1" s="297">
        <v>41</v>
      </c>
      <c r="AP1" s="297">
        <v>42</v>
      </c>
      <c r="AQ1" s="297">
        <v>43</v>
      </c>
      <c r="AR1" s="297">
        <v>44</v>
      </c>
      <c r="AS1" s="297">
        <v>45</v>
      </c>
      <c r="AT1" s="297">
        <v>46</v>
      </c>
      <c r="AU1" s="297">
        <v>47</v>
      </c>
      <c r="AV1" s="297">
        <v>48</v>
      </c>
      <c r="AW1" s="297">
        <v>49</v>
      </c>
      <c r="AX1" s="297">
        <v>50</v>
      </c>
      <c r="AY1" s="297">
        <v>51</v>
      </c>
      <c r="AZ1" s="297">
        <v>52</v>
      </c>
      <c r="BA1" s="297">
        <v>53</v>
      </c>
      <c r="BB1" s="297">
        <v>54</v>
      </c>
      <c r="BC1" s="297">
        <v>55</v>
      </c>
      <c r="BD1" s="297">
        <v>56</v>
      </c>
      <c r="BE1" s="297">
        <v>57</v>
      </c>
      <c r="BF1" s="297">
        <v>58</v>
      </c>
      <c r="BG1" s="297">
        <v>59</v>
      </c>
      <c r="BH1" s="297">
        <v>60</v>
      </c>
      <c r="BI1" s="297">
        <v>61</v>
      </c>
      <c r="BJ1" s="297">
        <v>62</v>
      </c>
      <c r="BK1" s="297">
        <v>63</v>
      </c>
      <c r="BL1" s="297">
        <v>64</v>
      </c>
      <c r="BM1" s="297">
        <v>65</v>
      </c>
      <c r="BN1" s="297">
        <v>66</v>
      </c>
      <c r="BO1" s="297">
        <v>67</v>
      </c>
    </row>
    <row r="2" spans="1:67">
      <c r="A2" s="2430" t="s">
        <v>2285</v>
      </c>
      <c r="B2" s="2427" t="s">
        <v>2286</v>
      </c>
      <c r="C2" s="2428"/>
      <c r="D2" s="2429"/>
      <c r="E2" s="2427" t="s">
        <v>2287</v>
      </c>
      <c r="F2" s="2428"/>
      <c r="G2" s="2429"/>
      <c r="H2" s="2427" t="s">
        <v>2288</v>
      </c>
      <c r="I2" s="2428"/>
      <c r="J2" s="2429"/>
      <c r="K2" s="2427" t="s">
        <v>2289</v>
      </c>
      <c r="L2" s="2428"/>
      <c r="M2" s="2429"/>
      <c r="N2" s="2427" t="s">
        <v>2290</v>
      </c>
      <c r="O2" s="2428"/>
      <c r="P2" s="2429"/>
      <c r="Q2" s="2427" t="s">
        <v>2291</v>
      </c>
      <c r="R2" s="2428"/>
      <c r="S2" s="2429"/>
      <c r="T2" s="2427" t="s">
        <v>2292</v>
      </c>
      <c r="U2" s="2428"/>
      <c r="V2" s="2429"/>
      <c r="W2" s="2427" t="s">
        <v>2293</v>
      </c>
      <c r="X2" s="2428"/>
      <c r="Y2" s="2429"/>
      <c r="Z2" s="2427" t="s">
        <v>2294</v>
      </c>
      <c r="AA2" s="2428"/>
      <c r="AB2" s="2429"/>
      <c r="AC2" s="2427" t="s">
        <v>2295</v>
      </c>
      <c r="AD2" s="2428"/>
      <c r="AE2" s="2429"/>
      <c r="AF2" s="2427" t="s">
        <v>2296</v>
      </c>
      <c r="AG2" s="2428"/>
      <c r="AH2" s="2429"/>
      <c r="AI2" s="2427" t="s">
        <v>2297</v>
      </c>
      <c r="AJ2" s="2428"/>
      <c r="AK2" s="2429"/>
      <c r="AL2" s="2427" t="s">
        <v>2298</v>
      </c>
      <c r="AM2" s="2428"/>
      <c r="AN2" s="2429"/>
      <c r="AO2" s="2427" t="s">
        <v>2299</v>
      </c>
      <c r="AP2" s="2428"/>
      <c r="AQ2" s="2429"/>
      <c r="AR2" s="2427" t="s">
        <v>2300</v>
      </c>
      <c r="AS2" s="2428"/>
      <c r="AT2" s="2429"/>
      <c r="AU2" s="2427" t="s">
        <v>2301</v>
      </c>
      <c r="AV2" s="2428"/>
      <c r="AW2" s="2429"/>
      <c r="AX2" s="2427" t="s">
        <v>2302</v>
      </c>
      <c r="AY2" s="2428"/>
      <c r="AZ2" s="2429"/>
      <c r="BA2" s="2427" t="s">
        <v>2303</v>
      </c>
      <c r="BB2" s="2428"/>
      <c r="BC2" s="2429"/>
      <c r="BD2" s="2427" t="s">
        <v>2304</v>
      </c>
      <c r="BE2" s="2428"/>
      <c r="BF2" s="2429"/>
      <c r="BG2" s="2427" t="s">
        <v>2282</v>
      </c>
      <c r="BH2" s="2428"/>
      <c r="BI2" s="2429"/>
      <c r="BJ2" s="2427" t="s">
        <v>2283</v>
      </c>
      <c r="BK2" s="2428"/>
      <c r="BL2" s="2429"/>
      <c r="BM2" s="2427" t="s">
        <v>2284</v>
      </c>
      <c r="BN2" s="2428"/>
      <c r="BO2" s="2429"/>
    </row>
    <row r="3" spans="1:67" ht="26.25" thickBot="1">
      <c r="A3" s="2430"/>
      <c r="B3" s="1200" t="s">
        <v>2305</v>
      </c>
      <c r="C3" s="1201" t="s">
        <v>2306</v>
      </c>
      <c r="D3" s="1202" t="s">
        <v>2307</v>
      </c>
      <c r="E3" s="1200" t="s">
        <v>2305</v>
      </c>
      <c r="F3" s="1201" t="s">
        <v>2306</v>
      </c>
      <c r="G3" s="1202" t="s">
        <v>2307</v>
      </c>
      <c r="H3" s="1200" t="s">
        <v>2305</v>
      </c>
      <c r="I3" s="1201" t="s">
        <v>2306</v>
      </c>
      <c r="J3" s="1202" t="s">
        <v>2307</v>
      </c>
      <c r="K3" s="1200" t="s">
        <v>2305</v>
      </c>
      <c r="L3" s="1201" t="s">
        <v>2306</v>
      </c>
      <c r="M3" s="1202" t="s">
        <v>2307</v>
      </c>
      <c r="N3" s="1200" t="s">
        <v>2305</v>
      </c>
      <c r="O3" s="1201" t="s">
        <v>2306</v>
      </c>
      <c r="P3" s="1202" t="s">
        <v>2307</v>
      </c>
      <c r="Q3" s="1200" t="s">
        <v>2305</v>
      </c>
      <c r="R3" s="1201" t="s">
        <v>2306</v>
      </c>
      <c r="S3" s="1202" t="s">
        <v>2307</v>
      </c>
      <c r="T3" s="1200" t="s">
        <v>2305</v>
      </c>
      <c r="U3" s="1201" t="s">
        <v>2306</v>
      </c>
      <c r="V3" s="1202" t="s">
        <v>2307</v>
      </c>
      <c r="W3" s="1200" t="s">
        <v>2305</v>
      </c>
      <c r="X3" s="1201" t="s">
        <v>2306</v>
      </c>
      <c r="Y3" s="1202" t="s">
        <v>2307</v>
      </c>
      <c r="Z3" s="1200" t="s">
        <v>2305</v>
      </c>
      <c r="AA3" s="1201" t="s">
        <v>2306</v>
      </c>
      <c r="AB3" s="1202" t="s">
        <v>2307</v>
      </c>
      <c r="AC3" s="1200" t="s">
        <v>2305</v>
      </c>
      <c r="AD3" s="1201" t="s">
        <v>2306</v>
      </c>
      <c r="AE3" s="1202" t="s">
        <v>2307</v>
      </c>
      <c r="AF3" s="1200" t="s">
        <v>2305</v>
      </c>
      <c r="AG3" s="1201" t="s">
        <v>2306</v>
      </c>
      <c r="AH3" s="1202" t="s">
        <v>2307</v>
      </c>
      <c r="AI3" s="1200" t="s">
        <v>2305</v>
      </c>
      <c r="AJ3" s="1201" t="s">
        <v>2306</v>
      </c>
      <c r="AK3" s="1202" t="s">
        <v>2307</v>
      </c>
      <c r="AL3" s="1200" t="s">
        <v>2305</v>
      </c>
      <c r="AM3" s="1201" t="s">
        <v>2306</v>
      </c>
      <c r="AN3" s="1202" t="s">
        <v>2307</v>
      </c>
      <c r="AO3" s="1200" t="s">
        <v>2305</v>
      </c>
      <c r="AP3" s="1201" t="s">
        <v>2306</v>
      </c>
      <c r="AQ3" s="1202" t="s">
        <v>2307</v>
      </c>
      <c r="AR3" s="1200" t="s">
        <v>2305</v>
      </c>
      <c r="AS3" s="1201" t="s">
        <v>2306</v>
      </c>
      <c r="AT3" s="1202" t="s">
        <v>2307</v>
      </c>
      <c r="AU3" s="1200" t="s">
        <v>2305</v>
      </c>
      <c r="AV3" s="1201" t="s">
        <v>2306</v>
      </c>
      <c r="AW3" s="1202" t="s">
        <v>2307</v>
      </c>
      <c r="AX3" s="1200" t="s">
        <v>2305</v>
      </c>
      <c r="AY3" s="1201" t="s">
        <v>2306</v>
      </c>
      <c r="AZ3" s="1202" t="s">
        <v>2307</v>
      </c>
      <c r="BA3" s="1200" t="s">
        <v>2305</v>
      </c>
      <c r="BB3" s="1201" t="s">
        <v>2306</v>
      </c>
      <c r="BC3" s="1202" t="s">
        <v>2307</v>
      </c>
      <c r="BD3" s="1200" t="s">
        <v>2305</v>
      </c>
      <c r="BE3" s="1201" t="s">
        <v>2306</v>
      </c>
      <c r="BF3" s="1202" t="s">
        <v>2307</v>
      </c>
      <c r="BG3" s="1200" t="s">
        <v>460</v>
      </c>
      <c r="BH3" s="1201" t="s">
        <v>461</v>
      </c>
      <c r="BI3" s="1202" t="s">
        <v>2308</v>
      </c>
      <c r="BJ3" s="1200" t="s">
        <v>460</v>
      </c>
      <c r="BK3" s="1201" t="s">
        <v>461</v>
      </c>
      <c r="BL3" s="1202" t="s">
        <v>2308</v>
      </c>
      <c r="BM3" s="1200" t="s">
        <v>460</v>
      </c>
      <c r="BN3" s="1201" t="s">
        <v>461</v>
      </c>
      <c r="BO3" s="1202" t="s">
        <v>2308</v>
      </c>
    </row>
    <row r="4" spans="1:67">
      <c r="A4" s="1203" t="s">
        <v>446</v>
      </c>
      <c r="B4" s="1206">
        <v>18.899999999999999</v>
      </c>
      <c r="C4" s="1207">
        <v>1.4E-2</v>
      </c>
      <c r="D4" s="1208">
        <v>67</v>
      </c>
      <c r="E4" s="1206">
        <v>4.3</v>
      </c>
      <c r="F4" s="1207">
        <v>5.0000000000000001E-3</v>
      </c>
      <c r="G4" s="1208">
        <v>15.7</v>
      </c>
      <c r="H4" s="1206">
        <v>26.8</v>
      </c>
      <c r="I4" s="1207">
        <v>1.9E-2</v>
      </c>
      <c r="J4" s="1208">
        <v>96.9</v>
      </c>
      <c r="K4" s="1206">
        <v>12.2</v>
      </c>
      <c r="L4" s="1207">
        <v>1.0999999999999999E-2</v>
      </c>
      <c r="M4" s="1208">
        <v>45.6</v>
      </c>
      <c r="N4" s="1206">
        <v>7.9</v>
      </c>
      <c r="O4" s="1207">
        <v>5.0000000000000001E-3</v>
      </c>
      <c r="P4" s="1208">
        <v>29.9</v>
      </c>
      <c r="Q4" s="1206">
        <v>2.1</v>
      </c>
      <c r="R4" s="1207">
        <v>3.0000000000000001E-3</v>
      </c>
      <c r="S4" s="1208">
        <v>8.1</v>
      </c>
      <c r="T4" s="1206">
        <v>28.5</v>
      </c>
      <c r="U4" s="1207">
        <v>2.1999999999999999E-2</v>
      </c>
      <c r="V4" s="1208">
        <v>103.6</v>
      </c>
      <c r="W4" s="1206">
        <v>13.9</v>
      </c>
      <c r="X4" s="1207">
        <v>1.4E-2</v>
      </c>
      <c r="Y4" s="1208">
        <v>52.2</v>
      </c>
      <c r="Z4" s="1206">
        <v>9.6</v>
      </c>
      <c r="AA4" s="1207">
        <v>8.0000000000000002E-3</v>
      </c>
      <c r="AB4" s="1208">
        <v>36.5</v>
      </c>
      <c r="AC4" s="1206">
        <v>3.8</v>
      </c>
      <c r="AD4" s="1207">
        <v>5.0000000000000001E-3</v>
      </c>
      <c r="AE4" s="1208">
        <v>14.7</v>
      </c>
      <c r="AF4" s="1206">
        <v>1.7</v>
      </c>
      <c r="AG4" s="1207">
        <v>3.0000000000000001E-3</v>
      </c>
      <c r="AH4" s="1208">
        <v>6.6</v>
      </c>
      <c r="AI4" s="1206">
        <v>156.80000000000001</v>
      </c>
      <c r="AJ4" s="1207">
        <v>0.28100000000000003</v>
      </c>
      <c r="AK4" s="1208">
        <v>515.6</v>
      </c>
      <c r="AL4" s="1206">
        <v>18.8</v>
      </c>
      <c r="AM4" s="1207">
        <v>2.5999999999999999E-2</v>
      </c>
      <c r="AN4" s="1208">
        <v>104.2</v>
      </c>
      <c r="AO4" s="1206">
        <v>6.3</v>
      </c>
      <c r="AP4" s="1207">
        <v>1.7999999999999999E-2</v>
      </c>
      <c r="AQ4" s="1208">
        <v>39.200000000000003</v>
      </c>
      <c r="AR4" s="1206">
        <v>160.9</v>
      </c>
      <c r="AS4" s="1207">
        <v>0.29799999999999999</v>
      </c>
      <c r="AT4" s="1208">
        <v>545.20000000000005</v>
      </c>
      <c r="AU4" s="1206">
        <v>22.9</v>
      </c>
      <c r="AV4" s="1207">
        <v>4.3999999999999997E-2</v>
      </c>
      <c r="AW4" s="1208">
        <v>133.9</v>
      </c>
      <c r="AX4" s="1206">
        <v>10.4</v>
      </c>
      <c r="AY4" s="1207">
        <v>3.5000000000000003E-2</v>
      </c>
      <c r="AZ4" s="1208">
        <v>68.8</v>
      </c>
      <c r="BA4" s="1206">
        <v>4.0999999999999996</v>
      </c>
      <c r="BB4" s="1207">
        <v>1.7999999999999999E-2</v>
      </c>
      <c r="BC4" s="1208">
        <v>29.6</v>
      </c>
      <c r="BD4" s="1206">
        <v>1.8</v>
      </c>
      <c r="BE4" s="1207">
        <v>1.7999999999999999E-2</v>
      </c>
      <c r="BF4" s="1208">
        <v>14.1</v>
      </c>
      <c r="BG4" s="1206">
        <v>148.4</v>
      </c>
      <c r="BH4" s="1207">
        <v>0.22800000000000001</v>
      </c>
      <c r="BI4" s="1208">
        <v>87.9</v>
      </c>
      <c r="BJ4" s="1206">
        <v>72.099999999999994</v>
      </c>
      <c r="BK4" s="1207">
        <v>0.11700000000000001</v>
      </c>
      <c r="BL4" s="1208">
        <v>36.299999999999997</v>
      </c>
      <c r="BM4" s="1206">
        <v>6.4</v>
      </c>
      <c r="BN4" s="1207">
        <v>3.0000000000000001E-3</v>
      </c>
      <c r="BO4" s="1208">
        <v>11.3</v>
      </c>
    </row>
    <row r="5" spans="1:67">
      <c r="A5" s="1204" t="s">
        <v>447</v>
      </c>
      <c r="B5" s="1209">
        <v>12.5</v>
      </c>
      <c r="C5" s="1210">
        <v>5.0000000000000001E-3</v>
      </c>
      <c r="D5" s="1211">
        <v>72.8</v>
      </c>
      <c r="E5" s="1209">
        <v>2.8</v>
      </c>
      <c r="F5" s="1210">
        <v>0</v>
      </c>
      <c r="G5" s="1211">
        <v>17.2</v>
      </c>
      <c r="H5" s="1209">
        <v>17.5</v>
      </c>
      <c r="I5" s="1210">
        <v>8.0000000000000002E-3</v>
      </c>
      <c r="J5" s="1211">
        <v>105.5</v>
      </c>
      <c r="K5" s="1209">
        <v>7.7</v>
      </c>
      <c r="L5" s="1210">
        <v>3.0000000000000001E-3</v>
      </c>
      <c r="M5" s="1211">
        <v>49.9</v>
      </c>
      <c r="N5" s="1209">
        <v>4.9000000000000004</v>
      </c>
      <c r="O5" s="1210">
        <v>3.0000000000000001E-3</v>
      </c>
      <c r="P5" s="1211">
        <v>32.700000000000003</v>
      </c>
      <c r="Q5" s="1209">
        <v>1.3</v>
      </c>
      <c r="R5" s="1210">
        <v>0</v>
      </c>
      <c r="S5" s="1211">
        <v>8.6</v>
      </c>
      <c r="T5" s="1209">
        <v>18.5</v>
      </c>
      <c r="U5" s="1210">
        <v>1.0999999999999999E-2</v>
      </c>
      <c r="V5" s="1211">
        <v>112.7</v>
      </c>
      <c r="W5" s="1209">
        <v>8.6999999999999993</v>
      </c>
      <c r="X5" s="1210">
        <v>5.0000000000000001E-3</v>
      </c>
      <c r="Y5" s="1211">
        <v>57.1</v>
      </c>
      <c r="Z5" s="1209">
        <v>6</v>
      </c>
      <c r="AA5" s="1210">
        <v>5.0000000000000001E-3</v>
      </c>
      <c r="AB5" s="1211">
        <v>39.9</v>
      </c>
      <c r="AC5" s="1209">
        <v>2.2999999999999998</v>
      </c>
      <c r="AD5" s="1210">
        <v>3.0000000000000001E-3</v>
      </c>
      <c r="AE5" s="1211">
        <v>15.8</v>
      </c>
      <c r="AF5" s="1209">
        <v>1</v>
      </c>
      <c r="AG5" s="1210">
        <v>3.0000000000000001E-3</v>
      </c>
      <c r="AH5" s="1211">
        <v>7.2</v>
      </c>
      <c r="AI5" s="1209">
        <v>158.9</v>
      </c>
      <c r="AJ5" s="1210">
        <v>0.123</v>
      </c>
      <c r="AK5" s="1211">
        <v>531.70000000000005</v>
      </c>
      <c r="AL5" s="1209">
        <v>18.100000000000001</v>
      </c>
      <c r="AM5" s="1210">
        <v>3.5000000000000003E-2</v>
      </c>
      <c r="AN5" s="1211">
        <v>110.8</v>
      </c>
      <c r="AO5" s="1209">
        <v>6</v>
      </c>
      <c r="AP5" s="1210">
        <v>2.5999999999999999E-2</v>
      </c>
      <c r="AQ5" s="1211">
        <v>42.7</v>
      </c>
      <c r="AR5" s="1209">
        <v>162.80000000000001</v>
      </c>
      <c r="AS5" s="1210">
        <v>0.14000000000000001</v>
      </c>
      <c r="AT5" s="1211">
        <v>562.9</v>
      </c>
      <c r="AU5" s="1209">
        <v>22</v>
      </c>
      <c r="AV5" s="1210">
        <v>5.2999999999999999E-2</v>
      </c>
      <c r="AW5" s="1211">
        <v>142</v>
      </c>
      <c r="AX5" s="1209">
        <v>9.9</v>
      </c>
      <c r="AY5" s="1210">
        <v>4.3999999999999997E-2</v>
      </c>
      <c r="AZ5" s="1211">
        <v>73.900000000000006</v>
      </c>
      <c r="BA5" s="1209">
        <v>3.9</v>
      </c>
      <c r="BB5" s="1210">
        <v>1.7999999999999999E-2</v>
      </c>
      <c r="BC5" s="1211">
        <v>31.2</v>
      </c>
      <c r="BD5" s="1209">
        <v>1.8</v>
      </c>
      <c r="BE5" s="1210">
        <v>8.9999999999999993E-3</v>
      </c>
      <c r="BF5" s="1211">
        <v>14.9</v>
      </c>
      <c r="BG5" s="1209">
        <v>122.3</v>
      </c>
      <c r="BH5" s="1210">
        <v>0.17399999999999999</v>
      </c>
      <c r="BI5" s="1211">
        <v>99.3</v>
      </c>
      <c r="BJ5" s="1209">
        <v>57.3</v>
      </c>
      <c r="BK5" s="1210">
        <v>9.0999999999999998E-2</v>
      </c>
      <c r="BL5" s="1211">
        <v>42.1</v>
      </c>
      <c r="BM5" s="1209">
        <v>6.8</v>
      </c>
      <c r="BN5" s="1210">
        <v>3.0000000000000001E-3</v>
      </c>
      <c r="BO5" s="1211">
        <v>12.1</v>
      </c>
    </row>
    <row r="6" spans="1:67">
      <c r="A6" s="1204" t="s">
        <v>448</v>
      </c>
      <c r="B6" s="1209">
        <v>13.2</v>
      </c>
      <c r="C6" s="1210">
        <v>8.0000000000000002E-3</v>
      </c>
      <c r="D6" s="1211">
        <v>68.8</v>
      </c>
      <c r="E6" s="1209">
        <v>3</v>
      </c>
      <c r="F6" s="1210">
        <v>3.0000000000000001E-3</v>
      </c>
      <c r="G6" s="1211">
        <v>16.5</v>
      </c>
      <c r="H6" s="1209">
        <v>18.7</v>
      </c>
      <c r="I6" s="1210">
        <v>1.0999999999999999E-2</v>
      </c>
      <c r="J6" s="1211">
        <v>100</v>
      </c>
      <c r="K6" s="1209">
        <v>8.5</v>
      </c>
      <c r="L6" s="1210">
        <v>5.0000000000000001E-3</v>
      </c>
      <c r="M6" s="1211">
        <v>47.7</v>
      </c>
      <c r="N6" s="1209">
        <v>5.5</v>
      </c>
      <c r="O6" s="1210">
        <v>3.0000000000000001E-3</v>
      </c>
      <c r="P6" s="1211">
        <v>31.2</v>
      </c>
      <c r="Q6" s="1209">
        <v>1.4</v>
      </c>
      <c r="R6" s="1210">
        <v>0</v>
      </c>
      <c r="S6" s="1211">
        <v>8.1999999999999993</v>
      </c>
      <c r="T6" s="1209">
        <v>19.899999999999999</v>
      </c>
      <c r="U6" s="1210">
        <v>1.4E-2</v>
      </c>
      <c r="V6" s="1211">
        <v>106.8</v>
      </c>
      <c r="W6" s="1209">
        <v>9.6999999999999993</v>
      </c>
      <c r="X6" s="1210">
        <v>8.0000000000000002E-3</v>
      </c>
      <c r="Y6" s="1211">
        <v>54.5</v>
      </c>
      <c r="Z6" s="1209">
        <v>6.7</v>
      </c>
      <c r="AA6" s="1210">
        <v>5.0000000000000001E-3</v>
      </c>
      <c r="AB6" s="1211">
        <v>38</v>
      </c>
      <c r="AC6" s="1209">
        <v>2.6</v>
      </c>
      <c r="AD6" s="1210">
        <v>3.0000000000000001E-3</v>
      </c>
      <c r="AE6" s="1211">
        <v>15</v>
      </c>
      <c r="AF6" s="1209">
        <v>1.2</v>
      </c>
      <c r="AG6" s="1210">
        <v>3.0000000000000001E-3</v>
      </c>
      <c r="AH6" s="1211">
        <v>6.8</v>
      </c>
      <c r="AI6" s="1209">
        <v>120.1</v>
      </c>
      <c r="AJ6" s="1210">
        <v>0.123</v>
      </c>
      <c r="AK6" s="1211">
        <v>506.7</v>
      </c>
      <c r="AL6" s="1209">
        <v>10.1</v>
      </c>
      <c r="AM6" s="1210">
        <v>4.3999999999999997E-2</v>
      </c>
      <c r="AN6" s="1211">
        <v>100.3</v>
      </c>
      <c r="AO6" s="1209">
        <v>3.1</v>
      </c>
      <c r="AP6" s="1210">
        <v>1.7999999999999999E-2</v>
      </c>
      <c r="AQ6" s="1211">
        <v>38.6</v>
      </c>
      <c r="AR6" s="1209">
        <v>121.7</v>
      </c>
      <c r="AS6" s="1210">
        <v>0.13100000000000001</v>
      </c>
      <c r="AT6" s="1211">
        <v>535.6</v>
      </c>
      <c r="AU6" s="1209">
        <v>11.7</v>
      </c>
      <c r="AV6" s="1210">
        <v>5.2999999999999999E-2</v>
      </c>
      <c r="AW6" s="1211">
        <v>129.1</v>
      </c>
      <c r="AX6" s="1209">
        <v>4.5999999999999996</v>
      </c>
      <c r="AY6" s="1210">
        <v>2.5999999999999999E-2</v>
      </c>
      <c r="AZ6" s="1211">
        <v>67.400000000000006</v>
      </c>
      <c r="BA6" s="1209">
        <v>1.6</v>
      </c>
      <c r="BB6" s="1210">
        <v>8.9999999999999993E-3</v>
      </c>
      <c r="BC6" s="1211">
        <v>28.8</v>
      </c>
      <c r="BD6" s="1209">
        <v>0.7</v>
      </c>
      <c r="BE6" s="1210">
        <v>0</v>
      </c>
      <c r="BF6" s="1211">
        <v>13.9</v>
      </c>
      <c r="BG6" s="1209">
        <v>121.1</v>
      </c>
      <c r="BH6" s="1210">
        <v>0.16400000000000001</v>
      </c>
      <c r="BI6" s="1211">
        <v>90.8</v>
      </c>
      <c r="BJ6" s="1209">
        <v>56.3</v>
      </c>
      <c r="BK6" s="1210">
        <v>8.4000000000000005E-2</v>
      </c>
      <c r="BL6" s="1211">
        <v>37.299999999999997</v>
      </c>
      <c r="BM6" s="1209">
        <v>5.6</v>
      </c>
      <c r="BN6" s="1210">
        <v>3.0000000000000001E-3</v>
      </c>
      <c r="BO6" s="1211">
        <v>12</v>
      </c>
    </row>
    <row r="7" spans="1:67">
      <c r="A7" s="1204" t="s">
        <v>450</v>
      </c>
      <c r="B7" s="1209">
        <v>23.2</v>
      </c>
      <c r="C7" s="1210">
        <v>2.4E-2</v>
      </c>
      <c r="D7" s="1211">
        <v>80.3</v>
      </c>
      <c r="E7" s="1209">
        <v>5.3</v>
      </c>
      <c r="F7" s="1210">
        <v>8.0000000000000002E-3</v>
      </c>
      <c r="G7" s="1211">
        <v>19</v>
      </c>
      <c r="H7" s="1209">
        <v>33.1</v>
      </c>
      <c r="I7" s="1210">
        <v>3.5000000000000003E-2</v>
      </c>
      <c r="J7" s="1211">
        <v>115.6</v>
      </c>
      <c r="K7" s="1209">
        <v>15.2</v>
      </c>
      <c r="L7" s="1210">
        <v>1.9E-2</v>
      </c>
      <c r="M7" s="1211">
        <v>54.3</v>
      </c>
      <c r="N7" s="1209">
        <v>9.9</v>
      </c>
      <c r="O7" s="1210">
        <v>1.0999999999999999E-2</v>
      </c>
      <c r="P7" s="1211">
        <v>35.299999999999997</v>
      </c>
      <c r="Q7" s="1209">
        <v>2.6</v>
      </c>
      <c r="R7" s="1210">
        <v>3.0000000000000001E-3</v>
      </c>
      <c r="S7" s="1211">
        <v>9.4</v>
      </c>
      <c r="T7" s="1209">
        <v>35.299999999999997</v>
      </c>
      <c r="U7" s="1210">
        <v>3.7999999999999999E-2</v>
      </c>
      <c r="V7" s="1211">
        <v>123.6</v>
      </c>
      <c r="W7" s="1209">
        <v>17.399999999999999</v>
      </c>
      <c r="X7" s="1210">
        <v>2.1999999999999999E-2</v>
      </c>
      <c r="Y7" s="1211">
        <v>62.3</v>
      </c>
      <c r="Z7" s="1209">
        <v>12.1</v>
      </c>
      <c r="AA7" s="1210">
        <v>1.4E-2</v>
      </c>
      <c r="AB7" s="1211">
        <v>43.3</v>
      </c>
      <c r="AC7" s="1209">
        <v>4.8</v>
      </c>
      <c r="AD7" s="1210">
        <v>5.0000000000000001E-3</v>
      </c>
      <c r="AE7" s="1211">
        <v>17.3</v>
      </c>
      <c r="AF7" s="1209">
        <v>2.2000000000000002</v>
      </c>
      <c r="AG7" s="1210">
        <v>3.0000000000000001E-3</v>
      </c>
      <c r="AH7" s="1211">
        <v>8</v>
      </c>
      <c r="AI7" s="1209">
        <v>145.5</v>
      </c>
      <c r="AJ7" s="1210">
        <v>0.193</v>
      </c>
      <c r="AK7" s="1211">
        <v>601.4</v>
      </c>
      <c r="AL7" s="1209">
        <v>15.2</v>
      </c>
      <c r="AM7" s="1210">
        <v>4.3999999999999997E-2</v>
      </c>
      <c r="AN7" s="1211">
        <v>119.5</v>
      </c>
      <c r="AO7" s="1209">
        <v>5.0999999999999996</v>
      </c>
      <c r="AP7" s="1210">
        <v>1.7999999999999999E-2</v>
      </c>
      <c r="AQ7" s="1211">
        <v>45.1</v>
      </c>
      <c r="AR7" s="1209">
        <v>148.80000000000001</v>
      </c>
      <c r="AS7" s="1210">
        <v>0.219</v>
      </c>
      <c r="AT7" s="1211">
        <v>635.5</v>
      </c>
      <c r="AU7" s="1209">
        <v>18.399999999999999</v>
      </c>
      <c r="AV7" s="1210">
        <v>7.0000000000000007E-2</v>
      </c>
      <c r="AW7" s="1211">
        <v>153.6</v>
      </c>
      <c r="AX7" s="1209">
        <v>8.3000000000000007</v>
      </c>
      <c r="AY7" s="1210">
        <v>4.3999999999999997E-2</v>
      </c>
      <c r="AZ7" s="1211">
        <v>79.2</v>
      </c>
      <c r="BA7" s="1209">
        <v>3.2</v>
      </c>
      <c r="BB7" s="1210">
        <v>2.5999999999999999E-2</v>
      </c>
      <c r="BC7" s="1211">
        <v>34.1</v>
      </c>
      <c r="BD7" s="1209">
        <v>1.5</v>
      </c>
      <c r="BE7" s="1210">
        <v>8.9999999999999993E-3</v>
      </c>
      <c r="BF7" s="1211">
        <v>16</v>
      </c>
      <c r="BG7" s="1209">
        <v>132.4</v>
      </c>
      <c r="BH7" s="1210">
        <v>0.17100000000000001</v>
      </c>
      <c r="BI7" s="1211">
        <v>100.4</v>
      </c>
      <c r="BJ7" s="1209">
        <v>62.6</v>
      </c>
      <c r="BK7" s="1210">
        <v>9.0999999999999998E-2</v>
      </c>
      <c r="BL7" s="1211">
        <v>41.5</v>
      </c>
      <c r="BM7" s="1209">
        <v>5.7</v>
      </c>
      <c r="BN7" s="1210">
        <v>3.0000000000000001E-3</v>
      </c>
      <c r="BO7" s="1211">
        <v>12.9</v>
      </c>
    </row>
    <row r="8" spans="1:67">
      <c r="A8" s="1204" t="s">
        <v>402</v>
      </c>
      <c r="B8" s="1209">
        <v>47.2</v>
      </c>
      <c r="C8" s="1210">
        <v>1.0999999999999999E-2</v>
      </c>
      <c r="D8" s="1211">
        <v>46.2</v>
      </c>
      <c r="E8" s="1209">
        <v>11</v>
      </c>
      <c r="F8" s="1210">
        <v>3.0000000000000001E-3</v>
      </c>
      <c r="G8" s="1211">
        <v>10.7</v>
      </c>
      <c r="H8" s="1209">
        <v>67.900000000000006</v>
      </c>
      <c r="I8" s="1210">
        <v>1.6E-2</v>
      </c>
      <c r="J8" s="1211">
        <v>66.5</v>
      </c>
      <c r="K8" s="1209">
        <v>31.7</v>
      </c>
      <c r="L8" s="1210">
        <v>8.0000000000000002E-3</v>
      </c>
      <c r="M8" s="1211">
        <v>30.9</v>
      </c>
      <c r="N8" s="1209">
        <v>20.6</v>
      </c>
      <c r="O8" s="1210">
        <v>5.0000000000000001E-3</v>
      </c>
      <c r="P8" s="1211">
        <v>20.3</v>
      </c>
      <c r="Q8" s="1209">
        <v>5.5</v>
      </c>
      <c r="R8" s="1210">
        <v>0</v>
      </c>
      <c r="S8" s="1211">
        <v>5.2</v>
      </c>
      <c r="T8" s="1209">
        <v>72.400000000000006</v>
      </c>
      <c r="U8" s="1210">
        <v>1.9E-2</v>
      </c>
      <c r="V8" s="1211">
        <v>71.099999999999994</v>
      </c>
      <c r="W8" s="1209">
        <v>36.200000000000003</v>
      </c>
      <c r="X8" s="1210">
        <v>1.0999999999999999E-2</v>
      </c>
      <c r="Y8" s="1211">
        <v>35.5</v>
      </c>
      <c r="Z8" s="1209">
        <v>25.2</v>
      </c>
      <c r="AA8" s="1210">
        <v>8.0000000000000002E-3</v>
      </c>
      <c r="AB8" s="1211">
        <v>24.9</v>
      </c>
      <c r="AC8" s="1209">
        <v>10</v>
      </c>
      <c r="AD8" s="1210">
        <v>3.0000000000000001E-3</v>
      </c>
      <c r="AE8" s="1211">
        <v>9.8000000000000007</v>
      </c>
      <c r="AF8" s="1209">
        <v>4.5</v>
      </c>
      <c r="AG8" s="1210">
        <v>3.0000000000000001E-3</v>
      </c>
      <c r="AH8" s="1211">
        <v>4.5999999999999996</v>
      </c>
      <c r="AI8" s="1209">
        <v>335.8</v>
      </c>
      <c r="AJ8" s="1210">
        <v>0.17499999999999999</v>
      </c>
      <c r="AK8" s="1211">
        <v>361.7</v>
      </c>
      <c r="AL8" s="1209">
        <v>55.9</v>
      </c>
      <c r="AM8" s="1210">
        <v>6.0999999999999999E-2</v>
      </c>
      <c r="AN8" s="1211">
        <v>75.8</v>
      </c>
      <c r="AO8" s="1209">
        <v>20.3</v>
      </c>
      <c r="AP8" s="1210">
        <v>2.5999999999999999E-2</v>
      </c>
      <c r="AQ8" s="1211">
        <v>28.3</v>
      </c>
      <c r="AR8" s="1209">
        <v>350.4</v>
      </c>
      <c r="AS8" s="1210">
        <v>0.193</v>
      </c>
      <c r="AT8" s="1211">
        <v>382.9</v>
      </c>
      <c r="AU8" s="1209">
        <v>70.5</v>
      </c>
      <c r="AV8" s="1210">
        <v>7.9000000000000001E-2</v>
      </c>
      <c r="AW8" s="1211">
        <v>97</v>
      </c>
      <c r="AX8" s="1209">
        <v>34.9</v>
      </c>
      <c r="AY8" s="1210">
        <v>4.3999999999999997E-2</v>
      </c>
      <c r="AZ8" s="1211">
        <v>49.5</v>
      </c>
      <c r="BA8" s="1209">
        <v>14.6</v>
      </c>
      <c r="BB8" s="1210">
        <v>1.7999999999999999E-2</v>
      </c>
      <c r="BC8" s="1211">
        <v>21.2</v>
      </c>
      <c r="BD8" s="1209">
        <v>6.7</v>
      </c>
      <c r="BE8" s="1210">
        <v>8.9999999999999993E-3</v>
      </c>
      <c r="BF8" s="1211">
        <v>9.4</v>
      </c>
      <c r="BG8" s="1209">
        <v>184.9</v>
      </c>
      <c r="BH8" s="1210">
        <v>0.188</v>
      </c>
      <c r="BI8" s="1211">
        <v>56.6</v>
      </c>
      <c r="BJ8" s="1209">
        <v>94.1</v>
      </c>
      <c r="BK8" s="1210">
        <v>9.7000000000000003E-2</v>
      </c>
      <c r="BL8" s="1211">
        <v>21.7</v>
      </c>
      <c r="BM8" s="1209">
        <v>4.5999999999999996</v>
      </c>
      <c r="BN8" s="1210">
        <v>3.0000000000000001E-3</v>
      </c>
      <c r="BO8" s="1211">
        <v>8.6999999999999993</v>
      </c>
    </row>
    <row r="9" spans="1:67">
      <c r="A9" s="1204" t="s">
        <v>451</v>
      </c>
      <c r="B9" s="1209">
        <v>16.2</v>
      </c>
      <c r="C9" s="1210">
        <v>1.0999999999999999E-2</v>
      </c>
      <c r="D9" s="1211">
        <v>53.5</v>
      </c>
      <c r="E9" s="1209">
        <v>3.6</v>
      </c>
      <c r="F9" s="1210">
        <v>3.0000000000000001E-3</v>
      </c>
      <c r="G9" s="1211">
        <v>13</v>
      </c>
      <c r="H9" s="1209">
        <v>22.5</v>
      </c>
      <c r="I9" s="1210">
        <v>1.4E-2</v>
      </c>
      <c r="J9" s="1211">
        <v>78.599999999999994</v>
      </c>
      <c r="K9" s="1209">
        <v>9.9</v>
      </c>
      <c r="L9" s="1210">
        <v>5.0000000000000001E-3</v>
      </c>
      <c r="M9" s="1211">
        <v>38.1</v>
      </c>
      <c r="N9" s="1209">
        <v>6.3</v>
      </c>
      <c r="O9" s="1210">
        <v>3.0000000000000001E-3</v>
      </c>
      <c r="P9" s="1211">
        <v>25.1</v>
      </c>
      <c r="Q9" s="1209">
        <v>1.6</v>
      </c>
      <c r="R9" s="1210">
        <v>0</v>
      </c>
      <c r="S9" s="1211">
        <v>6.7</v>
      </c>
      <c r="T9" s="1209">
        <v>23.8</v>
      </c>
      <c r="U9" s="1210">
        <v>1.6E-2</v>
      </c>
      <c r="V9" s="1211">
        <v>83.8</v>
      </c>
      <c r="W9" s="1209">
        <v>11.2</v>
      </c>
      <c r="X9" s="1210">
        <v>8.0000000000000002E-3</v>
      </c>
      <c r="Y9" s="1211">
        <v>43.4</v>
      </c>
      <c r="Z9" s="1209">
        <v>7.6</v>
      </c>
      <c r="AA9" s="1210">
        <v>5.0000000000000001E-3</v>
      </c>
      <c r="AB9" s="1211">
        <v>30.3</v>
      </c>
      <c r="AC9" s="1209">
        <v>2.9</v>
      </c>
      <c r="AD9" s="1210">
        <v>3.0000000000000001E-3</v>
      </c>
      <c r="AE9" s="1211">
        <v>11.9</v>
      </c>
      <c r="AF9" s="1209">
        <v>1.3</v>
      </c>
      <c r="AG9" s="1210">
        <v>3.0000000000000001E-3</v>
      </c>
      <c r="AH9" s="1211">
        <v>5.2</v>
      </c>
      <c r="AI9" s="1209">
        <v>109.7</v>
      </c>
      <c r="AJ9" s="1210">
        <v>0.16700000000000001</v>
      </c>
      <c r="AK9" s="1211">
        <v>495.1</v>
      </c>
      <c r="AL9" s="1209">
        <v>2.2999999999999998</v>
      </c>
      <c r="AM9" s="1210">
        <v>6.0999999999999999E-2</v>
      </c>
      <c r="AN9" s="1211">
        <v>102.1</v>
      </c>
      <c r="AO9" s="1209">
        <v>-0.3</v>
      </c>
      <c r="AP9" s="1210">
        <v>1.7999999999999999E-2</v>
      </c>
      <c r="AQ9" s="1211">
        <v>38.700000000000003</v>
      </c>
      <c r="AR9" s="1209">
        <v>108.1</v>
      </c>
      <c r="AS9" s="1210">
        <v>0.184</v>
      </c>
      <c r="AT9" s="1211">
        <v>525.4</v>
      </c>
      <c r="AU9" s="1209">
        <v>0.7</v>
      </c>
      <c r="AV9" s="1210">
        <v>7.9000000000000001E-2</v>
      </c>
      <c r="AW9" s="1211">
        <v>132.5</v>
      </c>
      <c r="AX9" s="1209">
        <v>-1.8</v>
      </c>
      <c r="AY9" s="1210">
        <v>3.5000000000000003E-2</v>
      </c>
      <c r="AZ9" s="1211">
        <v>69.099999999999994</v>
      </c>
      <c r="BA9" s="1209">
        <v>-1.6</v>
      </c>
      <c r="BB9" s="1210">
        <v>1.7999999999999999E-2</v>
      </c>
      <c r="BC9" s="1211">
        <v>30.3</v>
      </c>
      <c r="BD9" s="1209">
        <v>-0.9</v>
      </c>
      <c r="BE9" s="1210">
        <v>8.9999999999999993E-3</v>
      </c>
      <c r="BF9" s="1211">
        <v>13.4</v>
      </c>
      <c r="BG9" s="1209">
        <v>147.80000000000001</v>
      </c>
      <c r="BH9" s="1210">
        <v>0.158</v>
      </c>
      <c r="BI9" s="1211">
        <v>74.3</v>
      </c>
      <c r="BJ9" s="1209">
        <v>74.099999999999994</v>
      </c>
      <c r="BK9" s="1210">
        <v>7.6999999999999999E-2</v>
      </c>
      <c r="BL9" s="1211">
        <v>30.3</v>
      </c>
      <c r="BM9" s="1209">
        <v>5.8</v>
      </c>
      <c r="BN9" s="1210">
        <v>0</v>
      </c>
      <c r="BO9" s="1211">
        <v>11.8</v>
      </c>
    </row>
    <row r="10" spans="1:67" ht="15.75" thickBot="1">
      <c r="A10" s="1205" t="s">
        <v>449</v>
      </c>
      <c r="B10" s="1212">
        <v>20.9</v>
      </c>
      <c r="C10" s="1213">
        <v>1.9E-2</v>
      </c>
      <c r="D10" s="1214">
        <v>66.099999999999994</v>
      </c>
      <c r="E10" s="1212">
        <v>4.8</v>
      </c>
      <c r="F10" s="1213">
        <v>5.0000000000000001E-3</v>
      </c>
      <c r="G10" s="1214">
        <v>15.5</v>
      </c>
      <c r="H10" s="1212">
        <v>29.6</v>
      </c>
      <c r="I10" s="1213">
        <v>2.7E-2</v>
      </c>
      <c r="J10" s="1214">
        <v>95.5</v>
      </c>
      <c r="K10" s="1212">
        <v>13.5</v>
      </c>
      <c r="L10" s="1213">
        <v>1.4E-2</v>
      </c>
      <c r="M10" s="1214">
        <v>44.9</v>
      </c>
      <c r="N10" s="1212">
        <v>8.8000000000000007</v>
      </c>
      <c r="O10" s="1213">
        <v>8.0000000000000002E-3</v>
      </c>
      <c r="P10" s="1214">
        <v>29.4</v>
      </c>
      <c r="Q10" s="1212">
        <v>2.2999999999999998</v>
      </c>
      <c r="R10" s="1213">
        <v>3.0000000000000001E-3</v>
      </c>
      <c r="S10" s="1214">
        <v>7.8</v>
      </c>
      <c r="T10" s="1212">
        <v>31.5</v>
      </c>
      <c r="U10" s="1213">
        <v>0.03</v>
      </c>
      <c r="V10" s="1214">
        <v>102</v>
      </c>
      <c r="W10" s="1212">
        <v>15.4</v>
      </c>
      <c r="X10" s="1213">
        <v>1.6E-2</v>
      </c>
      <c r="Y10" s="1214">
        <v>51.4</v>
      </c>
      <c r="Z10" s="1212">
        <v>10.6</v>
      </c>
      <c r="AA10" s="1213">
        <v>1.0999999999999999E-2</v>
      </c>
      <c r="AB10" s="1214">
        <v>35.9</v>
      </c>
      <c r="AC10" s="1212">
        <v>4.2</v>
      </c>
      <c r="AD10" s="1213">
        <v>5.0000000000000001E-3</v>
      </c>
      <c r="AE10" s="1214">
        <v>14.3</v>
      </c>
      <c r="AF10" s="1212">
        <v>1.9</v>
      </c>
      <c r="AG10" s="1213">
        <v>3.0000000000000001E-3</v>
      </c>
      <c r="AH10" s="1214">
        <v>6.4</v>
      </c>
      <c r="AI10" s="1212">
        <v>172.8</v>
      </c>
      <c r="AJ10" s="1213">
        <v>0.40300000000000002</v>
      </c>
      <c r="AK10" s="1214">
        <v>503.8</v>
      </c>
      <c r="AL10" s="1212">
        <v>18.899999999999999</v>
      </c>
      <c r="AM10" s="1213">
        <v>0.114</v>
      </c>
      <c r="AN10" s="1214">
        <v>100.8</v>
      </c>
      <c r="AO10" s="1212">
        <v>6.1</v>
      </c>
      <c r="AP10" s="1213">
        <v>4.3999999999999997E-2</v>
      </c>
      <c r="AQ10" s="1214">
        <v>37.799999999999997</v>
      </c>
      <c r="AR10" s="1212">
        <v>176.5</v>
      </c>
      <c r="AS10" s="1213">
        <v>0.44700000000000001</v>
      </c>
      <c r="AT10" s="1214">
        <v>534.9</v>
      </c>
      <c r="AU10" s="1212">
        <v>22.6</v>
      </c>
      <c r="AV10" s="1213">
        <v>0.158</v>
      </c>
      <c r="AW10" s="1214">
        <v>131.9</v>
      </c>
      <c r="AX10" s="1212">
        <v>9.8000000000000007</v>
      </c>
      <c r="AY10" s="1213">
        <v>8.7999999999999995E-2</v>
      </c>
      <c r="AZ10" s="1214">
        <v>68.900000000000006</v>
      </c>
      <c r="BA10" s="1212">
        <v>3.7</v>
      </c>
      <c r="BB10" s="1213">
        <v>4.3999999999999997E-2</v>
      </c>
      <c r="BC10" s="1214">
        <v>31.1</v>
      </c>
      <c r="BD10" s="1212">
        <v>1.7</v>
      </c>
      <c r="BE10" s="1213">
        <v>2.5999999999999999E-2</v>
      </c>
      <c r="BF10" s="1214">
        <v>15</v>
      </c>
      <c r="BG10" s="1212">
        <v>147.69999999999999</v>
      </c>
      <c r="BH10" s="1213">
        <v>0.22500000000000001</v>
      </c>
      <c r="BI10" s="1214">
        <v>90.1</v>
      </c>
      <c r="BJ10" s="1212">
        <v>71.2</v>
      </c>
      <c r="BK10" s="1213">
        <v>0.11700000000000001</v>
      </c>
      <c r="BL10" s="1214">
        <v>38.1</v>
      </c>
      <c r="BM10" s="1212">
        <v>6.6</v>
      </c>
      <c r="BN10" s="1213">
        <v>7.0000000000000001E-3</v>
      </c>
      <c r="BO10" s="1214">
        <v>11.7</v>
      </c>
    </row>
    <row r="12" spans="1:67">
      <c r="A12" s="1215" t="s">
        <v>2309</v>
      </c>
      <c r="B12" s="297" t="str">
        <f>VLOOKUP('Prescriptive Path'!D4,ClimateZoneLookup!A2:AU65,47)</f>
        <v>NYC</v>
      </c>
    </row>
    <row r="13" spans="1:67" ht="15.75" thickBot="1">
      <c r="A13" s="1215"/>
    </row>
    <row r="14" spans="1:67" ht="15.75" thickBot="1">
      <c r="A14" s="742" t="s">
        <v>53</v>
      </c>
      <c r="B14" s="2419"/>
      <c r="C14" s="2420"/>
      <c r="D14" s="1216" t="s">
        <v>247</v>
      </c>
      <c r="E14" s="903" t="s">
        <v>246</v>
      </c>
      <c r="F14" s="637" t="s">
        <v>2310</v>
      </c>
      <c r="G14" s="905" t="s">
        <v>2311</v>
      </c>
      <c r="H14" s="1217" t="s">
        <v>2312</v>
      </c>
    </row>
    <row r="15" spans="1:67">
      <c r="A15" s="2362" t="s">
        <v>36</v>
      </c>
      <c r="B15" s="2421" t="s">
        <v>126</v>
      </c>
      <c r="C15" s="2422"/>
      <c r="D15" s="1219" t="str">
        <f>'Prescriptive Path'!J9</f>
        <v>&lt;Select R-value&gt;</v>
      </c>
      <c r="E15" s="906" t="s">
        <v>2276</v>
      </c>
      <c r="F15" s="906">
        <f>IF($D15="R-0",VLOOKUP($B$12,$A$2:$BO$10,35),IF($D15="R-11",VLOOKUP($B$12,$A$2:$BO$10,41),IF($D15="R-19",VLOOKUP($B$12,$A$2:$BO$10,47),0)))</f>
        <v>0</v>
      </c>
      <c r="G15" s="906">
        <f>IF($D15="R-0",VLOOKUP($B$12,$A$2:$BO$10,36),IF($D15="R-11",VLOOKUP($B$12,$A$2:$BO$10,42),IF($D15="R-19",VLOOKUP($B$12,$A$2:$BO$10,48),0)))</f>
        <v>0</v>
      </c>
      <c r="H15" s="664">
        <f>IF($D15="R-0",VLOOKUP($B$12,$A$2:$BO$10,37),IF($D15="R-11",VLOOKUP($B$12,$A$2:$BO$10,43),IF($D15="R-19",VLOOKUP($B$12,$A$2:$BO$10,49),0)))</f>
        <v>0</v>
      </c>
    </row>
    <row r="16" spans="1:67">
      <c r="A16" s="2319"/>
      <c r="B16" s="2423" t="s">
        <v>66</v>
      </c>
      <c r="C16" s="2424"/>
      <c r="D16" s="1220" t="str">
        <f>'Prescriptive Path'!J10</f>
        <v>&lt;Select R-value&gt;</v>
      </c>
      <c r="E16" s="904" t="s">
        <v>2276</v>
      </c>
      <c r="F16" s="904">
        <f>IF($D16="R-0",VLOOKUP($B$12,$A$2:$BO$10,35),IF($D16="R-11",VLOOKUP($B$12,$A$2:$BO$10,41),IF($D16="R-19",VLOOKUP($B$12,$A$2:$BO$10,47),0)))</f>
        <v>0</v>
      </c>
      <c r="G16" s="904">
        <f>IF($D16="R-0",VLOOKUP($B$12,$A$2:$BO$10,36),IF($D16="R-11",VLOOKUP($B$12,$A$2:$BO$10,42),IF($D16="R-19",VLOOKUP($B$12,$A$2:$BO$10,48),0)))</f>
        <v>0</v>
      </c>
      <c r="H16" s="75">
        <f>IF($D16="R-0",VLOOKUP($B$12,$A$2:$BO$10,37),IF($D16="R-11",VLOOKUP($B$12,$A$2:$BO$10,43),IF($D16="R-19",VLOOKUP($B$12,$A$2:$BO$10,49),0)))</f>
        <v>0</v>
      </c>
    </row>
    <row r="17" spans="1:8" ht="15.75" thickBot="1">
      <c r="A17" s="2319"/>
      <c r="B17" s="2425" t="s">
        <v>68</v>
      </c>
      <c r="C17" s="2426"/>
      <c r="D17" s="1221" t="str">
        <f>'Prescriptive Path'!J11</f>
        <v>&lt;Select R-value&gt;</v>
      </c>
      <c r="E17" s="526" t="s">
        <v>2313</v>
      </c>
      <c r="F17" s="526">
        <f>IF($D17="R-0",VLOOKUP($B$12,$A$2:$BO$10,38),IF($D17="R-11",VLOOKUP($B$12,$A$2:$BO$10,44),IF($D17="R-19",VLOOKUP($B$12,$A$2:$BO$10,50),IF($D17="R-30",VLOOKUP($B$12,$A$2:$BO$10,53),IF($D17="R-38",VLOOKUP($B$12,$A$2:$BO$10,56),0)))))</f>
        <v>0</v>
      </c>
      <c r="G17" s="526">
        <f>IF($D17="R-0",VLOOKUP($B$12,$A$2:$BO$10,39),IF($D17="R-11",VLOOKUP($B$12,$A$2:$BO$10,45),IF($D17="R-19",VLOOKUP($B$12,$A$2:$BO$10,51),IF($D17="R-30",VLOOKUP($B$12,$A$2:$BO$10,54),IF($D17="R-38",VLOOKUP($B$12,$A$2:$BO$10,57),0)))))</f>
        <v>0</v>
      </c>
      <c r="H17" s="666">
        <f>IF($D17="R-0",VLOOKUP($B$12,$A$2:$BO$10,40),IF($D17="R-11",VLOOKUP($B$12,$A$2:$BO$10,46),IF($D17="R-19",VLOOKUP($B$12,$A$2:$BO$10,52),IF($D17="R-30",VLOOKUP($B$12,$A$2:$BO$10,55),IF($D17="R-38",VLOOKUP($B$12,$A$2:$BO$10,58),0)))))</f>
        <v>0</v>
      </c>
    </row>
    <row r="18" spans="1:8">
      <c r="A18" s="2319" t="s">
        <v>95</v>
      </c>
      <c r="B18" s="2421" t="s">
        <v>124</v>
      </c>
      <c r="C18" s="2422"/>
      <c r="D18" s="1219" t="str">
        <f>'Prescriptive Path'!J12</f>
        <v>&lt;Select R-value&gt;</v>
      </c>
      <c r="E18" s="906" t="s">
        <v>2273</v>
      </c>
      <c r="F18" s="906">
        <f>IF($D18="R-0",VLOOKUP($B$12,$A$2:$BO$10,2),IF($D18="R-11",VLOOKUP($B$12,$A$2:$BO$10,5),0))</f>
        <v>0</v>
      </c>
      <c r="G18" s="906">
        <f>IF($D18="R-0",VLOOKUP($B$12,$A$2:$BO$10,3),IF($D18="R-11",VLOOKUP($B$12,$A$2:$BO$10,6),0))</f>
        <v>0</v>
      </c>
      <c r="H18" s="664">
        <f>IF($D18="R-0",VLOOKUP($B$12,$A$2:$BO$10,4),IF($D18="R-11",VLOOKUP($B$12,$A$2:$BO$10,7),0))</f>
        <v>0</v>
      </c>
    </row>
    <row r="19" spans="1:8">
      <c r="A19" s="2319"/>
      <c r="B19" s="2423" t="s">
        <v>127</v>
      </c>
      <c r="C19" s="2424"/>
      <c r="D19" s="1220" t="str">
        <f>'Prescriptive Path'!J13</f>
        <v>&lt;Select R-value&gt;</v>
      </c>
      <c r="E19" s="904" t="s">
        <v>2273</v>
      </c>
      <c r="F19" s="904">
        <f>IF($D19="R-0",VLOOKUP($B$12,$A$2:$BO$10,2),IF($D19="R-11",VLOOKUP($B$12,$A$2:$BO$10,5),0))</f>
        <v>0</v>
      </c>
      <c r="G19" s="904">
        <f>IF($D19="R-0",VLOOKUP($B$12,$A$2:$BO$10,3),IF($D19="R-11",VLOOKUP($B$12,$A$2:$BO$10,6),0))</f>
        <v>0</v>
      </c>
      <c r="H19" s="75">
        <f>IF($D19="R-0",VLOOKUP($B$12,$A$2:$BO$10,4),IF($D19="R-11",VLOOKUP($B$12,$A$2:$BO$10,7),0))</f>
        <v>0</v>
      </c>
    </row>
    <row r="20" spans="1:8">
      <c r="A20" s="2319"/>
      <c r="B20" s="2423" t="s">
        <v>285</v>
      </c>
      <c r="C20" s="2424"/>
      <c r="D20" s="1220" t="str">
        <f>'Prescriptive Path'!J14</f>
        <v>&lt;Select R-value&gt;</v>
      </c>
      <c r="E20" s="904" t="s">
        <v>2275</v>
      </c>
      <c r="F20" s="904">
        <f>IF($D20="R-0",VLOOKUP($B$12,$A$2:$BO$10,8),IF($D20="R-11",VLOOKUP($B$12,$A$2:$BO$10,11),IF($D20="R-13",VLOOKUP($B$12,$A$2:$BO$10,14),IF($D20="R-17",VLOOKUP($B$12,$A$2:$BO$10,17),0))))</f>
        <v>0</v>
      </c>
      <c r="G20" s="904">
        <f>IF($D20="R-0",VLOOKUP($B$12,$A$2:$BO$10,9),IF($D20="R-11",VLOOKUP($B$12,$A$2:$BO$10,12),IF($D20="R-13",VLOOKUP($B$12,$A$2:$BO$10,15),IF($D20="R-17",VLOOKUP($B$12,$A$2:$BO$10,18),0))))</f>
        <v>0</v>
      </c>
      <c r="H20" s="75">
        <f>IF($D20="R-0",VLOOKUP($B$12,$A$2:$BO$10,10),IF($D20="R-11",VLOOKUP($B$12,$A$2:$BO$10,13),IF($D20="R-13",VLOOKUP($B$12,$A$2:$BO$10,16),IF($D20="R-17",VLOOKUP($B$12,$A$2:$BO$10,19),0))))</f>
        <v>0</v>
      </c>
    </row>
    <row r="21" spans="1:8" ht="15.75" thickBot="1">
      <c r="A21" s="2319"/>
      <c r="B21" s="2425" t="s">
        <v>310</v>
      </c>
      <c r="C21" s="2426"/>
      <c r="D21" s="1221" t="str">
        <f>'Prescriptive Path'!J15</f>
        <v>&lt;Select R-value&gt;</v>
      </c>
      <c r="E21" s="526" t="s">
        <v>2314</v>
      </c>
      <c r="F21" s="526">
        <f>IF($D21="R-0",VLOOKUP($B$12,$A$2:$BO$10,20),IF($D21="R-11",VLOOKUP($B$12,$A$2:$BO$10,23),IF($D21="R-13",VLOOKUP($B$12,$A$2:$BO$10,26),IF($D21="R-17",VLOOKUP($B$12,$A$2:$BO$10,29),IF($D21="R-19",VLOOKUP($B$12,$A$2:$BO$10,32),0)))))</f>
        <v>0</v>
      </c>
      <c r="G21" s="526">
        <f>IF($D21="R-0",VLOOKUP($B$12,$A$2:$BO$10,21),IF($D21="R-11",VLOOKUP($B$12,$A$2:$BO$10,24),IF($D21="R-13",VLOOKUP($B$12,$A$2:$BO$10,27),IF($D21="R-17",VLOOKUP($B$12,$A$2:$BO$10,30),IF($D21="R-19",VLOOKUP($B$12,$A$2:$BO$10,33),0)))))</f>
        <v>0</v>
      </c>
      <c r="H21" s="666">
        <f>IF($D21="R-0",VLOOKUP($B$12,$A$2:$BO$10,22),IF($D21="R-11",VLOOKUP($B$12,$A$2:$BO$10,25),IF($D21="R-13",VLOOKUP($B$12,$A$2:$BO$10,28),IF($D21="R-17",VLOOKUP($B$12,$A$2:$BO$10,31),IF($D21="R-19",VLOOKUP($B$12,$A$2:$BO$10,34),0)))))</f>
        <v>0</v>
      </c>
    </row>
    <row r="22" spans="1:8" ht="15" customHeight="1">
      <c r="A22" s="745" t="s">
        <v>99</v>
      </c>
      <c r="B22" s="2421" t="s">
        <v>10</v>
      </c>
      <c r="C22" s="2422"/>
      <c r="D22" s="1219" t="str">
        <f>'Prescriptive Path'!J25</f>
        <v>&lt;Select Type&gt;</v>
      </c>
      <c r="E22" s="530"/>
      <c r="F22" s="906">
        <f>IF($D22="Single pane clear", VLOOKUP($B$12,$A$2:$BO$10,59),IF($D22="Double pane clear",VLOOKUP($B$12,$A$2:$BO$10,62),IF($D22="Double pane, low e", VLOOKUP($B$12,$A$2:$BO$10,65),0)))</f>
        <v>0</v>
      </c>
      <c r="G22" s="906">
        <f>IF($D22="Single pane clear", VLOOKUP($B$12,$A$2:$BO$10,60),IF($D22="Double pane clear",VLOOKUP($B$12,$A$2:$BO$10,63),IF($D22="Double pane, low e", VLOOKUP($B$12,$A$2:$BO$10,66),0)))</f>
        <v>0</v>
      </c>
      <c r="H22" s="664">
        <f>IF($D22="Single pane clear", VLOOKUP($B$12,$A$2:$BO$10,61),IF($D22="Double pane clear",VLOOKUP($B$12,$A$2:$BO$10,64),IF($D22="Double pane, low e", VLOOKUP($B$12,$A$2:$BO$10,67),0)))</f>
        <v>0</v>
      </c>
    </row>
    <row r="23" spans="1:8" ht="15" customHeight="1">
      <c r="A23" s="746"/>
      <c r="B23" s="2423" t="s">
        <v>2315</v>
      </c>
      <c r="C23" s="2424"/>
      <c r="D23" s="1220" t="str">
        <f>'Prescriptive Path'!J27</f>
        <v>&lt;Select Type&gt;</v>
      </c>
      <c r="E23" s="532"/>
      <c r="F23" s="904">
        <f t="shared" ref="F23:F24" si="0">IF($D23="Single pane clear", VLOOKUP($B$12,$A$2:$BO$10,59),IF($D23="Double pane clear",VLOOKUP($B$12,$A$2:$BO$10,62),IF($D23="Double pane, low e", VLOOKUP($B$12,$A$2:$BO$10,65),0)))</f>
        <v>0</v>
      </c>
      <c r="G23" s="904">
        <f t="shared" ref="G23:G24" si="1">IF($D23="Single pane clear", VLOOKUP($B$12,$A$2:$BO$10,60),IF($D23="Double pane clear",VLOOKUP($B$12,$A$2:$BO$10,63),IF($D23="Double pane, low e", VLOOKUP($B$12,$A$2:$BO$10,66),0)))</f>
        <v>0</v>
      </c>
      <c r="H23" s="75">
        <f t="shared" ref="H23:H24" si="2">IF($D23="Single pane clear", VLOOKUP($B$12,$A$2:$BO$10,61),IF($D23="Double pane clear",VLOOKUP($B$12,$A$2:$BO$10,64),IF($D23="Double pane, low e", VLOOKUP($B$12,$A$2:$BO$10,67),0)))</f>
        <v>0</v>
      </c>
    </row>
    <row r="24" spans="1:8" ht="15.75" thickBot="1">
      <c r="A24" s="747"/>
      <c r="B24" s="2425" t="s">
        <v>12</v>
      </c>
      <c r="C24" s="2426"/>
      <c r="D24" s="1221" t="str">
        <f>'Prescriptive Path'!J29</f>
        <v>&lt;Select Type&gt;</v>
      </c>
      <c r="E24" s="534"/>
      <c r="F24" s="526">
        <f t="shared" si="0"/>
        <v>0</v>
      </c>
      <c r="G24" s="526">
        <f t="shared" si="1"/>
        <v>0</v>
      </c>
      <c r="H24" s="666">
        <f t="shared" si="2"/>
        <v>0</v>
      </c>
    </row>
    <row r="25" spans="1:8" ht="15.75" thickBot="1">
      <c r="A25" s="742" t="s">
        <v>53</v>
      </c>
      <c r="B25" s="2419"/>
      <c r="C25" s="2420"/>
      <c r="D25" s="1216" t="s">
        <v>2316</v>
      </c>
      <c r="E25" s="910" t="s">
        <v>2317</v>
      </c>
      <c r="F25" s="1237"/>
      <c r="G25" s="1238"/>
      <c r="H25" s="1239"/>
    </row>
    <row r="26" spans="1:8" ht="15.75" thickBot="1">
      <c r="A26" s="902" t="s">
        <v>96</v>
      </c>
      <c r="B26" s="2421" t="s">
        <v>5</v>
      </c>
      <c r="C26" s="2422"/>
      <c r="D26" s="1222" t="str">
        <f>'Prescriptive Path'!J16</f>
        <v>&lt;Enter Assembly C-factor&gt;</v>
      </c>
      <c r="E26" s="1218" t="str">
        <f>RIGHT(D26,(LEN(D26)-2))</f>
        <v>nter Assembly C-factor&gt;</v>
      </c>
      <c r="F26" s="791"/>
      <c r="G26" s="791"/>
      <c r="H26" s="1240"/>
    </row>
    <row r="27" spans="1:8" ht="15.75" thickBot="1">
      <c r="A27" s="2319" t="s">
        <v>83</v>
      </c>
      <c r="B27" s="2421" t="s">
        <v>125</v>
      </c>
      <c r="C27" s="2422"/>
      <c r="D27" s="1219" t="str">
        <f>'Prescriptive Path'!J18</f>
        <v>&lt;Enter Assembly U-factor&gt;</v>
      </c>
      <c r="E27" s="1218" t="str">
        <f>RIGHT(D27,(LEN(D27)-2))</f>
        <v>nter Assembly U-factor&gt;</v>
      </c>
      <c r="F27" s="530"/>
      <c r="G27" s="530"/>
      <c r="H27" s="531"/>
    </row>
    <row r="28" spans="1:8" ht="15.75" thickBot="1">
      <c r="A28" s="2319"/>
      <c r="B28" s="2423" t="s">
        <v>87</v>
      </c>
      <c r="C28" s="2424"/>
      <c r="D28" s="1220" t="str">
        <f>'Prescriptive Path'!J19</f>
        <v>&lt;Enter Assembly U-factor&gt;</v>
      </c>
      <c r="E28" s="1218" t="str">
        <f>RIGHT(D28,(LEN(D28)-2))</f>
        <v>nter Assembly U-factor&gt;</v>
      </c>
      <c r="F28" s="532"/>
      <c r="G28" s="532"/>
      <c r="H28" s="533"/>
    </row>
    <row r="29" spans="1:8" ht="15.75" thickBot="1">
      <c r="A29" s="2319"/>
      <c r="B29" s="2425" t="s">
        <v>98</v>
      </c>
      <c r="C29" s="2426"/>
      <c r="D29" s="1221" t="str">
        <f>'Prescriptive Path'!J20</f>
        <v>&lt;Enter Assembly U-factor&gt;</v>
      </c>
      <c r="E29" s="1218" t="str">
        <f>RIGHT(D29,(LEN(D29)-2))</f>
        <v>nter Assembly U-factor&gt;</v>
      </c>
      <c r="F29" s="534"/>
      <c r="G29" s="534"/>
      <c r="H29" s="535"/>
    </row>
    <row r="30" spans="1:8" ht="15.75" thickBot="1">
      <c r="A30" s="902" t="s">
        <v>13</v>
      </c>
      <c r="B30" s="2421" t="s">
        <v>8</v>
      </c>
      <c r="C30" s="2422"/>
      <c r="D30" s="1222" t="str">
        <f>'Prescriptive Path'!J23</f>
        <v>&lt;Enter Assembly U-factor&gt;</v>
      </c>
      <c r="E30" s="1218" t="str">
        <f>RIGHT(D30,(LEN(D30)-2))</f>
        <v>nter Assembly U-factor&gt;</v>
      </c>
      <c r="F30" s="791"/>
      <c r="G30" s="791"/>
      <c r="H30" s="1240"/>
    </row>
  </sheetData>
  <mergeCells count="43">
    <mergeCell ref="N2:P2"/>
    <mergeCell ref="BJ2:BL2"/>
    <mergeCell ref="BM2:BO2"/>
    <mergeCell ref="AI2:AK2"/>
    <mergeCell ref="AL2:AN2"/>
    <mergeCell ref="AO2:AQ2"/>
    <mergeCell ref="AR2:AT2"/>
    <mergeCell ref="AU2:AW2"/>
    <mergeCell ref="AX2:AZ2"/>
    <mergeCell ref="A18:A21"/>
    <mergeCell ref="A15:A17"/>
    <mergeCell ref="BA2:BC2"/>
    <mergeCell ref="BD2:BF2"/>
    <mergeCell ref="BG2:BI2"/>
    <mergeCell ref="Q2:S2"/>
    <mergeCell ref="T2:V2"/>
    <mergeCell ref="W2:Y2"/>
    <mergeCell ref="Z2:AB2"/>
    <mergeCell ref="AC2:AE2"/>
    <mergeCell ref="AF2:AH2"/>
    <mergeCell ref="A2:A3"/>
    <mergeCell ref="B2:D2"/>
    <mergeCell ref="E2:G2"/>
    <mergeCell ref="H2:J2"/>
    <mergeCell ref="K2:M2"/>
    <mergeCell ref="B30:C30"/>
    <mergeCell ref="B27:C27"/>
    <mergeCell ref="B22:C22"/>
    <mergeCell ref="B24:C24"/>
    <mergeCell ref="A27:A29"/>
    <mergeCell ref="B29:C29"/>
    <mergeCell ref="B25:C25"/>
    <mergeCell ref="B28:C28"/>
    <mergeCell ref="B14:C14"/>
    <mergeCell ref="B18:C18"/>
    <mergeCell ref="B15:C15"/>
    <mergeCell ref="B26:C26"/>
    <mergeCell ref="B16:C16"/>
    <mergeCell ref="B19:C19"/>
    <mergeCell ref="B20:C20"/>
    <mergeCell ref="B23:C23"/>
    <mergeCell ref="B17:C17"/>
    <mergeCell ref="B21:C2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BJ101"/>
  <sheetViews>
    <sheetView showGridLines="0" zoomScale="90" zoomScaleNormal="90" workbookViewId="0">
      <pane ySplit="1" topLeftCell="A2" activePane="bottomLeft" state="frozen"/>
      <selection pane="bottomLeft" activeCell="J51" sqref="J51"/>
    </sheetView>
  </sheetViews>
  <sheetFormatPr defaultRowHeight="15"/>
  <cols>
    <col min="1" max="1" width="15.28515625" style="12" customWidth="1"/>
    <col min="2" max="2" width="35.28515625" style="12" customWidth="1"/>
    <col min="3" max="4" width="18.28515625" style="12" customWidth="1"/>
    <col min="5" max="7" width="16" style="12" customWidth="1"/>
    <col min="8" max="9" width="16" style="2075" customWidth="1"/>
    <col min="10" max="10" width="17.85546875" style="2075" customWidth="1"/>
    <col min="11" max="11" width="17.85546875" style="12" customWidth="1"/>
    <col min="12" max="12" width="20.85546875" style="12" hidden="1" customWidth="1"/>
    <col min="13" max="13" width="17.85546875" style="12" hidden="1" customWidth="1"/>
    <col min="14" max="14" width="23.5703125" style="12" hidden="1" customWidth="1"/>
    <col min="15" max="15" width="17.85546875" style="12" hidden="1" customWidth="1"/>
    <col min="16" max="17" width="16" style="12" customWidth="1"/>
    <col min="18" max="18" width="12.28515625" style="12" hidden="1" customWidth="1"/>
    <col min="19" max="19" width="12.42578125" style="12" hidden="1" customWidth="1"/>
    <col min="20" max="21" width="13.42578125" style="12" hidden="1" customWidth="1"/>
    <col min="22" max="22" width="12" style="12" hidden="1" customWidth="1"/>
    <col min="23" max="23" width="11.28515625" style="12" hidden="1" customWidth="1"/>
    <col min="24" max="24" width="10.85546875" style="12" hidden="1" customWidth="1"/>
    <col min="25" max="25" width="10.5703125" style="12" hidden="1" customWidth="1"/>
    <col min="26" max="26" width="15" style="12" hidden="1" customWidth="1"/>
    <col min="27" max="27" width="12" style="12" customWidth="1"/>
    <col min="28" max="28" width="12" style="1959" customWidth="1"/>
    <col min="29" max="29" width="12.5703125" style="12" bestFit="1" customWidth="1"/>
    <col min="30" max="30" width="12" style="12" customWidth="1"/>
    <col min="31" max="31" width="9.5703125" style="12" customWidth="1"/>
    <col min="32" max="32" width="56.42578125" style="13" customWidth="1"/>
    <col min="33" max="33" width="9.42578125" style="12" customWidth="1"/>
    <col min="34" max="34" width="14" style="2086" customWidth="1"/>
    <col min="35" max="36" width="14" style="12" customWidth="1"/>
    <col min="37" max="38" width="14" style="2086" customWidth="1"/>
    <col min="39" max="16384" width="9.140625" style="12"/>
  </cols>
  <sheetData>
    <row r="1" spans="1:62" ht="60.75" thickBot="1">
      <c r="A1" s="807" t="s">
        <v>265</v>
      </c>
      <c r="B1" s="808" t="s">
        <v>266</v>
      </c>
      <c r="C1" s="809" t="s">
        <v>303</v>
      </c>
      <c r="D1" s="810" t="s">
        <v>304</v>
      </c>
      <c r="E1" s="810" t="s">
        <v>305</v>
      </c>
      <c r="F1" s="810" t="s">
        <v>306</v>
      </c>
      <c r="G1" s="810" t="s">
        <v>244</v>
      </c>
      <c r="H1" s="2052" t="s">
        <v>2458</v>
      </c>
      <c r="I1" s="2052" t="s">
        <v>2459</v>
      </c>
      <c r="J1" s="2052" t="s">
        <v>241</v>
      </c>
      <c r="K1" s="810" t="s">
        <v>2325</v>
      </c>
      <c r="L1" s="810" t="s">
        <v>291</v>
      </c>
      <c r="M1" s="810" t="s">
        <v>292</v>
      </c>
      <c r="N1" s="810" t="s">
        <v>294</v>
      </c>
      <c r="O1" s="810" t="s">
        <v>293</v>
      </c>
      <c r="P1" s="810" t="s">
        <v>459</v>
      </c>
      <c r="Q1" s="810" t="s">
        <v>458</v>
      </c>
      <c r="R1" s="810" t="s">
        <v>295</v>
      </c>
      <c r="S1" s="810" t="s">
        <v>296</v>
      </c>
      <c r="T1" s="810" t="s">
        <v>297</v>
      </c>
      <c r="U1" s="810" t="s">
        <v>298</v>
      </c>
      <c r="V1" s="810" t="s">
        <v>601</v>
      </c>
      <c r="W1" s="811" t="s">
        <v>299</v>
      </c>
      <c r="X1" s="810" t="s">
        <v>300</v>
      </c>
      <c r="Y1" s="810" t="s">
        <v>301</v>
      </c>
      <c r="Z1" s="810" t="s">
        <v>302</v>
      </c>
      <c r="AA1" s="811" t="s">
        <v>422</v>
      </c>
      <c r="AB1" s="1925" t="s">
        <v>2456</v>
      </c>
      <c r="AC1" s="811" t="s">
        <v>423</v>
      </c>
      <c r="AD1" s="811" t="s">
        <v>421</v>
      </c>
      <c r="AE1" s="908" t="s">
        <v>245</v>
      </c>
      <c r="AF1" s="812" t="s">
        <v>498</v>
      </c>
      <c r="AG1" s="28"/>
      <c r="AH1" s="2097" t="s">
        <v>416</v>
      </c>
      <c r="AI1" s="2098" t="s">
        <v>417</v>
      </c>
      <c r="AJ1" s="2098" t="s">
        <v>418</v>
      </c>
      <c r="AK1" s="2099" t="s">
        <v>2461</v>
      </c>
      <c r="AL1" s="2100" t="s">
        <v>2462</v>
      </c>
      <c r="AM1" s="28"/>
      <c r="AN1" s="28"/>
      <c r="AO1" s="28"/>
      <c r="AP1" s="28"/>
      <c r="AQ1" s="28"/>
      <c r="AR1" s="28"/>
      <c r="AS1" s="28"/>
      <c r="AT1" s="28"/>
      <c r="AU1" s="28"/>
      <c r="AV1" s="28"/>
      <c r="AW1" s="28"/>
      <c r="AX1" s="28"/>
      <c r="AY1" s="28"/>
      <c r="AZ1" s="28"/>
      <c r="BA1" s="28"/>
      <c r="BB1" s="28"/>
      <c r="BC1" s="28"/>
      <c r="BD1" s="28"/>
      <c r="BE1" s="28"/>
      <c r="BF1" s="28"/>
      <c r="BG1" s="28"/>
      <c r="BH1" s="28"/>
      <c r="BI1" s="28"/>
      <c r="BJ1" s="28"/>
    </row>
    <row r="2" spans="1:62">
      <c r="A2" s="2439" t="s">
        <v>259</v>
      </c>
      <c r="B2" s="160" t="s">
        <v>424</v>
      </c>
      <c r="C2" s="347">
        <f>'Prescriptive Path'!H31*(106)*1.1*1</f>
        <v>0</v>
      </c>
      <c r="D2" s="347">
        <f>'Prescriptive Path'!H31*(106)*1.1*1*(VLOOKUP('Prescriptive Path'!D4,ClimateZoneLookup!A4:N65,13,FALSE))</f>
        <v>0</v>
      </c>
      <c r="E2" s="348">
        <f>(C2+D2)*VLOOKUP('Prescriptive Path'!D4,ClimateZoneLookup!A4:N65,14,FALSE)</f>
        <v>0</v>
      </c>
      <c r="F2" s="348">
        <v>0</v>
      </c>
      <c r="G2" s="4">
        <v>15</v>
      </c>
      <c r="H2" s="2053">
        <f>'Prescriptive Path'!H31*Baseline!M2*VLOOKUP('Prescriptive Path'!$D$4,ClimateZoneLookup!$A$4:$AT$65,46)</f>
        <v>0</v>
      </c>
      <c r="I2" s="2053">
        <f>'Prescriptive Path'!H31*Proposed!U2*VLOOKUP('Prescriptive Path'!$D$4,ClimateZoneLookup!$A$4:$AT$65,46)</f>
        <v>0</v>
      </c>
      <c r="J2" s="2054">
        <f>I2-H2</f>
        <v>0</v>
      </c>
      <c r="K2" s="1741"/>
      <c r="L2" s="612" t="s">
        <v>503</v>
      </c>
      <c r="M2" s="612" t="s">
        <v>503</v>
      </c>
      <c r="N2" s="612" t="s">
        <v>503</v>
      </c>
      <c r="O2" s="612" t="s">
        <v>503</v>
      </c>
      <c r="P2" s="356">
        <f>'Prescriptive Path'!H31*106/8760*1*(1+VLOOKUP('Prescriptive Path'!$D$4,ClimateZoneLookup!A4:AN65,12))*1</f>
        <v>0</v>
      </c>
      <c r="Q2" s="270">
        <v>0</v>
      </c>
      <c r="R2" s="37" t="e">
        <f>1.1*D2*HLOOKUP(G2,AvoidCostTable,'Avoided Costs'!$D$44)</f>
        <v>#REF!</v>
      </c>
      <c r="S2" s="37" t="e">
        <f>C2*HLOOKUP(G2,AvoidCostTable,'Avoided Costs'!$D$44)</f>
        <v>#REF!</v>
      </c>
      <c r="T2" s="37" t="e">
        <f>P2*HLOOKUP(G2,AvoidCostTable,'Avoided Costs'!$D$45)</f>
        <v>#REF!</v>
      </c>
      <c r="U2" s="37" t="e">
        <f>E2/10*HLOOKUP(G2,AvoidCostTable,'Avoided Costs'!$D$46)</f>
        <v>#REF!</v>
      </c>
      <c r="V2" s="37" t="e">
        <f>F2/10*HLOOKUP(G2,AvoidCostTable,'Avoided Costs'!$D$47)</f>
        <v>#REF!</v>
      </c>
      <c r="W2" s="202">
        <f>IF('Avoided Costs'!C44="Upstate",-PV('Avoided Costs'!$D$2,G2,Q2*0.003),-PV('Avoided Costs'!$D$2,G2,Q2*0.007))</f>
        <v>0</v>
      </c>
      <c r="X2" s="37">
        <f t="shared" ref="X2:X32" si="0">(D2+C2)*HLOOKUP(G2,AvoidCostTable,12,FALSE)</f>
        <v>0</v>
      </c>
      <c r="Y2" s="37">
        <f t="shared" ref="Y2:Y32" si="1">(F2+E2)/10*HLOOKUP(G2,AvoidCostTable,13)</f>
        <v>0</v>
      </c>
      <c r="Z2" s="37">
        <f>IF(J2=0,0,SUM(R2:Y2)-W2)</f>
        <v>0</v>
      </c>
      <c r="AA2" s="202">
        <f>IF('Avoided Costs'!$C$44="Upstate",((C2+D2)*0.1814+(E2+F2)*1.561+Q2*0.003),((C2+D2)*0.1814+(E2+F2)*1.561+Q2*0.007))</f>
        <v>0</v>
      </c>
      <c r="AB2" s="2106">
        <f>(E2+F2)/10+(C2+D2)*3412/1000000</f>
        <v>0</v>
      </c>
      <c r="AC2" s="38">
        <f t="shared" ref="AC2:AC18" si="2">IF(AA2=0,0,G2*AA2)</f>
        <v>0</v>
      </c>
      <c r="AD2" s="41" t="str">
        <f t="shared" ref="AD2:AD18" si="3">IF(AA2=0,"",IF(AA2&gt;0,-PV(3%,G2,AA2)/J2,0))</f>
        <v/>
      </c>
      <c r="AE2" s="186" t="str">
        <f>IF(J2=0,"",Z2/(J2-W2))</f>
        <v/>
      </c>
      <c r="AF2" s="328" t="s">
        <v>496</v>
      </c>
      <c r="AH2" s="2093" t="str">
        <f>IF(J2=0,"",IF(OR(AE2&lt;0,AE2&gt;0.949),"Yes","No"))</f>
        <v/>
      </c>
      <c r="AI2" s="2088" t="str">
        <f>IF(Z2=0,"",IF(AND(AH2="Yes",OR(AE2&lt;0,AE2&gt;0.949),Z2&gt;0)=TRUE,Z2,0))</f>
        <v/>
      </c>
      <c r="AJ2" s="2088" t="str">
        <f>IF(Z2=0,"",IF(AND(AH2="Yes",OR(AE2&lt;0,AE2&gt;0.949),Z2&gt;0)=TRUE,J2,0))</f>
        <v/>
      </c>
      <c r="AK2" s="2088" t="str">
        <f>IF(AB2=0,"",IF((R2+S2)&gt;(U2+V2),"Electric","Gas"))</f>
        <v/>
      </c>
      <c r="AL2" s="2089" t="str">
        <f>IF(AK2="","",IF('Prescriptive Path'!$D$6="Affordable",IF(Savings!AK2="Electric","MPPLIEINC","MPPLIGINC"),IF(Savings!AK2="Electric","MPPMREINC","MPPMRGINC")))</f>
        <v/>
      </c>
      <c r="AM2" s="28"/>
      <c r="AN2" s="28"/>
      <c r="AO2" s="28"/>
      <c r="AP2" s="28"/>
      <c r="AQ2" s="28"/>
      <c r="AR2" s="28"/>
      <c r="AS2" s="28"/>
      <c r="AT2" s="28"/>
      <c r="AU2" s="28"/>
      <c r="AV2" s="28"/>
      <c r="AW2" s="28"/>
      <c r="AX2" s="28"/>
      <c r="AY2" s="28"/>
      <c r="AZ2" s="28"/>
      <c r="BA2" s="28"/>
      <c r="BB2" s="28"/>
      <c r="BC2" s="28"/>
      <c r="BD2" s="28"/>
      <c r="BE2" s="28"/>
      <c r="BF2" s="28"/>
      <c r="BG2" s="28"/>
      <c r="BH2" s="28"/>
      <c r="BI2" s="28"/>
      <c r="BJ2" s="28"/>
    </row>
    <row r="3" spans="1:62">
      <c r="A3" s="2440"/>
      <c r="B3" s="20" t="s">
        <v>506</v>
      </c>
      <c r="C3" s="349">
        <f>IF('Prescriptive Path'!H41&lt;&gt;0,'Prescriptive Path'!H32*137,'Prescriptive Path'!H32*77)</f>
        <v>0</v>
      </c>
      <c r="D3" s="349">
        <v>0</v>
      </c>
      <c r="E3" s="271">
        <v>0</v>
      </c>
      <c r="F3" s="271">
        <v>0</v>
      </c>
      <c r="G3" s="18">
        <v>13</v>
      </c>
      <c r="H3" s="2055">
        <f>'Prescriptive Path'!H32*Baseline!M3*VLOOKUP('Prescriptive Path'!$D$4,ClimateZoneLookup!$A$4:$AT$65,46)</f>
        <v>0</v>
      </c>
      <c r="I3" s="2055">
        <f>'Prescriptive Path'!H32*Proposed!U3*VLOOKUP('Prescriptive Path'!$D$4,ClimateZoneLookup!$A$4:$AT$65,46)</f>
        <v>0</v>
      </c>
      <c r="J3" s="2056">
        <f t="shared" ref="J3:J18" si="4">I3-H3</f>
        <v>0</v>
      </c>
      <c r="K3" s="1742"/>
      <c r="L3" s="36" t="s">
        <v>503</v>
      </c>
      <c r="M3" s="36" t="s">
        <v>503</v>
      </c>
      <c r="N3" s="36" t="s">
        <v>503</v>
      </c>
      <c r="O3" s="36" t="s">
        <v>503</v>
      </c>
      <c r="P3" s="87">
        <f>'Prescriptive Path'!H32*0.0225*1</f>
        <v>0</v>
      </c>
      <c r="Q3" s="271">
        <f>'Prescriptive Path'!H32*430</f>
        <v>0</v>
      </c>
      <c r="R3" s="38" t="e">
        <f>1.1*D3*HLOOKUP(G3,AvoidCostTable,'Avoided Costs'!$D$44)</f>
        <v>#REF!</v>
      </c>
      <c r="S3" s="38" t="e">
        <f>C3*HLOOKUP(G3,AvoidCostTable,'Avoided Costs'!$D$44)</f>
        <v>#REF!</v>
      </c>
      <c r="T3" s="38" t="e">
        <f>P3*HLOOKUP(G3,AvoidCostTable,'Avoided Costs'!$D$45)</f>
        <v>#REF!</v>
      </c>
      <c r="U3" s="38" t="e">
        <f>E3/10*HLOOKUP(G3,AvoidCostTable,'Avoided Costs'!$D$46)</f>
        <v>#REF!</v>
      </c>
      <c r="V3" s="38" t="e">
        <f>F3/10*HLOOKUP(G3,AvoidCostTable,'Avoided Costs'!$D$47)</f>
        <v>#REF!</v>
      </c>
      <c r="W3" s="163">
        <f>IF('Avoided Costs'!C45="Upstate",-PV('Avoided Costs'!$D$2,G3,Q3*0.003),-PV('Avoided Costs'!$D$2,G3,Q3*0.007))</f>
        <v>0</v>
      </c>
      <c r="X3" s="38">
        <f t="shared" si="0"/>
        <v>0</v>
      </c>
      <c r="Y3" s="38">
        <f t="shared" si="1"/>
        <v>0</v>
      </c>
      <c r="Z3" s="38">
        <f t="shared" ref="Z3:Z61" si="5">IF(J3=0,0,SUM(R3:Y3)-W3)</f>
        <v>0</v>
      </c>
      <c r="AA3" s="163">
        <f>IF('Avoided Costs'!$C$44="Upstate",((C3+D3)*0.1814+(E3+F3)*1.561+Q3*0.003),((C3+D3)*0.1814+(E3+F3)*1.561+Q3*0.007))</f>
        <v>0</v>
      </c>
      <c r="AB3" s="1926">
        <f t="shared" ref="AB3:AB22" si="6">(E3+F3)/10+(C3+D3)*3412/1000000</f>
        <v>0</v>
      </c>
      <c r="AC3" s="38">
        <f t="shared" si="2"/>
        <v>0</v>
      </c>
      <c r="AD3" s="42" t="str">
        <f t="shared" si="3"/>
        <v/>
      </c>
      <c r="AE3" s="187" t="str">
        <f t="shared" ref="AE3:AE61" si="7">IF(J3=0,"",Z3/(J3-W3))</f>
        <v/>
      </c>
      <c r="AF3" s="171" t="s">
        <v>496</v>
      </c>
      <c r="AH3" s="2093" t="str">
        <f t="shared" ref="AH3:AH22" si="8">IF(J3=0,"",IF(OR(AE3&lt;0,AE3&gt;0.949),"Yes","No"))</f>
        <v/>
      </c>
      <c r="AI3" s="2088" t="str">
        <f t="shared" ref="AI3:AI18" si="9">IF(Z3=0,"",IF(AND(AH3="Yes",OR(AE3&lt;0,AE3&gt;0.949),Z3&gt;0)=TRUE,Z3,0))</f>
        <v/>
      </c>
      <c r="AJ3" s="2088" t="str">
        <f t="shared" ref="AJ3:AJ18" si="10">IF(Z3=0,"",IF(AND(AH3="Yes",OR(AE3&lt;0,AE3&gt;0.949),Z3&gt;0)=TRUE,J3,0))</f>
        <v/>
      </c>
      <c r="AK3" s="76" t="str">
        <f t="shared" ref="AK3:AK22" si="11">IF(AB3=0,"",IF((R3+S3)&gt;(U3+V3),"Electric","Gas"))</f>
        <v/>
      </c>
      <c r="AL3" s="2090" t="str">
        <f>IF(AK3="","",IF('Prescriptive Path'!$D$6="Affordable",IF(Savings!AK3="Electric","MPPLIEINC","MPPLIGINC"),IF(Savings!AK3="Electric","MPPMREINC","MPPMRGINC")))</f>
        <v/>
      </c>
    </row>
    <row r="4" spans="1:62">
      <c r="A4" s="2440"/>
      <c r="B4" s="26" t="s">
        <v>432</v>
      </c>
      <c r="C4" s="349">
        <f>(24*'Prescriptive Path'!H34)+IF('Prescriptive Path'!H36="Electric Dryer",73*'Prescriptive Path'!H34,0)+IF('Prescriptive Path'!F41=TRUE,127*'Prescriptive Path'!H34,0)</f>
        <v>0</v>
      </c>
      <c r="D4" s="349">
        <v>0</v>
      </c>
      <c r="E4" s="271">
        <v>0</v>
      </c>
      <c r="F4" s="271">
        <f>IF('Prescriptive Path'!H36="Gas Dryer",2.9*'Prescriptive Path'!H34,0)+IF('Prescriptive Path'!F38=TRUE,6.1*'Prescriptive Path'!H34,0)</f>
        <v>0</v>
      </c>
      <c r="G4" s="27">
        <v>14</v>
      </c>
      <c r="H4" s="2057">
        <f>'Prescriptive Path'!H34*Baseline!M5*VLOOKUP('Prescriptive Path'!$D$4,ClimateZoneLookup!$A$4:$AT$65,46)</f>
        <v>0</v>
      </c>
      <c r="I4" s="2057">
        <f>'Prescriptive Path'!H34*Proposed!U5*VLOOKUP('Prescriptive Path'!$D$4,ClimateZoneLookup!$A$4:$AT$65,46)</f>
        <v>0</v>
      </c>
      <c r="J4" s="2056">
        <f t="shared" si="4"/>
        <v>0</v>
      </c>
      <c r="K4" s="1742"/>
      <c r="L4" s="36" t="s">
        <v>503</v>
      </c>
      <c r="M4" s="36" t="s">
        <v>503</v>
      </c>
      <c r="N4" s="36" t="s">
        <v>503</v>
      </c>
      <c r="O4" s="36" t="s">
        <v>503</v>
      </c>
      <c r="P4" s="87">
        <f>0.06*(C4+D4)/8760</f>
        <v>0</v>
      </c>
      <c r="Q4" s="272">
        <f>6542*'Prescriptive Path'!H34</f>
        <v>0</v>
      </c>
      <c r="R4" s="39" t="e">
        <f>1.1*D4*HLOOKUP(G4,AvoidCostTable,'Avoided Costs'!$D$44)</f>
        <v>#REF!</v>
      </c>
      <c r="S4" s="39" t="e">
        <f>C4*HLOOKUP(G4,AvoidCostTable,'Avoided Costs'!$D$44)</f>
        <v>#REF!</v>
      </c>
      <c r="T4" s="39" t="e">
        <f>P4*HLOOKUP(G4,AvoidCostTable,'Avoided Costs'!$D$45)</f>
        <v>#REF!</v>
      </c>
      <c r="U4" s="39" t="e">
        <f>E4/10*HLOOKUP(G4,AvoidCostTable,'Avoided Costs'!$D$46)</f>
        <v>#REF!</v>
      </c>
      <c r="V4" s="39" t="e">
        <f>F4/10*HLOOKUP(G4,AvoidCostTable,'Avoided Costs'!$D$47)</f>
        <v>#REF!</v>
      </c>
      <c r="W4" s="163">
        <f>IF('Avoided Costs'!C47="Upstate",-PV('Avoided Costs'!$D$2,G4,Q4*0.003),-PV('Avoided Costs'!$D$2,G4,Q4*0.007))</f>
        <v>0</v>
      </c>
      <c r="X4" s="39">
        <f t="shared" si="0"/>
        <v>0</v>
      </c>
      <c r="Y4" s="39">
        <f t="shared" si="1"/>
        <v>0</v>
      </c>
      <c r="Z4" s="39">
        <f t="shared" si="5"/>
        <v>0</v>
      </c>
      <c r="AA4" s="163">
        <f>IF('Avoided Costs'!$C$44="Upstate",((C4+D4)*0.1814+(E4+F4)*1.561+Q4*0.003),((C4+D4)*0.1814+(E4+F4)*1.561+Q4*0.007))</f>
        <v>0</v>
      </c>
      <c r="AB4" s="1926">
        <f t="shared" si="6"/>
        <v>0</v>
      </c>
      <c r="AC4" s="39">
        <f t="shared" si="2"/>
        <v>0</v>
      </c>
      <c r="AD4" s="43" t="str">
        <f t="shared" si="3"/>
        <v/>
      </c>
      <c r="AE4" s="188" t="str">
        <f t="shared" si="7"/>
        <v/>
      </c>
      <c r="AF4" s="329" t="s">
        <v>496</v>
      </c>
      <c r="AH4" s="2093" t="str">
        <f t="shared" si="8"/>
        <v/>
      </c>
      <c r="AI4" s="2088" t="str">
        <f t="shared" si="9"/>
        <v/>
      </c>
      <c r="AJ4" s="2088" t="str">
        <f t="shared" si="10"/>
        <v/>
      </c>
      <c r="AK4" s="76" t="str">
        <f t="shared" si="11"/>
        <v/>
      </c>
      <c r="AL4" s="2090" t="str">
        <f>IF(AK4="","",IF('Prescriptive Path'!$D$6="Affordable",IF(Savings!AK4="Electric","MPPLIEINC","MPPLIGINC"),IF(Savings!AK4="Electric","MPPMREINC","MPPMRGINC")))</f>
        <v/>
      </c>
    </row>
    <row r="5" spans="1:62">
      <c r="A5" s="2440"/>
      <c r="B5" s="412" t="s">
        <v>233</v>
      </c>
      <c r="C5" s="413">
        <f>(196-138)*'Prescriptive Path'!H35+IF('Prescriptive Path'!H36="Electric Dryer",73*'Prescriptive Path'!H35,0)+IF('Prescriptive Path'!F41=TRUE,127*'Prescriptive Path'!H35,0)</f>
        <v>0</v>
      </c>
      <c r="D5" s="413">
        <v>0</v>
      </c>
      <c r="E5" s="414">
        <v>0</v>
      </c>
      <c r="F5" s="414">
        <f>IF('Prescriptive Path'!H36="Gas Dryer",2.9*'Prescriptive Path'!H35,0)+IF('Prescriptive Path'!F38=TRUE,6.1*'Prescriptive Path'!H35,0)</f>
        <v>0</v>
      </c>
      <c r="G5" s="415">
        <v>14</v>
      </c>
      <c r="H5" s="2058">
        <f>'Prescriptive Path'!H35*Baseline!M6</f>
        <v>0</v>
      </c>
      <c r="I5" s="2058">
        <f>'Prescriptive Path'!H35*Proposed!U6</f>
        <v>0</v>
      </c>
      <c r="J5" s="2059">
        <f t="shared" si="4"/>
        <v>0</v>
      </c>
      <c r="K5" s="1743"/>
      <c r="L5" s="120" t="s">
        <v>503</v>
      </c>
      <c r="M5" s="120" t="s">
        <v>503</v>
      </c>
      <c r="N5" s="120" t="s">
        <v>503</v>
      </c>
      <c r="O5" s="120" t="s">
        <v>503</v>
      </c>
      <c r="P5" s="360">
        <f>0.06*(C5+D5)/8760</f>
        <v>0</v>
      </c>
      <c r="Q5" s="414">
        <f>15854*'Prescriptive Path'!H35</f>
        <v>0</v>
      </c>
      <c r="R5" s="416" t="e">
        <f>1.1*D5*HLOOKUP(G5,AvoidCostTable,'Avoided Costs'!$D$44)</f>
        <v>#REF!</v>
      </c>
      <c r="S5" s="416" t="e">
        <f>C5*HLOOKUP(G5,AvoidCostTable,'Avoided Costs'!$D$44)</f>
        <v>#REF!</v>
      </c>
      <c r="T5" s="416" t="e">
        <f>P5*HLOOKUP(G5,AvoidCostTable,'Avoided Costs'!$D$45)</f>
        <v>#REF!</v>
      </c>
      <c r="U5" s="416" t="e">
        <f>E5/10*HLOOKUP(G5,AvoidCostTable,'Avoided Costs'!$D$46)</f>
        <v>#REF!</v>
      </c>
      <c r="V5" s="416" t="e">
        <f>F5/10*HLOOKUP(G5,AvoidCostTable,'Avoided Costs'!$D$47)</f>
        <v>#REF!</v>
      </c>
      <c r="W5" s="164">
        <f>IF('Avoided Costs'!C48="Upstate",-PV('Avoided Costs'!$D$2,G5,Q5*0.003),-PV('Avoided Costs'!$D$2,G5,Q5*0.007))</f>
        <v>0</v>
      </c>
      <c r="X5" s="416">
        <f t="shared" si="0"/>
        <v>0</v>
      </c>
      <c r="Y5" s="416">
        <f t="shared" si="1"/>
        <v>0</v>
      </c>
      <c r="Z5" s="416">
        <f t="shared" si="5"/>
        <v>0</v>
      </c>
      <c r="AA5" s="164">
        <f>IF('Avoided Costs'!$C$44="Upstate",((C5+D5)*0.1814+(E5+F5)*1.561+Q5*0.003),((C5+D5)*0.1814+(E5+F5)*1.561+Q5*0.007))</f>
        <v>0</v>
      </c>
      <c r="AB5" s="1927">
        <f t="shared" si="6"/>
        <v>0</v>
      </c>
      <c r="AC5" s="416">
        <f t="shared" si="2"/>
        <v>0</v>
      </c>
      <c r="AD5" s="417" t="str">
        <f t="shared" si="3"/>
        <v/>
      </c>
      <c r="AE5" s="418" t="str">
        <f t="shared" si="7"/>
        <v/>
      </c>
      <c r="AF5" s="318" t="s">
        <v>497</v>
      </c>
      <c r="AH5" s="2093" t="str">
        <f t="shared" si="8"/>
        <v/>
      </c>
      <c r="AI5" s="2088" t="str">
        <f t="shared" si="9"/>
        <v/>
      </c>
      <c r="AJ5" s="2088" t="str">
        <f t="shared" si="10"/>
        <v/>
      </c>
      <c r="AK5" s="76" t="str">
        <f t="shared" si="11"/>
        <v/>
      </c>
      <c r="AL5" s="2090" t="str">
        <f>IF(AK5="","",IF('Prescriptive Path'!$D$6="Affordable",IF(Savings!AK5="Electric","MPPLIEINC","MPPLIGINC"),IF(Savings!AK5="Electric","MPPMREINC","MPPMRGINC")))</f>
        <v/>
      </c>
    </row>
    <row r="6" spans="1:62" ht="15.75" thickBot="1">
      <c r="A6" s="2441"/>
      <c r="B6" s="405" t="s">
        <v>507</v>
      </c>
      <c r="C6" s="350">
        <f>151*'Prescriptive Path'!H37</f>
        <v>0</v>
      </c>
      <c r="D6" s="350">
        <v>0</v>
      </c>
      <c r="E6" s="273">
        <v>0</v>
      </c>
      <c r="F6" s="273">
        <v>0</v>
      </c>
      <c r="G6" s="21">
        <v>10</v>
      </c>
      <c r="H6" s="2060">
        <f>'Prescriptive Path'!H37*Baseline!M7</f>
        <v>0</v>
      </c>
      <c r="I6" s="2060">
        <f>'Prescriptive Path'!H37*Proposed!U7</f>
        <v>0</v>
      </c>
      <c r="J6" s="2061">
        <f t="shared" si="4"/>
        <v>0</v>
      </c>
      <c r="K6" s="1744"/>
      <c r="L6" s="613" t="s">
        <v>503</v>
      </c>
      <c r="M6" s="613" t="s">
        <v>503</v>
      </c>
      <c r="N6" s="613" t="s">
        <v>503</v>
      </c>
      <c r="O6" s="613" t="s">
        <v>503</v>
      </c>
      <c r="P6" s="358">
        <f>0.06*(C6+D6)/8760</f>
        <v>0</v>
      </c>
      <c r="Q6" s="273">
        <v>0</v>
      </c>
      <c r="R6" s="40" t="e">
        <f>1.1*D6*HLOOKUP(G6,AvoidCostTable,'Avoided Costs'!$D$44)</f>
        <v>#REF!</v>
      </c>
      <c r="S6" s="40" t="e">
        <f>C6*HLOOKUP(G6,AvoidCostTable,'Avoided Costs'!$D$44)</f>
        <v>#REF!</v>
      </c>
      <c r="T6" s="40" t="e">
        <f>P6*HLOOKUP(G6,AvoidCostTable,'Avoided Costs'!$D$45)</f>
        <v>#REF!</v>
      </c>
      <c r="U6" s="40" t="e">
        <f>E6/10*HLOOKUP(G6,AvoidCostTable,'Avoided Costs'!$D$46)</f>
        <v>#REF!</v>
      </c>
      <c r="V6" s="40" t="e">
        <f>F6/10*HLOOKUP(G6,AvoidCostTable,'Avoided Costs'!$D$47)</f>
        <v>#REF!</v>
      </c>
      <c r="W6" s="162">
        <f>IF('Avoided Costs'!C49="Upstate",-PV('Avoided Costs'!$D$2,G6,Q6*0.003),-PV('Avoided Costs'!$D$2,G6,Q6*0.007))</f>
        <v>0</v>
      </c>
      <c r="X6" s="40">
        <f t="shared" si="0"/>
        <v>0</v>
      </c>
      <c r="Y6" s="40">
        <f t="shared" si="1"/>
        <v>0</v>
      </c>
      <c r="Z6" s="40">
        <f t="shared" si="5"/>
        <v>0</v>
      </c>
      <c r="AA6" s="162">
        <f>IF('Avoided Costs'!$C$44="Upstate",((C6+D6)*0.1814+(E6+F6)*1.561+Q6*0.003),((C6+D6)*0.1814+(E6+F6)*1.561+Q6*0.007))</f>
        <v>0</v>
      </c>
      <c r="AB6" s="1928">
        <f t="shared" si="6"/>
        <v>0</v>
      </c>
      <c r="AC6" s="40">
        <f t="shared" si="2"/>
        <v>0</v>
      </c>
      <c r="AD6" s="44" t="str">
        <f t="shared" si="3"/>
        <v/>
      </c>
      <c r="AE6" s="189" t="str">
        <f t="shared" si="7"/>
        <v/>
      </c>
      <c r="AF6" s="426" t="s">
        <v>508</v>
      </c>
      <c r="AH6" s="2093" t="str">
        <f t="shared" si="8"/>
        <v/>
      </c>
      <c r="AI6" s="2088" t="str">
        <f t="shared" si="9"/>
        <v/>
      </c>
      <c r="AJ6" s="2088" t="str">
        <f t="shared" si="10"/>
        <v/>
      </c>
      <c r="AK6" s="76" t="str">
        <f t="shared" si="11"/>
        <v/>
      </c>
      <c r="AL6" s="2090" t="str">
        <f>IF(AK6="","",IF('Prescriptive Path'!$D$6="Affordable",IF(Savings!AK6="Electric","MPPLIEINC","MPPLIGINC"),IF(Savings!AK6="Electric","MPPMREINC","MPPMRGINC")))</f>
        <v/>
      </c>
    </row>
    <row r="7" spans="1:62">
      <c r="A7" s="2442" t="s">
        <v>48</v>
      </c>
      <c r="B7" s="419" t="s">
        <v>239</v>
      </c>
      <c r="C7" s="420">
        <v>0</v>
      </c>
      <c r="D7" s="420">
        <v>0</v>
      </c>
      <c r="E7" s="421">
        <v>0</v>
      </c>
      <c r="F7" s="421">
        <f>IF('Prescriptive Path'!$H$38=0,0,Proposed!$C$107*365*8.3/100000*((120-VLOOKUP('Prescriptive Path'!$D$4,ClimateZoneLookup!$A$4:$J$65,10,FALSE)))*((1/Baseline!$C$9)-(1/Proposed!C9)))</f>
        <v>0</v>
      </c>
      <c r="G7" s="422">
        <v>13</v>
      </c>
      <c r="H7" s="2062">
        <f>'Prescriptive Path'!H38*Baseline!M9*VLOOKUP('Prescriptive Path'!$D$4,ClimateZoneLookup!$A$4:$AT$65,46)</f>
        <v>0</v>
      </c>
      <c r="I7" s="2062">
        <f>'Prescriptive Path'!H38*Proposed!U9*VLOOKUP('Prescriptive Path'!$D$4,ClimateZoneLookup!$A$4:$AT$65,46)</f>
        <v>0</v>
      </c>
      <c r="J7" s="2063">
        <f t="shared" si="4"/>
        <v>0</v>
      </c>
      <c r="K7" s="1745"/>
      <c r="L7" s="220" t="s">
        <v>503</v>
      </c>
      <c r="M7" s="220" t="s">
        <v>503</v>
      </c>
      <c r="N7" s="220" t="s">
        <v>503</v>
      </c>
      <c r="O7" s="220" t="s">
        <v>503</v>
      </c>
      <c r="P7" s="423">
        <f>IF(F7=0,0,'Prescriptive Path'!H38*(Baseline!C9-Proposed!G9)*(120-70)/3413)</f>
        <v>0</v>
      </c>
      <c r="Q7" s="421">
        <v>0</v>
      </c>
      <c r="R7" s="217" t="e">
        <f>1.1*D7*HLOOKUP(G7,AvoidCostTable,'Avoided Costs'!$D$44)</f>
        <v>#REF!</v>
      </c>
      <c r="S7" s="217" t="e">
        <f>C7*HLOOKUP(G7,AvoidCostTable,'Avoided Costs'!$D$44)</f>
        <v>#REF!</v>
      </c>
      <c r="T7" s="217" t="e">
        <f>P7*HLOOKUP(G7,AvoidCostTable,'Avoided Costs'!$D$45)</f>
        <v>#REF!</v>
      </c>
      <c r="U7" s="217" t="e">
        <f>E7/10*HLOOKUP(G7,AvoidCostTable,'Avoided Costs'!$D$46)</f>
        <v>#REF!</v>
      </c>
      <c r="V7" s="217" t="e">
        <f>F7/10*HLOOKUP(G7,AvoidCostTable,'Avoided Costs'!$D$47)</f>
        <v>#REF!</v>
      </c>
      <c r="W7" s="217">
        <f>IF('Avoided Costs'!C50="Upstate",-PV('Avoided Costs'!$D$2,G7,Q7*0.003),-PV('Avoided Costs'!$D$2,G7,Q7*0.007))</f>
        <v>0</v>
      </c>
      <c r="X7" s="217">
        <f t="shared" si="0"/>
        <v>0</v>
      </c>
      <c r="Y7" s="217">
        <f t="shared" si="1"/>
        <v>0</v>
      </c>
      <c r="Z7" s="217">
        <f t="shared" si="5"/>
        <v>0</v>
      </c>
      <c r="AA7" s="217">
        <f>IF('Avoided Costs'!$C$44="Upstate",((C7+D7)*0.1814+(E7+F7)*1.561+Q7*0.003),((C7+D7)*0.1814+(E7+F7)*1.561+Q7*0.007))</f>
        <v>0</v>
      </c>
      <c r="AB7" s="1929">
        <f t="shared" si="6"/>
        <v>0</v>
      </c>
      <c r="AC7" s="217">
        <f t="shared" si="2"/>
        <v>0</v>
      </c>
      <c r="AD7" s="424" t="str">
        <f t="shared" si="3"/>
        <v/>
      </c>
      <c r="AE7" s="425" t="str">
        <f t="shared" si="7"/>
        <v/>
      </c>
      <c r="AF7" s="372" t="s">
        <v>496</v>
      </c>
      <c r="AH7" s="2093" t="str">
        <f t="shared" si="8"/>
        <v/>
      </c>
      <c r="AI7" s="2088" t="str">
        <f t="shared" si="9"/>
        <v/>
      </c>
      <c r="AJ7" s="2088" t="str">
        <f t="shared" si="10"/>
        <v/>
      </c>
      <c r="AK7" s="76" t="str">
        <f t="shared" si="11"/>
        <v/>
      </c>
      <c r="AL7" s="2090" t="str">
        <f>IF(AK7="","",IF('Prescriptive Path'!$D$6="Affordable",IF(Savings!AK7="Electric","MPPLIEINC","MPPLIGINC"),IF(Savings!AK7="Electric","MPPMREINC","MPPMRGINC")))</f>
        <v/>
      </c>
    </row>
    <row r="8" spans="1:62">
      <c r="A8" s="2443"/>
      <c r="B8" s="218" t="s">
        <v>240</v>
      </c>
      <c r="C8" s="373">
        <f>IF('Prescriptive Path'!$H$41=0,0,Proposed!$C$107*365*8.33/3413*((120-VLOOKUP('Prescriptive Path'!$D$4,ClimateZoneLookup!$A$4:$J$65,10,FALSE)))*((1/Baseline!$C$10)-(1/Proposed!$C$10)))</f>
        <v>0</v>
      </c>
      <c r="D8" s="373">
        <v>0</v>
      </c>
      <c r="E8" s="274">
        <v>0</v>
      </c>
      <c r="F8" s="274">
        <v>0</v>
      </c>
      <c r="G8" s="219">
        <v>15</v>
      </c>
      <c r="H8" s="2064">
        <f>'Prescriptive Path'!H41*Baseline!M10*VLOOKUP('Prescriptive Path'!$D$4,ClimateZoneLookup!$A$4:$AT$65,46)</f>
        <v>0</v>
      </c>
      <c r="I8" s="2064">
        <f>'Prescriptive Path'!H41*Proposed!U10*VLOOKUP('Prescriptive Path'!$D$4,ClimateZoneLookup!$A$4:$AT$65,46)</f>
        <v>0</v>
      </c>
      <c r="J8" s="2065">
        <f t="shared" si="4"/>
        <v>0</v>
      </c>
      <c r="K8" s="1745"/>
      <c r="L8" s="220" t="s">
        <v>503</v>
      </c>
      <c r="M8" s="220" t="s">
        <v>503</v>
      </c>
      <c r="N8" s="220" t="s">
        <v>503</v>
      </c>
      <c r="O8" s="220" t="s">
        <v>503</v>
      </c>
      <c r="P8" s="374">
        <f>IF(C8=0,0,'Prescriptive Path'!H41*(Baseline!C10-Proposed!G10)*(120-70)/3413)</f>
        <v>0</v>
      </c>
      <c r="Q8" s="274">
        <v>0</v>
      </c>
      <c r="R8" s="221" t="e">
        <f>1.1*D8*HLOOKUP(G8,AvoidCostTable,'Avoided Costs'!$D$44)</f>
        <v>#REF!</v>
      </c>
      <c r="S8" s="221" t="e">
        <f>C8*HLOOKUP(G8,AvoidCostTable,'Avoided Costs'!$D$44)</f>
        <v>#REF!</v>
      </c>
      <c r="T8" s="221" t="e">
        <f>P8*HLOOKUP(G8,AvoidCostTable,'Avoided Costs'!$D$45)</f>
        <v>#REF!</v>
      </c>
      <c r="U8" s="221" t="e">
        <f>E8/10*HLOOKUP(G8,AvoidCostTable,'Avoided Costs'!$D$46)</f>
        <v>#REF!</v>
      </c>
      <c r="V8" s="221" t="e">
        <f>F8/10*HLOOKUP(G8,AvoidCostTable,'Avoided Costs'!$D$47)</f>
        <v>#REF!</v>
      </c>
      <c r="W8" s="221">
        <f>IF('Avoided Costs'!C51="Upstate",-PV('Avoided Costs'!$D$2,G8,Q8*0.003),-PV('Avoided Costs'!$D$2,G8,Q8*0.007))</f>
        <v>0</v>
      </c>
      <c r="X8" s="221">
        <f t="shared" si="0"/>
        <v>0</v>
      </c>
      <c r="Y8" s="221">
        <f t="shared" si="1"/>
        <v>0</v>
      </c>
      <c r="Z8" s="221">
        <f t="shared" si="5"/>
        <v>0</v>
      </c>
      <c r="AA8" s="221">
        <f>IF('Avoided Costs'!$C$44="Upstate",((C8+D8)*0.1814+(E8+F8)*1.561+Q8*0.003),((C8+D8)*0.1814+(E8+F8)*1.561+Q8*0.007))</f>
        <v>0</v>
      </c>
      <c r="AB8" s="1930">
        <f t="shared" si="6"/>
        <v>0</v>
      </c>
      <c r="AC8" s="221">
        <f t="shared" si="2"/>
        <v>0</v>
      </c>
      <c r="AD8" s="222" t="str">
        <f t="shared" si="3"/>
        <v/>
      </c>
      <c r="AE8" s="223" t="str">
        <f t="shared" si="7"/>
        <v/>
      </c>
      <c r="AF8" s="372" t="s">
        <v>496</v>
      </c>
      <c r="AH8" s="2093" t="str">
        <f t="shared" si="8"/>
        <v/>
      </c>
      <c r="AI8" s="2088" t="str">
        <f t="shared" si="9"/>
        <v/>
      </c>
      <c r="AJ8" s="2088" t="str">
        <f t="shared" si="10"/>
        <v/>
      </c>
      <c r="AK8" s="76" t="str">
        <f t="shared" si="11"/>
        <v/>
      </c>
      <c r="AL8" s="2090" t="str">
        <f>IF(AK8="","",IF('Prescriptive Path'!$D$6="Affordable",IF(Savings!AK8="Electric","MPPLIEINC","MPPLIGINC"),IF(Savings!AK8="Electric","MPPMREINC","MPPMRGINC")))</f>
        <v/>
      </c>
    </row>
    <row r="9" spans="1:62">
      <c r="A9" s="2444"/>
      <c r="B9" s="218" t="s">
        <v>518</v>
      </c>
      <c r="C9" s="373">
        <v>0</v>
      </c>
      <c r="D9" s="373">
        <v>0</v>
      </c>
      <c r="E9" s="274">
        <v>0</v>
      </c>
      <c r="F9" s="274">
        <f>IF('Prescriptive Path'!$H$44=0,0,Proposed!$C$107*365*8.3/100000*((120-VLOOKUP('Prescriptive Path'!$D$4,ClimateZoneLookup!$A$4:$J$65,10,FALSE)))*(1/Baseline!L11-1/Proposed!C11))</f>
        <v>0</v>
      </c>
      <c r="G9" s="219">
        <v>25</v>
      </c>
      <c r="H9" s="2064">
        <f>'Prescriptive Path'!H44*Baseline!M11</f>
        <v>0</v>
      </c>
      <c r="I9" s="2064">
        <f>'Prescriptive Path'!H44*Proposed!U11</f>
        <v>0</v>
      </c>
      <c r="J9" s="2066">
        <f t="shared" si="4"/>
        <v>0</v>
      </c>
      <c r="K9" s="1746"/>
      <c r="L9" s="220" t="s">
        <v>503</v>
      </c>
      <c r="M9" s="220" t="s">
        <v>503</v>
      </c>
      <c r="N9" s="220" t="s">
        <v>503</v>
      </c>
      <c r="O9" s="220" t="s">
        <v>503</v>
      </c>
      <c r="P9" s="374">
        <v>0</v>
      </c>
      <c r="Q9" s="274">
        <v>0</v>
      </c>
      <c r="R9" s="221" t="e">
        <f>1.1*D9*HLOOKUP(G9,AvoidCostTable,'Avoided Costs'!$D$44)</f>
        <v>#REF!</v>
      </c>
      <c r="S9" s="221" t="e">
        <f>C9*HLOOKUP(G9,AvoidCostTable,'Avoided Costs'!$D$44)</f>
        <v>#REF!</v>
      </c>
      <c r="T9" s="221" t="e">
        <f>P9*HLOOKUP(G9,AvoidCostTable,'Avoided Costs'!$D$45)</f>
        <v>#REF!</v>
      </c>
      <c r="U9" s="221" t="e">
        <f>E9/10*HLOOKUP(G9,AvoidCostTable,'Avoided Costs'!$D$46)</f>
        <v>#REF!</v>
      </c>
      <c r="V9" s="221" t="e">
        <f>F9/10*HLOOKUP(G9,AvoidCostTable,'Avoided Costs'!$D$47)</f>
        <v>#REF!</v>
      </c>
      <c r="W9" s="221">
        <f>IF('Avoided Costs'!C52="Upstate",-PV('Avoided Costs'!$D$2,G9,Q9*0.003),-PV('Avoided Costs'!$D$2,G9,Q9*0.007))</f>
        <v>0</v>
      </c>
      <c r="X9" s="221">
        <f t="shared" si="0"/>
        <v>0</v>
      </c>
      <c r="Y9" s="221">
        <f t="shared" si="1"/>
        <v>0</v>
      </c>
      <c r="Z9" s="221">
        <f t="shared" si="5"/>
        <v>0</v>
      </c>
      <c r="AA9" s="221">
        <f>IF('Avoided Costs'!$C$44="Upstate",((C9+D9)*0.1814+(E9+F9)*1.561+Q9*0.003),((C9+D9)*0.1814+(E9+F9)*1.561+Q9*0.007))</f>
        <v>0</v>
      </c>
      <c r="AB9" s="1930">
        <f t="shared" si="6"/>
        <v>0</v>
      </c>
      <c r="AC9" s="221">
        <f t="shared" si="2"/>
        <v>0</v>
      </c>
      <c r="AD9" s="222" t="str">
        <f t="shared" si="3"/>
        <v/>
      </c>
      <c r="AE9" s="223" t="str">
        <f t="shared" si="7"/>
        <v/>
      </c>
      <c r="AF9" s="372" t="s">
        <v>496</v>
      </c>
      <c r="AH9" s="2093" t="str">
        <f t="shared" si="8"/>
        <v/>
      </c>
      <c r="AI9" s="2088" t="str">
        <f t="shared" si="9"/>
        <v/>
      </c>
      <c r="AJ9" s="2088" t="str">
        <f t="shared" si="10"/>
        <v/>
      </c>
      <c r="AK9" s="76" t="str">
        <f t="shared" si="11"/>
        <v/>
      </c>
      <c r="AL9" s="2090" t="str">
        <f>IF(AK9="","",IF('Prescriptive Path'!$D$6="Affordable",IF(Savings!AK9="Electric","MPPLIEINC","MPPLIGINC"),IF(Savings!AK9="Electric","MPPMREINC","MPPMRGINC")))</f>
        <v/>
      </c>
    </row>
    <row r="10" spans="1:62" ht="15.75" thickBot="1">
      <c r="A10" s="2445"/>
      <c r="B10" s="224" t="s">
        <v>43</v>
      </c>
      <c r="C10" s="376">
        <f>IF(C8*3413&lt;(F7+F9)*100000,0,(3830*'Prescriptive Path'!H46*(80-VLOOKUP('Prescriptive Path'!$D$4,ClimateZoneLookup!$A$4:$J$65,10,FALSE))*8.3)/3413/Baseline!C10+(((2.5-1.75)*0.75*8*2*365)*'Prescriptive Path'!H46*(105-VLOOKUP('Prescriptive Path'!$D$4,ClimateZoneLookup!$A$4:$J$65,10,FALSE))*8.3)/3413/Baseline!C10)</f>
        <v>0</v>
      </c>
      <c r="D10" s="376">
        <v>0</v>
      </c>
      <c r="E10" s="225">
        <v>0</v>
      </c>
      <c r="F10" s="225">
        <f>IF(OR(F7*100000&gt;C8*3413,F9*100000&gt;C8*3413)=FALSE,0,3830*'Prescriptive Path'!H46*(80-VLOOKUP('Prescriptive Path'!$D$4,ClimateZoneLookup!$A$4:$J$65,10,FALSE))*8.3)/100000/Baseline!C9+(((2.5-1.75)*0.75*8*2*365)*'Prescriptive Path'!H46*(105-VLOOKUP('Prescriptive Path'!$D$4,ClimateZoneLookup!$A$4:$J$65,10,FALSE))*8.3)/100000/Baseline!C9</f>
        <v>0</v>
      </c>
      <c r="G10" s="226">
        <v>7</v>
      </c>
      <c r="H10" s="2067">
        <f>('Prescriptive Path'!H45+2*'Prescriptive Path'!H46)*Baseline!M12</f>
        <v>0</v>
      </c>
      <c r="I10" s="2067">
        <f>('Prescriptive Path'!H45+2*'Prescriptive Path'!H46)*Proposed!U12</f>
        <v>0</v>
      </c>
      <c r="J10" s="2068">
        <f t="shared" si="4"/>
        <v>0</v>
      </c>
      <c r="K10" s="1747"/>
      <c r="L10" s="227" t="s">
        <v>503</v>
      </c>
      <c r="M10" s="228" t="s">
        <v>503</v>
      </c>
      <c r="N10" s="228" t="s">
        <v>503</v>
      </c>
      <c r="O10" s="228" t="s">
        <v>503</v>
      </c>
      <c r="P10" s="377">
        <v>0</v>
      </c>
      <c r="Q10" s="225">
        <f>'Prescriptive Path'!H45*2*365*((2.5-1.75)*0.75*(450/60)+(2.5-1)*5*(15/60)+(2.5-2)*4*(60/60))</f>
        <v>0</v>
      </c>
      <c r="R10" s="229" t="e">
        <f>1.1*D10*HLOOKUP(G10,AvoidCostTable,'Avoided Costs'!$D$44)</f>
        <v>#REF!</v>
      </c>
      <c r="S10" s="229" t="e">
        <f>C10*HLOOKUP(G10,AvoidCostTable,'Avoided Costs'!$D$44)</f>
        <v>#REF!</v>
      </c>
      <c r="T10" s="229" t="e">
        <f>P10*HLOOKUP(G10,AvoidCostTable,'Avoided Costs'!$D$45)</f>
        <v>#REF!</v>
      </c>
      <c r="U10" s="229" t="e">
        <f>E10/10*HLOOKUP(G10,AvoidCostTable,'Avoided Costs'!$D$46)</f>
        <v>#REF!</v>
      </c>
      <c r="V10" s="229" t="e">
        <f>F10/10*HLOOKUP(G10,AvoidCostTable,'Avoided Costs'!$D$47)</f>
        <v>#REF!</v>
      </c>
      <c r="W10" s="230">
        <f>IF('Avoided Costs'!C53="Upstate",-PV('Avoided Costs'!$D$2,G10,Q10*0.003),-PV('Avoided Costs'!$D$2,G10,Q10*0.007))</f>
        <v>0</v>
      </c>
      <c r="X10" s="229">
        <f t="shared" si="0"/>
        <v>0</v>
      </c>
      <c r="Y10" s="229">
        <f t="shared" si="1"/>
        <v>0</v>
      </c>
      <c r="Z10" s="229">
        <f t="shared" si="5"/>
        <v>0</v>
      </c>
      <c r="AA10" s="230">
        <f>IF('Avoided Costs'!$C$44="Upstate",((C10+D10)*0.1814+(E10+F10)*1.561+Q10*0.003),((C10+D10)*0.1814+(E10+F10)*1.561+Q10*0.007))</f>
        <v>0</v>
      </c>
      <c r="AB10" s="1931">
        <f t="shared" si="6"/>
        <v>0</v>
      </c>
      <c r="AC10" s="229">
        <f t="shared" si="2"/>
        <v>0</v>
      </c>
      <c r="AD10" s="231" t="str">
        <f t="shared" si="3"/>
        <v/>
      </c>
      <c r="AE10" s="232" t="str">
        <f t="shared" si="7"/>
        <v/>
      </c>
      <c r="AF10" s="909" t="s">
        <v>496</v>
      </c>
      <c r="AH10" s="2093" t="str">
        <f t="shared" si="8"/>
        <v/>
      </c>
      <c r="AI10" s="2088" t="str">
        <f t="shared" si="9"/>
        <v/>
      </c>
      <c r="AJ10" s="2088" t="str">
        <f t="shared" si="10"/>
        <v/>
      </c>
      <c r="AK10" s="76" t="str">
        <f t="shared" si="11"/>
        <v/>
      </c>
      <c r="AL10" s="2090" t="str">
        <f>IF(AK10="","",IF('Prescriptive Path'!$D$6="Affordable",IF(Savings!AK10="Electric","MPPLIEINC","MPPLIGINC"),IF(Savings!AK10="Electric","MPPMREINC","MPPMRGINC")))</f>
        <v/>
      </c>
    </row>
    <row r="11" spans="1:62" ht="15" customHeight="1">
      <c r="A11" s="2446" t="s">
        <v>36</v>
      </c>
      <c r="B11" s="174" t="s">
        <v>253</v>
      </c>
      <c r="C11" s="351">
        <v>0</v>
      </c>
      <c r="D11" s="77">
        <f>IF('Prescriptive Path'!I7="No",'Prescriptive Path'!H9/1000*VLOOKUP('Prescriptive Path'!$D$4,ClimateZoneLookup!$A$2:$AS$65,20)*Baseline!$C$105/Proposed!$C$112,'Prescriptive Path'!H9/1000*'Gut Rehab Envelope'!F15*Baseline!$C$105/Proposed!$C$112)</f>
        <v>0</v>
      </c>
      <c r="E11" s="77">
        <f>IF('Prescriptive Path'!I7="No",'Prescriptive Path'!H9/1000*VLOOKUP('Prescriptive Path'!$D$4,ClimateZoneLookup!$A$4:$AS$65,22)*Baseline!$C$106/Proposed!$C$113,'Prescriptive Path'!H9/1000*'Gut Rehab Envelope'!H15*Baseline!$C$106/Proposed!$C$113)</f>
        <v>0</v>
      </c>
      <c r="F11" s="77">
        <v>0</v>
      </c>
      <c r="G11" s="78">
        <v>25</v>
      </c>
      <c r="H11" s="458">
        <f>'Prescriptive Path'!H9*Baseline!M15*VLOOKUP('Prescriptive Path'!$D$4,ClimateZoneLookup!$A$4:$AT$65,46)</f>
        <v>0</v>
      </c>
      <c r="I11" s="458">
        <f>'Prescriptive Path'!H9*Proposed!U15*VLOOKUP('Prescriptive Path'!$D$4,ClimateZoneLookup!$A$4:$AT$65,46)</f>
        <v>0</v>
      </c>
      <c r="J11" s="2056">
        <f t="shared" si="4"/>
        <v>0</v>
      </c>
      <c r="K11" s="1748"/>
      <c r="L11" s="614" t="s">
        <v>503</v>
      </c>
      <c r="M11" s="615" t="s">
        <v>503</v>
      </c>
      <c r="N11" s="615" t="s">
        <v>503</v>
      </c>
      <c r="O11" s="615" t="s">
        <v>503</v>
      </c>
      <c r="P11" s="357">
        <f>IF('Prescriptive Path'!I7="No",'Prescriptive Path'!H9/1000*VLOOKUP('Prescriptive Path'!$D$4,ClimateZoneLookup!$A$4:$AN$65,21)*Baseline!$C$105/Proposed!$C$112,'Prescriptive Path'!H9/1000*'Gut Rehab Envelope'!G15*Baseline!$C$105/Proposed!$C$112)</f>
        <v>0</v>
      </c>
      <c r="Q11" s="77">
        <v>0</v>
      </c>
      <c r="R11" s="80" t="e">
        <f>1.1*D11*HLOOKUP(G11,AvoidCostTable,'Avoided Costs'!$D$44)</f>
        <v>#REF!</v>
      </c>
      <c r="S11" s="80" t="e">
        <f>C11*HLOOKUP(G11,AvoidCostTable,'Avoided Costs'!$D$44)</f>
        <v>#REF!</v>
      </c>
      <c r="T11" s="80" t="e">
        <f>P11*HLOOKUP(G11,AvoidCostTable,'Avoided Costs'!$D$45)</f>
        <v>#REF!</v>
      </c>
      <c r="U11" s="80" t="e">
        <f>E11/10*HLOOKUP(G11,AvoidCostTable,'Avoided Costs'!$D$46)</f>
        <v>#REF!</v>
      </c>
      <c r="V11" s="80" t="e">
        <f>F11/10*HLOOKUP(G11,AvoidCostTable,'Avoided Costs'!$D$47)</f>
        <v>#REF!</v>
      </c>
      <c r="W11" s="177">
        <f>IF('Avoided Costs'!C54="Upstate",-PV('Avoided Costs'!$D$2,G11,Q11*0.003),-PV('Avoided Costs'!$D$2,G11,Q11*0.007))</f>
        <v>0</v>
      </c>
      <c r="X11" s="80">
        <f t="shared" si="0"/>
        <v>0</v>
      </c>
      <c r="Y11" s="80">
        <f t="shared" si="1"/>
        <v>0</v>
      </c>
      <c r="Z11" s="80">
        <f t="shared" si="5"/>
        <v>0</v>
      </c>
      <c r="AA11" s="177">
        <f>IF('Avoided Costs'!$C$44="Upstate",((C11+D11)*0.1814+(E11+F11)*1.561+Q11*0.003),((C11+D11)*0.1814+(E11+F11)*1.561+Q11*0.007))</f>
        <v>0</v>
      </c>
      <c r="AB11" s="1932">
        <f t="shared" si="6"/>
        <v>0</v>
      </c>
      <c r="AC11" s="80">
        <f t="shared" si="2"/>
        <v>0</v>
      </c>
      <c r="AD11" s="81" t="str">
        <f t="shared" si="3"/>
        <v/>
      </c>
      <c r="AE11" s="178" t="str">
        <f t="shared" si="7"/>
        <v/>
      </c>
      <c r="AF11" s="171" t="s">
        <v>496</v>
      </c>
      <c r="AH11" s="2093" t="str">
        <f t="shared" si="8"/>
        <v/>
      </c>
      <c r="AI11" s="2088" t="str">
        <f t="shared" si="9"/>
        <v/>
      </c>
      <c r="AJ11" s="2088" t="str">
        <f t="shared" si="10"/>
        <v/>
      </c>
      <c r="AK11" s="76" t="str">
        <f t="shared" si="11"/>
        <v/>
      </c>
      <c r="AL11" s="2090" t="str">
        <f>IF(AK11="","",IF('Prescriptive Path'!$D$6="Affordable",IF(Savings!AK11="Electric","MPPLIEINC","MPPLIGINC"),IF(Savings!AK11="Electric","MPPMREINC","MPPMRGINC")))</f>
        <v/>
      </c>
    </row>
    <row r="12" spans="1:62">
      <c r="A12" s="2447"/>
      <c r="B12" s="175" t="s">
        <v>66</v>
      </c>
      <c r="C12" s="82">
        <v>0</v>
      </c>
      <c r="D12" s="84">
        <f>IF('Prescriptive Path'!I7="No",'Prescriptive Path'!H10/1000*VLOOKUP('Prescriptive Path'!$D$4,ClimateZoneLookup!$A$2:$AN$65,23)*Baseline!$C$105/Proposed!$C$112,'Prescriptive Path'!H10/1000*'Gut Rehab Envelope'!F16*Baseline!$C$105/Proposed!$C$112)</f>
        <v>0</v>
      </c>
      <c r="E12" s="84">
        <f>IF('Prescriptive Path'!I7="No",'Prescriptive Path'!H10/1000*VLOOKUP('Prescriptive Path'!$D$4,ClimateZoneLookup!$A$4:$AN$65,25)*Baseline!$C$106/Proposed!$C$113,'Prescriptive Path'!H10/1000*'Gut Rehab Envelope'!H16*Baseline!$C$106/Proposed!$C$113)</f>
        <v>0</v>
      </c>
      <c r="F12" s="84">
        <v>0</v>
      </c>
      <c r="G12" s="85">
        <v>25</v>
      </c>
      <c r="H12" s="88">
        <f>'Prescriptive Path'!H10*Baseline!M16*VLOOKUP('Prescriptive Path'!$D$4,ClimateZoneLookup!$A$4:$AT$65,46)</f>
        <v>0</v>
      </c>
      <c r="I12" s="88">
        <f>'Prescriptive Path'!H10*Proposed!U16*VLOOKUP('Prescriptive Path'!$D$4,ClimateZoneLookup!$A$4:$AT$65,46)</f>
        <v>0</v>
      </c>
      <c r="J12" s="2015">
        <f t="shared" si="4"/>
        <v>0</v>
      </c>
      <c r="K12" s="1749"/>
      <c r="L12" s="616" t="s">
        <v>503</v>
      </c>
      <c r="M12" s="616" t="s">
        <v>503</v>
      </c>
      <c r="N12" s="616" t="s">
        <v>503</v>
      </c>
      <c r="O12" s="616" t="s">
        <v>503</v>
      </c>
      <c r="P12" s="87">
        <f>IF('Prescriptive Path'!I7="No",'Prescriptive Path'!H10/1000*VLOOKUP('Prescriptive Path'!$D$4,ClimateZoneLookup!$A$4:$AN$65,24)*Baseline!$C$105/Proposed!$C$112,'Prescriptive Path'!H10/1000*'Gut Rehab Envelope'!G16*Baseline!$C$105/Proposed!$C$112)</f>
        <v>0</v>
      </c>
      <c r="Q12" s="84">
        <v>0</v>
      </c>
      <c r="R12" s="88" t="e">
        <f>1.1*D12*HLOOKUP(G12,AvoidCostTable,'Avoided Costs'!$D$44)</f>
        <v>#REF!</v>
      </c>
      <c r="S12" s="88" t="e">
        <f>C12*HLOOKUP(G12,AvoidCostTable,'Avoided Costs'!$D$44)</f>
        <v>#REF!</v>
      </c>
      <c r="T12" s="88" t="e">
        <f>P12*HLOOKUP(G12,AvoidCostTable,'Avoided Costs'!$D$45)</f>
        <v>#REF!</v>
      </c>
      <c r="U12" s="88" t="e">
        <f>E12/10*HLOOKUP(G12,AvoidCostTable,'Avoided Costs'!$D$46)</f>
        <v>#REF!</v>
      </c>
      <c r="V12" s="88" t="e">
        <f>F12/10*HLOOKUP(G12,AvoidCostTable,'Avoided Costs'!$D$47)</f>
        <v>#REF!</v>
      </c>
      <c r="W12" s="163">
        <f>IF('Avoided Costs'!C55="Upstate",-PV('Avoided Costs'!$D$2,G12,Q12*0.003),-PV('Avoided Costs'!$D$2,G12,Q12*0.007))</f>
        <v>0</v>
      </c>
      <c r="X12" s="88">
        <f t="shared" si="0"/>
        <v>0</v>
      </c>
      <c r="Y12" s="88">
        <f t="shared" si="1"/>
        <v>0</v>
      </c>
      <c r="Z12" s="88">
        <f t="shared" si="5"/>
        <v>0</v>
      </c>
      <c r="AA12" s="163">
        <f>IF('Avoided Costs'!$C$44="Upstate",((C12+D12)*0.1814+(E12+F12)*1.561+Q12*0.003),((C12+D12)*0.1814+(E12+F12)*1.561+Q12*0.007))</f>
        <v>0</v>
      </c>
      <c r="AB12" s="1926">
        <f t="shared" si="6"/>
        <v>0</v>
      </c>
      <c r="AC12" s="88">
        <f t="shared" si="2"/>
        <v>0</v>
      </c>
      <c r="AD12" s="89" t="str">
        <f t="shared" si="3"/>
        <v/>
      </c>
      <c r="AE12" s="179" t="str">
        <f t="shared" si="7"/>
        <v/>
      </c>
      <c r="AF12" s="172" t="s">
        <v>496</v>
      </c>
      <c r="AH12" s="2093" t="str">
        <f t="shared" si="8"/>
        <v/>
      </c>
      <c r="AI12" s="2088" t="str">
        <f t="shared" si="9"/>
        <v/>
      </c>
      <c r="AJ12" s="2088" t="str">
        <f t="shared" si="10"/>
        <v/>
      </c>
      <c r="AK12" s="76" t="str">
        <f t="shared" si="11"/>
        <v/>
      </c>
      <c r="AL12" s="2090" t="str">
        <f>IF(AK12="","",IF('Prescriptive Path'!$D$6="Affordable",IF(Savings!AK12="Electric","MPPLIEINC","MPPLIGINC"),IF(Savings!AK12="Electric","MPPMREINC","MPPMRGINC")))</f>
        <v/>
      </c>
    </row>
    <row r="13" spans="1:62" ht="15.75" thickBot="1">
      <c r="A13" s="2448"/>
      <c r="B13" s="176" t="s">
        <v>68</v>
      </c>
      <c r="C13" s="352">
        <v>0</v>
      </c>
      <c r="D13" s="90">
        <f>IF('Prescriptive Path'!I7="No",'Prescriptive Path'!H11/1000*VLOOKUP('Prescriptive Path'!$D$4,ClimateZoneLookup!$A$2:$AN$65,26)*Baseline!$C$105/Proposed!$C$112,'Prescriptive Path'!H11/1000*'Gut Rehab Envelope'!F17*Baseline!$C$105/Proposed!$C$112)</f>
        <v>0</v>
      </c>
      <c r="E13" s="90">
        <f>IF('Prescriptive Path'!I7="No",'Prescriptive Path'!H11/1000*VLOOKUP('Prescriptive Path'!$D$4,ClimateZoneLookup!$A$4:$AN$65,28)*Baseline!$C$106/Proposed!$C$113,'Prescriptive Path'!H11/1000*'Gut Rehab Envelope'!H17*Baseline!$C$106/Proposed!$C$113)</f>
        <v>0</v>
      </c>
      <c r="F13" s="90">
        <v>0</v>
      </c>
      <c r="G13" s="91">
        <v>25</v>
      </c>
      <c r="H13" s="92">
        <f>'Prescriptive Path'!H11*Baseline!M17*VLOOKUP('Prescriptive Path'!$D$4,ClimateZoneLookup!$A$4:$AT$65,46)</f>
        <v>0</v>
      </c>
      <c r="I13" s="92">
        <f>'Prescriptive Path'!H11*Proposed!U17*VLOOKUP('Prescriptive Path'!$D$4,ClimateZoneLookup!$A$4:$AT$65,46)</f>
        <v>0</v>
      </c>
      <c r="J13" s="2016">
        <f t="shared" si="4"/>
        <v>0</v>
      </c>
      <c r="K13" s="1750"/>
      <c r="L13" s="617" t="s">
        <v>503</v>
      </c>
      <c r="M13" s="617" t="s">
        <v>503</v>
      </c>
      <c r="N13" s="617" t="s">
        <v>503</v>
      </c>
      <c r="O13" s="617" t="s">
        <v>503</v>
      </c>
      <c r="P13" s="358">
        <f>IF('Prescriptive Path'!I7="No",'Prescriptive Path'!H11/1000*VLOOKUP('Prescriptive Path'!$D$4,ClimateZoneLookup!$A$4:$AN$65,27)*Baseline!$C$105/Proposed!$C$112,'Prescriptive Path'!H11/1000*'Gut Rehab Envelope'!G17*Baseline!$C$105/Proposed!$C$112)</f>
        <v>0</v>
      </c>
      <c r="Q13" s="90">
        <v>0</v>
      </c>
      <c r="R13" s="92" t="e">
        <f>1.1*D13*HLOOKUP(G13,AvoidCostTable,'Avoided Costs'!$D$44)</f>
        <v>#REF!</v>
      </c>
      <c r="S13" s="92" t="e">
        <f>C13*HLOOKUP(G13,AvoidCostTable,'Avoided Costs'!$D$44)</f>
        <v>#REF!</v>
      </c>
      <c r="T13" s="92" t="e">
        <f>P13*HLOOKUP(G13,AvoidCostTable,'Avoided Costs'!$D$45)</f>
        <v>#REF!</v>
      </c>
      <c r="U13" s="92" t="e">
        <f>E13/10*HLOOKUP(G13,AvoidCostTable,'Avoided Costs'!$D$46)</f>
        <v>#REF!</v>
      </c>
      <c r="V13" s="92" t="e">
        <f>F13/10*HLOOKUP(G13,AvoidCostTable,'Avoided Costs'!$D$47)</f>
        <v>#REF!</v>
      </c>
      <c r="W13" s="162">
        <f>IF('Avoided Costs'!C56="Upstate",-PV('Avoided Costs'!$D$2,G13,Q13*0.003),-PV('Avoided Costs'!$D$2,G13,Q13*0.007))</f>
        <v>0</v>
      </c>
      <c r="X13" s="92">
        <f t="shared" si="0"/>
        <v>0</v>
      </c>
      <c r="Y13" s="92">
        <f t="shared" si="1"/>
        <v>0</v>
      </c>
      <c r="Z13" s="92">
        <f t="shared" si="5"/>
        <v>0</v>
      </c>
      <c r="AA13" s="162">
        <f>IF('Avoided Costs'!$C$44="Upstate",((C13+D13)*0.1814+(E13+F13)*1.561+Q13*0.003),((C13+D13)*0.1814+(E13+F13)*1.561+Q13*0.007))</f>
        <v>0</v>
      </c>
      <c r="AB13" s="1928">
        <f t="shared" si="6"/>
        <v>0</v>
      </c>
      <c r="AC13" s="92">
        <f t="shared" si="2"/>
        <v>0</v>
      </c>
      <c r="AD13" s="93" t="str">
        <f t="shared" si="3"/>
        <v/>
      </c>
      <c r="AE13" s="180" t="str">
        <f t="shared" si="7"/>
        <v/>
      </c>
      <c r="AF13" s="269" t="s">
        <v>496</v>
      </c>
      <c r="AH13" s="2093" t="str">
        <f t="shared" si="8"/>
        <v/>
      </c>
      <c r="AI13" s="2088" t="str">
        <f t="shared" si="9"/>
        <v/>
      </c>
      <c r="AJ13" s="2088" t="str">
        <f t="shared" si="10"/>
        <v/>
      </c>
      <c r="AK13" s="76" t="str">
        <f t="shared" si="11"/>
        <v/>
      </c>
      <c r="AL13" s="2090" t="str">
        <f>IF(AK13="","",IF('Prescriptive Path'!$D$6="Affordable",IF(Savings!AK13="Electric","MPPLIEINC","MPPLIGINC"),IF(Savings!AK13="Electric","MPPMREINC","MPPMRGINC")))</f>
        <v/>
      </c>
    </row>
    <row r="14" spans="1:62">
      <c r="A14" s="2449" t="s">
        <v>81</v>
      </c>
      <c r="B14" s="216" t="s">
        <v>124</v>
      </c>
      <c r="C14" s="378">
        <v>0</v>
      </c>
      <c r="D14" s="233">
        <f>IF('Prescriptive Path'!I7="No",'Prescriptive Path'!H12/1000*VLOOKUP('Prescriptive Path'!$D$4,ClimateZoneLookup!$A$2:$AN$65,29)*Baseline!$C$105/Proposed!$C$112,'Prescriptive Path'!H12/1000*'Gut Rehab Envelope'!F18*Baseline!$C$105/Proposed!$C$112)</f>
        <v>0</v>
      </c>
      <c r="E14" s="233">
        <f>IF('Prescriptive Path'!I7="No",'Prescriptive Path'!H12/1000*VLOOKUP('Prescriptive Path'!$D$4,ClimateZoneLookup!$A$4:$AN$65,31)*Baseline!$C$106/Proposed!$C$113,'Prescriptive Path'!H12/1000*'Gut Rehab Envelope'!H18*Baseline!$C$106/Proposed!$C$113)</f>
        <v>0</v>
      </c>
      <c r="F14" s="233">
        <v>0</v>
      </c>
      <c r="G14" s="234">
        <v>25</v>
      </c>
      <c r="H14" s="235">
        <f>'Prescriptive Path'!H12*Baseline!M18*VLOOKUP('Prescriptive Path'!$D$4,ClimateZoneLookup!$A$4:$AT$65,46)</f>
        <v>0</v>
      </c>
      <c r="I14" s="235">
        <f>'Prescriptive Path'!H12*Proposed!U18*VLOOKUP('Prescriptive Path'!$D$4,ClimateZoneLookup!$A$4:$AT$65,46)</f>
        <v>0</v>
      </c>
      <c r="J14" s="2017">
        <f t="shared" si="4"/>
        <v>0</v>
      </c>
      <c r="K14" s="1751"/>
      <c r="L14" s="379" t="s">
        <v>503</v>
      </c>
      <c r="M14" s="379" t="s">
        <v>503</v>
      </c>
      <c r="N14" s="379" t="s">
        <v>503</v>
      </c>
      <c r="O14" s="379" t="s">
        <v>503</v>
      </c>
      <c r="P14" s="380">
        <f>IF('Prescriptive Path'!I7="No",'Prescriptive Path'!H12/1000*VLOOKUP('Prescriptive Path'!$D$4,ClimateZoneLookup!$A$4:$AN$65,30)*Baseline!$C$105/Proposed!$C$112,'Prescriptive Path'!H12/1000*'Gut Rehab Envelope'!G18*Baseline!$C$105/Proposed!$C$112)</f>
        <v>0</v>
      </c>
      <c r="Q14" s="233">
        <v>0</v>
      </c>
      <c r="R14" s="235" t="e">
        <f>1.1*D14*HLOOKUP(G14,AvoidCostTable,'Avoided Costs'!$D$44)</f>
        <v>#REF!</v>
      </c>
      <c r="S14" s="235" t="e">
        <f>C14*HLOOKUP(G14,AvoidCostTable,'Avoided Costs'!$D$44)</f>
        <v>#REF!</v>
      </c>
      <c r="T14" s="235" t="e">
        <f>P14*HLOOKUP(G14,AvoidCostTable,'Avoided Costs'!$D$45)</f>
        <v>#REF!</v>
      </c>
      <c r="U14" s="235" t="e">
        <f>E14/10*HLOOKUP(G14,AvoidCostTable,'Avoided Costs'!$D$46)</f>
        <v>#REF!</v>
      </c>
      <c r="V14" s="235" t="e">
        <f>F14/10*HLOOKUP(G14,AvoidCostTable,'Avoided Costs'!$D$47)</f>
        <v>#REF!</v>
      </c>
      <c r="W14" s="217">
        <f>IF('Avoided Costs'!C57="Upstate",-PV('Avoided Costs'!$D$2,G14,Q14*0.003),-PV('Avoided Costs'!$D$2,G14,Q14*0.007))</f>
        <v>0</v>
      </c>
      <c r="X14" s="235">
        <f t="shared" si="0"/>
        <v>0</v>
      </c>
      <c r="Y14" s="235">
        <f t="shared" si="1"/>
        <v>0</v>
      </c>
      <c r="Z14" s="235">
        <f t="shared" si="5"/>
        <v>0</v>
      </c>
      <c r="AA14" s="217">
        <f>IF('Avoided Costs'!$C$44="Upstate",((C14+D14)*0.1814+(E14+F14)*1.561+Q14*0.003),((C14+D14)*0.1814+(E14+F14)*1.561+Q14*0.007))</f>
        <v>0</v>
      </c>
      <c r="AB14" s="1929">
        <f t="shared" si="6"/>
        <v>0</v>
      </c>
      <c r="AC14" s="235">
        <f t="shared" si="2"/>
        <v>0</v>
      </c>
      <c r="AD14" s="236" t="str">
        <f t="shared" si="3"/>
        <v/>
      </c>
      <c r="AE14" s="237" t="str">
        <f t="shared" si="7"/>
        <v/>
      </c>
      <c r="AF14" s="372" t="s">
        <v>496</v>
      </c>
      <c r="AH14" s="2093" t="str">
        <f t="shared" si="8"/>
        <v/>
      </c>
      <c r="AI14" s="2088" t="str">
        <f t="shared" si="9"/>
        <v/>
      </c>
      <c r="AJ14" s="2088" t="str">
        <f t="shared" si="10"/>
        <v/>
      </c>
      <c r="AK14" s="76" t="str">
        <f t="shared" si="11"/>
        <v/>
      </c>
      <c r="AL14" s="2090" t="str">
        <f>IF(AK14="","",IF('Prescriptive Path'!$D$6="Affordable",IF(Savings!AK14="Electric","MPPLIEINC","MPPLIGINC"),IF(Savings!AK14="Electric","MPPMREINC","MPPMRGINC")))</f>
        <v/>
      </c>
    </row>
    <row r="15" spans="1:62">
      <c r="A15" s="2450"/>
      <c r="B15" s="218" t="s">
        <v>127</v>
      </c>
      <c r="C15" s="381">
        <v>0</v>
      </c>
      <c r="D15" s="238">
        <f>IF('Prescriptive Path'!I7="No",'Prescriptive Path'!H13/1000*VLOOKUP('Prescriptive Path'!$D$4,ClimateZoneLookup!$A$2:$AN$65,32)*Baseline!$C$105/Proposed!$C$112,'Prescriptive Path'!H13/1000*'Gut Rehab Envelope'!F19*Baseline!$C$105/Proposed!$C$112)</f>
        <v>0</v>
      </c>
      <c r="E15" s="238">
        <f>IF('Prescriptive Path'!I7="No",'Prescriptive Path'!H13/1000*VLOOKUP('Prescriptive Path'!$D$4,ClimateZoneLookup!$A$4:$AN$65,34)*Baseline!$C$106/Proposed!$C$113,'Prescriptive Path'!H13/1000*'Gut Rehab Envelope'!H19*Baseline!$C$106/Proposed!$C$113)</f>
        <v>0</v>
      </c>
      <c r="F15" s="238">
        <v>0</v>
      </c>
      <c r="G15" s="239">
        <v>25</v>
      </c>
      <c r="H15" s="240">
        <f>'Prescriptive Path'!H13*Baseline!M19*VLOOKUP('Prescriptive Path'!$D$4,ClimateZoneLookup!$A$4:$AT$65,46)</f>
        <v>0</v>
      </c>
      <c r="I15" s="240">
        <f>'Prescriptive Path'!H13*Proposed!U19*VLOOKUP('Prescriptive Path'!$D$4,ClimateZoneLookup!$A$4:$AT$65,46)</f>
        <v>0</v>
      </c>
      <c r="J15" s="2018">
        <f t="shared" si="4"/>
        <v>0</v>
      </c>
      <c r="K15" s="1752"/>
      <c r="L15" s="382" t="s">
        <v>503</v>
      </c>
      <c r="M15" s="382" t="s">
        <v>503</v>
      </c>
      <c r="N15" s="382" t="s">
        <v>503</v>
      </c>
      <c r="O15" s="382" t="s">
        <v>503</v>
      </c>
      <c r="P15" s="383">
        <f>IF('Prescriptive Path'!I7="No",'Prescriptive Path'!H13/1000*VLOOKUP('Prescriptive Path'!$D$4,ClimateZoneLookup!$A$4:$AN$65,33)*Baseline!$C$105/Proposed!$C$112,'Prescriptive Path'!H13/1000*'Gut Rehab Envelope'!G19*Baseline!$C$105/Proposed!$C$112)</f>
        <v>0</v>
      </c>
      <c r="Q15" s="238">
        <v>0</v>
      </c>
      <c r="R15" s="240" t="e">
        <f>1.1*D15*HLOOKUP(G15,AvoidCostTable,'Avoided Costs'!$D$44)</f>
        <v>#REF!</v>
      </c>
      <c r="S15" s="240" t="e">
        <f>C15*HLOOKUP(G15,AvoidCostTable,'Avoided Costs'!$D$44)</f>
        <v>#REF!</v>
      </c>
      <c r="T15" s="240" t="e">
        <f>P15*HLOOKUP(G15,AvoidCostTable,'Avoided Costs'!$D$45)</f>
        <v>#REF!</v>
      </c>
      <c r="U15" s="240" t="e">
        <f>E15/10*HLOOKUP(G15,AvoidCostTable,'Avoided Costs'!$D$46)</f>
        <v>#REF!</v>
      </c>
      <c r="V15" s="240" t="e">
        <f>F15/10*HLOOKUP(G15,AvoidCostTable,'Avoided Costs'!$D$47)</f>
        <v>#REF!</v>
      </c>
      <c r="W15" s="221">
        <f>IF('Avoided Costs'!C58="Upstate",-PV('Avoided Costs'!$D$2,G15,Q15*0.003),-PV('Avoided Costs'!$D$2,G15,Q15*0.007))</f>
        <v>0</v>
      </c>
      <c r="X15" s="240">
        <f t="shared" si="0"/>
        <v>0</v>
      </c>
      <c r="Y15" s="240">
        <f t="shared" si="1"/>
        <v>0</v>
      </c>
      <c r="Z15" s="240">
        <f t="shared" si="5"/>
        <v>0</v>
      </c>
      <c r="AA15" s="221">
        <f>IF('Avoided Costs'!$C$44="Upstate",((C15+D15)*0.1814+(E15+F15)*1.561+Q15*0.003),((C15+D15)*0.1814+(E15+F15)*1.561+Q15*0.007))</f>
        <v>0</v>
      </c>
      <c r="AB15" s="1930">
        <f t="shared" si="6"/>
        <v>0</v>
      </c>
      <c r="AC15" s="240">
        <f t="shared" si="2"/>
        <v>0</v>
      </c>
      <c r="AD15" s="241" t="str">
        <f t="shared" si="3"/>
        <v/>
      </c>
      <c r="AE15" s="242" t="str">
        <f t="shared" si="7"/>
        <v/>
      </c>
      <c r="AF15" s="375" t="s">
        <v>496</v>
      </c>
      <c r="AH15" s="2093" t="str">
        <f t="shared" si="8"/>
        <v/>
      </c>
      <c r="AI15" s="2088" t="str">
        <f t="shared" si="9"/>
        <v/>
      </c>
      <c r="AJ15" s="2088" t="str">
        <f t="shared" si="10"/>
        <v/>
      </c>
      <c r="AK15" s="76" t="str">
        <f t="shared" si="11"/>
        <v/>
      </c>
      <c r="AL15" s="2090" t="str">
        <f>IF(AK15="","",IF('Prescriptive Path'!$D$6="Affordable",IF(Savings!AK15="Electric","MPPLIEINC","MPPLIGINC"),IF(Savings!AK15="Electric","MPPMREINC","MPPMRGINC")))</f>
        <v/>
      </c>
    </row>
    <row r="16" spans="1:62">
      <c r="A16" s="2451"/>
      <c r="B16" s="218" t="s">
        <v>285</v>
      </c>
      <c r="C16" s="381">
        <v>0</v>
      </c>
      <c r="D16" s="238">
        <f>IF('Prescriptive Path'!I7="No",'Prescriptive Path'!H14/1000*VLOOKUP('Prescriptive Path'!$D$4,ClimateZoneLookup!$A$2:$AN$65,35)*Baseline!$C$105/Proposed!$C$112,'Prescriptive Path'!H14/1000*'Gut Rehab Envelope'!F20*Baseline!$C$105/Proposed!$C$112)</f>
        <v>0</v>
      </c>
      <c r="E16" s="238">
        <f>IF('Prescriptive Path'!I7="No",'Prescriptive Path'!H14/1000*VLOOKUP('Prescriptive Path'!$D$4,ClimateZoneLookup!$A$4:$AN$65,37)*Baseline!$C$106/Proposed!$C$113,'Prescriptive Path'!H14/1000*'Gut Rehab Envelope'!H20*Baseline!$C$106/Proposed!$C$113)</f>
        <v>0</v>
      </c>
      <c r="F16" s="238">
        <v>0</v>
      </c>
      <c r="G16" s="239">
        <v>25</v>
      </c>
      <c r="H16" s="240">
        <f>'Prescriptive Path'!H14*Baseline!M20*VLOOKUP('Prescriptive Path'!$D$4,ClimateZoneLookup!$A$4:$AT$65,46)</f>
        <v>0</v>
      </c>
      <c r="I16" s="240">
        <f>'Prescriptive Path'!H14*Proposed!U20*VLOOKUP('Prescriptive Path'!$D$4,ClimateZoneLookup!$A$4:$AT$65,46)</f>
        <v>0</v>
      </c>
      <c r="J16" s="2018">
        <f t="shared" si="4"/>
        <v>0</v>
      </c>
      <c r="K16" s="1752"/>
      <c r="L16" s="382" t="s">
        <v>503</v>
      </c>
      <c r="M16" s="382" t="s">
        <v>503</v>
      </c>
      <c r="N16" s="382" t="s">
        <v>503</v>
      </c>
      <c r="O16" s="382" t="s">
        <v>503</v>
      </c>
      <c r="P16" s="383">
        <f>IF('Prescriptive Path'!I7="No",'Prescriptive Path'!H14/1000*VLOOKUP('Prescriptive Path'!$D$4,ClimateZoneLookup!$A$4:$AN$65,36)*Baseline!$C$105/Proposed!$C$112,'Prescriptive Path'!H14/1000*'Gut Rehab Envelope'!G20*Baseline!$C$105/Proposed!$C$112)</f>
        <v>0</v>
      </c>
      <c r="Q16" s="238">
        <v>0</v>
      </c>
      <c r="R16" s="240" t="e">
        <f>1.1*D16*HLOOKUP(G16,AvoidCostTable,'Avoided Costs'!$D$44)</f>
        <v>#REF!</v>
      </c>
      <c r="S16" s="240" t="e">
        <f>C16*HLOOKUP(G16,AvoidCostTable,'Avoided Costs'!$D$44)</f>
        <v>#REF!</v>
      </c>
      <c r="T16" s="240" t="e">
        <f>P16*HLOOKUP(G16,AvoidCostTable,'Avoided Costs'!$D$45)</f>
        <v>#REF!</v>
      </c>
      <c r="U16" s="240" t="e">
        <f>E16/10*HLOOKUP(G16,AvoidCostTable,'Avoided Costs'!$D$46)</f>
        <v>#REF!</v>
      </c>
      <c r="V16" s="240" t="e">
        <f>F16/10*HLOOKUP(G16,AvoidCostTable,'Avoided Costs'!$D$47)</f>
        <v>#REF!</v>
      </c>
      <c r="W16" s="221">
        <f>IF('Avoided Costs'!C59="Upstate",-PV('Avoided Costs'!$D$2,G16,Q16*0.003),-PV('Avoided Costs'!$D$2,G16,Q16*0.007))</f>
        <v>0</v>
      </c>
      <c r="X16" s="240">
        <f t="shared" si="0"/>
        <v>0</v>
      </c>
      <c r="Y16" s="240">
        <f t="shared" si="1"/>
        <v>0</v>
      </c>
      <c r="Z16" s="240">
        <f t="shared" si="5"/>
        <v>0</v>
      </c>
      <c r="AA16" s="221">
        <f>IF('Avoided Costs'!$C$44="Upstate",((C16+D16)*0.1814+(E16+F16)*1.561+Q16*0.003),((C16+D16)*0.1814+(E16+F16)*1.561+Q16*0.007))</f>
        <v>0</v>
      </c>
      <c r="AB16" s="1930">
        <f t="shared" si="6"/>
        <v>0</v>
      </c>
      <c r="AC16" s="240">
        <f t="shared" si="2"/>
        <v>0</v>
      </c>
      <c r="AD16" s="241" t="str">
        <f t="shared" si="3"/>
        <v/>
      </c>
      <c r="AE16" s="242" t="str">
        <f t="shared" si="7"/>
        <v/>
      </c>
      <c r="AF16" s="375" t="s">
        <v>496</v>
      </c>
      <c r="AH16" s="2093" t="str">
        <f t="shared" si="8"/>
        <v/>
      </c>
      <c r="AI16" s="2088" t="str">
        <f t="shared" si="9"/>
        <v/>
      </c>
      <c r="AJ16" s="2088" t="str">
        <f t="shared" si="10"/>
        <v/>
      </c>
      <c r="AK16" s="76" t="str">
        <f t="shared" si="11"/>
        <v/>
      </c>
      <c r="AL16" s="2090" t="str">
        <f>IF(AK16="","",IF('Prescriptive Path'!$D$6="Affordable",IF(Savings!AK16="Electric","MPPLIEINC","MPPLIGINC"),IF(Savings!AK16="Electric","MPPMREINC","MPPMRGINC")))</f>
        <v/>
      </c>
    </row>
    <row r="17" spans="1:49" ht="15.75" thickBot="1">
      <c r="A17" s="2452"/>
      <c r="B17" s="243" t="s">
        <v>311</v>
      </c>
      <c r="C17" s="384">
        <v>0</v>
      </c>
      <c r="D17" s="244">
        <f>IF('Prescriptive Path'!I7="No",'Prescriptive Path'!H15/1000*VLOOKUP('Prescriptive Path'!$D$4,ClimateZoneLookup!$A$2:$AN$65,38)*Baseline!$C$105/Proposed!$C$112,'Prescriptive Path'!H15/1000*'Gut Rehab Envelope'!F21*Baseline!$C$105/Proposed!$C$112)</f>
        <v>0</v>
      </c>
      <c r="E17" s="244">
        <f>IF('Prescriptive Path'!I7="No",'Prescriptive Path'!H15/1000*VLOOKUP('Prescriptive Path'!$D$4,ClimateZoneLookup!$A$4:$AN$65,40)*Baseline!$C$106/Proposed!$C$113,'Prescriptive Path'!H15/1000*'Gut Rehab Envelope'!H21*Baseline!$C$106/Proposed!$C$113)</f>
        <v>0</v>
      </c>
      <c r="F17" s="244">
        <v>0</v>
      </c>
      <c r="G17" s="245">
        <v>25</v>
      </c>
      <c r="H17" s="246">
        <f>'Prescriptive Path'!H15*Baseline!M21*VLOOKUP('Prescriptive Path'!$D$4,ClimateZoneLookup!$A$4:$AT$65,46)</f>
        <v>0</v>
      </c>
      <c r="I17" s="246">
        <f>'Prescriptive Path'!H15*Proposed!U21*VLOOKUP('Prescriptive Path'!$D$4,ClimateZoneLookup!$A$4:$AT$65,46)</f>
        <v>0</v>
      </c>
      <c r="J17" s="2019">
        <f t="shared" si="4"/>
        <v>0</v>
      </c>
      <c r="K17" s="1753"/>
      <c r="L17" s="385" t="s">
        <v>503</v>
      </c>
      <c r="M17" s="385" t="s">
        <v>503</v>
      </c>
      <c r="N17" s="385" t="s">
        <v>503</v>
      </c>
      <c r="O17" s="385" t="s">
        <v>503</v>
      </c>
      <c r="P17" s="386">
        <f>IF('Prescriptive Path'!I7="No",'Prescriptive Path'!H15/1000*VLOOKUP('Prescriptive Path'!$D$4,ClimateZoneLookup!$A$4:$AN$65,39)*Baseline!$C$105/Proposed!$C$112,'Prescriptive Path'!H15/1000*'Gut Rehab Envelope'!G21*Baseline!$C$105/Proposed!$C$112)</f>
        <v>0</v>
      </c>
      <c r="Q17" s="244">
        <v>0</v>
      </c>
      <c r="R17" s="246" t="e">
        <f>1.1*D17*HLOOKUP(G17,AvoidCostTable,'Avoided Costs'!$D$44)</f>
        <v>#REF!</v>
      </c>
      <c r="S17" s="246" t="e">
        <f>C17*HLOOKUP(G17,AvoidCostTable,'Avoided Costs'!$D$44)</f>
        <v>#REF!</v>
      </c>
      <c r="T17" s="246" t="e">
        <f>P17*HLOOKUP(G17,AvoidCostTable,'Avoided Costs'!$D$45)</f>
        <v>#REF!</v>
      </c>
      <c r="U17" s="246" t="e">
        <f>E17/10*HLOOKUP(G17,AvoidCostTable,'Avoided Costs'!$D$46)</f>
        <v>#REF!</v>
      </c>
      <c r="V17" s="246" t="e">
        <f>F17/10*HLOOKUP(G17,AvoidCostTable,'Avoided Costs'!$D$47)</f>
        <v>#REF!</v>
      </c>
      <c r="W17" s="247">
        <f>IF('Avoided Costs'!C60="Upstate",-PV('Avoided Costs'!$D$2,G17,Q17*0.003),-PV('Avoided Costs'!$D$2,G17,Q17*0.007))</f>
        <v>0</v>
      </c>
      <c r="X17" s="246">
        <f t="shared" si="0"/>
        <v>0</v>
      </c>
      <c r="Y17" s="246">
        <f t="shared" si="1"/>
        <v>0</v>
      </c>
      <c r="Z17" s="246">
        <f t="shared" si="5"/>
        <v>0</v>
      </c>
      <c r="AA17" s="247">
        <f>IF('Avoided Costs'!$C$44="Upstate",((C17+D17)*0.1814+(E17+F17)*1.561+Q17*0.003),((C17+D17)*0.1814+(E17+F17)*1.561+Q17*0.007))</f>
        <v>0</v>
      </c>
      <c r="AB17" s="1933">
        <f t="shared" si="6"/>
        <v>0</v>
      </c>
      <c r="AC17" s="246">
        <f t="shared" si="2"/>
        <v>0</v>
      </c>
      <c r="AD17" s="248" t="str">
        <f t="shared" si="3"/>
        <v/>
      </c>
      <c r="AE17" s="249" t="str">
        <f t="shared" si="7"/>
        <v/>
      </c>
      <c r="AF17" s="387" t="s">
        <v>496</v>
      </c>
      <c r="AH17" s="2093" t="str">
        <f t="shared" si="8"/>
        <v/>
      </c>
      <c r="AI17" s="2088" t="str">
        <f t="shared" si="9"/>
        <v/>
      </c>
      <c r="AJ17" s="2088" t="str">
        <f t="shared" si="10"/>
        <v/>
      </c>
      <c r="AK17" s="76" t="str">
        <f t="shared" si="11"/>
        <v/>
      </c>
      <c r="AL17" s="2090" t="str">
        <f>IF(AK17="","",IF('Prescriptive Path'!$D$6="Affordable",IF(Savings!AK17="Electric","MPPLIEINC","MPPLIGINC"),IF(Savings!AK17="Electric","MPPMREINC","MPPMRGINC")))</f>
        <v/>
      </c>
    </row>
    <row r="18" spans="1:49">
      <c r="A18" s="2453" t="s">
        <v>82</v>
      </c>
      <c r="B18" s="173" t="s">
        <v>5</v>
      </c>
      <c r="C18" s="355">
        <v>0</v>
      </c>
      <c r="D18" s="283">
        <f>IF('Prescriptive Path'!H16="",0,IF('Prescriptive Path'!I7="No",(Baseline!L22-Proposed!T22)*(68-(50-18))*'Prescriptive Path'!H16*VLOOKUP('Prescriptive Path'!$D$4,ClimateZoneLookup!$A$4:$AS$65,11,FALSE)/(1000*Proposed!$C$111),('Gut Rehab Envelope'!E26-Proposed!T22)*(68-(50-18))*'Prescriptive Path'!H16*VLOOKUP('Prescriptive Path'!$D$4,ClimateZoneLookup!$A$4:$AS$65,11,FALSE)/(1000*Proposed!$C$111)))</f>
        <v>0</v>
      </c>
      <c r="E18" s="283">
        <f>IF('Prescriptive Path'!H16="",0,IF('Prescriptive Path'!I7="No",(Baseline!L22-Proposed!T22)*(68-(50-18))*'Prescriptive Path'!H16*VLOOKUP('Prescriptive Path'!$D$4,ClimateZoneLookup!A4:E65,5,FALSE)/100000/Proposed!$C$113,('Gut Rehab Envelope'!E26-Proposed!T22)*(68-(50-18))*'Prescriptive Path'!H16*VLOOKUP('Prescriptive Path'!$D$4,ClimateZoneLookup!A4:E65,5,FALSE)/100000/Proposed!$C$113))</f>
        <v>0</v>
      </c>
      <c r="F18" s="283">
        <v>0</v>
      </c>
      <c r="G18" s="281">
        <v>25</v>
      </c>
      <c r="H18" s="284">
        <f>'Prescriptive Path'!H16*Baseline!M22*VLOOKUP('Prescriptive Path'!$D$4,ClimateZoneLookup!$A$4:$AT$65,46)</f>
        <v>0</v>
      </c>
      <c r="I18" s="284">
        <f>'Prescriptive Path'!H16*Proposed!U22*VLOOKUP('Prescriptive Path'!$D$4,ClimateZoneLookup!$A$4:$AT$65,46)</f>
        <v>0</v>
      </c>
      <c r="J18" s="2020">
        <f t="shared" si="4"/>
        <v>0</v>
      </c>
      <c r="K18" s="1754"/>
      <c r="L18" s="282">
        <v>0</v>
      </c>
      <c r="M18" s="282">
        <v>1.8500000000000001E-3</v>
      </c>
      <c r="N18" s="282">
        <v>0</v>
      </c>
      <c r="O18" s="282">
        <v>1.1299999999999999E-3</v>
      </c>
      <c r="P18" s="356">
        <f>IF('Prescriptive Path'!$K$1=4,C18*N18+D18*O18,C18*L18+D18*M18)</f>
        <v>0</v>
      </c>
      <c r="Q18" s="283">
        <v>0</v>
      </c>
      <c r="R18" s="284" t="e">
        <f>1.1*D18*HLOOKUP(G18,AvoidCostTable,'Avoided Costs'!$D$44)</f>
        <v>#REF!</v>
      </c>
      <c r="S18" s="284" t="e">
        <f>C18*HLOOKUP(G18,AvoidCostTable,'Avoided Costs'!$D$44)</f>
        <v>#REF!</v>
      </c>
      <c r="T18" s="284" t="e">
        <f>P18*HLOOKUP(G18,AvoidCostTable,'Avoided Costs'!$D$45)</f>
        <v>#REF!</v>
      </c>
      <c r="U18" s="284" t="e">
        <f>E18/10*HLOOKUP(G18,AvoidCostTable,'Avoided Costs'!$D$46)</f>
        <v>#REF!</v>
      </c>
      <c r="V18" s="284" t="e">
        <f>F18/10*HLOOKUP(G18,AvoidCostTable,'Avoided Costs'!$D$47)</f>
        <v>#REF!</v>
      </c>
      <c r="W18" s="182">
        <f>IF('Avoided Costs'!C61="Upstate",-PV('Avoided Costs'!$D$2,G18,Q18*0.003),-PV('Avoided Costs'!$D$2,G18,Q18*0.007))</f>
        <v>0</v>
      </c>
      <c r="X18" s="284">
        <f t="shared" si="0"/>
        <v>0</v>
      </c>
      <c r="Y18" s="284">
        <f t="shared" si="1"/>
        <v>0</v>
      </c>
      <c r="Z18" s="284">
        <f t="shared" si="5"/>
        <v>0</v>
      </c>
      <c r="AA18" s="182">
        <f>IF('Avoided Costs'!$C$44="Upstate",((C18+D18)*0.1814+(E18+F18)*1.561+Q18*0.003),((C18+D18)*0.1814+(E18+F18)*1.561+Q18*0.007))</f>
        <v>0</v>
      </c>
      <c r="AB18" s="1934">
        <f t="shared" si="6"/>
        <v>0</v>
      </c>
      <c r="AC18" s="284">
        <f t="shared" si="2"/>
        <v>0</v>
      </c>
      <c r="AD18" s="285" t="str">
        <f t="shared" si="3"/>
        <v/>
      </c>
      <c r="AE18" s="286" t="str">
        <f t="shared" si="7"/>
        <v/>
      </c>
      <c r="AF18" s="448" t="s">
        <v>500</v>
      </c>
      <c r="AH18" s="2093" t="str">
        <f t="shared" si="8"/>
        <v/>
      </c>
      <c r="AI18" s="2088" t="str">
        <f t="shared" si="9"/>
        <v/>
      </c>
      <c r="AJ18" s="76" t="str">
        <f t="shared" si="10"/>
        <v/>
      </c>
      <c r="AK18" s="76" t="str">
        <f t="shared" si="11"/>
        <v/>
      </c>
      <c r="AL18" s="2090" t="str">
        <f>IF(AK18="","",IF('Prescriptive Path'!$D$6="Affordable",IF(Savings!AK18="Electric","MPPLIEINC","MPPLIGINC"),IF(Savings!AK18="Electric","MPPMREINC","MPPMRGINC")))</f>
        <v/>
      </c>
    </row>
    <row r="19" spans="1:49" ht="15.75" thickBot="1">
      <c r="A19" s="2454"/>
      <c r="B19" s="161" t="s">
        <v>6</v>
      </c>
      <c r="C19" s="449"/>
      <c r="D19" s="450"/>
      <c r="E19" s="450"/>
      <c r="F19" s="450"/>
      <c r="G19" s="451"/>
      <c r="H19" s="454"/>
      <c r="I19" s="454"/>
      <c r="J19" s="2021"/>
      <c r="K19" s="1755"/>
      <c r="L19" s="452"/>
      <c r="M19" s="452"/>
      <c r="N19" s="452"/>
      <c r="O19" s="452"/>
      <c r="P19" s="453"/>
      <c r="Q19" s="450"/>
      <c r="R19" s="454"/>
      <c r="S19" s="454"/>
      <c r="T19" s="454"/>
      <c r="U19" s="454"/>
      <c r="V19" s="454"/>
      <c r="W19" s="454"/>
      <c r="X19" s="454"/>
      <c r="Y19" s="454"/>
      <c r="Z19" s="454"/>
      <c r="AA19" s="454"/>
      <c r="AB19" s="1935"/>
      <c r="AC19" s="454"/>
      <c r="AD19" s="455"/>
      <c r="AE19" s="456"/>
      <c r="AF19" s="115"/>
      <c r="AH19" s="113"/>
      <c r="AI19" s="114"/>
      <c r="AJ19" s="114"/>
      <c r="AK19" s="114"/>
      <c r="AL19" s="884"/>
    </row>
    <row r="20" spans="1:49">
      <c r="A20" s="2455" t="s">
        <v>83</v>
      </c>
      <c r="B20" s="250" t="s">
        <v>125</v>
      </c>
      <c r="C20" s="388">
        <v>0</v>
      </c>
      <c r="D20" s="233">
        <f>IF('Prescriptive Path'!H18="",0,IF('Prescriptive Path'!I7="No",(Baseline!L24-Proposed!T24)*'Prescriptive Path'!H18*24*VLOOKUP('Prescriptive Path'!$D$4,ClimateZoneLookup!$A$4:$K$65,11,FALSE)/(1000*Proposed!$C$111),('Gut Rehab Envelope'!E27-Proposed!T24)*'Prescriptive Path'!H18*24*VLOOKUP('Prescriptive Path'!$D$4,ClimateZoneLookup!$A$4:$K$65,11,FALSE)/(1000*Proposed!$C$111)))</f>
        <v>0</v>
      </c>
      <c r="E20" s="244">
        <f>IF('Prescriptive Path'!H18="",0,IF('Prescriptive Path'!I7="No",(Baseline!L24-Proposed!T24)*'Prescriptive Path'!H18*24*VLOOKUP('Prescriptive Path'!$D$4,ClimateZoneLookup!$A$4:$E$65,5,FALSE)/100000/Proposed!$C$113,('Gut Rehab Envelope'!E27-Proposed!T24)*'Prescriptive Path'!H18*24*VLOOKUP('Prescriptive Path'!$D$4,ClimateZoneLookup!$A$4:$E$65,5,FALSE)/100000/Proposed!$C$113))</f>
        <v>0</v>
      </c>
      <c r="F20" s="233">
        <v>0</v>
      </c>
      <c r="G20" s="234">
        <v>25</v>
      </c>
      <c r="H20" s="235">
        <f>'Prescriptive Path'!H18*Baseline!M24*VLOOKUP('Prescriptive Path'!$D$4,ClimateZoneLookup!$A$4:$AT$65,46)</f>
        <v>0</v>
      </c>
      <c r="I20" s="235">
        <f>'Prescriptive Path'!H18*Proposed!U24*VLOOKUP('Prescriptive Path'!$D$4,ClimateZoneLookup!$A$4:$AT$65,46)</f>
        <v>0</v>
      </c>
      <c r="J20" s="2017">
        <f>I20-H20</f>
        <v>0</v>
      </c>
      <c r="K20" s="1751"/>
      <c r="L20" s="379">
        <v>0</v>
      </c>
      <c r="M20" s="379">
        <v>1.8500000000000001E-3</v>
      </c>
      <c r="N20" s="379">
        <v>0</v>
      </c>
      <c r="O20" s="379">
        <v>1.1299999999999999E-3</v>
      </c>
      <c r="P20" s="380">
        <f>IF('Prescriptive Path'!$K$1=4,C20*N20+D20*O20,C20*L20+D20*M20)</f>
        <v>0</v>
      </c>
      <c r="Q20" s="233">
        <v>0</v>
      </c>
      <c r="R20" s="235" t="e">
        <f>1.1*D20*HLOOKUP(G20,AvoidCostTable,'Avoided Costs'!$D$44)</f>
        <v>#REF!</v>
      </c>
      <c r="S20" s="235" t="e">
        <f>C20*HLOOKUP(G20,AvoidCostTable,'Avoided Costs'!$D$44)</f>
        <v>#REF!</v>
      </c>
      <c r="T20" s="235" t="e">
        <f>P20*HLOOKUP(G20,AvoidCostTable,'Avoided Costs'!$D$45)</f>
        <v>#REF!</v>
      </c>
      <c r="U20" s="235" t="e">
        <f>E20/10*HLOOKUP(G20,AvoidCostTable,'Avoided Costs'!$D$46)</f>
        <v>#REF!</v>
      </c>
      <c r="V20" s="235" t="e">
        <f>F20/10*HLOOKUP(G20,AvoidCostTable,'Avoided Costs'!$D$47)</f>
        <v>#REF!</v>
      </c>
      <c r="W20" s="217">
        <f>IF('Avoided Costs'!C63="Upstate",-PV('Avoided Costs'!$D$2,G20,Q20*0.003),-PV('Avoided Costs'!$D$2,G20,Q20*0.007))</f>
        <v>0</v>
      </c>
      <c r="X20" s="235">
        <f t="shared" si="0"/>
        <v>0</v>
      </c>
      <c r="Y20" s="235">
        <f t="shared" si="1"/>
        <v>0</v>
      </c>
      <c r="Z20" s="235">
        <f t="shared" si="5"/>
        <v>0</v>
      </c>
      <c r="AA20" s="217">
        <f>IF('Avoided Costs'!$C$44="Upstate",((C20+D20)*0.1814+(E20+F20)*1.561+Q20*0.003),((C20+D20)*0.1814+(E20+F20)*1.561+Q20*0.007))</f>
        <v>0</v>
      </c>
      <c r="AB20" s="1929">
        <f t="shared" si="6"/>
        <v>0</v>
      </c>
      <c r="AC20" s="235">
        <f>IF(AA20=0,0,G20*AA20)</f>
        <v>0</v>
      </c>
      <c r="AD20" s="236" t="str">
        <f>IF(AA20=0,"",IF(AA20&gt;0,-PV(3%,G20,AA20)/J20,0))</f>
        <v/>
      </c>
      <c r="AE20" s="237" t="str">
        <f t="shared" si="7"/>
        <v/>
      </c>
      <c r="AF20" s="372" t="s">
        <v>500</v>
      </c>
      <c r="AH20" s="2093" t="str">
        <f t="shared" si="8"/>
        <v/>
      </c>
      <c r="AI20" s="76" t="str">
        <f t="shared" ref="AI20:AI83" si="12">IF(Z20=0,"",IF(AND(AH20="Yes",OR(AE20&lt;0,AE20&gt;0.949),Z20&gt;0)=TRUE,Z20,0))</f>
        <v/>
      </c>
      <c r="AJ20" s="76" t="str">
        <f t="shared" ref="AJ20:AJ83" si="13">IF(Z20=0,"",IF(AND(AH20="Yes",OR(AE20&lt;0,AE20&gt;0.949),Z20&gt;0)=TRUE,J20,0))</f>
        <v/>
      </c>
      <c r="AK20" s="76" t="str">
        <f t="shared" si="11"/>
        <v/>
      </c>
      <c r="AL20" s="2090" t="str">
        <f>IF(AK20="","",IF('Prescriptive Path'!$D$6="Affordable",IF(Savings!AK20="Electric","MPPLIEINC","MPPLIGINC"),IF(Savings!AK20="Electric","MPPMREINC","MPPMRGINC")))</f>
        <v/>
      </c>
    </row>
    <row r="21" spans="1:49">
      <c r="A21" s="2451"/>
      <c r="B21" s="251" t="s">
        <v>87</v>
      </c>
      <c r="C21" s="389">
        <v>0</v>
      </c>
      <c r="D21" s="238">
        <f>IF('Prescriptive Path'!H19="",0,IF('Prescriptive Path'!I7="No",(Baseline!L25-Proposed!T25)*'Prescriptive Path'!H19*24*VLOOKUP('Prescriptive Path'!$D$4,ClimateZoneLookup!$A$4:$K$65,11,FALSE)/(1000*Proposed!$C$111),('Gut Rehab Envelope'!E28-Proposed!T25)*'Prescriptive Path'!H19*24*VLOOKUP('Prescriptive Path'!$D$4,ClimateZoneLookup!$A$4:$K$65,11,FALSE)/(1000*Proposed!$C$111)))</f>
        <v>0</v>
      </c>
      <c r="E21" s="244">
        <f>IF('Prescriptive Path'!H19="",0,IF('Prescriptive Path'!I7="No",(Baseline!L25-Proposed!T25)*'Prescriptive Path'!H19*24*VLOOKUP('Prescriptive Path'!$D$4,ClimateZoneLookup!$A$4:$E$65,5,FALSE)/100000/Proposed!$C$113,('Gut Rehab Envelope'!E28-Proposed!T25)*'Prescriptive Path'!H19*24*VLOOKUP('Prescriptive Path'!$D$4,ClimateZoneLookup!$A$4:$E$65,5,FALSE)/100000/Proposed!$C$113))</f>
        <v>0</v>
      </c>
      <c r="F21" s="238">
        <v>0</v>
      </c>
      <c r="G21" s="239">
        <v>25</v>
      </c>
      <c r="H21" s="240">
        <f>'Prescriptive Path'!H19*Baseline!M25*VLOOKUP('Prescriptive Path'!$D$4,ClimateZoneLookup!$A$4:$AT$65,46)</f>
        <v>0</v>
      </c>
      <c r="I21" s="240">
        <f>'Prescriptive Path'!H19*Proposed!U25*VLOOKUP('Prescriptive Path'!$D$4,ClimateZoneLookup!$A$4:$AT$65,46)</f>
        <v>0</v>
      </c>
      <c r="J21" s="2018">
        <f t="shared" ref="J21:J22" si="14">I21-H21</f>
        <v>0</v>
      </c>
      <c r="K21" s="1752"/>
      <c r="L21" s="382">
        <v>0</v>
      </c>
      <c r="M21" s="382">
        <v>1.8500000000000001E-3</v>
      </c>
      <c r="N21" s="382">
        <v>0</v>
      </c>
      <c r="O21" s="382">
        <v>1.1299999999999999E-3</v>
      </c>
      <c r="P21" s="383">
        <f>IF('Prescriptive Path'!$K$1=4,C21*N21+D21*O21,C21*L21+D21*M21)</f>
        <v>0</v>
      </c>
      <c r="Q21" s="238">
        <v>0</v>
      </c>
      <c r="R21" s="240" t="e">
        <f>1.1*D21*HLOOKUP(G21,AvoidCostTable,'Avoided Costs'!$D$44)</f>
        <v>#REF!</v>
      </c>
      <c r="S21" s="240" t="e">
        <f>C21*HLOOKUP(G21,AvoidCostTable,'Avoided Costs'!$D$44)</f>
        <v>#REF!</v>
      </c>
      <c r="T21" s="240" t="e">
        <f>P21*HLOOKUP(G21,AvoidCostTable,'Avoided Costs'!$D$45)</f>
        <v>#REF!</v>
      </c>
      <c r="U21" s="240" t="e">
        <f>E21/10*HLOOKUP(G21,AvoidCostTable,'Avoided Costs'!$D$46)</f>
        <v>#REF!</v>
      </c>
      <c r="V21" s="240" t="e">
        <f>F21/10*HLOOKUP(G21,AvoidCostTable,'Avoided Costs'!$D$47)</f>
        <v>#REF!</v>
      </c>
      <c r="W21" s="221">
        <f>IF('Avoided Costs'!C64="Upstate",-PV('Avoided Costs'!$D$2,G21,Q21*0.003),-PV('Avoided Costs'!$D$2,G21,Q21*0.007))</f>
        <v>0</v>
      </c>
      <c r="X21" s="240">
        <f t="shared" si="0"/>
        <v>0</v>
      </c>
      <c r="Y21" s="240">
        <f t="shared" si="1"/>
        <v>0</v>
      </c>
      <c r="Z21" s="240">
        <f t="shared" si="5"/>
        <v>0</v>
      </c>
      <c r="AA21" s="221">
        <f>IF('Avoided Costs'!$C$44="Upstate",((C21+D21)*0.1814+(E21+F21)*1.561+Q21*0.003),((C21+D21)*0.1814+(E21+F21)*1.561+Q21*0.007))</f>
        <v>0</v>
      </c>
      <c r="AB21" s="1930">
        <f t="shared" si="6"/>
        <v>0</v>
      </c>
      <c r="AC21" s="240">
        <f>IF(AA21=0,0,G21*AA21)</f>
        <v>0</v>
      </c>
      <c r="AD21" s="241" t="str">
        <f>IF(AA21=0,"",IF(AA21&gt;0,-PV(3%,G21,AA21)/J21,0))</f>
        <v/>
      </c>
      <c r="AE21" s="242" t="str">
        <f t="shared" si="7"/>
        <v/>
      </c>
      <c r="AF21" s="375" t="s">
        <v>500</v>
      </c>
      <c r="AH21" s="2093" t="str">
        <f t="shared" si="8"/>
        <v/>
      </c>
      <c r="AI21" s="76" t="str">
        <f t="shared" si="12"/>
        <v/>
      </c>
      <c r="AJ21" s="76" t="str">
        <f t="shared" si="13"/>
        <v/>
      </c>
      <c r="AK21" s="76" t="str">
        <f t="shared" si="11"/>
        <v/>
      </c>
      <c r="AL21" s="2090" t="str">
        <f>IF(AK21="","",IF('Prescriptive Path'!$D$6="Affordable",IF(Savings!AK21="Electric","MPPLIEINC","MPPLIGINC"),IF(Savings!AK21="Electric","MPPMREINC","MPPMRGINC")))</f>
        <v/>
      </c>
    </row>
    <row r="22" spans="1:49" ht="15.75" thickBot="1">
      <c r="A22" s="2451"/>
      <c r="B22" s="251" t="s">
        <v>98</v>
      </c>
      <c r="C22" s="390">
        <v>0</v>
      </c>
      <c r="D22" s="244">
        <f>IF('Prescriptive Path'!H20="",0,IF('Prescriptive Path'!I7="No",(Baseline!L26-Proposed!T26)*'Prescriptive Path'!H20*24*VLOOKUP('Prescriptive Path'!$D$4,ClimateZoneLookup!$A$4:$K$65,11,FALSE)/(1000*Proposed!$C$111),('Gut Rehab Envelope'!E29-Proposed!T26)*'Prescriptive Path'!H20*24*VLOOKUP('Prescriptive Path'!$D$4,ClimateZoneLookup!$A$4:$K$65,11,FALSE)/(1000*Proposed!$C$111)))</f>
        <v>0</v>
      </c>
      <c r="E22" s="244">
        <f>IF('Prescriptive Path'!H20="",0,IF('Prescriptive Path'!I7="No",(Baseline!L26-Proposed!T26)*'Prescriptive Path'!H20*24*VLOOKUP('Prescriptive Path'!$D$4,ClimateZoneLookup!$A$4:$E$65,5,FALSE)/100000/Proposed!$C$113,('Gut Rehab Envelope'!E29-Proposed!T26)*'Prescriptive Path'!H20*24*VLOOKUP('Prescriptive Path'!$D$4,ClimateZoneLookup!$A$4:$E$65,5,FALSE)/100000/Proposed!$C$113))</f>
        <v>0</v>
      </c>
      <c r="F22" s="244">
        <v>0</v>
      </c>
      <c r="G22" s="245">
        <v>25</v>
      </c>
      <c r="H22" s="246">
        <f>'Prescriptive Path'!H20*Baseline!M26*VLOOKUP('Prescriptive Path'!$D$4,ClimateZoneLookup!$A$4:$AT$65,46)</f>
        <v>0</v>
      </c>
      <c r="I22" s="246">
        <f>'Prescriptive Path'!H20*Proposed!U26*VLOOKUP('Prescriptive Path'!$D$4,ClimateZoneLookup!$A$4:$AT$65,46)</f>
        <v>0</v>
      </c>
      <c r="J22" s="2019">
        <f t="shared" si="14"/>
        <v>0</v>
      </c>
      <c r="K22" s="1753"/>
      <c r="L22" s="385">
        <v>0</v>
      </c>
      <c r="M22" s="385">
        <v>1.8500000000000001E-3</v>
      </c>
      <c r="N22" s="385">
        <v>0</v>
      </c>
      <c r="O22" s="385">
        <v>1.1299999999999999E-3</v>
      </c>
      <c r="P22" s="386">
        <f>IF('Prescriptive Path'!$K$1=4,C22*N22+D22*O22,C22*L22+D22*M22)</f>
        <v>0</v>
      </c>
      <c r="Q22" s="244">
        <v>0</v>
      </c>
      <c r="R22" s="246" t="e">
        <f>1.1*D22*HLOOKUP(G22,AvoidCostTable,'Avoided Costs'!$D$44)</f>
        <v>#REF!</v>
      </c>
      <c r="S22" s="246" t="e">
        <f>C22*HLOOKUP(G22,AvoidCostTable,'Avoided Costs'!$D$44)</f>
        <v>#REF!</v>
      </c>
      <c r="T22" s="246" t="e">
        <f>P22*HLOOKUP(G22,AvoidCostTable,'Avoided Costs'!$D$45)</f>
        <v>#REF!</v>
      </c>
      <c r="U22" s="246" t="e">
        <f>E22/10*HLOOKUP(G22,AvoidCostTable,'Avoided Costs'!$D$46)</f>
        <v>#REF!</v>
      </c>
      <c r="V22" s="246" t="e">
        <f>F22/10*HLOOKUP(G22,AvoidCostTable,'Avoided Costs'!$D$47)</f>
        <v>#REF!</v>
      </c>
      <c r="W22" s="247">
        <f>IF('Avoided Costs'!C65="Upstate",-PV('Avoided Costs'!$D$2,G22,Q22*0.003),-PV('Avoided Costs'!$D$2,G22,Q22*0.007))</f>
        <v>0</v>
      </c>
      <c r="X22" s="246">
        <f t="shared" si="0"/>
        <v>0</v>
      </c>
      <c r="Y22" s="246">
        <f t="shared" si="1"/>
        <v>0</v>
      </c>
      <c r="Z22" s="246">
        <f t="shared" si="5"/>
        <v>0</v>
      </c>
      <c r="AA22" s="247">
        <f>IF('Avoided Costs'!$C$44="Upstate",((C22+D22)*0.1814+(E22+F22)*1.561+Q22*0.003),((C22+D22)*0.1814+(E22+F22)*1.561+Q22*0.007))</f>
        <v>0</v>
      </c>
      <c r="AB22" s="1933">
        <f t="shared" si="6"/>
        <v>0</v>
      </c>
      <c r="AC22" s="246">
        <f>IF(AA22=0,0,G22*AA22)</f>
        <v>0</v>
      </c>
      <c r="AD22" s="248" t="str">
        <f>IF(AA22=0,"",IF(AA22&gt;0,-PV(3%,G22,AA22)/J22,0))</f>
        <v/>
      </c>
      <c r="AE22" s="249" t="str">
        <f t="shared" si="7"/>
        <v/>
      </c>
      <c r="AF22" s="387" t="s">
        <v>500</v>
      </c>
      <c r="AH22" s="2093" t="str">
        <f t="shared" si="8"/>
        <v/>
      </c>
      <c r="AI22" s="76" t="str">
        <f t="shared" si="12"/>
        <v/>
      </c>
      <c r="AJ22" s="76" t="str">
        <f t="shared" si="13"/>
        <v/>
      </c>
      <c r="AK22" s="76" t="str">
        <f t="shared" si="11"/>
        <v/>
      </c>
      <c r="AL22" s="2090" t="str">
        <f>IF(AK22="","",IF('Prescriptive Path'!$D$6="Affordable",IF(Savings!AK22="Electric","MPPLIEINC","MPPLIGINC"),IF(Savings!AK22="Electric","MPPMREINC","MPPMRGINC")))</f>
        <v/>
      </c>
    </row>
    <row r="23" spans="1:49">
      <c r="A23" s="2446" t="s">
        <v>84</v>
      </c>
      <c r="B23" s="22" t="s">
        <v>40</v>
      </c>
      <c r="C23" s="287"/>
      <c r="D23" s="140"/>
      <c r="E23" s="140"/>
      <c r="F23" s="204"/>
      <c r="G23" s="138"/>
      <c r="H23" s="141"/>
      <c r="I23" s="141"/>
      <c r="J23" s="2022"/>
      <c r="K23" s="1756"/>
      <c r="L23" s="139"/>
      <c r="M23" s="139"/>
      <c r="N23" s="139"/>
      <c r="O23" s="139"/>
      <c r="P23" s="140"/>
      <c r="Q23" s="204"/>
      <c r="R23" s="141"/>
      <c r="S23" s="141"/>
      <c r="T23" s="141"/>
      <c r="U23" s="141"/>
      <c r="V23" s="141"/>
      <c r="W23" s="141"/>
      <c r="X23" s="141"/>
      <c r="Y23" s="141"/>
      <c r="Z23" s="141"/>
      <c r="AA23" s="141"/>
      <c r="AB23" s="1936"/>
      <c r="AC23" s="141"/>
      <c r="AD23" s="142"/>
      <c r="AE23" s="192"/>
      <c r="AF23" s="143"/>
      <c r="AH23" s="116"/>
      <c r="AI23" s="117"/>
      <c r="AJ23" s="117"/>
      <c r="AK23" s="117"/>
      <c r="AL23" s="888"/>
    </row>
    <row r="24" spans="1:49" ht="15.75" thickBot="1">
      <c r="A24" s="2454"/>
      <c r="B24" s="19" t="s">
        <v>34</v>
      </c>
      <c r="C24" s="288"/>
      <c r="D24" s="146"/>
      <c r="E24" s="146"/>
      <c r="F24" s="205"/>
      <c r="G24" s="144"/>
      <c r="H24" s="147"/>
      <c r="I24" s="147"/>
      <c r="J24" s="2023"/>
      <c r="K24" s="1757"/>
      <c r="L24" s="145"/>
      <c r="M24" s="145"/>
      <c r="N24" s="145"/>
      <c r="O24" s="145"/>
      <c r="P24" s="146"/>
      <c r="Q24" s="205"/>
      <c r="R24" s="147"/>
      <c r="S24" s="147"/>
      <c r="T24" s="147"/>
      <c r="U24" s="147"/>
      <c r="V24" s="147"/>
      <c r="W24" s="147"/>
      <c r="X24" s="147"/>
      <c r="Y24" s="147"/>
      <c r="Z24" s="147"/>
      <c r="AA24" s="147"/>
      <c r="AB24" s="1937"/>
      <c r="AC24" s="147"/>
      <c r="AD24" s="148"/>
      <c r="AE24" s="191"/>
      <c r="AF24" s="149"/>
      <c r="AH24" s="2094"/>
      <c r="AI24" s="2084"/>
      <c r="AJ24" s="2084"/>
      <c r="AK24" s="2084"/>
      <c r="AL24" s="2087"/>
    </row>
    <row r="25" spans="1:49" ht="15.75" thickBot="1">
      <c r="A25" s="252" t="s">
        <v>13</v>
      </c>
      <c r="B25" s="253" t="s">
        <v>8</v>
      </c>
      <c r="C25" s="389">
        <v>0</v>
      </c>
      <c r="D25" s="244">
        <f>IF('Prescriptive Path'!H23="",0,IF('Prescriptive Path'!I7="No",(Baseline!L29-Proposed!T29)*'Prescriptive Path'!H23*24*VLOOKUP('Prescriptive Path'!$D$4,ClimateZoneLookup!$A$4:$K$65,11,FALSE)/(1000*Proposed!$C$111),('Gut Rehab Envelope'!E30-Proposed!T29)*'Prescriptive Path'!H23*24*VLOOKUP('Prescriptive Path'!$D$4,ClimateZoneLookup!$A$4:$K$65,11,FALSE)/(1000*Proposed!$C$111)))</f>
        <v>0</v>
      </c>
      <c r="E25" s="238">
        <f>IF('Prescriptive Path'!H23="",0,IF('Prescriptive Path'!I7="No",(Baseline!L29-Proposed!T29)*'Prescriptive Path'!H23*24*VLOOKUP('Prescriptive Path'!$D$4,ClimateZoneLookup!$A$4:$E$65,5,FALSE)/100000/Proposed!$C$113,('Gut Rehab Envelope'!E30-Proposed!T29)*'Prescriptive Path'!H23*24*VLOOKUP('Prescriptive Path'!$D$4,ClimateZoneLookup!$A$4:$E$65,5,FALSE)/100000/Proposed!$C$113))</f>
        <v>0</v>
      </c>
      <c r="F25" s="238">
        <v>0</v>
      </c>
      <c r="G25" s="239">
        <v>25</v>
      </c>
      <c r="H25" s="240">
        <f>'Prescriptive Path'!H23*Baseline!M29/20</f>
        <v>0</v>
      </c>
      <c r="I25" s="240">
        <f>'Prescriptive Path'!H23*Proposed!U29/20</f>
        <v>0</v>
      </c>
      <c r="J25" s="2018">
        <f>I25-H25</f>
        <v>0</v>
      </c>
      <c r="K25" s="1752"/>
      <c r="L25" s="382">
        <v>0</v>
      </c>
      <c r="M25" s="382">
        <v>1.8500000000000001E-3</v>
      </c>
      <c r="N25" s="382">
        <v>0</v>
      </c>
      <c r="O25" s="382">
        <v>1.1299999999999999E-3</v>
      </c>
      <c r="P25" s="383">
        <f>IF('Prescriptive Path'!$K$1=4,C25*N25+D25*O25,C25*L25+D25*M25)</f>
        <v>0</v>
      </c>
      <c r="Q25" s="238">
        <v>0</v>
      </c>
      <c r="R25" s="240" t="e">
        <f>1.1*D25*HLOOKUP(G25,AvoidCostTable,'Avoided Costs'!$D$44)</f>
        <v>#REF!</v>
      </c>
      <c r="S25" s="240" t="e">
        <f>C25*HLOOKUP(G25,AvoidCostTable,'Avoided Costs'!$D$44)</f>
        <v>#REF!</v>
      </c>
      <c r="T25" s="240" t="e">
        <f>P25*HLOOKUP(G25,AvoidCostTable,'Avoided Costs'!$D$45)</f>
        <v>#REF!</v>
      </c>
      <c r="U25" s="240" t="e">
        <f>E25/10*HLOOKUP(G25,AvoidCostTable,'Avoided Costs'!$D$46)</f>
        <v>#REF!</v>
      </c>
      <c r="V25" s="240" t="e">
        <f>F25/10*HLOOKUP(G25,AvoidCostTable,'Avoided Costs'!$D$47)</f>
        <v>#REF!</v>
      </c>
      <c r="W25" s="229">
        <f>IF('Avoided Costs'!C68="Upstate",-PV('Avoided Costs'!$D$2,G25,Q25*0.003),-PV('Avoided Costs'!$D$2,G25,Q25*0.007))</f>
        <v>0</v>
      </c>
      <c r="X25" s="240">
        <f t="shared" si="0"/>
        <v>0</v>
      </c>
      <c r="Y25" s="240">
        <f t="shared" si="1"/>
        <v>0</v>
      </c>
      <c r="Z25" s="240">
        <f t="shared" si="5"/>
        <v>0</v>
      </c>
      <c r="AA25" s="229">
        <f>IF('Avoided Costs'!$C$44="Upstate",((C25+D25)*0.1814+(E25+F25)*1.561+Q25*0.003),((C25+D25)*0.1814+(E25+F25)*1.561+Q25*0.007))</f>
        <v>0</v>
      </c>
      <c r="AB25" s="1929">
        <f t="shared" ref="AB25" si="15">(E25+F25)/10+(C25+D25)*3412/1000000</f>
        <v>0</v>
      </c>
      <c r="AC25" s="254">
        <f>IF(AA25=0,0,G25*AA25)</f>
        <v>0</v>
      </c>
      <c r="AD25" s="255" t="str">
        <f>IF(AA25=0,"",IF(AA25&gt;0,-PV(3%,G25,AA25)/J25,0))</f>
        <v/>
      </c>
      <c r="AE25" s="242" t="str">
        <f t="shared" si="7"/>
        <v/>
      </c>
      <c r="AF25" s="391" t="s">
        <v>500</v>
      </c>
      <c r="AH25" s="2093" t="str">
        <f t="shared" ref="AH25" si="16">IF(J25=0,"",IF(OR(AE25&lt;0,AE25&gt;0.949),"Yes","No"))</f>
        <v/>
      </c>
      <c r="AI25" s="76" t="str">
        <f t="shared" si="12"/>
        <v/>
      </c>
      <c r="AJ25" s="76" t="str">
        <f t="shared" si="13"/>
        <v/>
      </c>
      <c r="AK25" s="76" t="str">
        <f t="shared" ref="AK25" si="17">IF(AB25=0,"",IF((R25+S25)&gt;(U25+V25),"Electric","Gas"))</f>
        <v/>
      </c>
      <c r="AL25" s="2090" t="str">
        <f>IF(AK25="","",IF('Prescriptive Path'!$D$6="Affordable",IF(Savings!AK25="Electric","MPPLIEINC","MPPLIGINC"),IF(Savings!AK25="Electric","MPPMREINC","MPPMRGINC")))</f>
        <v/>
      </c>
    </row>
    <row r="26" spans="1:49">
      <c r="A26" s="2446" t="s">
        <v>260</v>
      </c>
      <c r="B26" s="160" t="s">
        <v>9</v>
      </c>
      <c r="C26" s="461"/>
      <c r="D26" s="462"/>
      <c r="E26" s="462"/>
      <c r="F26" s="462"/>
      <c r="G26" s="463"/>
      <c r="H26" s="466"/>
      <c r="I26" s="466"/>
      <c r="J26" s="2024"/>
      <c r="K26" s="1758"/>
      <c r="L26" s="464"/>
      <c r="M26" s="464"/>
      <c r="N26" s="464"/>
      <c r="O26" s="464"/>
      <c r="P26" s="465"/>
      <c r="Q26" s="462"/>
      <c r="R26" s="466"/>
      <c r="S26" s="466"/>
      <c r="T26" s="466"/>
      <c r="U26" s="466"/>
      <c r="V26" s="466"/>
      <c r="W26" s="466"/>
      <c r="X26" s="466"/>
      <c r="Y26" s="466"/>
      <c r="Z26" s="466"/>
      <c r="AA26" s="466"/>
      <c r="AB26" s="1936"/>
      <c r="AC26" s="466"/>
      <c r="AD26" s="467"/>
      <c r="AE26" s="468" t="str">
        <f t="shared" si="7"/>
        <v/>
      </c>
      <c r="AF26" s="469"/>
      <c r="AH26" s="113"/>
      <c r="AI26" s="114"/>
      <c r="AJ26" s="114"/>
      <c r="AK26" s="114"/>
      <c r="AL26" s="884"/>
    </row>
    <row r="27" spans="1:49">
      <c r="A27" s="2447"/>
      <c r="B27" s="24" t="s">
        <v>10</v>
      </c>
      <c r="C27" s="457">
        <v>0</v>
      </c>
      <c r="D27" s="366">
        <f>IF('Prescriptive Path'!I7="No",'Prescriptive Path'!H25/100*VLOOKUP('Prescriptive Path'!$D$4,ClimateZoneLookup!$A$4:$AQ$65,41)*(13/Proposed!$C$112),'Prescriptive Path'!H25/100*'Gut Rehab Envelope'!F22*(13/Proposed!$C$112))</f>
        <v>0</v>
      </c>
      <c r="E27" s="353">
        <f>IF('Prescriptive Path'!I7="No",'Prescriptive Path'!H25/100*VLOOKUP('Prescriptive Path'!$D$4,ClimateZoneLookup!$A$4:$AQ$65,43)*(0.78/Proposed!$C$113),'Prescriptive Path'!H25/100*'Gut Rehab Envelope'!H22*(0.78/Proposed!$C$113))</f>
        <v>0</v>
      </c>
      <c r="F27" s="353">
        <v>0</v>
      </c>
      <c r="G27" s="365">
        <v>25</v>
      </c>
      <c r="H27" s="458">
        <f>'Prescriptive Path'!H25*Baseline!M32*VLOOKUP('Prescriptive Path'!$D$4,ClimateZoneLookup!$A$4:$AT$65,46)</f>
        <v>0</v>
      </c>
      <c r="I27" s="458">
        <f>'Prescriptive Path'!H25*Proposed!U32*VLOOKUP('Prescriptive Path'!$D$4,ClimateZoneLookup!$A$4:$AT$65,46)</f>
        <v>0</v>
      </c>
      <c r="J27" s="2025">
        <f>I27-H27</f>
        <v>0</v>
      </c>
      <c r="K27" s="1759"/>
      <c r="L27" s="618" t="s">
        <v>503</v>
      </c>
      <c r="M27" s="618" t="s">
        <v>503</v>
      </c>
      <c r="N27" s="618" t="s">
        <v>503</v>
      </c>
      <c r="O27" s="618" t="s">
        <v>503</v>
      </c>
      <c r="P27" s="359">
        <f>IF('Prescriptive Path'!I7="No",'Prescriptive Path'!H25/100*VLOOKUP('Prescriptive Path'!$D$4,ClimateZoneLookup!$A$4:$AQ$65,42)*0.8*(11.1/Proposed!$C$111),'Prescriptive Path'!H25/100*'Gut Rehab Envelope'!G22*0.8*(11.1/Proposed!$C$111))</f>
        <v>0</v>
      </c>
      <c r="Q27" s="353">
        <v>0</v>
      </c>
      <c r="R27" s="458" t="e">
        <f>1.1*D27*HLOOKUP(G27,AvoidCostTable,'Avoided Costs'!$D$44)</f>
        <v>#REF!</v>
      </c>
      <c r="S27" s="458" t="e">
        <f>C27*HLOOKUP(G27,AvoidCostTable,'Avoided Costs'!$D$44)</f>
        <v>#REF!</v>
      </c>
      <c r="T27" s="458" t="e">
        <f>P27*HLOOKUP(G27,AvoidCostTable,'Avoided Costs'!$D$45)</f>
        <v>#REF!</v>
      </c>
      <c r="U27" s="458" t="e">
        <f>E27/10*HLOOKUP(G27,AvoidCostTable,'Avoided Costs'!$D$46)</f>
        <v>#REF!</v>
      </c>
      <c r="V27" s="458" t="e">
        <f>F27/10*HLOOKUP(G27,AvoidCostTable,'Avoided Costs'!$D$47)</f>
        <v>#REF!</v>
      </c>
      <c r="W27" s="458">
        <f>IF('Avoided Costs'!C70="Upstate",-PV('Avoided Costs'!$D$2,G27,Q27*0.003),-PV('Avoided Costs'!$D$2,G27,Q27*0.007))</f>
        <v>0</v>
      </c>
      <c r="X27" s="458">
        <f t="shared" si="0"/>
        <v>0</v>
      </c>
      <c r="Y27" s="458">
        <f t="shared" si="1"/>
        <v>0</v>
      </c>
      <c r="Z27" s="458">
        <f t="shared" si="5"/>
        <v>0</v>
      </c>
      <c r="AA27" s="458">
        <f>IF('Avoided Costs'!$C$44="Upstate",((C27+D27)*0.1814+(E27+F27)*1.561+Q27*0.003),((C27+D27)*0.1814+(E27+F27)*1.561+Q27*0.007))</f>
        <v>0</v>
      </c>
      <c r="AB27" s="1926">
        <f t="shared" ref="AB27:AB28" si="18">(E27+F27)/10+(C27+D27)*3412/1000000</f>
        <v>0</v>
      </c>
      <c r="AC27" s="458">
        <f>IF(AA27=0,0,G27*AA27)</f>
        <v>0</v>
      </c>
      <c r="AD27" s="459" t="str">
        <f>IF(AA27=0,"",IF(AA27&gt;0,-PV(3%,G27,AA27)/J27,0))</f>
        <v/>
      </c>
      <c r="AE27" s="460" t="str">
        <f t="shared" si="7"/>
        <v/>
      </c>
      <c r="AF27" s="171" t="s">
        <v>496</v>
      </c>
      <c r="AH27" s="2093" t="str">
        <f t="shared" ref="AH27:AH28" si="19">IF(J27=0,"",IF(OR(AE27&lt;0,AE27&gt;0.949),"Yes","No"))</f>
        <v/>
      </c>
      <c r="AI27" s="76" t="str">
        <f t="shared" si="12"/>
        <v/>
      </c>
      <c r="AJ27" s="76" t="str">
        <f t="shared" si="13"/>
        <v/>
      </c>
      <c r="AK27" s="76" t="str">
        <f t="shared" ref="AK27:AK28" si="20">IF(AB27=0,"",IF((R27+S27)&gt;(U27+V27),"Electric","Gas"))</f>
        <v/>
      </c>
      <c r="AL27" s="2090" t="str">
        <f>IF(AK27="","",IF('Prescriptive Path'!$D$6="Affordable",IF(Savings!AK27="Electric","MPPLIEINC","MPPLIGINC"),IF(Savings!AK27="Electric","MPPMREINC","MPPMRGINC")))</f>
        <v/>
      </c>
    </row>
    <row r="28" spans="1:49">
      <c r="A28" s="2447"/>
      <c r="B28" s="24" t="s">
        <v>49</v>
      </c>
      <c r="C28" s="470">
        <v>0</v>
      </c>
      <c r="D28" s="354">
        <f>IF('Prescriptive Path'!I7="No",'Prescriptive Path'!H27/100*VLOOKUP('Prescriptive Path'!$D$4,ClimateZoneLookup!$A$4:$AQ$65,41)*(13/Proposed!$C$112),'Prescriptive Path'!H27/100*'Gut Rehab Envelope'!F23*(13/Proposed!$C$112))</f>
        <v>0</v>
      </c>
      <c r="E28" s="333">
        <f>IF('Prescriptive Path'!I7="No",'Prescriptive Path'!H27/100*VLOOKUP('Prescriptive Path'!$D$4,ClimateZoneLookup!$A$4:$AQ$65,43)*(0.78/Proposed!$C$113),'Prescriptive Path'!H27/100*'Gut Rehab Envelope'!H23*(0.78/Proposed!$C$113))</f>
        <v>0</v>
      </c>
      <c r="F28" s="333">
        <v>0</v>
      </c>
      <c r="G28" s="471">
        <v>25</v>
      </c>
      <c r="H28" s="458">
        <f>'Prescriptive Path'!H26*Baseline!M33*VLOOKUP('Prescriptive Path'!$D$4,ClimateZoneLookup!$A$4:$AT$65,46)</f>
        <v>0</v>
      </c>
      <c r="I28" s="472">
        <f>'Prescriptive Path'!H27*Proposed!U33*VLOOKUP('Prescriptive Path'!$D$4,ClimateZoneLookup!$A$4:$AT$65,46)</f>
        <v>0</v>
      </c>
      <c r="J28" s="2026">
        <f>I28-H28</f>
        <v>0</v>
      </c>
      <c r="K28" s="1760"/>
      <c r="L28" s="619" t="s">
        <v>503</v>
      </c>
      <c r="M28" s="619" t="s">
        <v>503</v>
      </c>
      <c r="N28" s="619" t="s">
        <v>503</v>
      </c>
      <c r="O28" s="619" t="s">
        <v>503</v>
      </c>
      <c r="P28" s="360">
        <f>IF('Prescriptive Path'!I7="No",'Prescriptive Path'!H27/100*VLOOKUP('Prescriptive Path'!$D$4,ClimateZoneLookup!$A$4:$AQ$65,42)*0.8*(11.1/Proposed!$C$111),'Prescriptive Path'!H27/100*'Gut Rehab Envelope'!G23*0.8*(11.1/Proposed!$C$111))</f>
        <v>0</v>
      </c>
      <c r="Q28" s="333">
        <v>0</v>
      </c>
      <c r="R28" s="472" t="e">
        <f>1.1*D28*HLOOKUP(G28,AvoidCostTable,'Avoided Costs'!$D$44)</f>
        <v>#REF!</v>
      </c>
      <c r="S28" s="472" t="e">
        <f>C28*HLOOKUP(G28,AvoidCostTable,'Avoided Costs'!$D$44)</f>
        <v>#REF!</v>
      </c>
      <c r="T28" s="472" t="e">
        <f>P28*HLOOKUP(G28,AvoidCostTable,'Avoided Costs'!$D$45)</f>
        <v>#REF!</v>
      </c>
      <c r="U28" s="472" t="e">
        <f>E28/10*HLOOKUP(G28,AvoidCostTable,'Avoided Costs'!$D$46)</f>
        <v>#REF!</v>
      </c>
      <c r="V28" s="472" t="e">
        <f>F28/10*HLOOKUP(G28,AvoidCostTable,'Avoided Costs'!$D$47)</f>
        <v>#REF!</v>
      </c>
      <c r="W28" s="472">
        <f>IF('Avoided Costs'!C71="Upstate",-PV('Avoided Costs'!$D$2,G28,Q28*0.003),-PV('Avoided Costs'!$D$2,G28,Q28*0.007))</f>
        <v>0</v>
      </c>
      <c r="X28" s="472">
        <f t="shared" si="0"/>
        <v>0</v>
      </c>
      <c r="Y28" s="472">
        <f t="shared" si="1"/>
        <v>0</v>
      </c>
      <c r="Z28" s="472">
        <f t="shared" si="5"/>
        <v>0</v>
      </c>
      <c r="AA28" s="472">
        <f>IF('Avoided Costs'!$C$44="Upstate",((C28+D28)*0.1814+(E28+F28)*1.561+Q28*0.003),((C28+D28)*0.1814+(E28+F28)*1.561+Q28*0.007))</f>
        <v>0</v>
      </c>
      <c r="AB28" s="1938">
        <f t="shared" si="18"/>
        <v>0</v>
      </c>
      <c r="AC28" s="472">
        <f>IF(AA28=0,0,G28*AA28)</f>
        <v>0</v>
      </c>
      <c r="AD28" s="473" t="str">
        <f>IF(AA28=0,"",IF(AA28&gt;0,-PV(3%,G28,AA28)/J28,0))</f>
        <v/>
      </c>
      <c r="AE28" s="474" t="str">
        <f t="shared" si="7"/>
        <v/>
      </c>
      <c r="AF28" s="318" t="s">
        <v>496</v>
      </c>
      <c r="AH28" s="2093" t="str">
        <f t="shared" si="19"/>
        <v/>
      </c>
      <c r="AI28" s="76" t="str">
        <f t="shared" si="12"/>
        <v/>
      </c>
      <c r="AJ28" s="76" t="str">
        <f t="shared" si="13"/>
        <v/>
      </c>
      <c r="AK28" s="76" t="str">
        <f t="shared" si="20"/>
        <v/>
      </c>
      <c r="AL28" s="2090" t="str">
        <f>IF(AK28="","",IF('Prescriptive Path'!$D$6="Affordable",IF(Savings!AK28="Electric","MPPLIEINC","MPPLIGINC"),IF(Savings!AK28="Electric","MPPMREINC","MPPMRGINC")))</f>
        <v/>
      </c>
      <c r="AM28" s="14"/>
      <c r="AN28" s="14"/>
      <c r="AO28" s="14"/>
      <c r="AP28" s="14"/>
      <c r="AQ28" s="14"/>
      <c r="AR28" s="14"/>
      <c r="AS28" s="14"/>
      <c r="AT28" s="14"/>
      <c r="AU28" s="14"/>
      <c r="AV28" s="14"/>
      <c r="AW28" s="14"/>
    </row>
    <row r="29" spans="1:49">
      <c r="A29" s="2447"/>
      <c r="B29" s="24" t="s">
        <v>11</v>
      </c>
      <c r="C29" s="475"/>
      <c r="D29" s="322"/>
      <c r="E29" s="322"/>
      <c r="F29" s="322"/>
      <c r="G29" s="321"/>
      <c r="H29" s="478"/>
      <c r="I29" s="478"/>
      <c r="J29" s="2027"/>
      <c r="K29" s="1761"/>
      <c r="L29" s="476"/>
      <c r="M29" s="476"/>
      <c r="N29" s="476"/>
      <c r="O29" s="476"/>
      <c r="P29" s="477"/>
      <c r="Q29" s="322"/>
      <c r="R29" s="478"/>
      <c r="S29" s="478"/>
      <c r="T29" s="478"/>
      <c r="U29" s="478"/>
      <c r="V29" s="478"/>
      <c r="W29" s="478"/>
      <c r="X29" s="478"/>
      <c r="Y29" s="478"/>
      <c r="Z29" s="478"/>
      <c r="AA29" s="478"/>
      <c r="AB29" s="1939"/>
      <c r="AC29" s="478"/>
      <c r="AD29" s="479"/>
      <c r="AE29" s="480"/>
      <c r="AF29" s="481"/>
      <c r="AH29" s="113"/>
      <c r="AI29" s="114"/>
      <c r="AJ29" s="114"/>
      <c r="AK29" s="114"/>
      <c r="AL29" s="884"/>
    </row>
    <row r="30" spans="1:49" ht="15.75" thickBot="1">
      <c r="A30" s="2454"/>
      <c r="B30" s="25" t="s">
        <v>12</v>
      </c>
      <c r="C30" s="361">
        <v>0</v>
      </c>
      <c r="D30" s="207">
        <f>IF('Prescriptive Path'!I7="No",'Prescriptive Path'!H29/100*VLOOKUP('Prescriptive Path'!$D$4,ClimateZoneLookup!$A$4:$AQ$65,41)*(13/Proposed!$C$112),'Prescriptive Path'!H29/100*'Gut Rehab Envelope'!F24*(13/Proposed!$C$112))</f>
        <v>0</v>
      </c>
      <c r="E30" s="208">
        <f>IF('Prescriptive Path'!I7="No",'Prescriptive Path'!H29/100*VLOOKUP('Prescriptive Path'!$D$4,ClimateZoneLookup!$A$4:$AQ$65,43)*(0.78/Proposed!$C$113),'Prescriptive Path'!H29/100*'Gut Rehab Envelope'!H24*(0.78/Proposed!$C$113))</f>
        <v>0</v>
      </c>
      <c r="F30" s="208">
        <v>0</v>
      </c>
      <c r="G30" s="209">
        <v>25</v>
      </c>
      <c r="H30" s="2028">
        <f>'Prescriptive Path'!H29*Baseline!M35*VLOOKUP('Prescriptive Path'!$D$4,ClimateZoneLookup!$A$4:$AT$65,46)</f>
        <v>0</v>
      </c>
      <c r="I30" s="2028">
        <f>'Prescriptive Path'!H29*Proposed!U35*VLOOKUP('Prescriptive Path'!$D$4,ClimateZoneLookup!$A$4:$AT$65,46)</f>
        <v>0</v>
      </c>
      <c r="J30" s="2025">
        <f>I30-H30</f>
        <v>0</v>
      </c>
      <c r="K30" s="1762"/>
      <c r="L30" s="620" t="s">
        <v>503</v>
      </c>
      <c r="M30" s="620" t="s">
        <v>503</v>
      </c>
      <c r="N30" s="620" t="s">
        <v>503</v>
      </c>
      <c r="O30" s="620" t="s">
        <v>503</v>
      </c>
      <c r="P30" s="359">
        <f>IF('Prescriptive Path'!I7="No",'Prescriptive Path'!H29/100*VLOOKUP('Prescriptive Path'!$D$4,ClimateZoneLookup!$A$4:$AQ$65,42)*0.8*(11.1/Proposed!$C$111),'Prescriptive Path'!H29/100*'Gut Rehab Envelope'!G24*0.8*(11.1/Proposed!$C$111))</f>
        <v>0</v>
      </c>
      <c r="Q30" s="208">
        <v>0</v>
      </c>
      <c r="R30" s="211" t="e">
        <f>1.1*D30*HLOOKUP(G30,AvoidCostTable,'Avoided Costs'!$D$44)</f>
        <v>#REF!</v>
      </c>
      <c r="S30" s="211" t="e">
        <f>C30*HLOOKUP(G30,AvoidCostTable,'Avoided Costs'!$D$44)</f>
        <v>#REF!</v>
      </c>
      <c r="T30" s="211" t="e">
        <f>P30*HLOOKUP(G30,AvoidCostTable,'Avoided Costs'!$D$45)</f>
        <v>#REF!</v>
      </c>
      <c r="U30" s="211" t="e">
        <f>E30/10*HLOOKUP(G30,AvoidCostTable,'Avoided Costs'!$D$46)</f>
        <v>#REF!</v>
      </c>
      <c r="V30" s="211" t="e">
        <f>F30/10*HLOOKUP(G30,AvoidCostTable,'Avoided Costs'!$D$47)</f>
        <v>#REF!</v>
      </c>
      <c r="W30" s="211">
        <f>IF('Avoided Costs'!C73="Upstate",-PV('Avoided Costs'!$D$2,G30,Q30*0.003),-PV('Avoided Costs'!$D$2,G30,Q30*0.007))</f>
        <v>0</v>
      </c>
      <c r="X30" s="211">
        <f t="shared" si="0"/>
        <v>0</v>
      </c>
      <c r="Y30" s="211">
        <f t="shared" si="1"/>
        <v>0</v>
      </c>
      <c r="Z30" s="211">
        <f t="shared" si="5"/>
        <v>0</v>
      </c>
      <c r="AA30" s="211">
        <f>IF('Avoided Costs'!$C$44="Upstate",((C30+D30)*0.1814+(E30+F30)*1.561+Q30*0.003),((C30+D30)*0.1814+(E30+F30)*1.561+Q30*0.007))</f>
        <v>0</v>
      </c>
      <c r="AB30" s="1928">
        <v>0</v>
      </c>
      <c r="AC30" s="211">
        <f t="shared" ref="AC30:AC37" si="21">IF(AA30=0,0,G30*AA30)</f>
        <v>0</v>
      </c>
      <c r="AD30" s="212" t="str">
        <f t="shared" ref="AD30:AD37" si="22">IF(AA30=0,"",IF(AA30&gt;0,-PV(3%,G30,AA30)/J30,0))</f>
        <v/>
      </c>
      <c r="AE30" s="213" t="str">
        <f t="shared" si="7"/>
        <v/>
      </c>
      <c r="AF30" s="171" t="s">
        <v>496</v>
      </c>
      <c r="AH30" s="2093" t="str">
        <f t="shared" ref="AH30:AH58" si="23">IF(J30=0,"",IF(OR(AE30&lt;0,AE30&gt;0.949),"Yes","No"))</f>
        <v/>
      </c>
      <c r="AI30" s="76" t="str">
        <f t="shared" si="12"/>
        <v/>
      </c>
      <c r="AJ30" s="76" t="str">
        <f t="shared" si="13"/>
        <v/>
      </c>
      <c r="AK30" s="76" t="str">
        <f t="shared" ref="AK30:AK58" si="24">IF(AB30=0,"",IF((R30+S30)&gt;(U30+V30),"Electric","Gas"))</f>
        <v/>
      </c>
      <c r="AL30" s="2090" t="str">
        <f>IF(AK30="","",IF('Prescriptive Path'!$D$6="Affordable",IF(Savings!AK30="Electric","MPPLIEINC","MPPLIGINC"),IF(Savings!AK30="Electric","MPPMREINC","MPPMRGINC")))</f>
        <v/>
      </c>
    </row>
    <row r="31" spans="1:49" ht="25.5" customHeight="1" thickBot="1">
      <c r="A31" s="256" t="s">
        <v>57</v>
      </c>
      <c r="B31" s="257" t="s">
        <v>58</v>
      </c>
      <c r="C31" s="392">
        <f>'Prescriptive Path'!H48*15.6*365*0.746</f>
        <v>0</v>
      </c>
      <c r="D31" s="392">
        <v>0</v>
      </c>
      <c r="E31" s="258">
        <v>0</v>
      </c>
      <c r="F31" s="258">
        <v>0</v>
      </c>
      <c r="G31" s="393">
        <v>15</v>
      </c>
      <c r="H31" s="259">
        <f>'Prescriptive Path'!H47*Baseline!M36</f>
        <v>0</v>
      </c>
      <c r="I31" s="259">
        <f>'Prescriptive Path'!H47*Proposed!U36</f>
        <v>0</v>
      </c>
      <c r="J31" s="2029">
        <f>I31-H31</f>
        <v>0</v>
      </c>
      <c r="K31" s="1763"/>
      <c r="L31" s="394">
        <v>1.1400000000000001E-4</v>
      </c>
      <c r="M31" s="394">
        <v>1.8500000000000001E-3</v>
      </c>
      <c r="N31" s="394">
        <v>1.1400000000000001E-4</v>
      </c>
      <c r="O31" s="394">
        <v>1.1299999999999999E-3</v>
      </c>
      <c r="P31" s="395">
        <f>IF('Prescriptive Path'!$K$1=4,C31*N31+D31*O31,C31*L31+D31*M31)</f>
        <v>0</v>
      </c>
      <c r="Q31" s="258">
        <v>0</v>
      </c>
      <c r="R31" s="259" t="e">
        <f>1.1*D31*HLOOKUP(G31,AvoidCostTable,'Avoided Costs'!$D$44)</f>
        <v>#REF!</v>
      </c>
      <c r="S31" s="259" t="e">
        <f>C31*HLOOKUP(G31,AvoidCostTable,'Avoided Costs'!$D$44)</f>
        <v>#REF!</v>
      </c>
      <c r="T31" s="259" t="e">
        <f>P31*HLOOKUP(G31,AvoidCostTable,'Avoided Costs'!$D$45)</f>
        <v>#REF!</v>
      </c>
      <c r="U31" s="259" t="e">
        <f>E31/10*HLOOKUP(G31,AvoidCostTable,'Avoided Costs'!$D$46)</f>
        <v>#REF!</v>
      </c>
      <c r="V31" s="259" t="e">
        <f>F31/10*HLOOKUP(G31,AvoidCostTable,'Avoided Costs'!$D$47)</f>
        <v>#REF!</v>
      </c>
      <c r="W31" s="260">
        <f>IF('Avoided Costs'!C74="Upstate",-PV('Avoided Costs'!$D$2,G31,Q31*0.003),-PV('Avoided Costs'!$D$2,G31,Q31*0.007))</f>
        <v>0</v>
      </c>
      <c r="X31" s="259">
        <f t="shared" si="0"/>
        <v>0</v>
      </c>
      <c r="Y31" s="259">
        <f t="shared" si="1"/>
        <v>0</v>
      </c>
      <c r="Z31" s="259">
        <f t="shared" si="5"/>
        <v>0</v>
      </c>
      <c r="AA31" s="260">
        <f>IF('Avoided Costs'!$C$44="Upstate",((C31+D31)*0.1814+(E31+F31)*1.561+Q31*0.003),((C31+D31)*0.1814+(E31+F31)*1.561+Q31*0.007))</f>
        <v>0</v>
      </c>
      <c r="AB31" s="1940">
        <f t="shared" ref="AB31" si="25">(E31+F31)/10+(C31+D31)*3412/1000000</f>
        <v>0</v>
      </c>
      <c r="AC31" s="259">
        <f t="shared" si="21"/>
        <v>0</v>
      </c>
      <c r="AD31" s="261" t="str">
        <f t="shared" si="22"/>
        <v/>
      </c>
      <c r="AE31" s="262" t="str">
        <f t="shared" si="7"/>
        <v/>
      </c>
      <c r="AF31" s="391" t="s">
        <v>563</v>
      </c>
      <c r="AH31" s="2093" t="str">
        <f t="shared" si="23"/>
        <v/>
      </c>
      <c r="AI31" s="76" t="str">
        <f t="shared" si="12"/>
        <v/>
      </c>
      <c r="AJ31" s="76" t="str">
        <f t="shared" si="13"/>
        <v/>
      </c>
      <c r="AK31" s="76" t="str">
        <f t="shared" si="24"/>
        <v/>
      </c>
      <c r="AL31" s="2090" t="str">
        <f>IF(AK31="","",IF('Prescriptive Path'!$D$6="Affordable",IF(Savings!AK31="Electric","MPPLIEINC","MPPLIGINC"),IF(Savings!AK31="Electric","MPPMREINC","MPPMRGINC")))</f>
        <v/>
      </c>
    </row>
    <row r="32" spans="1:49" ht="25.5">
      <c r="A32" s="2456" t="s">
        <v>88</v>
      </c>
      <c r="B32" s="169" t="s">
        <v>338</v>
      </c>
      <c r="C32" s="181">
        <v>0</v>
      </c>
      <c r="D32" s="94">
        <f>'Prescriptive Path'!H49*((12/(Baseline!D38))-(12/(Proposed!D38)))*VLOOKUP('Prescriptive Path'!$D$4,ClimateZoneLookup!$A$4:$AS$65,8,FALSE)</f>
        <v>0</v>
      </c>
      <c r="E32" s="95">
        <v>0</v>
      </c>
      <c r="F32" s="95">
        <v>0</v>
      </c>
      <c r="G32" s="95">
        <v>15</v>
      </c>
      <c r="H32" s="96">
        <f>'Prescriptive Path'!H49*Baseline!M38</f>
        <v>0</v>
      </c>
      <c r="I32" s="96">
        <f>'Prescriptive Path'!H49*Proposed!U38</f>
        <v>0</v>
      </c>
      <c r="J32" s="2030">
        <f>I32-H32</f>
        <v>0</v>
      </c>
      <c r="K32" s="1764"/>
      <c r="L32" s="614" t="s">
        <v>503</v>
      </c>
      <c r="M32" s="614" t="s">
        <v>503</v>
      </c>
      <c r="N32" s="614" t="s">
        <v>503</v>
      </c>
      <c r="O32" s="614" t="s">
        <v>503</v>
      </c>
      <c r="P32" s="356">
        <f>'Prescriptive Path'!H49*(12/Baseline!D38-12/Proposed!D38)*0.8</f>
        <v>0</v>
      </c>
      <c r="Q32" s="276">
        <v>0</v>
      </c>
      <c r="R32" s="96" t="e">
        <f>1.1*D32*HLOOKUP(G32,AvoidCostTable,'Avoided Costs'!$D$44)</f>
        <v>#REF!</v>
      </c>
      <c r="S32" s="96" t="e">
        <f>C32*HLOOKUP(G32,AvoidCostTable,'Avoided Costs'!$D$44)</f>
        <v>#REF!</v>
      </c>
      <c r="T32" s="96" t="e">
        <f>P32*HLOOKUP(G32,AvoidCostTable,'Avoided Costs'!$D$45)</f>
        <v>#REF!</v>
      </c>
      <c r="U32" s="96" t="e">
        <f>E32/10*HLOOKUP(G32,AvoidCostTable,'Avoided Costs'!$D$46)</f>
        <v>#REF!</v>
      </c>
      <c r="V32" s="96" t="e">
        <f>F32/10*HLOOKUP(G32,AvoidCostTable,'Avoided Costs'!$D$47)</f>
        <v>#REF!</v>
      </c>
      <c r="W32" s="177">
        <f>IF('Avoided Costs'!C75="Upstate",-PV('Avoided Costs'!$D$2,G32,Q32*0.003),-PV('Avoided Costs'!$D$2,G32,Q32*0.007))</f>
        <v>0</v>
      </c>
      <c r="X32" s="96">
        <f t="shared" si="0"/>
        <v>0</v>
      </c>
      <c r="Y32" s="96">
        <f t="shared" si="1"/>
        <v>0</v>
      </c>
      <c r="Z32" s="96">
        <f t="shared" si="5"/>
        <v>0</v>
      </c>
      <c r="AA32" s="182">
        <f>IF('Avoided Costs'!$C$44="Upstate",((C32+D32)*0.1814+(E32+F32)*1.561+Q32*0.003),((C32+D32)*0.1814+(E32+F32)*1.561+Q32*0.007))</f>
        <v>0</v>
      </c>
      <c r="AB32" s="1932">
        <f t="shared" ref="AB32:AB75" si="26">(E32+F32)/10+(C32+D32)*3412/1000000</f>
        <v>0</v>
      </c>
      <c r="AC32" s="96">
        <f t="shared" si="21"/>
        <v>0</v>
      </c>
      <c r="AD32" s="97" t="str">
        <f t="shared" si="22"/>
        <v/>
      </c>
      <c r="AE32" s="183" t="str">
        <f t="shared" si="7"/>
        <v/>
      </c>
      <c r="AF32" s="328" t="s">
        <v>496</v>
      </c>
      <c r="AH32" s="2093" t="str">
        <f t="shared" si="23"/>
        <v/>
      </c>
      <c r="AI32" s="76" t="str">
        <f t="shared" si="12"/>
        <v/>
      </c>
      <c r="AJ32" s="76" t="str">
        <f t="shared" si="13"/>
        <v/>
      </c>
      <c r="AK32" s="76" t="str">
        <f t="shared" si="24"/>
        <v/>
      </c>
      <c r="AL32" s="2090" t="str">
        <f>IF(AK32="","",IF('Prescriptive Path'!$D$6="Affordable",IF(Savings!AK32="Electric","MPPLIEINC","MPPLIGINC"),IF(Savings!AK32="Electric","MPPMREINC","MPPMRGINC")))</f>
        <v/>
      </c>
    </row>
    <row r="33" spans="1:38" ht="30" customHeight="1">
      <c r="A33" s="2456"/>
      <c r="B33" s="50" t="s">
        <v>359</v>
      </c>
      <c r="C33" s="98">
        <v>0</v>
      </c>
      <c r="D33" s="99">
        <f>'Prescriptive Path'!H50*((12/(Baseline!D39))-(12/(Proposed!D39)))*VLOOKUP('Prescriptive Path'!$D$4,ClimateZoneLookup!$A$4:$AS$65,8,FALSE)</f>
        <v>0</v>
      </c>
      <c r="E33" s="100">
        <v>0</v>
      </c>
      <c r="F33" s="101">
        <v>0</v>
      </c>
      <c r="G33" s="101">
        <v>15</v>
      </c>
      <c r="H33" s="2031">
        <f>'Prescriptive Path'!H50*Baseline!M39</f>
        <v>0</v>
      </c>
      <c r="I33" s="2031">
        <f>'Prescriptive Path'!H50*Proposed!U39</f>
        <v>0</v>
      </c>
      <c r="J33" s="2031">
        <f t="shared" ref="J33:J37" si="27">I33-H33</f>
        <v>0</v>
      </c>
      <c r="K33" s="1765"/>
      <c r="L33" s="616" t="s">
        <v>503</v>
      </c>
      <c r="M33" s="616" t="s">
        <v>503</v>
      </c>
      <c r="N33" s="616" t="s">
        <v>503</v>
      </c>
      <c r="O33" s="616" t="s">
        <v>503</v>
      </c>
      <c r="P33" s="87">
        <f>'Prescriptive Path'!H50*(12/Baseline!D39-12/Proposed!D39)*0.8</f>
        <v>0</v>
      </c>
      <c r="Q33" s="99">
        <v>0</v>
      </c>
      <c r="R33" s="103" t="e">
        <f>1.1*D33*HLOOKUP(G33,AvoidCostTable,'Avoided Costs'!$D$44)</f>
        <v>#REF!</v>
      </c>
      <c r="S33" s="103" t="e">
        <f>C33*HLOOKUP(G33,AvoidCostTable,'Avoided Costs'!$D$44)</f>
        <v>#REF!</v>
      </c>
      <c r="T33" s="103" t="e">
        <f>P33*HLOOKUP(G33,AvoidCostTable,'Avoided Costs'!$D$45)</f>
        <v>#REF!</v>
      </c>
      <c r="U33" s="103" t="e">
        <f>E33/10*HLOOKUP(G33,AvoidCostTable,'Avoided Costs'!$D$46)</f>
        <v>#REF!</v>
      </c>
      <c r="V33" s="103" t="e">
        <f>F33/10*HLOOKUP(G33,AvoidCostTable,'Avoided Costs'!$D$47)</f>
        <v>#REF!</v>
      </c>
      <c r="W33" s="163">
        <f>IF('Avoided Costs'!C76="Upstate",-PV('Avoided Costs'!$D$2,G33,Q33*0.003),-PV('Avoided Costs'!$D$2,G33,Q33*0.007))</f>
        <v>0</v>
      </c>
      <c r="X33" s="103">
        <f t="shared" ref="X33:X61" si="28">(D33+C33)*HLOOKUP(G33,AvoidCostTable,12,FALSE)</f>
        <v>0</v>
      </c>
      <c r="Y33" s="103">
        <f t="shared" ref="Y33:Y61" si="29">(F33+E33)/10*HLOOKUP(G33,AvoidCostTable,13)</f>
        <v>0</v>
      </c>
      <c r="Z33" s="103">
        <f t="shared" si="5"/>
        <v>0</v>
      </c>
      <c r="AA33" s="163">
        <f>IF('Avoided Costs'!$C$44="Upstate",((C33+D33)*0.1814+(E33+F33)*1.561+Q33*0.003),((C33+D33)*0.1814+(E33+F33)*1.561+Q33*0.007))</f>
        <v>0</v>
      </c>
      <c r="AB33" s="1926">
        <f t="shared" si="26"/>
        <v>0</v>
      </c>
      <c r="AC33" s="103">
        <f t="shared" si="21"/>
        <v>0</v>
      </c>
      <c r="AD33" s="104" t="str">
        <f t="shared" si="22"/>
        <v/>
      </c>
      <c r="AE33" s="184" t="str">
        <f t="shared" si="7"/>
        <v/>
      </c>
      <c r="AF33" s="329" t="s">
        <v>496</v>
      </c>
      <c r="AH33" s="2093" t="str">
        <f t="shared" si="23"/>
        <v/>
      </c>
      <c r="AI33" s="76" t="str">
        <f t="shared" si="12"/>
        <v/>
      </c>
      <c r="AJ33" s="76" t="str">
        <f t="shared" si="13"/>
        <v/>
      </c>
      <c r="AK33" s="76" t="str">
        <f t="shared" si="24"/>
        <v/>
      </c>
      <c r="AL33" s="2090" t="str">
        <f>IF(AK33="","",IF('Prescriptive Path'!$D$6="Affordable",IF(Savings!AK33="Electric","MPPLIEINC","MPPLIGINC"),IF(Savings!AK33="Electric","MPPMREINC","MPPMRGINC")))</f>
        <v/>
      </c>
    </row>
    <row r="34" spans="1:38" ht="25.5">
      <c r="A34" s="2456"/>
      <c r="B34" s="48" t="s">
        <v>360</v>
      </c>
      <c r="C34" s="98">
        <v>0</v>
      </c>
      <c r="D34" s="99">
        <f>'Prescriptive Path'!H51*((12/(Baseline!D40))-(12/(Proposed!D40)))*VLOOKUP('Prescriptive Path'!$D$4,ClimateZoneLookup!$A$4:$AS$65,8,FALSE)</f>
        <v>0</v>
      </c>
      <c r="E34" s="100">
        <v>0</v>
      </c>
      <c r="F34" s="101">
        <v>0</v>
      </c>
      <c r="G34" s="101">
        <v>15</v>
      </c>
      <c r="H34" s="103">
        <f>'Prescriptive Path'!H51*Baseline!M40</f>
        <v>0</v>
      </c>
      <c r="I34" s="103">
        <f>'Prescriptive Path'!H51*Proposed!U40</f>
        <v>0</v>
      </c>
      <c r="J34" s="2015">
        <f t="shared" si="27"/>
        <v>0</v>
      </c>
      <c r="K34" s="1749"/>
      <c r="L34" s="616" t="s">
        <v>503</v>
      </c>
      <c r="M34" s="616" t="s">
        <v>503</v>
      </c>
      <c r="N34" s="616" t="s">
        <v>503</v>
      </c>
      <c r="O34" s="616" t="s">
        <v>503</v>
      </c>
      <c r="P34" s="87">
        <f>'Prescriptive Path'!H51*(12/Baseline!D40-12/Proposed!D40)*0.8</f>
        <v>0</v>
      </c>
      <c r="Q34" s="99">
        <v>0</v>
      </c>
      <c r="R34" s="103" t="e">
        <f>1.1*D34*HLOOKUP(G34,AvoidCostTable,'Avoided Costs'!$D$44)</f>
        <v>#REF!</v>
      </c>
      <c r="S34" s="103" t="e">
        <f>C34*HLOOKUP(G34,AvoidCostTable,'Avoided Costs'!$D$44)</f>
        <v>#REF!</v>
      </c>
      <c r="T34" s="103" t="e">
        <f>P34*HLOOKUP(G34,AvoidCostTable,'Avoided Costs'!$D$45)</f>
        <v>#REF!</v>
      </c>
      <c r="U34" s="103" t="e">
        <f>E34/10*HLOOKUP(G34,AvoidCostTable,'Avoided Costs'!$D$46)</f>
        <v>#REF!</v>
      </c>
      <c r="V34" s="103" t="e">
        <f>F34/10*HLOOKUP(G34,AvoidCostTable,'Avoided Costs'!$D$47)</f>
        <v>#REF!</v>
      </c>
      <c r="W34" s="163">
        <f>IF('Avoided Costs'!C77="Upstate",-PV('Avoided Costs'!$D$2,G34,Q34*0.003),-PV('Avoided Costs'!$D$2,G34,Q34*0.007))</f>
        <v>0</v>
      </c>
      <c r="X34" s="103">
        <f t="shared" si="28"/>
        <v>0</v>
      </c>
      <c r="Y34" s="103">
        <f t="shared" si="29"/>
        <v>0</v>
      </c>
      <c r="Z34" s="103">
        <f t="shared" si="5"/>
        <v>0</v>
      </c>
      <c r="AA34" s="163">
        <f>IF('Avoided Costs'!$C$44="Upstate",((C34+D34)*0.1814+(E34+F34)*1.561+Q34*0.003),((C34+D34)*0.1814+(E34+F34)*1.561+Q34*0.007))</f>
        <v>0</v>
      </c>
      <c r="AB34" s="1926">
        <f t="shared" si="26"/>
        <v>0</v>
      </c>
      <c r="AC34" s="103">
        <f t="shared" si="21"/>
        <v>0</v>
      </c>
      <c r="AD34" s="104" t="str">
        <f t="shared" si="22"/>
        <v/>
      </c>
      <c r="AE34" s="184" t="str">
        <f t="shared" si="7"/>
        <v/>
      </c>
      <c r="AF34" s="329" t="s">
        <v>496</v>
      </c>
      <c r="AH34" s="2093" t="str">
        <f t="shared" si="23"/>
        <v/>
      </c>
      <c r="AI34" s="76" t="str">
        <f t="shared" si="12"/>
        <v/>
      </c>
      <c r="AJ34" s="76" t="str">
        <f t="shared" si="13"/>
        <v/>
      </c>
      <c r="AK34" s="76" t="str">
        <f t="shared" si="24"/>
        <v/>
      </c>
      <c r="AL34" s="2090" t="str">
        <f>IF(AK34="","",IF('Prescriptive Path'!$D$6="Affordable",IF(Savings!AK34="Electric","MPPLIEINC","MPPLIGINC"),IF(Savings!AK34="Electric","MPPMREINC","MPPMRGINC")))</f>
        <v/>
      </c>
    </row>
    <row r="35" spans="1:38" ht="25.5">
      <c r="A35" s="2456"/>
      <c r="B35" s="26" t="s">
        <v>361</v>
      </c>
      <c r="C35" s="98">
        <v>0</v>
      </c>
      <c r="D35" s="99">
        <f>'Prescriptive Path'!H52*((12/(Baseline!D41))-(12/(Proposed!D41)))*VLOOKUP('Prescriptive Path'!$D$4,ClimateZoneLookup!$A$4:$AS$65,8,FALSE)</f>
        <v>0</v>
      </c>
      <c r="E35" s="100">
        <v>0</v>
      </c>
      <c r="F35" s="101">
        <v>0</v>
      </c>
      <c r="G35" s="101">
        <v>15</v>
      </c>
      <c r="H35" s="2031">
        <f>'Prescriptive Path'!H52*Baseline!M41</f>
        <v>0</v>
      </c>
      <c r="I35" s="2031">
        <f>'Prescriptive Path'!H52*Proposed!U41</f>
        <v>0</v>
      </c>
      <c r="J35" s="2031">
        <f t="shared" si="27"/>
        <v>0</v>
      </c>
      <c r="K35" s="1765"/>
      <c r="L35" s="616" t="s">
        <v>503</v>
      </c>
      <c r="M35" s="616" t="s">
        <v>503</v>
      </c>
      <c r="N35" s="616" t="s">
        <v>503</v>
      </c>
      <c r="O35" s="616" t="s">
        <v>503</v>
      </c>
      <c r="P35" s="87">
        <f>'Prescriptive Path'!H52*(12/Baseline!D41-12/Proposed!D41)*0.8</f>
        <v>0</v>
      </c>
      <c r="Q35" s="99">
        <v>0</v>
      </c>
      <c r="R35" s="103" t="e">
        <f>1.1*D35*HLOOKUP(G35,AvoidCostTable,'Avoided Costs'!$D$44)</f>
        <v>#REF!</v>
      </c>
      <c r="S35" s="103" t="e">
        <f>C35*HLOOKUP(G35,AvoidCostTable,'Avoided Costs'!$D$44)</f>
        <v>#REF!</v>
      </c>
      <c r="T35" s="103" t="e">
        <f>P35*HLOOKUP(G35,AvoidCostTable,'Avoided Costs'!$D$45)</f>
        <v>#REF!</v>
      </c>
      <c r="U35" s="103" t="e">
        <f>E35/10*HLOOKUP(G35,AvoidCostTable,'Avoided Costs'!$D$46)</f>
        <v>#REF!</v>
      </c>
      <c r="V35" s="103" t="e">
        <f>F35/10*HLOOKUP(G35,AvoidCostTable,'Avoided Costs'!$D$47)</f>
        <v>#REF!</v>
      </c>
      <c r="W35" s="163">
        <f>IF('Avoided Costs'!C78="Upstate",-PV('Avoided Costs'!$D$2,G35,Q35*0.003),-PV('Avoided Costs'!$D$2,G35,Q35*0.007))</f>
        <v>0</v>
      </c>
      <c r="X35" s="103">
        <f t="shared" si="28"/>
        <v>0</v>
      </c>
      <c r="Y35" s="103">
        <f t="shared" si="29"/>
        <v>0</v>
      </c>
      <c r="Z35" s="103">
        <f t="shared" si="5"/>
        <v>0</v>
      </c>
      <c r="AA35" s="163">
        <f>IF('Avoided Costs'!$C$44="Upstate",((C35+D35)*0.1814+(E35+F35)*1.561+Q35*0.003),((C35+D35)*0.1814+(E35+F35)*1.561+Q35*0.007))</f>
        <v>0</v>
      </c>
      <c r="AB35" s="1926">
        <f t="shared" si="26"/>
        <v>0</v>
      </c>
      <c r="AC35" s="103">
        <f t="shared" si="21"/>
        <v>0</v>
      </c>
      <c r="AD35" s="104" t="str">
        <f t="shared" si="22"/>
        <v/>
      </c>
      <c r="AE35" s="184" t="str">
        <f t="shared" si="7"/>
        <v/>
      </c>
      <c r="AF35" s="329" t="s">
        <v>496</v>
      </c>
      <c r="AH35" s="2093" t="str">
        <f t="shared" si="23"/>
        <v/>
      </c>
      <c r="AI35" s="76" t="str">
        <f t="shared" si="12"/>
        <v/>
      </c>
      <c r="AJ35" s="76" t="str">
        <f t="shared" si="13"/>
        <v/>
      </c>
      <c r="AK35" s="76" t="str">
        <f t="shared" si="24"/>
        <v/>
      </c>
      <c r="AL35" s="2090" t="str">
        <f>IF(AK35="","",IF('Prescriptive Path'!$D$6="Affordable",IF(Savings!AK35="Electric","MPPLIEINC","MPPLIGINC"),IF(Savings!AK35="Electric","MPPMREINC","MPPMRGINC")))</f>
        <v/>
      </c>
    </row>
    <row r="36" spans="1:38" ht="25.5" customHeight="1">
      <c r="A36" s="2456"/>
      <c r="B36" s="26" t="s">
        <v>362</v>
      </c>
      <c r="C36" s="98">
        <v>0</v>
      </c>
      <c r="D36" s="99">
        <f>'Prescriptive Path'!H53*((12/(Baseline!D42))-(12/(Proposed!D42)))*VLOOKUP('Prescriptive Path'!$D$4,ClimateZoneLookup!$A$4:$AS$65,8,FALSE)</f>
        <v>0</v>
      </c>
      <c r="E36" s="100">
        <v>0</v>
      </c>
      <c r="F36" s="101">
        <v>0</v>
      </c>
      <c r="G36" s="101">
        <v>15</v>
      </c>
      <c r="H36" s="103">
        <f>'Prescriptive Path'!H53*Baseline!M42</f>
        <v>0</v>
      </c>
      <c r="I36" s="103">
        <f>'Prescriptive Path'!H53*Proposed!U42</f>
        <v>0</v>
      </c>
      <c r="J36" s="2015">
        <f t="shared" si="27"/>
        <v>0</v>
      </c>
      <c r="K36" s="1749"/>
      <c r="L36" s="616" t="s">
        <v>503</v>
      </c>
      <c r="M36" s="616" t="s">
        <v>503</v>
      </c>
      <c r="N36" s="616" t="s">
        <v>503</v>
      </c>
      <c r="O36" s="616" t="s">
        <v>503</v>
      </c>
      <c r="P36" s="87">
        <f>'Prescriptive Path'!H53*(12/Baseline!D42-12/Proposed!D42)*0.8</f>
        <v>0</v>
      </c>
      <c r="Q36" s="99">
        <v>0</v>
      </c>
      <c r="R36" s="103" t="e">
        <f>1.1*D36*HLOOKUP(G36,AvoidCostTable,'Avoided Costs'!$D$44)</f>
        <v>#REF!</v>
      </c>
      <c r="S36" s="103" t="e">
        <f>C36*HLOOKUP(G36,AvoidCostTable,'Avoided Costs'!$D$44)</f>
        <v>#REF!</v>
      </c>
      <c r="T36" s="103" t="e">
        <f>P36*HLOOKUP(G36,AvoidCostTable,'Avoided Costs'!$D$45)</f>
        <v>#REF!</v>
      </c>
      <c r="U36" s="103" t="e">
        <f>E36/10*HLOOKUP(G36,AvoidCostTable,'Avoided Costs'!$D$46)</f>
        <v>#REF!</v>
      </c>
      <c r="V36" s="103" t="e">
        <f>F36/10*HLOOKUP(G36,AvoidCostTable,'Avoided Costs'!$D$47)</f>
        <v>#REF!</v>
      </c>
      <c r="W36" s="163">
        <f>IF('Avoided Costs'!C79="Upstate",-PV('Avoided Costs'!$D$2,G36,Q36*0.003),-PV('Avoided Costs'!$D$2,G36,Q36*0.007))</f>
        <v>0</v>
      </c>
      <c r="X36" s="103">
        <f t="shared" si="28"/>
        <v>0</v>
      </c>
      <c r="Y36" s="103">
        <f t="shared" si="29"/>
        <v>0</v>
      </c>
      <c r="Z36" s="103">
        <f t="shared" si="5"/>
        <v>0</v>
      </c>
      <c r="AA36" s="163">
        <f>IF('Avoided Costs'!$C$44="Upstate",((C36+D36)*0.1814+(E36+F36)*1.561+Q36*0.003),((C36+D36)*0.1814+(E36+F36)*1.561+Q36*0.007))</f>
        <v>0</v>
      </c>
      <c r="AB36" s="1926">
        <f t="shared" si="26"/>
        <v>0</v>
      </c>
      <c r="AC36" s="103">
        <f t="shared" si="21"/>
        <v>0</v>
      </c>
      <c r="AD36" s="104" t="str">
        <f t="shared" si="22"/>
        <v/>
      </c>
      <c r="AE36" s="184" t="str">
        <f t="shared" si="7"/>
        <v/>
      </c>
      <c r="AF36" s="329" t="s">
        <v>496</v>
      </c>
      <c r="AH36" s="2093" t="str">
        <f t="shared" si="23"/>
        <v/>
      </c>
      <c r="AI36" s="76" t="str">
        <f t="shared" si="12"/>
        <v/>
      </c>
      <c r="AJ36" s="76" t="str">
        <f t="shared" si="13"/>
        <v/>
      </c>
      <c r="AK36" s="76" t="str">
        <f t="shared" si="24"/>
        <v/>
      </c>
      <c r="AL36" s="2090" t="str">
        <f>IF(AK36="","",IF('Prescriptive Path'!$D$6="Affordable",IF(Savings!AK36="Electric","MPPLIEINC","MPPLIGINC"),IF(Savings!AK36="Electric","MPPMREINC","MPPMRGINC")))</f>
        <v/>
      </c>
    </row>
    <row r="37" spans="1:38" ht="25.5" customHeight="1">
      <c r="A37" s="2456"/>
      <c r="B37" s="26" t="s">
        <v>363</v>
      </c>
      <c r="C37" s="200">
        <v>0</v>
      </c>
      <c r="D37" s="201">
        <f>'Prescriptive Path'!H54*((12/(Baseline!D43))-(12/(Proposed!D43)))*VLOOKUP('Prescriptive Path'!$D$4,ClimateZoneLookup!$A$4:$AS$65,8,FALSE)</f>
        <v>0</v>
      </c>
      <c r="E37" s="110">
        <v>0</v>
      </c>
      <c r="F37" s="111">
        <v>0</v>
      </c>
      <c r="G37" s="111">
        <v>15</v>
      </c>
      <c r="H37" s="2032">
        <f>'Prescriptive Path'!H54*Baseline!M43</f>
        <v>0</v>
      </c>
      <c r="I37" s="2032">
        <f>'Prescriptive Path'!H54*Proposed!U43</f>
        <v>0</v>
      </c>
      <c r="J37" s="2032">
        <f t="shared" si="27"/>
        <v>0</v>
      </c>
      <c r="K37" s="1766"/>
      <c r="L37" s="619" t="s">
        <v>503</v>
      </c>
      <c r="M37" s="619" t="s">
        <v>503</v>
      </c>
      <c r="N37" s="619" t="s">
        <v>503</v>
      </c>
      <c r="O37" s="619" t="s">
        <v>503</v>
      </c>
      <c r="P37" s="362">
        <f>'Prescriptive Path'!H54*(12/Baseline!D43-12/Proposed!D43)*0.8</f>
        <v>0</v>
      </c>
      <c r="Q37" s="277">
        <v>0</v>
      </c>
      <c r="R37" s="121" t="e">
        <f>1.1*D37*HLOOKUP(G37,AvoidCostTable,'Avoided Costs'!$D$44)</f>
        <v>#REF!</v>
      </c>
      <c r="S37" s="121" t="e">
        <f>C37*HLOOKUP(G37,AvoidCostTable,'Avoided Costs'!$D$44)</f>
        <v>#REF!</v>
      </c>
      <c r="T37" s="121" t="e">
        <f>P37*HLOOKUP(G37,AvoidCostTable,'Avoided Costs'!$D$45)</f>
        <v>#REF!</v>
      </c>
      <c r="U37" s="121" t="e">
        <f>E37/10*HLOOKUP(G37,AvoidCostTable,'Avoided Costs'!$D$46)</f>
        <v>#REF!</v>
      </c>
      <c r="V37" s="121" t="e">
        <f>F37/10*HLOOKUP(G37,AvoidCostTable,'Avoided Costs'!$D$47)</f>
        <v>#REF!</v>
      </c>
      <c r="W37" s="164">
        <f>IF('Avoided Costs'!C80="Upstate",-PV('Avoided Costs'!$D$2,G37,Q37*0.003),-PV('Avoided Costs'!$D$2,G37,Q37*0.007))</f>
        <v>0</v>
      </c>
      <c r="X37" s="121">
        <f t="shared" si="28"/>
        <v>0</v>
      </c>
      <c r="Y37" s="121">
        <f t="shared" si="29"/>
        <v>0</v>
      </c>
      <c r="Z37" s="121">
        <f t="shared" si="5"/>
        <v>0</v>
      </c>
      <c r="AA37" s="164">
        <f>IF('Avoided Costs'!$C$44="Upstate",((C37+D37)*0.1814+(E37+F37)*1.561+Q37*0.003),((C37+D37)*0.1814+(E37+F37)*1.561+Q37*0.007))</f>
        <v>0</v>
      </c>
      <c r="AB37" s="1927">
        <f t="shared" si="26"/>
        <v>0</v>
      </c>
      <c r="AC37" s="121">
        <f t="shared" si="21"/>
        <v>0</v>
      </c>
      <c r="AD37" s="122" t="str">
        <f t="shared" si="22"/>
        <v/>
      </c>
      <c r="AE37" s="195" t="str">
        <f t="shared" si="7"/>
        <v/>
      </c>
      <c r="AF37" s="329" t="s">
        <v>496</v>
      </c>
      <c r="AH37" s="2093" t="str">
        <f t="shared" si="23"/>
        <v/>
      </c>
      <c r="AI37" s="76" t="str">
        <f t="shared" si="12"/>
        <v/>
      </c>
      <c r="AJ37" s="76" t="str">
        <f t="shared" si="13"/>
        <v/>
      </c>
      <c r="AK37" s="76" t="str">
        <f t="shared" si="24"/>
        <v/>
      </c>
      <c r="AL37" s="2090" t="str">
        <f>IF(AK37="","",IF('Prescriptive Path'!$D$6="Affordable",IF(Savings!AK37="Electric","MPPLIEINC","MPPLIGINC"),IF(Savings!AK37="Electric","MPPMREINC","MPPMRGINC")))</f>
        <v/>
      </c>
    </row>
    <row r="38" spans="1:38" ht="25.5" customHeight="1">
      <c r="A38" s="2456"/>
      <c r="B38" s="197" t="s">
        <v>345</v>
      </c>
      <c r="C38" s="320"/>
      <c r="D38" s="321"/>
      <c r="E38" s="321"/>
      <c r="F38" s="321"/>
      <c r="G38" s="321"/>
      <c r="H38" s="478"/>
      <c r="I38" s="478"/>
      <c r="J38" s="2027"/>
      <c r="K38" s="1761"/>
      <c r="L38" s="321"/>
      <c r="M38" s="321"/>
      <c r="N38" s="321"/>
      <c r="O38" s="321"/>
      <c r="P38" s="321"/>
      <c r="Q38" s="322"/>
      <c r="R38" s="321"/>
      <c r="S38" s="321"/>
      <c r="T38" s="321"/>
      <c r="U38" s="321"/>
      <c r="V38" s="321"/>
      <c r="W38" s="321"/>
      <c r="X38" s="321"/>
      <c r="Y38" s="321"/>
      <c r="Z38" s="321"/>
      <c r="AA38" s="321"/>
      <c r="AB38" s="1941"/>
      <c r="AC38" s="321"/>
      <c r="AD38" s="321"/>
      <c r="AE38" s="323"/>
      <c r="AF38" s="319"/>
      <c r="AH38" s="113"/>
      <c r="AI38" s="114"/>
      <c r="AJ38" s="114"/>
      <c r="AK38" s="114"/>
      <c r="AL38" s="884"/>
    </row>
    <row r="39" spans="1:38" ht="25.5">
      <c r="A39" s="2456"/>
      <c r="B39" s="158" t="s">
        <v>341</v>
      </c>
      <c r="C39" s="330">
        <v>0</v>
      </c>
      <c r="D39" s="85">
        <v>0</v>
      </c>
      <c r="E39" s="84">
        <f>'Prescriptive Path'!H56*1000*(1-0.78/Proposed!C45)*VLOOKUP('Prescriptive Path'!$D$4,ClimateZoneLookup!$A$2:$J$65,9)/100</f>
        <v>0</v>
      </c>
      <c r="F39" s="85">
        <v>0</v>
      </c>
      <c r="G39" s="85">
        <v>20</v>
      </c>
      <c r="H39" s="88">
        <f>'Prescriptive Path'!H56*Baseline!M45</f>
        <v>0</v>
      </c>
      <c r="I39" s="88">
        <f>'Prescriptive Path'!H56*Proposed!U45</f>
        <v>0</v>
      </c>
      <c r="J39" s="2015">
        <f>I39-H39</f>
        <v>0</v>
      </c>
      <c r="K39" s="1767"/>
      <c r="L39" s="102" t="s">
        <v>503</v>
      </c>
      <c r="M39" s="102" t="s">
        <v>503</v>
      </c>
      <c r="N39" s="102" t="s">
        <v>503</v>
      </c>
      <c r="O39" s="102" t="s">
        <v>503</v>
      </c>
      <c r="P39" s="621">
        <v>0</v>
      </c>
      <c r="Q39" s="300">
        <v>0</v>
      </c>
      <c r="R39" s="299" t="e">
        <f>1.1*D39*HLOOKUP(G39,AvoidCostTable,'Avoided Costs'!$D$44)</f>
        <v>#REF!</v>
      </c>
      <c r="S39" s="299" t="e">
        <f>C39*HLOOKUP(G39,AvoidCostTable,'Avoided Costs'!$D$44)</f>
        <v>#REF!</v>
      </c>
      <c r="T39" s="299" t="e">
        <f>P39*HLOOKUP(G39,AvoidCostTable,'Avoided Costs'!$D$45)</f>
        <v>#REF!</v>
      </c>
      <c r="U39" s="299" t="e">
        <f>E39/10*HLOOKUP(G39,AvoidCostTable,'Avoided Costs'!$D$46)</f>
        <v>#REF!</v>
      </c>
      <c r="V39" s="299" t="e">
        <f>F39/10*HLOOKUP(G39,AvoidCostTable,'Avoided Costs'!$D$47)</f>
        <v>#REF!</v>
      </c>
      <c r="W39" s="202">
        <f>IF('Avoided Costs'!C82="Upstate",-PV('Avoided Costs'!$D$2,G39,Q39*0.003),-PV('Avoided Costs'!$D$2,G39,Q39*0.007))</f>
        <v>0</v>
      </c>
      <c r="X39" s="299">
        <f t="shared" si="28"/>
        <v>0</v>
      </c>
      <c r="Y39" s="299">
        <f t="shared" si="29"/>
        <v>0</v>
      </c>
      <c r="Z39" s="299">
        <f t="shared" si="5"/>
        <v>0</v>
      </c>
      <c r="AA39" s="202">
        <f>IF('Avoided Costs'!$C$44="Upstate",((C39+D39)*0.1814+(E39+F39)*1.561+Q39*0.003),((C39+D39)*0.1814+(E39+F39)*1.561+Q39*0.007))</f>
        <v>0</v>
      </c>
      <c r="AB39" s="1942">
        <f t="shared" si="26"/>
        <v>0</v>
      </c>
      <c r="AC39" s="299">
        <f t="shared" ref="AC39:AC40" si="30">IF(AA39=0,0,G39*AA39)</f>
        <v>0</v>
      </c>
      <c r="AD39" s="301" t="str">
        <f t="shared" ref="AD39:AD40" si="31">IF(AA39=0,"",IF(AA39&gt;0,-PV(3%,G39,AA39)/J39,0))</f>
        <v/>
      </c>
      <c r="AE39" s="302" t="str">
        <f t="shared" ref="AE39:AE40" si="32">IF(J39=0,"",Z39/(J39-W39))</f>
        <v/>
      </c>
      <c r="AF39" s="329" t="s">
        <v>496</v>
      </c>
      <c r="AH39" s="2093" t="str">
        <f t="shared" si="23"/>
        <v/>
      </c>
      <c r="AI39" s="76" t="str">
        <f t="shared" si="12"/>
        <v/>
      </c>
      <c r="AJ39" s="76" t="str">
        <f t="shared" si="13"/>
        <v/>
      </c>
      <c r="AK39" s="76" t="str">
        <f t="shared" si="24"/>
        <v/>
      </c>
      <c r="AL39" s="2090" t="str">
        <f>IF(AK39="","",IF('Prescriptive Path'!$D$6="Affordable",IF(Savings!AK39="Electric","MPPLIEINC","MPPLIGINC"),IF(Savings!AK39="Electric","MPPMREINC","MPPMRGINC")))</f>
        <v/>
      </c>
    </row>
    <row r="40" spans="1:38" ht="25.5">
      <c r="A40" s="2456"/>
      <c r="B40" s="158" t="s">
        <v>342</v>
      </c>
      <c r="C40" s="330">
        <v>0</v>
      </c>
      <c r="D40" s="85">
        <v>0</v>
      </c>
      <c r="E40" s="84">
        <f>'Prescriptive Path'!H57*1000*(1-0.78/Proposed!C46)*VLOOKUP('Prescriptive Path'!$D$4,ClimateZoneLookup!$A$2:$J$65,9)/100</f>
        <v>0</v>
      </c>
      <c r="F40" s="85">
        <v>0</v>
      </c>
      <c r="G40" s="85">
        <v>20</v>
      </c>
      <c r="H40" s="88">
        <f>'Prescriptive Path'!H57*Baseline!M46</f>
        <v>0</v>
      </c>
      <c r="I40" s="88">
        <f>'Prescriptive Path'!H57*Proposed!U46</f>
        <v>0</v>
      </c>
      <c r="J40" s="2015">
        <f t="shared" ref="J40:J50" si="33">I40-H40</f>
        <v>0</v>
      </c>
      <c r="K40" s="1767"/>
      <c r="L40" s="102" t="s">
        <v>503</v>
      </c>
      <c r="M40" s="102" t="s">
        <v>503</v>
      </c>
      <c r="N40" s="102" t="s">
        <v>503</v>
      </c>
      <c r="O40" s="102" t="s">
        <v>503</v>
      </c>
      <c r="P40" s="621">
        <v>0</v>
      </c>
      <c r="Q40" s="300">
        <v>0</v>
      </c>
      <c r="R40" s="299" t="e">
        <f>1.1*D40*HLOOKUP(G40,AvoidCostTable,'Avoided Costs'!$D$44)</f>
        <v>#REF!</v>
      </c>
      <c r="S40" s="299" t="e">
        <f>C40*HLOOKUP(G40,AvoidCostTable,'Avoided Costs'!$D$44)</f>
        <v>#REF!</v>
      </c>
      <c r="T40" s="299" t="e">
        <f>P40*HLOOKUP(G40,AvoidCostTable,'Avoided Costs'!$D$45)</f>
        <v>#REF!</v>
      </c>
      <c r="U40" s="299" t="e">
        <f>E40/10*HLOOKUP(G40,AvoidCostTable,'Avoided Costs'!$D$46)</f>
        <v>#REF!</v>
      </c>
      <c r="V40" s="299" t="e">
        <f>F40/10*HLOOKUP(G40,AvoidCostTable,'Avoided Costs'!$D$47)</f>
        <v>#REF!</v>
      </c>
      <c r="W40" s="202">
        <f>IF('Avoided Costs'!C83="Upstate",-PV('Avoided Costs'!$D$2,G40,Q40*0.003),-PV('Avoided Costs'!$D$2,G40,Q40*0.007))</f>
        <v>0</v>
      </c>
      <c r="X40" s="299">
        <f t="shared" si="28"/>
        <v>0</v>
      </c>
      <c r="Y40" s="299">
        <f t="shared" si="29"/>
        <v>0</v>
      </c>
      <c r="Z40" s="299">
        <f t="shared" si="5"/>
        <v>0</v>
      </c>
      <c r="AA40" s="202">
        <f>IF('Avoided Costs'!$C$44="Upstate",((C40+D40)*0.1814+(E40+F40)*1.561+Q40*0.003),((C40+D40)*0.1814+(E40+F40)*1.561+Q40*0.007))</f>
        <v>0</v>
      </c>
      <c r="AB40" s="1942">
        <f t="shared" si="26"/>
        <v>0</v>
      </c>
      <c r="AC40" s="299">
        <f t="shared" si="30"/>
        <v>0</v>
      </c>
      <c r="AD40" s="301" t="str">
        <f t="shared" si="31"/>
        <v/>
      </c>
      <c r="AE40" s="302" t="str">
        <f t="shared" si="32"/>
        <v/>
      </c>
      <c r="AF40" s="329" t="s">
        <v>496</v>
      </c>
      <c r="AH40" s="2093" t="str">
        <f t="shared" si="23"/>
        <v/>
      </c>
      <c r="AI40" s="76" t="str">
        <f t="shared" si="12"/>
        <v/>
      </c>
      <c r="AJ40" s="76" t="str">
        <f t="shared" si="13"/>
        <v/>
      </c>
      <c r="AK40" s="76" t="str">
        <f t="shared" si="24"/>
        <v/>
      </c>
      <c r="AL40" s="2090" t="str">
        <f>IF(AK40="","",IF('Prescriptive Path'!$D$6="Affordable",IF(Savings!AK40="Electric","MPPLIEINC","MPPLIGINC"),IF(Savings!AK40="Electric","MPPMREINC","MPPMRGINC")))</f>
        <v/>
      </c>
    </row>
    <row r="41" spans="1:38">
      <c r="A41" s="2456"/>
      <c r="B41" s="158" t="s">
        <v>343</v>
      </c>
      <c r="C41" s="363">
        <v>0</v>
      </c>
      <c r="D41" s="364">
        <v>0</v>
      </c>
      <c r="E41" s="353">
        <f>'Prescriptive Path'!H58*1000*(1-0.78/Proposed!C47)*VLOOKUP('Prescriptive Path'!$D$4,ClimateZoneLookup!$A$2:$J$65,9)/100</f>
        <v>0</v>
      </c>
      <c r="F41" s="353">
        <v>0</v>
      </c>
      <c r="G41" s="365">
        <v>20</v>
      </c>
      <c r="H41" s="88">
        <f>'Prescriptive Path'!H58*Baseline!M47</f>
        <v>0</v>
      </c>
      <c r="I41" s="88">
        <f>'Prescriptive Path'!H58*Proposed!U47</f>
        <v>0</v>
      </c>
      <c r="J41" s="2025">
        <f t="shared" si="33"/>
        <v>0</v>
      </c>
      <c r="K41" s="1759"/>
      <c r="L41" s="102" t="s">
        <v>503</v>
      </c>
      <c r="M41" s="102" t="s">
        <v>503</v>
      </c>
      <c r="N41" s="102" t="s">
        <v>503</v>
      </c>
      <c r="O41" s="102" t="s">
        <v>503</v>
      </c>
      <c r="P41" s="622">
        <v>0</v>
      </c>
      <c r="Q41" s="300">
        <v>0</v>
      </c>
      <c r="R41" s="299" t="e">
        <f>1.1*D41*HLOOKUP(G41,AvoidCostTable,'Avoided Costs'!$D$44)</f>
        <v>#REF!</v>
      </c>
      <c r="S41" s="299" t="e">
        <f>C41*HLOOKUP(G41,AvoidCostTable,'Avoided Costs'!$D$44)</f>
        <v>#REF!</v>
      </c>
      <c r="T41" s="299" t="e">
        <f>P41*HLOOKUP(G41,AvoidCostTable,'Avoided Costs'!$D$45)</f>
        <v>#REF!</v>
      </c>
      <c r="U41" s="299" t="e">
        <f>E41/10*HLOOKUP(G41,AvoidCostTable,'Avoided Costs'!$D$46)</f>
        <v>#REF!</v>
      </c>
      <c r="V41" s="299" t="e">
        <f>F41/10*HLOOKUP(G41,AvoidCostTable,'Avoided Costs'!$D$47)</f>
        <v>#REF!</v>
      </c>
      <c r="W41" s="202">
        <f>IF('Avoided Costs'!C84="Upstate",-PV('Avoided Costs'!$D$2,G41,Q41*0.003),-PV('Avoided Costs'!$D$2,G41,Q41*0.007))</f>
        <v>0</v>
      </c>
      <c r="X41" s="299">
        <f t="shared" si="28"/>
        <v>0</v>
      </c>
      <c r="Y41" s="299">
        <f t="shared" si="29"/>
        <v>0</v>
      </c>
      <c r="Z41" s="299">
        <f t="shared" si="5"/>
        <v>0</v>
      </c>
      <c r="AA41" s="202">
        <f>IF('Avoided Costs'!$C$44="Upstate",((C41+D41)*0.1814+(E41+F41)*1.561+Q41*0.003),((C41+D41)*0.1814+(E41+F41)*1.561+Q41*0.007))</f>
        <v>0</v>
      </c>
      <c r="AB41" s="1942">
        <f t="shared" si="26"/>
        <v>0</v>
      </c>
      <c r="AC41" s="299">
        <f t="shared" ref="AC41:AC52" si="34">IF(AA41=0,0,G41*AA41)</f>
        <v>0</v>
      </c>
      <c r="AD41" s="301" t="str">
        <f t="shared" ref="AD41:AD52" si="35">IF(AA41=0,"",IF(AA41&gt;0,-PV(3%,G41,AA41)/J41,0))</f>
        <v/>
      </c>
      <c r="AE41" s="302" t="str">
        <f t="shared" si="7"/>
        <v/>
      </c>
      <c r="AF41" s="329" t="s">
        <v>496</v>
      </c>
      <c r="AH41" s="2093" t="str">
        <f t="shared" si="23"/>
        <v/>
      </c>
      <c r="AI41" s="76" t="str">
        <f t="shared" si="12"/>
        <v/>
      </c>
      <c r="AJ41" s="76" t="str">
        <f t="shared" si="13"/>
        <v/>
      </c>
      <c r="AK41" s="76" t="str">
        <f t="shared" si="24"/>
        <v/>
      </c>
      <c r="AL41" s="2090" t="str">
        <f>IF(AK41="","",IF('Prescriptive Path'!$D$6="Affordable",IF(Savings!AK41="Electric","MPPLIEINC","MPPLIGINC"),IF(Savings!AK41="Electric","MPPMREINC","MPPMRGINC")))</f>
        <v/>
      </c>
    </row>
    <row r="42" spans="1:38">
      <c r="A42" s="2456"/>
      <c r="B42" s="157" t="s">
        <v>347</v>
      </c>
      <c r="C42" s="185">
        <v>0</v>
      </c>
      <c r="D42" s="83">
        <f>'Prescriptive Path'!H59*'Prescriptive Path'!H60*((12/Baseline!C48)-(12/Proposed!F48))*VLOOKUP('Prescriptive Path'!$D$4,ClimateZoneLookup!$A$4:$AS$65,8,FALSE)</f>
        <v>0</v>
      </c>
      <c r="E42" s="84">
        <v>0</v>
      </c>
      <c r="F42" s="84">
        <v>0</v>
      </c>
      <c r="G42" s="85">
        <v>15</v>
      </c>
      <c r="H42" s="88">
        <f>'Prescriptive Path'!H59*Baseline!M48*'Prescriptive Path'!H60</f>
        <v>0</v>
      </c>
      <c r="I42" s="88">
        <f>'Prescriptive Path'!H59*Proposed!U48*'Prescriptive Path'!H60</f>
        <v>0</v>
      </c>
      <c r="J42" s="2015">
        <f t="shared" si="33"/>
        <v>0</v>
      </c>
      <c r="K42" s="1749"/>
      <c r="L42" s="102" t="s">
        <v>503</v>
      </c>
      <c r="M42" s="102" t="s">
        <v>503</v>
      </c>
      <c r="N42" s="102" t="s">
        <v>503</v>
      </c>
      <c r="O42" s="102" t="s">
        <v>503</v>
      </c>
      <c r="P42" s="87">
        <f>('Prescriptive Path'!H59*'Prescriptive Path'!H60)*(12/Baseline!D48-12/Proposed!D48)*0.8</f>
        <v>0</v>
      </c>
      <c r="Q42" s="99">
        <v>0</v>
      </c>
      <c r="R42" s="103" t="e">
        <f>1.1*D42*HLOOKUP(G42,AvoidCostTable,'Avoided Costs'!$D$44)</f>
        <v>#REF!</v>
      </c>
      <c r="S42" s="103" t="e">
        <f>C42*HLOOKUP(G42,AvoidCostTable,'Avoided Costs'!$D$44)</f>
        <v>#REF!</v>
      </c>
      <c r="T42" s="103" t="e">
        <f>P42*HLOOKUP(G42,AvoidCostTable,'Avoided Costs'!$D$45)</f>
        <v>#REF!</v>
      </c>
      <c r="U42" s="103" t="e">
        <f>E42/10*HLOOKUP(G42,AvoidCostTable,'Avoided Costs'!$D$46)</f>
        <v>#REF!</v>
      </c>
      <c r="V42" s="103" t="e">
        <f>F42/10*HLOOKUP(G42,AvoidCostTable,'Avoided Costs'!$D$47)</f>
        <v>#REF!</v>
      </c>
      <c r="W42" s="163">
        <f>IF('Avoided Costs'!C85="Upstate",-PV('Avoided Costs'!$D$2,G42,Q42*0.003),-PV('Avoided Costs'!$D$2,G42,Q42*0.007))</f>
        <v>0</v>
      </c>
      <c r="X42" s="103">
        <f t="shared" si="28"/>
        <v>0</v>
      </c>
      <c r="Y42" s="103">
        <f t="shared" si="29"/>
        <v>0</v>
      </c>
      <c r="Z42" s="103">
        <f t="shared" si="5"/>
        <v>0</v>
      </c>
      <c r="AA42" s="163">
        <f>IF('Avoided Costs'!$C$44="Upstate",((C42+D42)*0.1814+(E42+F42)*1.561+Q42*0.003),((C42+D42)*0.1814+(E42+F42)*1.561+Q42*0.007))</f>
        <v>0</v>
      </c>
      <c r="AB42" s="1926">
        <f t="shared" si="26"/>
        <v>0</v>
      </c>
      <c r="AC42" s="103">
        <f t="shared" si="34"/>
        <v>0</v>
      </c>
      <c r="AD42" s="104" t="str">
        <f t="shared" si="35"/>
        <v/>
      </c>
      <c r="AE42" s="184" t="str">
        <f>IF(J42=0,"",Z42/(J42-W42))</f>
        <v/>
      </c>
      <c r="AF42" s="329" t="s">
        <v>496</v>
      </c>
      <c r="AH42" s="2093" t="str">
        <f t="shared" si="23"/>
        <v/>
      </c>
      <c r="AI42" s="76" t="str">
        <f t="shared" si="12"/>
        <v/>
      </c>
      <c r="AJ42" s="76" t="str">
        <f t="shared" si="13"/>
        <v/>
      </c>
      <c r="AK42" s="76" t="str">
        <f t="shared" si="24"/>
        <v/>
      </c>
      <c r="AL42" s="2090" t="str">
        <f>IF(AK42="","",IF('Prescriptive Path'!$D$6="Affordable",IF(Savings!AK42="Electric","MPPLIEINC","MPPLIGINC"),IF(Savings!AK42="Electric","MPPMREINC","MPPMRGINC")))</f>
        <v/>
      </c>
    </row>
    <row r="43" spans="1:38">
      <c r="A43" s="2456"/>
      <c r="B43" s="157" t="s">
        <v>348</v>
      </c>
      <c r="C43" s="82">
        <f>('Prescriptive Path'!H62*('Prescriptive Path'!H61*12))*((1/Baseline!C49)-(1/Proposed!E49))*VLOOKUP('Prescriptive Path'!$D$4,ClimateZoneLookup!$A$4:$AS$65,9,FALSE)/3.413</f>
        <v>0</v>
      </c>
      <c r="D43" s="83">
        <f>'Prescriptive Path'!H61*'Prescriptive Path'!H62*((12/Baseline!D49)-(12/Proposed!D49))*VLOOKUP('Prescriptive Path'!$D$4,ClimateZoneLookup!$A$4:$AS$65,8,FALSE)</f>
        <v>0</v>
      </c>
      <c r="E43" s="84">
        <v>0</v>
      </c>
      <c r="F43" s="84">
        <v>0</v>
      </c>
      <c r="G43" s="85">
        <v>15</v>
      </c>
      <c r="H43" s="2031">
        <f>'Prescriptive Path'!H61*'Prescriptive Path'!H62*Baseline!M49</f>
        <v>0</v>
      </c>
      <c r="I43" s="2031">
        <f>'Prescriptive Path'!H61*'Prescriptive Path'!H62*Proposed!U49</f>
        <v>0</v>
      </c>
      <c r="J43" s="2031">
        <f t="shared" si="33"/>
        <v>0</v>
      </c>
      <c r="K43" s="1765"/>
      <c r="L43" s="102" t="s">
        <v>503</v>
      </c>
      <c r="M43" s="102" t="s">
        <v>503</v>
      </c>
      <c r="N43" s="102" t="s">
        <v>503</v>
      </c>
      <c r="O43" s="102" t="s">
        <v>503</v>
      </c>
      <c r="P43" s="87">
        <f>('Prescriptive Path'!H61*'Prescriptive Path'!H62)*(12/Baseline!D49-12/Proposed!D49)*0.8+'Prescriptive Path'!H61*(1/Baseline!C49-1/Proposed!E49)*0.8</f>
        <v>0</v>
      </c>
      <c r="Q43" s="84">
        <v>0</v>
      </c>
      <c r="R43" s="103" t="e">
        <f>1.1*D43*HLOOKUP(G43,AvoidCostTable,'Avoided Costs'!$D$44)</f>
        <v>#REF!</v>
      </c>
      <c r="S43" s="103" t="e">
        <f>C43*HLOOKUP(G43,AvoidCostTable,'Avoided Costs'!$D$44)</f>
        <v>#REF!</v>
      </c>
      <c r="T43" s="103" t="e">
        <f>P43*HLOOKUP(G43,AvoidCostTable,'Avoided Costs'!$D$45)</f>
        <v>#REF!</v>
      </c>
      <c r="U43" s="103" t="e">
        <f>E43/10*HLOOKUP(G43,AvoidCostTable,'Avoided Costs'!$D$46)</f>
        <v>#REF!</v>
      </c>
      <c r="V43" s="103" t="e">
        <f>F43/10*HLOOKUP(G43,AvoidCostTable,'Avoided Costs'!$D$47)</f>
        <v>#REF!</v>
      </c>
      <c r="W43" s="163">
        <f>IF('Avoided Costs'!C86="Upstate",-PV('Avoided Costs'!$D$2,G43,Q43*0.003),-PV('Avoided Costs'!$D$2,G43,Q43*0.007))</f>
        <v>0</v>
      </c>
      <c r="X43" s="103">
        <f t="shared" si="28"/>
        <v>0</v>
      </c>
      <c r="Y43" s="103">
        <f t="shared" si="29"/>
        <v>0</v>
      </c>
      <c r="Z43" s="103">
        <f t="shared" si="5"/>
        <v>0</v>
      </c>
      <c r="AA43" s="163">
        <f>IF('Avoided Costs'!$C$44="Upstate",((C43+D43)*0.1814+(E43+F43)*1.561+Q43*0.003),((C43+D43)*0.1814+(E43+F43)*1.561+Q43*0.007))</f>
        <v>0</v>
      </c>
      <c r="AB43" s="1926">
        <f t="shared" si="26"/>
        <v>0</v>
      </c>
      <c r="AC43" s="103">
        <f t="shared" si="34"/>
        <v>0</v>
      </c>
      <c r="AD43" s="104" t="str">
        <f t="shared" si="35"/>
        <v/>
      </c>
      <c r="AE43" s="184" t="str">
        <f t="shared" si="7"/>
        <v/>
      </c>
      <c r="AF43" s="329" t="s">
        <v>496</v>
      </c>
      <c r="AH43" s="2093" t="str">
        <f t="shared" si="23"/>
        <v/>
      </c>
      <c r="AI43" s="76" t="str">
        <f t="shared" si="12"/>
        <v/>
      </c>
      <c r="AJ43" s="76" t="str">
        <f t="shared" si="13"/>
        <v/>
      </c>
      <c r="AK43" s="76" t="str">
        <f t="shared" si="24"/>
        <v/>
      </c>
      <c r="AL43" s="2090" t="str">
        <f>IF(AK43="","",IF('Prescriptive Path'!$D$6="Affordable",IF(Savings!AK43="Electric","MPPLIEINC","MPPLIGINC"),IF(Savings!AK43="Electric","MPPMREINC","MPPMRGINC")))</f>
        <v/>
      </c>
    </row>
    <row r="44" spans="1:38" ht="25.5">
      <c r="A44" s="2456"/>
      <c r="B44" s="26" t="s">
        <v>349</v>
      </c>
      <c r="C44" s="82">
        <f>(12*'Prescriptive Path'!H63*((1/Baseline!C50)-(1/IF('Prescriptive Path'!$K$1=4,Proposed!$E$50,IF('Prescriptive Path'!$K$1=5,Proposed!$L$50,Proposed!$Q$50))))*(1/3.413)*VLOOKUP('Prescriptive Path'!$D$4,ClimateZoneLookup!$A$4:$I$65,9,FALSE))</f>
        <v>0</v>
      </c>
      <c r="D44" s="83">
        <f>('Prescriptive Path'!H63*((12/Baseline!D50)-(12/Proposed!D50))*VLOOKUP('Prescriptive Path'!$D$4,ClimateZoneLookup!$A$4:$AS$65,8,FALSE))</f>
        <v>0</v>
      </c>
      <c r="E44" s="84">
        <v>0</v>
      </c>
      <c r="F44" s="84">
        <v>0</v>
      </c>
      <c r="G44" s="85">
        <v>20</v>
      </c>
      <c r="H44" s="2015">
        <f>'Prescriptive Path'!H63*Baseline!M50</f>
        <v>0</v>
      </c>
      <c r="I44" s="2015">
        <f>'Prescriptive Path'!H63*Proposed!U50</f>
        <v>0</v>
      </c>
      <c r="J44" s="2015">
        <f t="shared" si="33"/>
        <v>0</v>
      </c>
      <c r="K44" s="1749"/>
      <c r="L44" s="102" t="s">
        <v>503</v>
      </c>
      <c r="M44" s="102" t="s">
        <v>503</v>
      </c>
      <c r="N44" s="102" t="s">
        <v>503</v>
      </c>
      <c r="O44" s="102" t="s">
        <v>503</v>
      </c>
      <c r="P44" s="87">
        <f>'Prescriptive Path'!H63*((12/Baseline!D50)-(12/Proposed!D50))*0.8+(12*'Prescriptive Path'!H63*((1/Baseline!C50)-(1/IF('Prescriptive Path'!$K$1=4,Proposed!$E$50,IF('Prescriptive Path'!$K$1=5,Proposed!$L$50,Proposed!$Q$50))))*0.8)</f>
        <v>0</v>
      </c>
      <c r="Q44" s="84">
        <v>0</v>
      </c>
      <c r="R44" s="88" t="e">
        <f>1.1*D44*HLOOKUP(G44,AvoidCostTable,'Avoided Costs'!$D$44)</f>
        <v>#REF!</v>
      </c>
      <c r="S44" s="88" t="e">
        <f>C44*HLOOKUP(G44,AvoidCostTable,'Avoided Costs'!$D$44)</f>
        <v>#REF!</v>
      </c>
      <c r="T44" s="88" t="e">
        <f>P44*HLOOKUP(G44,AvoidCostTable,'Avoided Costs'!$D$45)</f>
        <v>#REF!</v>
      </c>
      <c r="U44" s="88" t="e">
        <f>E44/10*HLOOKUP(G44,AvoidCostTable,'Avoided Costs'!$D$46)</f>
        <v>#REF!</v>
      </c>
      <c r="V44" s="88" t="e">
        <f>F44/10*HLOOKUP(G44,AvoidCostTable,'Avoided Costs'!$D$47)</f>
        <v>#REF!</v>
      </c>
      <c r="W44" s="163">
        <f>IF('Avoided Costs'!C87="Upstate",-PV('Avoided Costs'!$D$2,G44,Q44*0.003),-PV('Avoided Costs'!$D$2,G44,Q44*0.007))</f>
        <v>0</v>
      </c>
      <c r="X44" s="88">
        <f t="shared" si="28"/>
        <v>0</v>
      </c>
      <c r="Y44" s="88">
        <f t="shared" si="29"/>
        <v>0</v>
      </c>
      <c r="Z44" s="103">
        <f t="shared" si="5"/>
        <v>0</v>
      </c>
      <c r="AA44" s="163">
        <f>IF('Avoided Costs'!$C$44="Upstate",((C44+D44)*0.1814+(E44+F44)*1.561+Q44*0.003),((C44+D44)*0.1814+(E44+F44)*1.561+Q44*0.007))</f>
        <v>0</v>
      </c>
      <c r="AB44" s="1926">
        <f t="shared" si="26"/>
        <v>0</v>
      </c>
      <c r="AC44" s="88">
        <f t="shared" si="34"/>
        <v>0</v>
      </c>
      <c r="AD44" s="89" t="str">
        <f t="shared" si="35"/>
        <v/>
      </c>
      <c r="AE44" s="179" t="str">
        <f t="shared" si="7"/>
        <v/>
      </c>
      <c r="AF44" s="329" t="s">
        <v>496</v>
      </c>
      <c r="AH44" s="2093" t="str">
        <f t="shared" si="23"/>
        <v/>
      </c>
      <c r="AI44" s="76" t="str">
        <f t="shared" si="12"/>
        <v/>
      </c>
      <c r="AJ44" s="76" t="str">
        <f t="shared" si="13"/>
        <v/>
      </c>
      <c r="AK44" s="76" t="str">
        <f t="shared" si="24"/>
        <v/>
      </c>
      <c r="AL44" s="2090" t="str">
        <f>IF(AK44="","",IF('Prescriptive Path'!$D$6="Affordable",IF(Savings!AK44="Electric","MPPLIEINC","MPPLIGINC"),IF(Savings!AK44="Electric","MPPMREINC","MPPMRGINC")))</f>
        <v/>
      </c>
    </row>
    <row r="45" spans="1:38" ht="25.5">
      <c r="A45" s="2456"/>
      <c r="B45" s="26" t="s">
        <v>365</v>
      </c>
      <c r="C45" s="82">
        <f>(12*'Prescriptive Path'!H64*((1/Baseline!C51)-(1/Proposed!E51))*(1/3.413)*VLOOKUP('Prescriptive Path'!$D$4,ClimateZoneLookup!$A$4:$AS$65,9,FALSE))</f>
        <v>0</v>
      </c>
      <c r="D45" s="83">
        <f>('Prescriptive Path'!H64*((12/Baseline!D51)-(12/Proposed!D51))*VLOOKUP('Prescriptive Path'!$D$4,ClimateZoneLookup!$A$4:$AS$65,8,FALSE))</f>
        <v>0</v>
      </c>
      <c r="E45" s="84">
        <v>0</v>
      </c>
      <c r="F45" s="84">
        <v>0</v>
      </c>
      <c r="G45" s="85">
        <v>20</v>
      </c>
      <c r="H45" s="88">
        <f>'Prescriptive Path'!H64*Baseline!M51</f>
        <v>0</v>
      </c>
      <c r="I45" s="88">
        <f>'Prescriptive Path'!H64*Proposed!U51</f>
        <v>0</v>
      </c>
      <c r="J45" s="2015">
        <f t="shared" si="33"/>
        <v>0</v>
      </c>
      <c r="K45" s="1749"/>
      <c r="L45" s="102" t="s">
        <v>503</v>
      </c>
      <c r="M45" s="102" t="s">
        <v>503</v>
      </c>
      <c r="N45" s="102" t="s">
        <v>503</v>
      </c>
      <c r="O45" s="102" t="s">
        <v>503</v>
      </c>
      <c r="P45" s="87">
        <f>('Prescriptive Path'!H64*((12/Baseline!D51)-(12/Proposed!D51))*0.8)+(12*'Prescriptive Path'!H64*((1/Baseline!C51)-(1/Proposed!E51))*0.8)</f>
        <v>0</v>
      </c>
      <c r="Q45" s="84">
        <v>0</v>
      </c>
      <c r="R45" s="88" t="e">
        <f>1.1*D45*HLOOKUP(G45,AvoidCostTable,'Avoided Costs'!$D$44)</f>
        <v>#REF!</v>
      </c>
      <c r="S45" s="88" t="e">
        <f>C45*HLOOKUP(G45,AvoidCostTable,'Avoided Costs'!$D$44)</f>
        <v>#REF!</v>
      </c>
      <c r="T45" s="88" t="e">
        <f>P45*HLOOKUP(G45,AvoidCostTable,'Avoided Costs'!$D$45)</f>
        <v>#REF!</v>
      </c>
      <c r="U45" s="88" t="e">
        <f>E45/10*HLOOKUP(G45,AvoidCostTable,'Avoided Costs'!$D$46)</f>
        <v>#REF!</v>
      </c>
      <c r="V45" s="88" t="e">
        <f>F45/10*HLOOKUP(G45,AvoidCostTable,'Avoided Costs'!$D$47)</f>
        <v>#REF!</v>
      </c>
      <c r="W45" s="163">
        <f>IF('Avoided Costs'!C88="Upstate",-PV('Avoided Costs'!$D$2,G45,Q45*0.003),-PV('Avoided Costs'!$D$2,G45,Q45*0.007))</f>
        <v>0</v>
      </c>
      <c r="X45" s="88">
        <f t="shared" si="28"/>
        <v>0</v>
      </c>
      <c r="Y45" s="88">
        <f t="shared" si="29"/>
        <v>0</v>
      </c>
      <c r="Z45" s="103">
        <f t="shared" si="5"/>
        <v>0</v>
      </c>
      <c r="AA45" s="167">
        <f>IF('Avoided Costs'!$C$44="Upstate",((C45+D45)*0.1814+(E45+F45)*1.561+Q45*0.003),((C45+D45)*0.1814+(E45+F45)*1.561+Q45*0.007))</f>
        <v>0</v>
      </c>
      <c r="AB45" s="1943">
        <f t="shared" si="26"/>
        <v>0</v>
      </c>
      <c r="AC45" s="88">
        <f t="shared" si="34"/>
        <v>0</v>
      </c>
      <c r="AD45" s="89" t="str">
        <f t="shared" si="35"/>
        <v/>
      </c>
      <c r="AE45" s="179" t="str">
        <f t="shared" si="7"/>
        <v/>
      </c>
      <c r="AF45" s="329" t="s">
        <v>496</v>
      </c>
      <c r="AH45" s="2093" t="str">
        <f t="shared" si="23"/>
        <v/>
      </c>
      <c r="AI45" s="76" t="str">
        <f t="shared" si="12"/>
        <v/>
      </c>
      <c r="AJ45" s="76" t="str">
        <f t="shared" si="13"/>
        <v/>
      </c>
      <c r="AK45" s="76" t="str">
        <f t="shared" si="24"/>
        <v/>
      </c>
      <c r="AL45" s="2090" t="str">
        <f>IF(AK45="","",IF('Prescriptive Path'!$D$6="Affordable",IF(Savings!AK45="Electric","MPPLIEINC","MPPLIGINC"),IF(Savings!AK45="Electric","MPPMREINC","MPPMRGINC")))</f>
        <v/>
      </c>
    </row>
    <row r="46" spans="1:38" ht="25.5">
      <c r="A46" s="2456"/>
      <c r="B46" s="26" t="s">
        <v>366</v>
      </c>
      <c r="C46" s="82">
        <f>(12*'Prescriptive Path'!H65*((1/Baseline!C52)-(1/Proposed!E52))*(1/3.413)*VLOOKUP('Prescriptive Path'!$D$4,ClimateZoneLookup!$A$4:$AS$65,9,FALSE))</f>
        <v>0</v>
      </c>
      <c r="D46" s="83">
        <f>('Prescriptive Path'!H65*((12/Baseline!D52)-(12/Proposed!D52))*VLOOKUP('Prescriptive Path'!$D$4,ClimateZoneLookup!$A$4:$H$65,8,FALSE))</f>
        <v>0</v>
      </c>
      <c r="E46" s="84">
        <v>0</v>
      </c>
      <c r="F46" s="84">
        <v>0</v>
      </c>
      <c r="G46" s="85">
        <v>20</v>
      </c>
      <c r="H46" s="2031">
        <f>'Prescriptive Path'!H65*Baseline!M52</f>
        <v>0</v>
      </c>
      <c r="I46" s="2031">
        <f>'Prescriptive Path'!H65*Proposed!U52</f>
        <v>0</v>
      </c>
      <c r="J46" s="2031">
        <f t="shared" si="33"/>
        <v>0</v>
      </c>
      <c r="K46" s="1765"/>
      <c r="L46" s="102" t="s">
        <v>503</v>
      </c>
      <c r="M46" s="102" t="s">
        <v>503</v>
      </c>
      <c r="N46" s="102" t="s">
        <v>503</v>
      </c>
      <c r="O46" s="102" t="s">
        <v>503</v>
      </c>
      <c r="P46" s="87">
        <f>('Prescriptive Path'!H65*((12/Baseline!D52)-(12/Proposed!D52)*0.8))+(12*'Prescriptive Path'!H65*((1/Baseline!C52)-(1/Proposed!E52))*0.8)</f>
        <v>0</v>
      </c>
      <c r="Q46" s="84">
        <v>0</v>
      </c>
      <c r="R46" s="88" t="e">
        <f>1.1*D46*HLOOKUP(G46,AvoidCostTable,'Avoided Costs'!$D$44)</f>
        <v>#REF!</v>
      </c>
      <c r="S46" s="88" t="e">
        <f>C46*HLOOKUP(G46,AvoidCostTable,'Avoided Costs'!$D$44)</f>
        <v>#REF!</v>
      </c>
      <c r="T46" s="88" t="e">
        <f>P46*HLOOKUP(G46,AvoidCostTable,'Avoided Costs'!$D$45)</f>
        <v>#REF!</v>
      </c>
      <c r="U46" s="88" t="e">
        <f>E46/10*HLOOKUP(G46,AvoidCostTable,'Avoided Costs'!$D$46)</f>
        <v>#REF!</v>
      </c>
      <c r="V46" s="88" t="e">
        <f>F46/10*HLOOKUP(G46,AvoidCostTable,'Avoided Costs'!$D$47)</f>
        <v>#REF!</v>
      </c>
      <c r="W46" s="163">
        <f>IF('Avoided Costs'!C89="Upstate",-PV('Avoided Costs'!$D$2,G46,Q46*0.003),-PV('Avoided Costs'!$D$2,G46,Q46*0.007))</f>
        <v>0</v>
      </c>
      <c r="X46" s="88">
        <f t="shared" si="28"/>
        <v>0</v>
      </c>
      <c r="Y46" s="88">
        <f t="shared" si="29"/>
        <v>0</v>
      </c>
      <c r="Z46" s="103">
        <f t="shared" si="5"/>
        <v>0</v>
      </c>
      <c r="AA46" s="163">
        <f>IF('Avoided Costs'!$C$44="Upstate",((C46+D46)*0.1814+(E46+F46)*1.561+Q46*0.003),((C46+D46)*0.1814+(E46+F46)*1.561+Q46*0.007))</f>
        <v>0</v>
      </c>
      <c r="AB46" s="1926">
        <f t="shared" si="26"/>
        <v>0</v>
      </c>
      <c r="AC46" s="88">
        <f t="shared" si="34"/>
        <v>0</v>
      </c>
      <c r="AD46" s="89" t="str">
        <f t="shared" si="35"/>
        <v/>
      </c>
      <c r="AE46" s="179" t="str">
        <f t="shared" si="7"/>
        <v/>
      </c>
      <c r="AF46" s="329" t="s">
        <v>496</v>
      </c>
      <c r="AH46" s="2093" t="str">
        <f t="shared" si="23"/>
        <v/>
      </c>
      <c r="AI46" s="76" t="str">
        <f t="shared" si="12"/>
        <v/>
      </c>
      <c r="AJ46" s="76" t="str">
        <f t="shared" si="13"/>
        <v/>
      </c>
      <c r="AK46" s="76" t="str">
        <f t="shared" si="24"/>
        <v/>
      </c>
      <c r="AL46" s="2090" t="str">
        <f>IF(AK46="","",IF('Prescriptive Path'!$D$6="Affordable",IF(Savings!AK46="Electric","MPPLIEINC","MPPLIGINC"),IF(Savings!AK46="Electric","MPPMREINC","MPPMRGINC")))</f>
        <v/>
      </c>
    </row>
    <row r="47" spans="1:38">
      <c r="A47" s="2456"/>
      <c r="B47" s="26" t="s">
        <v>350</v>
      </c>
      <c r="C47" s="82">
        <f>(12*'Prescriptive Path'!H66*((1/Baseline!C53)-(1/Proposed!E53))*(1/3.413)*VLOOKUP('Prescriptive Path'!$D$4,ClimateZoneLookup!$A$4:$AS$65,9,FALSE))</f>
        <v>0</v>
      </c>
      <c r="D47" s="83">
        <f>('Prescriptive Path'!H66*((12/Baseline!D53)-(12/Proposed!D53))*VLOOKUP('Prescriptive Path'!$D$4,ClimateZoneLookup!$A$4:$H$65,8,FALSE))</f>
        <v>0</v>
      </c>
      <c r="E47" s="84">
        <v>0</v>
      </c>
      <c r="F47" s="84">
        <v>0</v>
      </c>
      <c r="G47" s="85">
        <v>20</v>
      </c>
      <c r="H47" s="88">
        <f>'Prescriptive Path'!H66*Baseline!M53</f>
        <v>0</v>
      </c>
      <c r="I47" s="88">
        <f>'Prescriptive Path'!H66*Proposed!U53</f>
        <v>0</v>
      </c>
      <c r="J47" s="2015">
        <f t="shared" si="33"/>
        <v>0</v>
      </c>
      <c r="K47" s="1749"/>
      <c r="L47" s="102" t="s">
        <v>503</v>
      </c>
      <c r="M47" s="102" t="s">
        <v>503</v>
      </c>
      <c r="N47" s="102" t="s">
        <v>503</v>
      </c>
      <c r="O47" s="102" t="s">
        <v>503</v>
      </c>
      <c r="P47" s="87">
        <f>('Prescriptive Path'!H66*((12/Baseline!D53)-(12/Proposed!D53))*0.8)+(12*'Prescriptive Path'!H66*((1/Baseline!C53)-(1/Proposed!E53))*0.8)</f>
        <v>0</v>
      </c>
      <c r="Q47" s="84">
        <v>0</v>
      </c>
      <c r="R47" s="88" t="e">
        <f>1.1*D47*HLOOKUP(G47,AvoidCostTable,'Avoided Costs'!$D$44)</f>
        <v>#REF!</v>
      </c>
      <c r="S47" s="88" t="e">
        <f>C47*HLOOKUP(G47,AvoidCostTable,'Avoided Costs'!$D$44)</f>
        <v>#REF!</v>
      </c>
      <c r="T47" s="88" t="e">
        <f>P47*HLOOKUP(G47,AvoidCostTable,'Avoided Costs'!$D$45)</f>
        <v>#REF!</v>
      </c>
      <c r="U47" s="88" t="e">
        <f>E47/10*HLOOKUP(G47,AvoidCostTable,'Avoided Costs'!$D$46)</f>
        <v>#REF!</v>
      </c>
      <c r="V47" s="88" t="e">
        <f>F47/10*HLOOKUP(G47,AvoidCostTable,'Avoided Costs'!$D$47)</f>
        <v>#REF!</v>
      </c>
      <c r="W47" s="163">
        <f>IF('Avoided Costs'!C90="Upstate",-PV('Avoided Costs'!$D$2,G47,Q47*0.003),-PV('Avoided Costs'!$D$2,G47,Q47*0.007))</f>
        <v>0</v>
      </c>
      <c r="X47" s="88">
        <f t="shared" si="28"/>
        <v>0</v>
      </c>
      <c r="Y47" s="88">
        <f t="shared" si="29"/>
        <v>0</v>
      </c>
      <c r="Z47" s="88">
        <f t="shared" si="5"/>
        <v>0</v>
      </c>
      <c r="AA47" s="163">
        <f>IF('Avoided Costs'!$C$44="Upstate",((C47+D47)*0.1814+(E47+F47)*1.561+Q47*0.003),((C47+D47)*0.1814+(E47+F47)*1.561+Q47*0.007))</f>
        <v>0</v>
      </c>
      <c r="AB47" s="1926">
        <f t="shared" si="26"/>
        <v>0</v>
      </c>
      <c r="AC47" s="88">
        <f t="shared" si="34"/>
        <v>0</v>
      </c>
      <c r="AD47" s="89" t="str">
        <f t="shared" si="35"/>
        <v/>
      </c>
      <c r="AE47" s="179" t="str">
        <f t="shared" si="7"/>
        <v/>
      </c>
      <c r="AF47" s="329" t="s">
        <v>496</v>
      </c>
      <c r="AH47" s="2093" t="str">
        <f t="shared" si="23"/>
        <v/>
      </c>
      <c r="AI47" s="76" t="str">
        <f t="shared" si="12"/>
        <v/>
      </c>
      <c r="AJ47" s="76" t="str">
        <f t="shared" si="13"/>
        <v/>
      </c>
      <c r="AK47" s="76" t="str">
        <f t="shared" si="24"/>
        <v/>
      </c>
      <c r="AL47" s="2090" t="str">
        <f>IF(AK47="","",IF('Prescriptive Path'!$D$6="Affordable",IF(Savings!AK47="Electric","MPPLIEINC","MPPLIGINC"),IF(Savings!AK47="Electric","MPPMREINC","MPPMRGINC")))</f>
        <v/>
      </c>
    </row>
    <row r="48" spans="1:38">
      <c r="A48" s="2456"/>
      <c r="B48" s="26" t="s">
        <v>353</v>
      </c>
      <c r="C48" s="82">
        <f>(12*'Prescriptive Path'!H67*((1/Baseline!C54)-(1/Proposed!E54))*(1/3.413)*VLOOKUP('Prescriptive Path'!$D$4,ClimateZoneLookup!$A$4:$AS$65,9,FALSE))</f>
        <v>0</v>
      </c>
      <c r="D48" s="83">
        <f>('Prescriptive Path'!H67*((12/Baseline!D54)-(12/Proposed!D54))*VLOOKUP('Prescriptive Path'!$D$4,ClimateZoneLookup!$A$4:$AS$65,8,FALSE))</f>
        <v>0</v>
      </c>
      <c r="E48" s="84">
        <v>0</v>
      </c>
      <c r="F48" s="84">
        <v>0</v>
      </c>
      <c r="G48" s="85">
        <v>20</v>
      </c>
      <c r="H48" s="88">
        <f>'Prescriptive Path'!H67*Baseline!M54</f>
        <v>0</v>
      </c>
      <c r="I48" s="88">
        <f>'Prescriptive Path'!H67*Proposed!U54</f>
        <v>0</v>
      </c>
      <c r="J48" s="2015">
        <f t="shared" si="33"/>
        <v>0</v>
      </c>
      <c r="K48" s="1749"/>
      <c r="L48" s="102" t="s">
        <v>503</v>
      </c>
      <c r="M48" s="102" t="s">
        <v>503</v>
      </c>
      <c r="N48" s="102" t="s">
        <v>503</v>
      </c>
      <c r="O48" s="102" t="s">
        <v>503</v>
      </c>
      <c r="P48" s="87">
        <f>('Prescriptive Path'!H67*((12/Baseline!D54)-(12/Proposed!D54))*0.8)+(12*'Prescriptive Path'!H67*((1/Baseline!C54)-(1/Proposed!E54))*0.8)</f>
        <v>0</v>
      </c>
      <c r="Q48" s="84">
        <v>0</v>
      </c>
      <c r="R48" s="88" t="e">
        <f>1.1*D48*HLOOKUP(G48,AvoidCostTable,'Avoided Costs'!$D$44)</f>
        <v>#REF!</v>
      </c>
      <c r="S48" s="88" t="e">
        <f>C48*HLOOKUP(G48,AvoidCostTable,'Avoided Costs'!$D$44)</f>
        <v>#REF!</v>
      </c>
      <c r="T48" s="88" t="e">
        <f>P48*HLOOKUP(G48,AvoidCostTable,'Avoided Costs'!$D$45)</f>
        <v>#REF!</v>
      </c>
      <c r="U48" s="88" t="e">
        <f>E48/10*HLOOKUP(G48,AvoidCostTable,'Avoided Costs'!$D$46)</f>
        <v>#REF!</v>
      </c>
      <c r="V48" s="88" t="e">
        <f>F48/10*HLOOKUP(G48,AvoidCostTable,'Avoided Costs'!$D$47)</f>
        <v>#REF!</v>
      </c>
      <c r="W48" s="163">
        <f>IF('Avoided Costs'!C91="Upstate",-PV('Avoided Costs'!$D$2,G48,Q48*0.003),-PV('Avoided Costs'!$D$2,G48,Q48*0.007))</f>
        <v>0</v>
      </c>
      <c r="X48" s="88">
        <f t="shared" si="28"/>
        <v>0</v>
      </c>
      <c r="Y48" s="88">
        <f t="shared" si="29"/>
        <v>0</v>
      </c>
      <c r="Z48" s="88">
        <f t="shared" si="5"/>
        <v>0</v>
      </c>
      <c r="AA48" s="163">
        <f>IF('Avoided Costs'!$C$44="Upstate",((C48+D48)*0.1814+(E48+F48)*1.561+Q48*0.003),((C48+D48)*0.1814+(E48+F48)*1.561+Q48*0.007))</f>
        <v>0</v>
      </c>
      <c r="AB48" s="1926">
        <f t="shared" si="26"/>
        <v>0</v>
      </c>
      <c r="AC48" s="88">
        <f t="shared" si="34"/>
        <v>0</v>
      </c>
      <c r="AD48" s="89" t="str">
        <f t="shared" si="35"/>
        <v/>
      </c>
      <c r="AE48" s="179" t="str">
        <f t="shared" si="7"/>
        <v/>
      </c>
      <c r="AF48" s="329" t="s">
        <v>496</v>
      </c>
      <c r="AH48" s="2093" t="str">
        <f t="shared" si="23"/>
        <v/>
      </c>
      <c r="AI48" s="76" t="str">
        <f t="shared" si="12"/>
        <v/>
      </c>
      <c r="AJ48" s="76" t="str">
        <f t="shared" si="13"/>
        <v/>
      </c>
      <c r="AK48" s="76" t="str">
        <f t="shared" si="24"/>
        <v/>
      </c>
      <c r="AL48" s="2090" t="str">
        <f>IF(AK48="","",IF('Prescriptive Path'!$D$6="Affordable",IF(Savings!AK48="Electric","MPPLIEINC","MPPLIGINC"),IF(Savings!AK48="Electric","MPPMREINC","MPPMRGINC")))</f>
        <v/>
      </c>
    </row>
    <row r="49" spans="1:38">
      <c r="A49" s="2456"/>
      <c r="B49" s="26" t="s">
        <v>355</v>
      </c>
      <c r="C49" s="82">
        <v>0</v>
      </c>
      <c r="D49" s="83">
        <v>0</v>
      </c>
      <c r="E49" s="84">
        <f>IF('Prescriptive Path'!K1&lt;&gt;6,'Prescriptive Path'!H68*1000*(1-(Baseline!D55/Proposed!C55))*(1/100)*VLOOKUP('Prescriptive Path'!$D$4,ClimateZoneLookup!$A$4:$AS$65,9,FALSE),'Prescriptive Path'!H68*1000*(1-(Baseline!D55/Proposed!O55))*(1/100)*VLOOKUP('Prescriptive Path'!$D$4,ClimateZoneLookup!$A$4:$AS$65,9,FALSE))</f>
        <v>0</v>
      </c>
      <c r="F49" s="84">
        <v>0</v>
      </c>
      <c r="G49" s="85">
        <v>25</v>
      </c>
      <c r="H49" s="88">
        <f>'Prescriptive Path'!H68*Baseline!M55</f>
        <v>0</v>
      </c>
      <c r="I49" s="88">
        <f>'Prescriptive Path'!H68*Proposed!U55</f>
        <v>0</v>
      </c>
      <c r="J49" s="2015">
        <f t="shared" si="33"/>
        <v>0</v>
      </c>
      <c r="K49" s="1749"/>
      <c r="L49" s="102" t="s">
        <v>503</v>
      </c>
      <c r="M49" s="102" t="s">
        <v>503</v>
      </c>
      <c r="N49" s="102" t="s">
        <v>503</v>
      </c>
      <c r="O49" s="102" t="s">
        <v>503</v>
      </c>
      <c r="P49" s="621">
        <v>0</v>
      </c>
      <c r="Q49" s="84">
        <v>0</v>
      </c>
      <c r="R49" s="88" t="e">
        <f>1.1*D49*HLOOKUP(G49,AvoidCostTable,'Avoided Costs'!$D$44)</f>
        <v>#REF!</v>
      </c>
      <c r="S49" s="88" t="e">
        <f>C49*HLOOKUP(G49,AvoidCostTable,'Avoided Costs'!$D$44)</f>
        <v>#REF!</v>
      </c>
      <c r="T49" s="88" t="e">
        <f>P49*HLOOKUP(G49,AvoidCostTable,'Avoided Costs'!$D$45)</f>
        <v>#REF!</v>
      </c>
      <c r="U49" s="88" t="e">
        <f>E49/10*HLOOKUP(G49,AvoidCostTable,'Avoided Costs'!$D$46)</f>
        <v>#REF!</v>
      </c>
      <c r="V49" s="88" t="e">
        <f>F49/10*HLOOKUP(G49,AvoidCostTable,'Avoided Costs'!$D$47)</f>
        <v>#REF!</v>
      </c>
      <c r="W49" s="163">
        <f>IF('Avoided Costs'!C92="Upstate",-PV('Avoided Costs'!$D$2,G49,Q49*0.003),-PV('Avoided Costs'!$D$2,G49,Q49*0.007))</f>
        <v>0</v>
      </c>
      <c r="X49" s="88">
        <f t="shared" si="28"/>
        <v>0</v>
      </c>
      <c r="Y49" s="88">
        <f t="shared" si="29"/>
        <v>0</v>
      </c>
      <c r="Z49" s="88">
        <f t="shared" si="5"/>
        <v>0</v>
      </c>
      <c r="AA49" s="163">
        <f>IF('Avoided Costs'!$C$44="Upstate",((C49+D49)*0.1814+(E49+F49)*1.561+Q49*0.003),((C49+D49)*0.1814+(E49+F49)*1.561+Q49*0.007))</f>
        <v>0</v>
      </c>
      <c r="AB49" s="1926">
        <f t="shared" si="26"/>
        <v>0</v>
      </c>
      <c r="AC49" s="88">
        <f t="shared" si="34"/>
        <v>0</v>
      </c>
      <c r="AD49" s="89" t="str">
        <f t="shared" si="35"/>
        <v/>
      </c>
      <c r="AE49" s="179" t="str">
        <f t="shared" si="7"/>
        <v/>
      </c>
      <c r="AF49" s="329" t="s">
        <v>496</v>
      </c>
      <c r="AH49" s="2093" t="str">
        <f t="shared" si="23"/>
        <v/>
      </c>
      <c r="AI49" s="76" t="str">
        <f t="shared" si="12"/>
        <v/>
      </c>
      <c r="AJ49" s="76" t="str">
        <f t="shared" si="13"/>
        <v/>
      </c>
      <c r="AK49" s="76" t="str">
        <f t="shared" si="24"/>
        <v/>
      </c>
      <c r="AL49" s="2090" t="str">
        <f>IF(AK49="","",IF('Prescriptive Path'!$D$6="Affordable",IF(Savings!AK49="Electric","MPPLIEINC","MPPLIGINC"),IF(Savings!AK49="Electric","MPPMREINC","MPPMRGINC")))</f>
        <v/>
      </c>
    </row>
    <row r="50" spans="1:38">
      <c r="A50" s="2456"/>
      <c r="B50" s="26" t="s">
        <v>356</v>
      </c>
      <c r="C50" s="185">
        <v>0</v>
      </c>
      <c r="D50" s="109">
        <v>0</v>
      </c>
      <c r="E50" s="84">
        <f>'Prescriptive Path'!H69*1000*(1-(Baseline!D56/Proposed!C56))*(1/100)*VLOOKUP('Prescriptive Path'!$D$4,ClimateZoneLookup!$A$4:$AS$65,9,FALSE)</f>
        <v>0</v>
      </c>
      <c r="F50" s="84">
        <v>0</v>
      </c>
      <c r="G50" s="85">
        <v>25</v>
      </c>
      <c r="H50" s="88">
        <f>'Prescriptive Path'!H69*Baseline!M56</f>
        <v>0</v>
      </c>
      <c r="I50" s="88">
        <f>'Prescriptive Path'!H69*Proposed!U56</f>
        <v>0</v>
      </c>
      <c r="J50" s="2015">
        <f t="shared" si="33"/>
        <v>0</v>
      </c>
      <c r="K50" s="1749"/>
      <c r="L50" s="102" t="s">
        <v>503</v>
      </c>
      <c r="M50" s="102" t="s">
        <v>503</v>
      </c>
      <c r="N50" s="102" t="s">
        <v>503</v>
      </c>
      <c r="O50" s="102" t="s">
        <v>503</v>
      </c>
      <c r="P50" s="621">
        <v>0</v>
      </c>
      <c r="Q50" s="84">
        <v>0</v>
      </c>
      <c r="R50" s="88" t="e">
        <f>1.1*D50*HLOOKUP(G50,AvoidCostTable,'Avoided Costs'!$D$44)</f>
        <v>#REF!</v>
      </c>
      <c r="S50" s="88" t="e">
        <f>C50*HLOOKUP(G50,AvoidCostTable,'Avoided Costs'!$D$44)</f>
        <v>#REF!</v>
      </c>
      <c r="T50" s="88" t="e">
        <f>P50*HLOOKUP(G50,AvoidCostTable,'Avoided Costs'!$D$45)</f>
        <v>#REF!</v>
      </c>
      <c r="U50" s="88" t="e">
        <f>E50/10*HLOOKUP(G50,AvoidCostTable,'Avoided Costs'!$D$46)</f>
        <v>#REF!</v>
      </c>
      <c r="V50" s="88" t="e">
        <f>F50/10*HLOOKUP(G50,AvoidCostTable,'Avoided Costs'!$D$47)</f>
        <v>#REF!</v>
      </c>
      <c r="W50" s="163">
        <f>IF('Avoided Costs'!C93="Upstate",-PV('Avoided Costs'!$D$2,G50,Q50*0.003),-PV('Avoided Costs'!$D$2,G50,Q50*0.007))</f>
        <v>0</v>
      </c>
      <c r="X50" s="88">
        <f t="shared" si="28"/>
        <v>0</v>
      </c>
      <c r="Y50" s="88">
        <f t="shared" si="29"/>
        <v>0</v>
      </c>
      <c r="Z50" s="88">
        <f t="shared" si="5"/>
        <v>0</v>
      </c>
      <c r="AA50" s="163">
        <f>IF('Avoided Costs'!$C$44="Upstate",((C50+D50)*0.1814+(E50+F50)*1.561+Q50*0.003),((C50+D50)*0.1814+(E50+F50)*1.561+Q50*0.007))</f>
        <v>0</v>
      </c>
      <c r="AB50" s="1926">
        <f t="shared" si="26"/>
        <v>0</v>
      </c>
      <c r="AC50" s="88">
        <f t="shared" si="34"/>
        <v>0</v>
      </c>
      <c r="AD50" s="89" t="str">
        <f t="shared" si="35"/>
        <v/>
      </c>
      <c r="AE50" s="179" t="str">
        <f t="shared" si="7"/>
        <v/>
      </c>
      <c r="AF50" s="329" t="s">
        <v>496</v>
      </c>
      <c r="AH50" s="2093" t="str">
        <f t="shared" si="23"/>
        <v/>
      </c>
      <c r="AI50" s="76" t="str">
        <f t="shared" si="12"/>
        <v/>
      </c>
      <c r="AJ50" s="76" t="str">
        <f t="shared" si="13"/>
        <v/>
      </c>
      <c r="AK50" s="76" t="str">
        <f t="shared" si="24"/>
        <v/>
      </c>
      <c r="AL50" s="2090" t="str">
        <f>IF(AK50="","",IF('Prescriptive Path'!$D$6="Affordable",IF(Savings!AK50="Electric","MPPLIEINC","MPPLIGINC"),IF(Savings!AK50="Electric","MPPMREINC","MPPMRGINC")))</f>
        <v/>
      </c>
    </row>
    <row r="51" spans="1:38">
      <c r="A51" s="2456"/>
      <c r="B51" s="158" t="s">
        <v>357</v>
      </c>
      <c r="C51" s="2111">
        <f>IF('Prescriptive Path'!D71 = "Cooling",0,'Prescriptive Path'!H70*12*1.12*(1/(Baseline!Q57*Baseline!C57+Baseline!R57)-1/(Baseline!Q57*Proposed!E57+Baseline!R57*Proposed!C57))*VLOOKUP('Prescriptive Path'!D4,ClimateZoneLookup!$A$4:$AS$65,9,FALSE)/3.413)</f>
        <v>0</v>
      </c>
      <c r="D51" s="2112">
        <f>'Prescriptive Path'!H70*(12/Baseline!D57-12/Proposed!F57)*VLOOKUP('Prescriptive Path'!D4,ClimateZoneLookup!$A$4:$AS$65,8,FALSE)</f>
        <v>0</v>
      </c>
      <c r="E51" s="279">
        <v>0</v>
      </c>
      <c r="F51" s="279">
        <v>0</v>
      </c>
      <c r="G51" s="85">
        <v>20</v>
      </c>
      <c r="H51" s="2031">
        <v>0</v>
      </c>
      <c r="I51" s="2031">
        <f>J51</f>
        <v>0</v>
      </c>
      <c r="J51" s="2031">
        <f>2335*'Prescriptive Path'!H70</f>
        <v>0</v>
      </c>
      <c r="K51" s="1765"/>
      <c r="L51" s="36" t="s">
        <v>503</v>
      </c>
      <c r="M51" s="36" t="s">
        <v>503</v>
      </c>
      <c r="N51" s="36" t="s">
        <v>503</v>
      </c>
      <c r="O51" s="36" t="s">
        <v>503</v>
      </c>
      <c r="P51" s="87">
        <f>IF('Prescriptive Path'!D71="Cooling",0,12*'Prescriptive Path'!H70*(1/Baseline!C57-1/Proposed!E57)*0.8)</f>
        <v>0</v>
      </c>
      <c r="Q51" s="84">
        <v>0</v>
      </c>
      <c r="R51" s="88" t="e">
        <f>1.1*D51*HLOOKUP(G51,AvoidCostTable,'Avoided Costs'!$D$44)</f>
        <v>#REF!</v>
      </c>
      <c r="S51" s="88" t="e">
        <f>C51*HLOOKUP(G51,AvoidCostTable,'Avoided Costs'!$D$44)</f>
        <v>#REF!</v>
      </c>
      <c r="T51" s="88" t="e">
        <f>P51*HLOOKUP(G51,AvoidCostTable,'Avoided Costs'!$D$45)</f>
        <v>#REF!</v>
      </c>
      <c r="U51" s="88" t="e">
        <f>E51/10*HLOOKUP(G51,AvoidCostTable,'Avoided Costs'!$D$46)</f>
        <v>#REF!</v>
      </c>
      <c r="V51" s="88" t="e">
        <f>F51/10*HLOOKUP(G51,AvoidCostTable,'Avoided Costs'!$D$47)</f>
        <v>#REF!</v>
      </c>
      <c r="W51" s="163">
        <f>IF('Avoided Costs'!C94="Upstate",-PV('Avoided Costs'!$D$2,G51,Q51*0.003),-PV('Avoided Costs'!$D$2,G51,Q51*0.007))</f>
        <v>0</v>
      </c>
      <c r="X51" s="88">
        <f t="shared" si="28"/>
        <v>0</v>
      </c>
      <c r="Y51" s="88">
        <f t="shared" si="29"/>
        <v>0</v>
      </c>
      <c r="Z51" s="88">
        <f t="shared" si="5"/>
        <v>0</v>
      </c>
      <c r="AA51" s="163">
        <f>IF('Avoided Costs'!$C$44="Upstate",((C51+D51)*0.1814+(E51+F51)*1.561+Q51*0.003),((C51+D51)*0.1814+(E51+F51)*1.561+Q51*0.007))</f>
        <v>0</v>
      </c>
      <c r="AB51" s="1926">
        <f t="shared" si="26"/>
        <v>0</v>
      </c>
      <c r="AC51" s="88">
        <f t="shared" si="34"/>
        <v>0</v>
      </c>
      <c r="AD51" s="89" t="str">
        <f t="shared" si="35"/>
        <v/>
      </c>
      <c r="AE51" s="179" t="str">
        <f t="shared" si="7"/>
        <v/>
      </c>
      <c r="AF51" s="329" t="s">
        <v>496</v>
      </c>
      <c r="AH51" s="2093" t="str">
        <f t="shared" si="23"/>
        <v/>
      </c>
      <c r="AI51" s="76" t="str">
        <f t="shared" si="12"/>
        <v/>
      </c>
      <c r="AJ51" s="76" t="str">
        <f t="shared" si="13"/>
        <v/>
      </c>
      <c r="AK51" s="76" t="str">
        <f t="shared" si="24"/>
        <v/>
      </c>
      <c r="AL51" s="2090" t="str">
        <f>IF(AK51="","",IF('Prescriptive Path'!$D$6="Affordable",IF(Savings!AK51="Electric","MPPLIEINC","MPPLIGINC"),IF(Savings!AK51="Electric","MPPMREINC","MPPMRGINC")))</f>
        <v/>
      </c>
    </row>
    <row r="52" spans="1:38">
      <c r="A52" s="2456"/>
      <c r="B52" s="158" t="s">
        <v>2</v>
      </c>
      <c r="C52" s="502">
        <v>0</v>
      </c>
      <c r="D52" s="354">
        <f>'Prescriptive Path'!H72*(3.516/Baseline!C59-3.516/Proposed!F59)*VLOOKUP('Prescriptive Path'!$D$4,ClimateZoneLookup!$A$4:$AS$65,8,FALSE)</f>
        <v>0</v>
      </c>
      <c r="E52" s="471">
        <v>0</v>
      </c>
      <c r="F52" s="471">
        <v>0</v>
      </c>
      <c r="G52" s="471">
        <v>24</v>
      </c>
      <c r="H52" s="2031">
        <v>0</v>
      </c>
      <c r="I52" s="2031">
        <f>J52</f>
        <v>0</v>
      </c>
      <c r="J52" s="2032">
        <f>45*'Prescriptive Path'!H72</f>
        <v>0</v>
      </c>
      <c r="K52" s="1766"/>
      <c r="L52" s="120" t="s">
        <v>503</v>
      </c>
      <c r="M52" s="120" t="s">
        <v>503</v>
      </c>
      <c r="N52" s="120" t="s">
        <v>503</v>
      </c>
      <c r="O52" s="120" t="s">
        <v>503</v>
      </c>
      <c r="P52" s="360">
        <f>'Prescriptive Path'!H72*(3.516/Baseline!D59-3.516/Proposed!E59)</f>
        <v>0</v>
      </c>
      <c r="Q52" s="277">
        <v>0</v>
      </c>
      <c r="R52" s="121" t="e">
        <f>1.1*D52*HLOOKUP(G52,AvoidCostTable,'Avoided Costs'!$D$44)</f>
        <v>#REF!</v>
      </c>
      <c r="S52" s="121" t="e">
        <f>C52*HLOOKUP(G52,AvoidCostTable,'Avoided Costs'!$D$44)</f>
        <v>#REF!</v>
      </c>
      <c r="T52" s="121" t="e">
        <f>P52*HLOOKUP(G52,AvoidCostTable,'Avoided Costs'!$D$45)</f>
        <v>#REF!</v>
      </c>
      <c r="U52" s="121" t="e">
        <f>E52/10*HLOOKUP(G52,AvoidCostTable,'Avoided Costs'!$D$46)</f>
        <v>#REF!</v>
      </c>
      <c r="V52" s="121" t="e">
        <f>F52/10*HLOOKUP(G52,AvoidCostTable,'Avoided Costs'!$D$47)</f>
        <v>#REF!</v>
      </c>
      <c r="W52" s="164">
        <f>IF('Avoided Costs'!C95="Upstate",-PV('Avoided Costs'!$D$2,G52,Q52*0.003),-PV('Avoided Costs'!$D$2,G52,Q52*0.007))</f>
        <v>0</v>
      </c>
      <c r="X52" s="121">
        <f t="shared" si="28"/>
        <v>0</v>
      </c>
      <c r="Y52" s="121">
        <f t="shared" si="29"/>
        <v>0</v>
      </c>
      <c r="Z52" s="121">
        <f t="shared" si="5"/>
        <v>0</v>
      </c>
      <c r="AA52" s="164">
        <f>IF('Avoided Costs'!$C$44="Upstate",((C52+D52)*0.1814+(E52+F52)*1.561+Q52*0.003),((C52+D52)*0.1814+(E52+F52)*1.561+Q52*0.007))</f>
        <v>0</v>
      </c>
      <c r="AB52" s="1927">
        <f t="shared" si="26"/>
        <v>0</v>
      </c>
      <c r="AC52" s="121">
        <f t="shared" si="34"/>
        <v>0</v>
      </c>
      <c r="AD52" s="122" t="str">
        <f t="shared" si="35"/>
        <v/>
      </c>
      <c r="AE52" s="195" t="str">
        <f t="shared" si="7"/>
        <v/>
      </c>
      <c r="AF52" s="329" t="s">
        <v>496</v>
      </c>
      <c r="AH52" s="2093" t="str">
        <f t="shared" si="23"/>
        <v/>
      </c>
      <c r="AI52" s="76" t="str">
        <f t="shared" si="12"/>
        <v/>
      </c>
      <c r="AJ52" s="76" t="str">
        <f t="shared" si="13"/>
        <v/>
      </c>
      <c r="AK52" s="76" t="str">
        <f t="shared" si="24"/>
        <v/>
      </c>
      <c r="AL52" s="2090" t="str">
        <f>IF(AK52="","",IF('Prescriptive Path'!$D$6="Affordable",IF(Savings!AK52="Electric","MPPLIEINC","MPPLIGINC"),IF(Savings!AK52="Electric","MPPMREINC","MPPMRGINC")))</f>
        <v/>
      </c>
    </row>
    <row r="53" spans="1:38">
      <c r="A53" s="2456"/>
      <c r="B53" s="501" t="s">
        <v>3</v>
      </c>
      <c r="C53" s="320"/>
      <c r="D53" s="322"/>
      <c r="E53" s="321"/>
      <c r="F53" s="321"/>
      <c r="G53" s="321"/>
      <c r="H53" s="2027"/>
      <c r="I53" s="2027"/>
      <c r="J53" s="2027"/>
      <c r="K53" s="1761"/>
      <c r="L53" s="476"/>
      <c r="M53" s="476"/>
      <c r="N53" s="476"/>
      <c r="O53" s="476"/>
      <c r="P53" s="477"/>
      <c r="Q53" s="322"/>
      <c r="R53" s="478"/>
      <c r="S53" s="478"/>
      <c r="T53" s="478"/>
      <c r="U53" s="478"/>
      <c r="V53" s="478"/>
      <c r="W53" s="478"/>
      <c r="X53" s="478"/>
      <c r="Y53" s="478"/>
      <c r="Z53" s="478"/>
      <c r="AA53" s="478"/>
      <c r="AB53" s="1944"/>
      <c r="AC53" s="478"/>
      <c r="AD53" s="479"/>
      <c r="AE53" s="480"/>
      <c r="AF53" s="826"/>
      <c r="AH53" s="113"/>
      <c r="AI53" s="114"/>
      <c r="AJ53" s="114"/>
      <c r="AK53" s="114"/>
      <c r="AL53" s="884"/>
    </row>
    <row r="54" spans="1:38" ht="25.5">
      <c r="A54" s="2456"/>
      <c r="B54" s="158" t="s">
        <v>368</v>
      </c>
      <c r="C54" s="203">
        <v>0</v>
      </c>
      <c r="D54" s="366">
        <f>'Prescriptive Path'!H74*(3.516/Baseline!C61-3.516/Proposed!F61)*VLOOKUP('Prescriptive Path'!$D$4,ClimateZoneLookup!$A$4:$AS$65,8,FALSE)</f>
        <v>0</v>
      </c>
      <c r="E54" s="125">
        <v>0</v>
      </c>
      <c r="F54" s="125">
        <v>0</v>
      </c>
      <c r="G54" s="125">
        <v>24</v>
      </c>
      <c r="H54" s="2033">
        <v>0</v>
      </c>
      <c r="I54" s="2033">
        <f>J54</f>
        <v>0</v>
      </c>
      <c r="J54" s="2033">
        <f>45*'Prescriptive Path'!H74</f>
        <v>0</v>
      </c>
      <c r="K54" s="1768"/>
      <c r="L54" s="137" t="s">
        <v>503</v>
      </c>
      <c r="M54" s="137" t="s">
        <v>503</v>
      </c>
      <c r="N54" s="137" t="s">
        <v>503</v>
      </c>
      <c r="O54" s="137" t="s">
        <v>503</v>
      </c>
      <c r="P54" s="359">
        <f>'Prescriptive Path'!H74*(3.516/Baseline!D61-3.516/Proposed!E61)*0.8</f>
        <v>0</v>
      </c>
      <c r="Q54" s="278">
        <v>0</v>
      </c>
      <c r="R54" s="127" t="e">
        <f>1.1*D54*HLOOKUP(G54,AvoidCostTable,'Avoided Costs'!$D$44)</f>
        <v>#REF!</v>
      </c>
      <c r="S54" s="127" t="e">
        <f>C54*HLOOKUP(G54,AvoidCostTable,'Avoided Costs'!$D$44)</f>
        <v>#REF!</v>
      </c>
      <c r="T54" s="127" t="e">
        <f>P54*HLOOKUP(G54,AvoidCostTable,'Avoided Costs'!$D$45)</f>
        <v>#REF!</v>
      </c>
      <c r="U54" s="127" t="e">
        <f>E54/10*HLOOKUP(G54,AvoidCostTable,'Avoided Costs'!$D$46)</f>
        <v>#REF!</v>
      </c>
      <c r="V54" s="127" t="e">
        <f>F54/10*HLOOKUP(G54,AvoidCostTable,'Avoided Costs'!$D$47)</f>
        <v>#REF!</v>
      </c>
      <c r="W54" s="127">
        <f>IF('Avoided Costs'!C97="Upstate",-PV('Avoided Costs'!$D$2,G54,Q54*0.003),-PV('Avoided Costs'!$D$2,G54,Q54*0.007))</f>
        <v>0</v>
      </c>
      <c r="X54" s="127">
        <f t="shared" si="28"/>
        <v>0</v>
      </c>
      <c r="Y54" s="127">
        <f t="shared" si="29"/>
        <v>0</v>
      </c>
      <c r="Z54" s="127">
        <f t="shared" si="5"/>
        <v>0</v>
      </c>
      <c r="AA54" s="202">
        <f>IF('Avoided Costs'!$C$44="Upstate",((C54+D54)*0.1814+(E54+F54)*1.561+Q54*0.003),((C54+D54)*0.1814+(E54+F54)*1.561+Q54*0.007))</f>
        <v>0</v>
      </c>
      <c r="AB54" s="1942">
        <f t="shared" si="26"/>
        <v>0</v>
      </c>
      <c r="AC54" s="127">
        <f>IF(AA54=0,0,G54*AA54)</f>
        <v>0</v>
      </c>
      <c r="AD54" s="128" t="str">
        <f>IF(AA54=0,"",IF(AA54&gt;0,-PV(3%,G54,AA54)/J54,0))</f>
        <v/>
      </c>
      <c r="AE54" s="193" t="str">
        <f t="shared" si="7"/>
        <v/>
      </c>
      <c r="AF54" s="329" t="s">
        <v>496</v>
      </c>
      <c r="AH54" s="2093" t="str">
        <f t="shared" si="23"/>
        <v/>
      </c>
      <c r="AI54" s="76" t="str">
        <f t="shared" si="12"/>
        <v/>
      </c>
      <c r="AJ54" s="76" t="str">
        <f t="shared" si="13"/>
        <v/>
      </c>
      <c r="AK54" s="76" t="str">
        <f t="shared" si="24"/>
        <v/>
      </c>
      <c r="AL54" s="2090" t="str">
        <f>IF(AK54="","",IF('Prescriptive Path'!$D$6="Affordable",IF(Savings!AK54="Electric","MPPLIEINC","MPPLIGINC"),IF(Savings!AK54="Electric","MPPMREINC","MPPMRGINC")))</f>
        <v/>
      </c>
    </row>
    <row r="55" spans="1:38" ht="25.5">
      <c r="A55" s="2456"/>
      <c r="B55" s="158" t="s">
        <v>369</v>
      </c>
      <c r="C55" s="105">
        <v>0</v>
      </c>
      <c r="D55" s="83">
        <f>'Prescriptive Path'!H75*(3.516/Baseline!C62-3.516/Proposed!F62)*VLOOKUP('Prescriptive Path'!$D$4,ClimateZoneLookup!$A$4:$AS$65,8,FALSE)</f>
        <v>0</v>
      </c>
      <c r="E55" s="106">
        <v>0</v>
      </c>
      <c r="F55" s="106">
        <v>0</v>
      </c>
      <c r="G55" s="106">
        <v>24</v>
      </c>
      <c r="H55" s="2031">
        <v>0</v>
      </c>
      <c r="I55" s="2031">
        <f t="shared" ref="I55:I58" si="36">J55</f>
        <v>0</v>
      </c>
      <c r="J55" s="2031">
        <f>45*'Prescriptive Path'!H75</f>
        <v>0</v>
      </c>
      <c r="K55" s="1768"/>
      <c r="L55" s="137" t="s">
        <v>503</v>
      </c>
      <c r="M55" s="137" t="s">
        <v>503</v>
      </c>
      <c r="N55" s="137" t="s">
        <v>503</v>
      </c>
      <c r="O55" s="137" t="s">
        <v>503</v>
      </c>
      <c r="P55" s="87">
        <f>'Prescriptive Path'!H75*(3.516/Baseline!D62-3.516/Proposed!E62)*0.8</f>
        <v>0</v>
      </c>
      <c r="Q55" s="279">
        <v>0</v>
      </c>
      <c r="R55" s="107" t="e">
        <f>1.1*D55*HLOOKUP(G55,AvoidCostTable,'Avoided Costs'!$D$44)</f>
        <v>#REF!</v>
      </c>
      <c r="S55" s="107" t="e">
        <f>C55*HLOOKUP(G55,AvoidCostTable,'Avoided Costs'!$D$44)</f>
        <v>#REF!</v>
      </c>
      <c r="T55" s="107" t="e">
        <f>P55*HLOOKUP(G55,AvoidCostTable,'Avoided Costs'!$D$45)</f>
        <v>#REF!</v>
      </c>
      <c r="U55" s="107" t="e">
        <f>E55/10*HLOOKUP(G55,AvoidCostTable,'Avoided Costs'!$D$46)</f>
        <v>#REF!</v>
      </c>
      <c r="V55" s="107" t="e">
        <f>F55/10*HLOOKUP(G55,AvoidCostTable,'Avoided Costs'!$D$47)</f>
        <v>#REF!</v>
      </c>
      <c r="W55" s="107">
        <f>IF('Avoided Costs'!C98="Upstate",-PV('Avoided Costs'!$D$2,G55,Q55*0.003),-PV('Avoided Costs'!$D$2,G55,Q55*0.007))</f>
        <v>0</v>
      </c>
      <c r="X55" s="107">
        <f t="shared" si="28"/>
        <v>0</v>
      </c>
      <c r="Y55" s="107">
        <f t="shared" si="29"/>
        <v>0</v>
      </c>
      <c r="Z55" s="107">
        <f t="shared" si="5"/>
        <v>0</v>
      </c>
      <c r="AA55" s="163">
        <f>IF('Avoided Costs'!$C$44="Upstate",((C55+D55)*0.1814+(E55+F55)*1.561+Q55*0.003),((C55+D55)*0.1814+(E55+F55)*1.561+Q55*0.007))</f>
        <v>0</v>
      </c>
      <c r="AB55" s="1926">
        <f t="shared" si="26"/>
        <v>0</v>
      </c>
      <c r="AC55" s="107">
        <f>IF(AA55=0,0,G55*AA55)</f>
        <v>0</v>
      </c>
      <c r="AD55" s="108" t="str">
        <f>IF(AA55=0,"",IF(AA55&gt;0,-PV(3%,G55,AA55)/J55,0))</f>
        <v/>
      </c>
      <c r="AE55" s="194" t="str">
        <f t="shared" si="7"/>
        <v/>
      </c>
      <c r="AF55" s="329" t="s">
        <v>496</v>
      </c>
      <c r="AH55" s="2093" t="str">
        <f t="shared" si="23"/>
        <v/>
      </c>
      <c r="AI55" s="76" t="str">
        <f t="shared" si="12"/>
        <v/>
      </c>
      <c r="AJ55" s="76" t="str">
        <f t="shared" si="13"/>
        <v/>
      </c>
      <c r="AK55" s="76" t="str">
        <f t="shared" si="24"/>
        <v/>
      </c>
      <c r="AL55" s="2090" t="str">
        <f>IF(AK55="","",IF('Prescriptive Path'!$D$6="Affordable",IF(Savings!AK55="Electric","MPPLIEINC","MPPLIGINC"),IF(Savings!AK55="Electric","MPPMREINC","MPPMRGINC")))</f>
        <v/>
      </c>
    </row>
    <row r="56" spans="1:38" ht="25.5">
      <c r="A56" s="2456"/>
      <c r="B56" s="158" t="s">
        <v>370</v>
      </c>
      <c r="C56" s="105">
        <v>0</v>
      </c>
      <c r="D56" s="83">
        <f>'Prescriptive Path'!H76*(3.516/Baseline!C63-3.516/Proposed!F63)*VLOOKUP('Prescriptive Path'!$D$4,ClimateZoneLookup!$A$4:$AS$65,8,FALSE)</f>
        <v>0</v>
      </c>
      <c r="E56" s="106">
        <v>0</v>
      </c>
      <c r="F56" s="106">
        <v>0</v>
      </c>
      <c r="G56" s="106">
        <v>24</v>
      </c>
      <c r="H56" s="2031">
        <v>0</v>
      </c>
      <c r="I56" s="2031">
        <f t="shared" si="36"/>
        <v>0</v>
      </c>
      <c r="J56" s="2031">
        <f>45*'Prescriptive Path'!H76</f>
        <v>0</v>
      </c>
      <c r="K56" s="1768"/>
      <c r="L56" s="137" t="s">
        <v>503</v>
      </c>
      <c r="M56" s="137" t="s">
        <v>503</v>
      </c>
      <c r="N56" s="137" t="s">
        <v>503</v>
      </c>
      <c r="O56" s="137" t="s">
        <v>503</v>
      </c>
      <c r="P56" s="87">
        <f>'Prescriptive Path'!H76*(3.516/Baseline!D63-3.516/Proposed!E63)*0.8</f>
        <v>0</v>
      </c>
      <c r="Q56" s="279">
        <v>0</v>
      </c>
      <c r="R56" s="107" t="e">
        <f>1.1*D56*HLOOKUP(G56,AvoidCostTable,'Avoided Costs'!$D$44)</f>
        <v>#REF!</v>
      </c>
      <c r="S56" s="107" t="e">
        <f>C56*HLOOKUP(G56,AvoidCostTable,'Avoided Costs'!$D$44)</f>
        <v>#REF!</v>
      </c>
      <c r="T56" s="107" t="e">
        <f>P56*HLOOKUP(G56,AvoidCostTable,'Avoided Costs'!$D$45)</f>
        <v>#REF!</v>
      </c>
      <c r="U56" s="107" t="e">
        <f>E56/10*HLOOKUP(G56,AvoidCostTable,'Avoided Costs'!$D$46)</f>
        <v>#REF!</v>
      </c>
      <c r="V56" s="107" t="e">
        <f>F56/10*HLOOKUP(G56,AvoidCostTable,'Avoided Costs'!$D$47)</f>
        <v>#REF!</v>
      </c>
      <c r="W56" s="107">
        <f>IF('Avoided Costs'!C99="Upstate",-PV('Avoided Costs'!$D$2,G56,Q56*0.003),-PV('Avoided Costs'!$D$2,G56,Q56*0.007))</f>
        <v>0</v>
      </c>
      <c r="X56" s="107">
        <f t="shared" si="28"/>
        <v>0</v>
      </c>
      <c r="Y56" s="107">
        <f t="shared" si="29"/>
        <v>0</v>
      </c>
      <c r="Z56" s="107">
        <f t="shared" si="5"/>
        <v>0</v>
      </c>
      <c r="AA56" s="163">
        <f>IF('Avoided Costs'!$C$44="Upstate",((C56+D56)*0.1814+(E56+F56)*1.561+Q56*0.003),((C56+D56)*0.1814+(E56+F56)*1.561+Q56*0.007))</f>
        <v>0</v>
      </c>
      <c r="AB56" s="1926">
        <f t="shared" si="26"/>
        <v>0</v>
      </c>
      <c r="AC56" s="107">
        <f>IF(AA56=0,0,G56*AA56)</f>
        <v>0</v>
      </c>
      <c r="AD56" s="108" t="str">
        <f>IF(AA56=0,"",IF(AA56&gt;0,-PV(3%,G56,AA56)/J56,0))</f>
        <v/>
      </c>
      <c r="AE56" s="194" t="str">
        <f t="shared" si="7"/>
        <v/>
      </c>
      <c r="AF56" s="329" t="s">
        <v>496</v>
      </c>
      <c r="AH56" s="2093" t="str">
        <f t="shared" si="23"/>
        <v/>
      </c>
      <c r="AI56" s="76" t="str">
        <f t="shared" si="12"/>
        <v/>
      </c>
      <c r="AJ56" s="76" t="str">
        <f t="shared" si="13"/>
        <v/>
      </c>
      <c r="AK56" s="76" t="str">
        <f t="shared" si="24"/>
        <v/>
      </c>
      <c r="AL56" s="2090" t="str">
        <f>IF(AK56="","",IF('Prescriptive Path'!$D$6="Affordable",IF(Savings!AK56="Electric","MPPLIEINC","MPPLIGINC"),IF(Savings!AK56="Electric","MPPMREINC","MPPMRGINC")))</f>
        <v/>
      </c>
    </row>
    <row r="57" spans="1:38" ht="25.5">
      <c r="A57" s="2456"/>
      <c r="B57" s="158" t="s">
        <v>371</v>
      </c>
      <c r="C57" s="105">
        <v>0</v>
      </c>
      <c r="D57" s="83">
        <f>'Prescriptive Path'!H77*(3.516/Baseline!C64-3.516/Proposed!F64)*VLOOKUP('Prescriptive Path'!$D$4,ClimateZoneLookup!$A$4:$AS$65,8,FALSE)</f>
        <v>0</v>
      </c>
      <c r="E57" s="106">
        <v>0</v>
      </c>
      <c r="F57" s="106">
        <v>0</v>
      </c>
      <c r="G57" s="106">
        <v>24</v>
      </c>
      <c r="H57" s="2031">
        <v>0</v>
      </c>
      <c r="I57" s="2031">
        <f t="shared" si="36"/>
        <v>0</v>
      </c>
      <c r="J57" s="2031">
        <f>45*'Prescriptive Path'!H77</f>
        <v>0</v>
      </c>
      <c r="K57" s="1768"/>
      <c r="L57" s="137" t="s">
        <v>503</v>
      </c>
      <c r="M57" s="137" t="s">
        <v>503</v>
      </c>
      <c r="N57" s="137" t="s">
        <v>503</v>
      </c>
      <c r="O57" s="137" t="s">
        <v>503</v>
      </c>
      <c r="P57" s="87">
        <f>'Prescriptive Path'!H77*(3.516/Baseline!D64-3.516/Proposed!E64)*0.8</f>
        <v>0</v>
      </c>
      <c r="Q57" s="279">
        <v>0</v>
      </c>
      <c r="R57" s="107" t="e">
        <f>1.1*D57*HLOOKUP(G57,AvoidCostTable,'Avoided Costs'!$D$44)</f>
        <v>#REF!</v>
      </c>
      <c r="S57" s="107" t="e">
        <f>C57*HLOOKUP(G57,AvoidCostTable,'Avoided Costs'!$D$44)</f>
        <v>#REF!</v>
      </c>
      <c r="T57" s="107" t="e">
        <f>P57*HLOOKUP(G57,AvoidCostTable,'Avoided Costs'!$D$45)</f>
        <v>#REF!</v>
      </c>
      <c r="U57" s="107" t="e">
        <f>E57/10*HLOOKUP(G57,AvoidCostTable,'Avoided Costs'!$D$46)</f>
        <v>#REF!</v>
      </c>
      <c r="V57" s="107" t="e">
        <f>F57/10*HLOOKUP(G57,AvoidCostTable,'Avoided Costs'!$D$47)</f>
        <v>#REF!</v>
      </c>
      <c r="W57" s="107">
        <f>IF('Avoided Costs'!C100="Upstate",-PV('Avoided Costs'!$D$2,G57,Q57*0.003),-PV('Avoided Costs'!$D$2,G57,Q57*0.007))</f>
        <v>0</v>
      </c>
      <c r="X57" s="107">
        <f t="shared" si="28"/>
        <v>0</v>
      </c>
      <c r="Y57" s="107">
        <f t="shared" si="29"/>
        <v>0</v>
      </c>
      <c r="Z57" s="107">
        <f t="shared" si="5"/>
        <v>0</v>
      </c>
      <c r="AA57" s="163">
        <f>IF('Avoided Costs'!$C$44="Upstate",((C57+D57)*0.1814+(E57+F57)*1.561+Q57*0.003),((C57+D57)*0.1814+(E57+F57)*1.561+Q57*0.007))</f>
        <v>0</v>
      </c>
      <c r="AB57" s="1926">
        <f t="shared" si="26"/>
        <v>0</v>
      </c>
      <c r="AC57" s="107">
        <f>IF(AA57=0,0,G57*AA57)</f>
        <v>0</v>
      </c>
      <c r="AD57" s="108" t="str">
        <f>IF(AA57=0,"",IF(AA57&gt;0,-PV(3%,G57,AA57)/J57,0))</f>
        <v/>
      </c>
      <c r="AE57" s="194" t="str">
        <f t="shared" si="7"/>
        <v/>
      </c>
      <c r="AF57" s="329" t="s">
        <v>496</v>
      </c>
      <c r="AH57" s="2093" t="str">
        <f t="shared" si="23"/>
        <v/>
      </c>
      <c r="AI57" s="76" t="str">
        <f t="shared" si="12"/>
        <v/>
      </c>
      <c r="AJ57" s="76" t="str">
        <f t="shared" si="13"/>
        <v/>
      </c>
      <c r="AK57" s="76" t="str">
        <f t="shared" si="24"/>
        <v/>
      </c>
      <c r="AL57" s="2090" t="str">
        <f>IF(AK57="","",IF('Prescriptive Path'!$D$6="Affordable",IF(Savings!AK57="Electric","MPPLIEINC","MPPLIGINC"),IF(Savings!AK57="Electric","MPPMREINC","MPPMRGINC")))</f>
        <v/>
      </c>
    </row>
    <row r="58" spans="1:38" ht="25.5">
      <c r="A58" s="2456"/>
      <c r="B58" s="158" t="s">
        <v>393</v>
      </c>
      <c r="C58" s="110">
        <v>0</v>
      </c>
      <c r="D58" s="354">
        <f>'Prescriptive Path'!H78*(3.516/Baseline!C65-3.516/Proposed!F65)*VLOOKUP('Prescriptive Path'!$D$4,ClimateZoneLookup!$A$4:$AS$65,8,FALSE)</f>
        <v>0</v>
      </c>
      <c r="E58" s="111">
        <v>0</v>
      </c>
      <c r="F58" s="111">
        <v>0</v>
      </c>
      <c r="G58" s="111">
        <v>24</v>
      </c>
      <c r="H58" s="2032">
        <v>0</v>
      </c>
      <c r="I58" s="2032">
        <f t="shared" si="36"/>
        <v>0</v>
      </c>
      <c r="J58" s="2032">
        <f>45*'Prescriptive Path'!H78</f>
        <v>0</v>
      </c>
      <c r="K58" s="1769"/>
      <c r="L58" s="137" t="s">
        <v>503</v>
      </c>
      <c r="M58" s="137" t="s">
        <v>503</v>
      </c>
      <c r="N58" s="137" t="s">
        <v>503</v>
      </c>
      <c r="O58" s="137" t="s">
        <v>503</v>
      </c>
      <c r="P58" s="360">
        <f>'Prescriptive Path'!H78*(3.516/Baseline!D65-3.516/Proposed!E65)*0.8</f>
        <v>0</v>
      </c>
      <c r="Q58" s="277">
        <v>0</v>
      </c>
      <c r="R58" s="121" t="e">
        <f>1.1*D58*HLOOKUP(G58,AvoidCostTable,'Avoided Costs'!$D$44)</f>
        <v>#REF!</v>
      </c>
      <c r="S58" s="121" t="e">
        <f>C58*HLOOKUP(G58,AvoidCostTable,'Avoided Costs'!$D$44)</f>
        <v>#REF!</v>
      </c>
      <c r="T58" s="121" t="e">
        <f>P58*HLOOKUP(G58,AvoidCostTable,'Avoided Costs'!$D$45)</f>
        <v>#REF!</v>
      </c>
      <c r="U58" s="121" t="e">
        <f>E58/10*HLOOKUP(G58,AvoidCostTable,'Avoided Costs'!$D$46)</f>
        <v>#REF!</v>
      </c>
      <c r="V58" s="121" t="e">
        <f>F58/10*HLOOKUP(G58,AvoidCostTable,'Avoided Costs'!$D$47)</f>
        <v>#REF!</v>
      </c>
      <c r="W58" s="121">
        <f>IF('Avoided Costs'!C101="Upstate",-PV('Avoided Costs'!$D$2,G58,Q58*0.003),-PV('Avoided Costs'!$D$2,G58,Q58*0.007))</f>
        <v>0</v>
      </c>
      <c r="X58" s="121">
        <f t="shared" si="28"/>
        <v>0</v>
      </c>
      <c r="Y58" s="121">
        <f t="shared" si="29"/>
        <v>0</v>
      </c>
      <c r="Z58" s="121">
        <f t="shared" si="5"/>
        <v>0</v>
      </c>
      <c r="AA58" s="164">
        <f>IF('Avoided Costs'!$C$44="Upstate",((C58+D58)*0.1814+(E58+F58)*1.561+Q58*0.003),((C58+D58)*0.1814+(E58+F58)*1.561+Q58*0.007))</f>
        <v>0</v>
      </c>
      <c r="AB58" s="1927">
        <f t="shared" si="26"/>
        <v>0</v>
      </c>
      <c r="AC58" s="121">
        <f>IF(AA58=0,0,G58*AA58)</f>
        <v>0</v>
      </c>
      <c r="AD58" s="122" t="str">
        <f>IF(AA58=0,"",IF(AA58&gt;0,-PV(3%,G58,AA58)/J58,0))</f>
        <v/>
      </c>
      <c r="AE58" s="195" t="str">
        <f t="shared" si="7"/>
        <v/>
      </c>
      <c r="AF58" s="329" t="s">
        <v>496</v>
      </c>
      <c r="AH58" s="2093" t="str">
        <f t="shared" si="23"/>
        <v/>
      </c>
      <c r="AI58" s="76" t="str">
        <f t="shared" si="12"/>
        <v/>
      </c>
      <c r="AJ58" s="76" t="str">
        <f t="shared" si="13"/>
        <v/>
      </c>
      <c r="AK58" s="76" t="str">
        <f t="shared" si="24"/>
        <v/>
      </c>
      <c r="AL58" s="2090" t="str">
        <f>IF(AK58="","",IF('Prescriptive Path'!$D$6="Affordable",IF(Savings!AK58="Electric","MPPLIEINC","MPPLIGINC"),IF(Savings!AK58="Electric","MPPMREINC","MPPMRGINC")))</f>
        <v/>
      </c>
    </row>
    <row r="59" spans="1:38" ht="25.5">
      <c r="A59" s="2456"/>
      <c r="B59" s="158" t="s">
        <v>394</v>
      </c>
      <c r="C59" s="482"/>
      <c r="D59" s="486"/>
      <c r="E59" s="483"/>
      <c r="F59" s="483"/>
      <c r="G59" s="483"/>
      <c r="H59" s="487"/>
      <c r="I59" s="487"/>
      <c r="J59" s="2034"/>
      <c r="K59" s="1770"/>
      <c r="L59" s="484"/>
      <c r="M59" s="484"/>
      <c r="N59" s="484"/>
      <c r="O59" s="484"/>
      <c r="P59" s="485"/>
      <c r="Q59" s="486"/>
      <c r="R59" s="487"/>
      <c r="S59" s="487"/>
      <c r="T59" s="487"/>
      <c r="U59" s="487"/>
      <c r="V59" s="487"/>
      <c r="W59" s="487"/>
      <c r="X59" s="487"/>
      <c r="Y59" s="487"/>
      <c r="Z59" s="487"/>
      <c r="AA59" s="487"/>
      <c r="AB59" s="1939"/>
      <c r="AC59" s="487"/>
      <c r="AD59" s="488"/>
      <c r="AE59" s="489"/>
      <c r="AF59" s="827"/>
      <c r="AH59" s="116"/>
      <c r="AI59" s="117"/>
      <c r="AJ59" s="117"/>
      <c r="AK59" s="117"/>
      <c r="AL59" s="888"/>
    </row>
    <row r="60" spans="1:38" ht="25.5">
      <c r="A60" s="2456"/>
      <c r="B60" s="158" t="s">
        <v>372</v>
      </c>
      <c r="C60" s="490"/>
      <c r="D60" s="494"/>
      <c r="E60" s="491"/>
      <c r="F60" s="491"/>
      <c r="G60" s="491"/>
      <c r="H60" s="2035"/>
      <c r="I60" s="2035"/>
      <c r="J60" s="2036"/>
      <c r="K60" s="1771"/>
      <c r="L60" s="492"/>
      <c r="M60" s="492"/>
      <c r="N60" s="492"/>
      <c r="O60" s="492"/>
      <c r="P60" s="493"/>
      <c r="Q60" s="494"/>
      <c r="R60" s="495"/>
      <c r="S60" s="495"/>
      <c r="T60" s="495"/>
      <c r="U60" s="495"/>
      <c r="V60" s="495"/>
      <c r="W60" s="495"/>
      <c r="X60" s="495"/>
      <c r="Y60" s="495"/>
      <c r="Z60" s="495"/>
      <c r="AA60" s="495"/>
      <c r="AB60" s="1945"/>
      <c r="AC60" s="495"/>
      <c r="AD60" s="496"/>
      <c r="AE60" s="497"/>
      <c r="AF60" s="609"/>
      <c r="AH60" s="2094"/>
      <c r="AI60" s="2084"/>
      <c r="AJ60" s="2084"/>
      <c r="AK60" s="2084"/>
      <c r="AL60" s="2087"/>
    </row>
    <row r="61" spans="1:38" ht="25.5">
      <c r="A61" s="2456"/>
      <c r="B61" s="158" t="s">
        <v>373</v>
      </c>
      <c r="C61" s="123">
        <v>0</v>
      </c>
      <c r="D61" s="367">
        <f>'Prescriptive Path'!H81*(3.516/Baseline!C68-3.516/Proposed!F68)*VLOOKUP('Prescriptive Path'!$D$4,ClimateZoneLookup!$A$4:$AS$65,8,FALSE)</f>
        <v>0</v>
      </c>
      <c r="E61" s="124">
        <v>0</v>
      </c>
      <c r="F61" s="124">
        <v>0</v>
      </c>
      <c r="G61" s="124">
        <v>24</v>
      </c>
      <c r="H61" s="2032">
        <v>0</v>
      </c>
      <c r="I61" s="2032">
        <f t="shared" ref="I61" si="37">J61</f>
        <v>0</v>
      </c>
      <c r="J61" s="2037">
        <f>5*'Prescriptive Path'!H81</f>
        <v>0</v>
      </c>
      <c r="K61" s="1769"/>
      <c r="L61" s="134" t="s">
        <v>503</v>
      </c>
      <c r="M61" s="134" t="s">
        <v>503</v>
      </c>
      <c r="N61" s="134" t="s">
        <v>503</v>
      </c>
      <c r="O61" s="134" t="s">
        <v>503</v>
      </c>
      <c r="P61" s="362">
        <f>'Prescriptive Path'!H81*(3.516/Baseline!D68-3.516/Proposed!E68)*0.8</f>
        <v>0</v>
      </c>
      <c r="Q61" s="280">
        <v>0</v>
      </c>
      <c r="R61" s="135" t="e">
        <f>1.1*D61*HLOOKUP(G61,AvoidCostTable,'Avoided Costs'!$D$44)</f>
        <v>#REF!</v>
      </c>
      <c r="S61" s="135" t="e">
        <f>C61*HLOOKUP(G61,AvoidCostTable,'Avoided Costs'!$D$44)</f>
        <v>#REF!</v>
      </c>
      <c r="T61" s="135" t="e">
        <f>P61*HLOOKUP(G61,AvoidCostTable,'Avoided Costs'!$D$45)</f>
        <v>#REF!</v>
      </c>
      <c r="U61" s="135" t="e">
        <f>E61/10*HLOOKUP(G61,AvoidCostTable,'Avoided Costs'!$D$46)</f>
        <v>#REF!</v>
      </c>
      <c r="V61" s="135" t="e">
        <f>F61/10*HLOOKUP(G61,AvoidCostTable,'Avoided Costs'!$D$47)</f>
        <v>#REF!</v>
      </c>
      <c r="W61" s="135">
        <f>IF('Avoided Costs'!C104="Upstate",-PV('Avoided Costs'!$D$2,G61,Q61*0.003),-PV('Avoided Costs'!$D$2,G61,Q61*0.007))</f>
        <v>0</v>
      </c>
      <c r="X61" s="135">
        <f t="shared" si="28"/>
        <v>0</v>
      </c>
      <c r="Y61" s="135">
        <f t="shared" si="29"/>
        <v>0</v>
      </c>
      <c r="Z61" s="135">
        <f t="shared" si="5"/>
        <v>0</v>
      </c>
      <c r="AA61" s="167">
        <f>IF('Avoided Costs'!$C$44="Upstate",((C61+D61)*0.1814+(E61+F61)*1.561+Q61*0.003),((C61+D61)*0.1814+(E61+F61)*1.561+Q61*0.007))</f>
        <v>0</v>
      </c>
      <c r="AB61" s="1943">
        <f t="shared" si="26"/>
        <v>0</v>
      </c>
      <c r="AC61" s="135">
        <f>IF(AA61=0,0,G61*AA61)</f>
        <v>0</v>
      </c>
      <c r="AD61" s="136" t="str">
        <f>IF(AA61=0,"",IF(AA61&gt;0,-PV(3%,G61,AA61)/J61,0))</f>
        <v/>
      </c>
      <c r="AE61" s="196" t="str">
        <f t="shared" si="7"/>
        <v/>
      </c>
      <c r="AF61" s="329" t="s">
        <v>496</v>
      </c>
      <c r="AH61" s="2093" t="str">
        <f t="shared" ref="AH61" si="38">IF(J61=0,"",IF(OR(AE61&lt;0,AE61&gt;0.949),"Yes","No"))</f>
        <v/>
      </c>
      <c r="AI61" s="76" t="str">
        <f t="shared" si="12"/>
        <v/>
      </c>
      <c r="AJ61" s="76" t="str">
        <f t="shared" si="13"/>
        <v/>
      </c>
      <c r="AK61" s="76" t="str">
        <f t="shared" ref="AK61" si="39">IF(AB61=0,"",IF((R61+S61)&gt;(U61+V61),"Electric","Gas"))</f>
        <v/>
      </c>
      <c r="AL61" s="2090" t="str">
        <f>IF(AK61="","",IF('Prescriptive Path'!$D$6="Affordable",IF(Savings!AK61="Electric","MPPLIEINC","MPPLIGINC"),IF(Savings!AK61="Electric","MPPMREINC","MPPMRGINC")))</f>
        <v/>
      </c>
    </row>
    <row r="62" spans="1:38">
      <c r="A62" s="2456"/>
      <c r="B62" s="158" t="s">
        <v>374</v>
      </c>
      <c r="C62" s="482"/>
      <c r="D62" s="483"/>
      <c r="E62" s="483"/>
      <c r="F62" s="483"/>
      <c r="G62" s="483"/>
      <c r="H62" s="487"/>
      <c r="I62" s="487"/>
      <c r="J62" s="2034"/>
      <c r="K62" s="1770"/>
      <c r="L62" s="484"/>
      <c r="M62" s="484"/>
      <c r="N62" s="484"/>
      <c r="O62" s="484"/>
      <c r="P62" s="485"/>
      <c r="Q62" s="486"/>
      <c r="R62" s="487"/>
      <c r="S62" s="487"/>
      <c r="T62" s="487"/>
      <c r="U62" s="487"/>
      <c r="V62" s="487"/>
      <c r="W62" s="487"/>
      <c r="X62" s="487"/>
      <c r="Y62" s="487"/>
      <c r="Z62" s="487"/>
      <c r="AA62" s="487"/>
      <c r="AB62" s="1939"/>
      <c r="AC62" s="487"/>
      <c r="AD62" s="488"/>
      <c r="AE62" s="489"/>
      <c r="AF62" s="2435"/>
      <c r="AH62" s="116"/>
      <c r="AI62" s="117"/>
      <c r="AJ62" s="117"/>
      <c r="AK62" s="117"/>
      <c r="AL62" s="888"/>
    </row>
    <row r="63" spans="1:38" ht="25.5">
      <c r="A63" s="2456"/>
      <c r="B63" s="158" t="s">
        <v>375</v>
      </c>
      <c r="C63" s="170"/>
      <c r="D63" s="129"/>
      <c r="E63" s="129"/>
      <c r="F63" s="129"/>
      <c r="G63" s="129"/>
      <c r="H63" s="132"/>
      <c r="I63" s="132"/>
      <c r="J63" s="2038"/>
      <c r="K63" s="1772"/>
      <c r="L63" s="130"/>
      <c r="M63" s="130"/>
      <c r="N63" s="130"/>
      <c r="O63" s="130"/>
      <c r="P63" s="131"/>
      <c r="Q63" s="275"/>
      <c r="R63" s="132"/>
      <c r="S63" s="132"/>
      <c r="T63" s="132"/>
      <c r="U63" s="132"/>
      <c r="V63" s="132"/>
      <c r="W63" s="132"/>
      <c r="X63" s="132"/>
      <c r="Y63" s="132"/>
      <c r="Z63" s="132"/>
      <c r="AA63" s="132"/>
      <c r="AB63" s="1946"/>
      <c r="AC63" s="132"/>
      <c r="AD63" s="133"/>
      <c r="AE63" s="190"/>
      <c r="AF63" s="2435"/>
      <c r="AH63" s="118"/>
      <c r="AI63" s="119"/>
      <c r="AJ63" s="119"/>
      <c r="AK63" s="119"/>
      <c r="AL63" s="893"/>
    </row>
    <row r="64" spans="1:38" ht="25.5">
      <c r="A64" s="2456"/>
      <c r="B64" s="158" t="s">
        <v>376</v>
      </c>
      <c r="C64" s="170"/>
      <c r="D64" s="129"/>
      <c r="E64" s="129"/>
      <c r="F64" s="129"/>
      <c r="G64" s="129"/>
      <c r="H64" s="132"/>
      <c r="I64" s="132"/>
      <c r="J64" s="2038"/>
      <c r="K64" s="1772"/>
      <c r="L64" s="130"/>
      <c r="M64" s="130"/>
      <c r="N64" s="130"/>
      <c r="O64" s="130"/>
      <c r="P64" s="131"/>
      <c r="Q64" s="275"/>
      <c r="R64" s="132"/>
      <c r="S64" s="132"/>
      <c r="T64" s="132"/>
      <c r="U64" s="132"/>
      <c r="V64" s="132"/>
      <c r="W64" s="132"/>
      <c r="X64" s="132"/>
      <c r="Y64" s="132"/>
      <c r="Z64" s="132"/>
      <c r="AA64" s="132"/>
      <c r="AB64" s="1946"/>
      <c r="AC64" s="132"/>
      <c r="AD64" s="133"/>
      <c r="AE64" s="190"/>
      <c r="AF64" s="2435"/>
      <c r="AH64" s="118"/>
      <c r="AI64" s="119"/>
      <c r="AJ64" s="119"/>
      <c r="AK64" s="119"/>
      <c r="AL64" s="893"/>
    </row>
    <row r="65" spans="1:38" ht="25.5">
      <c r="A65" s="2456"/>
      <c r="B65" s="158" t="s">
        <v>377</v>
      </c>
      <c r="C65" s="490"/>
      <c r="D65" s="491"/>
      <c r="E65" s="491"/>
      <c r="F65" s="491"/>
      <c r="G65" s="491"/>
      <c r="H65" s="2035"/>
      <c r="I65" s="2035"/>
      <c r="J65" s="2036"/>
      <c r="K65" s="1771"/>
      <c r="L65" s="492"/>
      <c r="M65" s="492"/>
      <c r="N65" s="492"/>
      <c r="O65" s="492"/>
      <c r="P65" s="131"/>
      <c r="Q65" s="494"/>
      <c r="R65" s="495"/>
      <c r="S65" s="495"/>
      <c r="T65" s="495"/>
      <c r="U65" s="495"/>
      <c r="V65" s="495"/>
      <c r="W65" s="495"/>
      <c r="X65" s="495"/>
      <c r="Y65" s="495"/>
      <c r="Z65" s="495"/>
      <c r="AA65" s="495"/>
      <c r="AB65" s="1945"/>
      <c r="AC65" s="495"/>
      <c r="AD65" s="496"/>
      <c r="AE65" s="497"/>
      <c r="AF65" s="2435"/>
      <c r="AH65" s="2094"/>
      <c r="AI65" s="2084"/>
      <c r="AJ65" s="2084"/>
      <c r="AK65" s="2084"/>
      <c r="AL65" s="2087"/>
    </row>
    <row r="66" spans="1:38" ht="25.5">
      <c r="A66" s="2456"/>
      <c r="B66" s="158" t="s">
        <v>378</v>
      </c>
      <c r="C66" s="206">
        <f>'Prescriptive Path'!H86*VLOOKUP('Prescriptive Path'!$D$4,ClimateZoneLookup!$A$4:$AS$65,16,FALSE)</f>
        <v>0</v>
      </c>
      <c r="D66" s="124">
        <v>0</v>
      </c>
      <c r="E66" s="124">
        <v>0</v>
      </c>
      <c r="F66" s="124">
        <v>0</v>
      </c>
      <c r="G66" s="125">
        <v>24</v>
      </c>
      <c r="H66" s="2032">
        <v>0</v>
      </c>
      <c r="I66" s="2032">
        <f t="shared" ref="I66:I69" si="40">J66</f>
        <v>0</v>
      </c>
      <c r="J66" s="2037">
        <f>Proposed!U73*'Prescriptive Path'!H86</f>
        <v>0</v>
      </c>
      <c r="K66" s="1769"/>
      <c r="L66" s="126">
        <v>0</v>
      </c>
      <c r="M66" s="126">
        <v>1.8500000000000001E-3</v>
      </c>
      <c r="N66" s="126">
        <v>0</v>
      </c>
      <c r="O66" s="126">
        <v>1.1299999999999999E-3</v>
      </c>
      <c r="P66" s="87">
        <f>IF('Prescriptive Path'!$K$1=4,C66*N66+D66*O66,C66*L66+D66*M66)</f>
        <v>0</v>
      </c>
      <c r="Q66" s="278">
        <v>0</v>
      </c>
      <c r="R66" s="127" t="e">
        <f>1.1*D66*HLOOKUP(G66,AvoidCostTable,'Avoided Costs'!$D$44)</f>
        <v>#REF!</v>
      </c>
      <c r="S66" s="127" t="e">
        <f>C66*HLOOKUP(G66,AvoidCostTable,'Avoided Costs'!$D$44)</f>
        <v>#REF!</v>
      </c>
      <c r="T66" s="127" t="e">
        <f>P66*HLOOKUP(G66,AvoidCostTable,'Avoided Costs'!$D$45)</f>
        <v>#REF!</v>
      </c>
      <c r="U66" s="127" t="e">
        <f>E66/10*HLOOKUP(G66,AvoidCostTable,'Avoided Costs'!$D$46)</f>
        <v>#REF!</v>
      </c>
      <c r="V66" s="127" t="e">
        <f>F66/10*HLOOKUP(G66,AvoidCostTable,'Avoided Costs'!$D$47)</f>
        <v>#REF!</v>
      </c>
      <c r="W66" s="127">
        <f>IF('Avoided Costs'!C109="Upstate",-PV('Avoided Costs'!$D$2,G66,Q66*0.003),-PV('Avoided Costs'!$D$2,G66,Q66*0.007))</f>
        <v>0</v>
      </c>
      <c r="X66" s="127">
        <f t="shared" ref="X66:X87" si="41">(D66+C66)*HLOOKUP(G66,AvoidCostTable,12,FALSE)</f>
        <v>0</v>
      </c>
      <c r="Y66" s="127">
        <f t="shared" ref="Y66:Y87" si="42">(F66+E66)/10*HLOOKUP(G66,AvoidCostTable,13)</f>
        <v>0</v>
      </c>
      <c r="Z66" s="127">
        <f t="shared" ref="Z66:Z87" si="43">IF(J66=0,0,SUM(R66:Y66)-W66)</f>
        <v>0</v>
      </c>
      <c r="AA66" s="202">
        <f>IF('Avoided Costs'!$C$44="Upstate",((C66+D66)*0.1814+(E66+F66)*1.561+Q66*0.003),((C66+D66)*0.1814+(E66+F66)*1.561+Q66*0.007))</f>
        <v>0</v>
      </c>
      <c r="AB66" s="1942">
        <f t="shared" si="26"/>
        <v>0</v>
      </c>
      <c r="AC66" s="127">
        <f>IF(AA66=0,0,G66*AA66)</f>
        <v>0</v>
      </c>
      <c r="AD66" s="128" t="str">
        <f>IF(AA66=0,"",IF(AA66&gt;0,-PV(3%,G66,AA66)/J66,0))</f>
        <v/>
      </c>
      <c r="AE66" s="193" t="str">
        <f t="shared" ref="AE66:AE87" si="44">IF(J66=0,"",Z66/(J66-W66))</f>
        <v/>
      </c>
      <c r="AF66" s="329" t="s">
        <v>496</v>
      </c>
      <c r="AH66" s="2093" t="str">
        <f t="shared" ref="AH66:AH69" si="45">IF(J66=0,"",IF(OR(AE66&lt;0,AE66&gt;0.949),"Yes","No"))</f>
        <v/>
      </c>
      <c r="AI66" s="76" t="str">
        <f t="shared" si="12"/>
        <v/>
      </c>
      <c r="AJ66" s="76" t="str">
        <f t="shared" si="13"/>
        <v/>
      </c>
      <c r="AK66" s="76" t="str">
        <f t="shared" ref="AK66:AK69" si="46">IF(AB66=0,"",IF((R66+S66)&gt;(U66+V66),"Electric","Gas"))</f>
        <v/>
      </c>
      <c r="AL66" s="2090" t="str">
        <f>IF(AK66="","",IF('Prescriptive Path'!$D$6="Affordable",IF(Savings!AK66="Electric","MPPLIEINC","MPPLIGINC"),IF(Savings!AK66="Electric","MPPMREINC","MPPMRGINC")))</f>
        <v/>
      </c>
    </row>
    <row r="67" spans="1:38" ht="25.5">
      <c r="A67" s="2456"/>
      <c r="B67" s="158" t="s">
        <v>379</v>
      </c>
      <c r="C67" s="152">
        <f>'Prescriptive Path'!H87*VLOOKUP('Prescriptive Path'!$D$4,ClimateZoneLookup!$A$4:$AS$65,16,FALSE)</f>
        <v>0</v>
      </c>
      <c r="D67" s="111">
        <v>0</v>
      </c>
      <c r="E67" s="111">
        <v>0</v>
      </c>
      <c r="F67" s="111">
        <v>0</v>
      </c>
      <c r="G67" s="106">
        <v>24</v>
      </c>
      <c r="H67" s="2032">
        <v>0</v>
      </c>
      <c r="I67" s="2032">
        <f t="shared" si="40"/>
        <v>0</v>
      </c>
      <c r="J67" s="2032">
        <f>Proposed!U73*'Prescriptive Path'!H87</f>
        <v>0</v>
      </c>
      <c r="K67" s="1766"/>
      <c r="L67" s="126">
        <v>0</v>
      </c>
      <c r="M67" s="126">
        <v>1.8500000000000001E-3</v>
      </c>
      <c r="N67" s="126">
        <v>0</v>
      </c>
      <c r="O67" s="126">
        <v>1.1299999999999999E-3</v>
      </c>
      <c r="P67" s="87">
        <f>IF('Prescriptive Path'!$K$1=4,C67*N67+D67*O67,C67*L67+D67*M67)</f>
        <v>0</v>
      </c>
      <c r="Q67" s="279">
        <v>0</v>
      </c>
      <c r="R67" s="107" t="e">
        <f>1.1*D67*HLOOKUP(G67,AvoidCostTable,'Avoided Costs'!$D$44)</f>
        <v>#REF!</v>
      </c>
      <c r="S67" s="107" t="e">
        <f>C67*HLOOKUP(G67,AvoidCostTable,'Avoided Costs'!$D$44)</f>
        <v>#REF!</v>
      </c>
      <c r="T67" s="107" t="e">
        <f>P67*HLOOKUP(G67,AvoidCostTable,'Avoided Costs'!$D$45)</f>
        <v>#REF!</v>
      </c>
      <c r="U67" s="107" t="e">
        <f>E67/10*HLOOKUP(G67,AvoidCostTable,'Avoided Costs'!$D$46)</f>
        <v>#REF!</v>
      </c>
      <c r="V67" s="107" t="e">
        <f>F67/10*HLOOKUP(G67,AvoidCostTable,'Avoided Costs'!$D$47)</f>
        <v>#REF!</v>
      </c>
      <c r="W67" s="107">
        <f>IF('Avoided Costs'!C110="Upstate",-PV('Avoided Costs'!$D$2,G67,Q67*0.003),-PV('Avoided Costs'!$D$2,G67,Q67*0.007))</f>
        <v>0</v>
      </c>
      <c r="X67" s="107">
        <f t="shared" si="41"/>
        <v>0</v>
      </c>
      <c r="Y67" s="107">
        <f t="shared" si="42"/>
        <v>0</v>
      </c>
      <c r="Z67" s="107">
        <f t="shared" si="43"/>
        <v>0</v>
      </c>
      <c r="AA67" s="163">
        <f>IF('Avoided Costs'!$C$44="Upstate",((C67+D67)*0.1814+(E67+F67)*1.561+Q67*0.003),((C67+D67)*0.1814+(E67+F67)*1.561+Q67*0.007))</f>
        <v>0</v>
      </c>
      <c r="AB67" s="1926">
        <f t="shared" si="26"/>
        <v>0</v>
      </c>
      <c r="AC67" s="107">
        <f>IF(AA67=0,0,G67*AA67)</f>
        <v>0</v>
      </c>
      <c r="AD67" s="108" t="str">
        <f>IF(AA67=0,"",IF(AA67&gt;0,-PV(3%,G67,AA67)/J67,0))</f>
        <v/>
      </c>
      <c r="AE67" s="194" t="str">
        <f t="shared" si="44"/>
        <v/>
      </c>
      <c r="AF67" s="329" t="s">
        <v>496</v>
      </c>
      <c r="AH67" s="2093" t="str">
        <f t="shared" si="45"/>
        <v/>
      </c>
      <c r="AI67" s="76" t="str">
        <f t="shared" si="12"/>
        <v/>
      </c>
      <c r="AJ67" s="76" t="str">
        <f t="shared" si="13"/>
        <v/>
      </c>
      <c r="AK67" s="76" t="str">
        <f t="shared" si="46"/>
        <v/>
      </c>
      <c r="AL67" s="2090" t="str">
        <f>IF(AK67="","",IF('Prescriptive Path'!$D$6="Affordable",IF(Savings!AK67="Electric","MPPLIEINC","MPPLIGINC"),IF(Savings!AK67="Electric","MPPMREINC","MPPMRGINC")))</f>
        <v/>
      </c>
    </row>
    <row r="68" spans="1:38">
      <c r="A68" s="2456"/>
      <c r="B68" s="158" t="s">
        <v>380</v>
      </c>
      <c r="C68" s="152">
        <f>'Prescriptive Path'!H88*VLOOKUP('Prescriptive Path'!$D$4,ClimateZoneLookup!$A$4:$AS$65,16,FALSE)</f>
        <v>0</v>
      </c>
      <c r="D68" s="111">
        <v>0</v>
      </c>
      <c r="E68" s="111">
        <v>0</v>
      </c>
      <c r="F68" s="111">
        <v>0</v>
      </c>
      <c r="G68" s="106">
        <v>24</v>
      </c>
      <c r="H68" s="2032">
        <v>0</v>
      </c>
      <c r="I68" s="2032">
        <f t="shared" si="40"/>
        <v>0</v>
      </c>
      <c r="J68" s="2032">
        <f>Proposed!U73*'Prescriptive Path'!H88</f>
        <v>0</v>
      </c>
      <c r="K68" s="1766"/>
      <c r="L68" s="126">
        <v>0</v>
      </c>
      <c r="M68" s="126">
        <v>1.8500000000000001E-3</v>
      </c>
      <c r="N68" s="126">
        <v>0</v>
      </c>
      <c r="O68" s="126">
        <v>1.1299999999999999E-3</v>
      </c>
      <c r="P68" s="87">
        <f>IF('Prescriptive Path'!$K$1=4,C68*N68+D68*O68,C68*L68+D68*M68)</f>
        <v>0</v>
      </c>
      <c r="Q68" s="279">
        <v>0</v>
      </c>
      <c r="R68" s="107" t="e">
        <f>1.1*D68*HLOOKUP(G68,AvoidCostTable,'Avoided Costs'!$D$44)</f>
        <v>#REF!</v>
      </c>
      <c r="S68" s="107" t="e">
        <f>C68*HLOOKUP(G68,AvoidCostTable,'Avoided Costs'!$D$44)</f>
        <v>#REF!</v>
      </c>
      <c r="T68" s="107" t="e">
        <f>P68*HLOOKUP(G68,AvoidCostTable,'Avoided Costs'!$D$45)</f>
        <v>#REF!</v>
      </c>
      <c r="U68" s="107" t="e">
        <f>E68/10*HLOOKUP(G68,AvoidCostTable,'Avoided Costs'!$D$46)</f>
        <v>#REF!</v>
      </c>
      <c r="V68" s="107" t="e">
        <f>F68/10*HLOOKUP(G68,AvoidCostTable,'Avoided Costs'!$D$47)</f>
        <v>#REF!</v>
      </c>
      <c r="W68" s="107">
        <f>IF('Avoided Costs'!C111="Upstate",-PV('Avoided Costs'!$D$2,G68,Q68*0.003),-PV('Avoided Costs'!$D$2,G68,Q68*0.007))</f>
        <v>0</v>
      </c>
      <c r="X68" s="107">
        <f t="shared" si="41"/>
        <v>0</v>
      </c>
      <c r="Y68" s="107">
        <f t="shared" si="42"/>
        <v>0</v>
      </c>
      <c r="Z68" s="107">
        <f t="shared" si="43"/>
        <v>0</v>
      </c>
      <c r="AA68" s="163">
        <f>IF('Avoided Costs'!$C$44="Upstate",((C68+D68)*0.1814+(E68+F68)*1.561+Q68*0.003),((C68+D68)*0.1814+(E68+F68)*1.561+Q68*0.007))</f>
        <v>0</v>
      </c>
      <c r="AB68" s="1926">
        <f t="shared" si="26"/>
        <v>0</v>
      </c>
      <c r="AC68" s="107">
        <f>IF(AA68=0,0,G68*AA68)</f>
        <v>0</v>
      </c>
      <c r="AD68" s="108" t="str">
        <f>IF(AA68=0,"",IF(AA68&gt;0,-PV(3%,G68,AA68)/J68,0))</f>
        <v/>
      </c>
      <c r="AE68" s="194" t="str">
        <f t="shared" si="44"/>
        <v/>
      </c>
      <c r="AF68" s="329" t="s">
        <v>496</v>
      </c>
      <c r="AH68" s="2093" t="str">
        <f t="shared" si="45"/>
        <v/>
      </c>
      <c r="AI68" s="76" t="str">
        <f t="shared" si="12"/>
        <v/>
      </c>
      <c r="AJ68" s="76" t="str">
        <f t="shared" si="13"/>
        <v/>
      </c>
      <c r="AK68" s="76" t="str">
        <f t="shared" si="46"/>
        <v/>
      </c>
      <c r="AL68" s="2090" t="str">
        <f>IF(AK68="","",IF('Prescriptive Path'!$D$6="Affordable",IF(Savings!AK68="Electric","MPPLIEINC","MPPLIGINC"),IF(Savings!AK68="Electric","MPPMREINC","MPPMRGINC")))</f>
        <v/>
      </c>
    </row>
    <row r="69" spans="1:38" ht="15.75" thickBot="1">
      <c r="A69" s="2457"/>
      <c r="B69" s="159" t="s">
        <v>381</v>
      </c>
      <c r="C69" s="200">
        <f>'Prescriptive Path'!H89*VLOOKUP('Prescriptive Path'!$D$4,ClimateZoneLookup!$A$4:$AS$65,16,FALSE)</f>
        <v>0</v>
      </c>
      <c r="D69" s="111">
        <v>0</v>
      </c>
      <c r="E69" s="111">
        <v>0</v>
      </c>
      <c r="F69" s="111">
        <v>0</v>
      </c>
      <c r="G69" s="111">
        <v>24</v>
      </c>
      <c r="H69" s="2032">
        <v>0</v>
      </c>
      <c r="I69" s="2032">
        <f t="shared" si="40"/>
        <v>0</v>
      </c>
      <c r="J69" s="2032">
        <f>Proposed!U73*'Prescriptive Path'!H89</f>
        <v>0</v>
      </c>
      <c r="K69" s="1766"/>
      <c r="L69" s="126">
        <v>0</v>
      </c>
      <c r="M69" s="126">
        <v>1.8500000000000001E-3</v>
      </c>
      <c r="N69" s="126">
        <v>0</v>
      </c>
      <c r="O69" s="126">
        <v>1.1299999999999999E-3</v>
      </c>
      <c r="P69" s="358">
        <f>IF('Prescriptive Path'!$K$1=4,C69*N69+D69*O69,C69*L69+D69*M69)</f>
        <v>0</v>
      </c>
      <c r="Q69" s="277">
        <v>0</v>
      </c>
      <c r="R69" s="121" t="e">
        <f>1.1*D69*HLOOKUP(G69,AvoidCostTable,'Avoided Costs'!$D$44)</f>
        <v>#REF!</v>
      </c>
      <c r="S69" s="121" t="e">
        <f>C69*HLOOKUP(G69,AvoidCostTable,'Avoided Costs'!$D$44)</f>
        <v>#REF!</v>
      </c>
      <c r="T69" s="121" t="e">
        <f>P69*HLOOKUP(G69,AvoidCostTable,'Avoided Costs'!$D$45)</f>
        <v>#REF!</v>
      </c>
      <c r="U69" s="121" t="e">
        <f>E69/10*HLOOKUP(G69,AvoidCostTable,'Avoided Costs'!$D$46)</f>
        <v>#REF!</v>
      </c>
      <c r="V69" s="121" t="e">
        <f>F69/10*HLOOKUP(G69,AvoidCostTable,'Avoided Costs'!$D$47)</f>
        <v>#REF!</v>
      </c>
      <c r="W69" s="121">
        <f>IF('Avoided Costs'!C112="Upstate",-PV('Avoided Costs'!$D$2,G69,Q69*0.003),-PV('Avoided Costs'!$D$2,G69,Q69*0.007))</f>
        <v>0</v>
      </c>
      <c r="X69" s="121">
        <f t="shared" si="41"/>
        <v>0</v>
      </c>
      <c r="Y69" s="121">
        <f t="shared" si="42"/>
        <v>0</v>
      </c>
      <c r="Z69" s="121">
        <f t="shared" si="43"/>
        <v>0</v>
      </c>
      <c r="AA69" s="167">
        <f>IF('Avoided Costs'!$C$44="Upstate",((C69+D69)*0.1814+(E69+F69)*1.561+Q69*0.003),((C69+D69)*0.1814+(E69+F69)*1.561+Q69*0.007))</f>
        <v>0</v>
      </c>
      <c r="AB69" s="1943">
        <f t="shared" si="26"/>
        <v>0</v>
      </c>
      <c r="AC69" s="121">
        <f>IF(AA69=0,0,G69*AA69)</f>
        <v>0</v>
      </c>
      <c r="AD69" s="122" t="str">
        <f>IF(AA69=0,"",IF(AA69&gt;0,-PV(3%,G69,AA69)/J69,0))</f>
        <v/>
      </c>
      <c r="AE69" s="195" t="str">
        <f t="shared" si="44"/>
        <v/>
      </c>
      <c r="AF69" s="269" t="s">
        <v>496</v>
      </c>
      <c r="AH69" s="2093" t="str">
        <f t="shared" si="45"/>
        <v/>
      </c>
      <c r="AI69" s="76" t="str">
        <f t="shared" si="12"/>
        <v/>
      </c>
      <c r="AJ69" s="76" t="str">
        <f t="shared" si="13"/>
        <v/>
      </c>
      <c r="AK69" s="76" t="str">
        <f t="shared" si="46"/>
        <v/>
      </c>
      <c r="AL69" s="2090" t="str">
        <f>IF(AK69="","",IF('Prescriptive Path'!$D$6="Affordable",IF(Savings!AK69="Electric","MPPLIEINC","MPPLIGINC"),IF(Savings!AK69="Electric","MPPMREINC","MPPMRGINC")))</f>
        <v/>
      </c>
    </row>
    <row r="70" spans="1:38" ht="15.75" thickBot="1">
      <c r="A70" s="252" t="s">
        <v>17</v>
      </c>
      <c r="B70" s="263" t="s">
        <v>52</v>
      </c>
      <c r="C70" s="818"/>
      <c r="D70" s="819"/>
      <c r="E70" s="819"/>
      <c r="F70" s="819"/>
      <c r="G70" s="819"/>
      <c r="H70" s="2039"/>
      <c r="I70" s="2039"/>
      <c r="J70" s="2040"/>
      <c r="K70" s="1773"/>
      <c r="L70" s="819"/>
      <c r="M70" s="819"/>
      <c r="N70" s="819"/>
      <c r="O70" s="819"/>
      <c r="P70" s="820"/>
      <c r="Q70" s="819"/>
      <c r="R70" s="819"/>
      <c r="S70" s="819"/>
      <c r="T70" s="819"/>
      <c r="U70" s="819"/>
      <c r="V70" s="819"/>
      <c r="W70" s="819"/>
      <c r="X70" s="819"/>
      <c r="Y70" s="819"/>
      <c r="Z70" s="819"/>
      <c r="AA70" s="819"/>
      <c r="AB70" s="1947"/>
      <c r="AC70" s="819"/>
      <c r="AD70" s="819"/>
      <c r="AE70" s="821"/>
      <c r="AF70" s="813"/>
      <c r="AH70" s="116"/>
      <c r="AI70" s="117"/>
      <c r="AJ70" s="117"/>
      <c r="AK70" s="117"/>
      <c r="AL70" s="888"/>
    </row>
    <row r="71" spans="1:38" ht="15" customHeight="1">
      <c r="A71" s="2458" t="s">
        <v>47</v>
      </c>
      <c r="B71" s="198" t="s">
        <v>230</v>
      </c>
      <c r="C71" s="872"/>
      <c r="D71" s="873"/>
      <c r="E71" s="873"/>
      <c r="F71" s="873"/>
      <c r="G71" s="873"/>
      <c r="H71" s="2041"/>
      <c r="I71" s="2041"/>
      <c r="J71" s="2042"/>
      <c r="K71" s="1774"/>
      <c r="L71" s="873"/>
      <c r="M71" s="873"/>
      <c r="N71" s="873"/>
      <c r="O71" s="873"/>
      <c r="P71" s="873"/>
      <c r="Q71" s="873"/>
      <c r="R71" s="873"/>
      <c r="S71" s="873"/>
      <c r="T71" s="873"/>
      <c r="U71" s="873"/>
      <c r="V71" s="873"/>
      <c r="W71" s="873"/>
      <c r="X71" s="873"/>
      <c r="Y71" s="873"/>
      <c r="Z71" s="873"/>
      <c r="AA71" s="873"/>
      <c r="AB71" s="1948"/>
      <c r="AC71" s="873"/>
      <c r="AD71" s="873"/>
      <c r="AE71" s="874"/>
      <c r="AF71" s="2436"/>
      <c r="AH71" s="118"/>
      <c r="AI71" s="119"/>
      <c r="AJ71" s="119"/>
      <c r="AK71" s="119"/>
      <c r="AL71" s="893"/>
    </row>
    <row r="72" spans="1:38">
      <c r="A72" s="2456"/>
      <c r="B72" s="20" t="s">
        <v>229</v>
      </c>
      <c r="C72" s="875"/>
      <c r="D72" s="876"/>
      <c r="E72" s="876"/>
      <c r="F72" s="876"/>
      <c r="G72" s="876"/>
      <c r="H72" s="2043"/>
      <c r="I72" s="2043"/>
      <c r="J72" s="2044"/>
      <c r="K72" s="1775"/>
      <c r="L72" s="876"/>
      <c r="M72" s="876"/>
      <c r="N72" s="876"/>
      <c r="O72" s="876"/>
      <c r="P72" s="876"/>
      <c r="Q72" s="876"/>
      <c r="R72" s="876"/>
      <c r="S72" s="876"/>
      <c r="T72" s="876"/>
      <c r="U72" s="876"/>
      <c r="V72" s="876"/>
      <c r="W72" s="876"/>
      <c r="X72" s="876"/>
      <c r="Y72" s="876"/>
      <c r="Z72" s="876"/>
      <c r="AA72" s="876"/>
      <c r="AB72" s="1949"/>
      <c r="AC72" s="876"/>
      <c r="AD72" s="876"/>
      <c r="AE72" s="877"/>
      <c r="AF72" s="2437"/>
      <c r="AH72" s="118"/>
      <c r="AI72" s="119"/>
      <c r="AJ72" s="119"/>
      <c r="AK72" s="119"/>
      <c r="AL72" s="893"/>
    </row>
    <row r="73" spans="1:38">
      <c r="A73" s="2456"/>
      <c r="B73" s="20" t="s">
        <v>475</v>
      </c>
      <c r="C73" s="875"/>
      <c r="D73" s="876"/>
      <c r="E73" s="876"/>
      <c r="F73" s="876"/>
      <c r="G73" s="876"/>
      <c r="H73" s="2043"/>
      <c r="I73" s="2043"/>
      <c r="J73" s="2044"/>
      <c r="K73" s="1775"/>
      <c r="L73" s="876"/>
      <c r="M73" s="876"/>
      <c r="N73" s="876"/>
      <c r="O73" s="876"/>
      <c r="P73" s="876"/>
      <c r="Q73" s="876"/>
      <c r="R73" s="876"/>
      <c r="S73" s="876"/>
      <c r="T73" s="876"/>
      <c r="U73" s="876"/>
      <c r="V73" s="876"/>
      <c r="W73" s="876"/>
      <c r="X73" s="876"/>
      <c r="Y73" s="876"/>
      <c r="Z73" s="876"/>
      <c r="AA73" s="876"/>
      <c r="AB73" s="1949"/>
      <c r="AC73" s="876"/>
      <c r="AD73" s="876"/>
      <c r="AE73" s="877"/>
      <c r="AF73" s="2437"/>
      <c r="AH73" s="118"/>
      <c r="AI73" s="119"/>
      <c r="AJ73" s="119"/>
      <c r="AK73" s="119"/>
      <c r="AL73" s="893"/>
    </row>
    <row r="74" spans="1:38">
      <c r="A74" s="2456"/>
      <c r="B74" s="289" t="s">
        <v>231</v>
      </c>
      <c r="C74" s="878"/>
      <c r="D74" s="879"/>
      <c r="E74" s="879"/>
      <c r="F74" s="879"/>
      <c r="G74" s="879"/>
      <c r="H74" s="2045"/>
      <c r="I74" s="2045"/>
      <c r="J74" s="2046"/>
      <c r="K74" s="1776"/>
      <c r="L74" s="879"/>
      <c r="M74" s="879"/>
      <c r="N74" s="879"/>
      <c r="O74" s="879"/>
      <c r="P74" s="879"/>
      <c r="Q74" s="879"/>
      <c r="R74" s="879"/>
      <c r="S74" s="879"/>
      <c r="T74" s="879"/>
      <c r="U74" s="879"/>
      <c r="V74" s="879"/>
      <c r="W74" s="879"/>
      <c r="X74" s="879"/>
      <c r="Y74" s="879"/>
      <c r="Z74" s="879"/>
      <c r="AA74" s="879"/>
      <c r="AB74" s="1950"/>
      <c r="AC74" s="879"/>
      <c r="AD74" s="879"/>
      <c r="AE74" s="880"/>
      <c r="AF74" s="2438"/>
      <c r="AH74" s="2094"/>
      <c r="AI74" s="2084"/>
      <c r="AJ74" s="2084"/>
      <c r="AK74" s="2084"/>
      <c r="AL74" s="2087"/>
    </row>
    <row r="75" spans="1:38" ht="15.75" thickBot="1">
      <c r="A75" s="2457"/>
      <c r="B75" s="199" t="s">
        <v>46</v>
      </c>
      <c r="C75" s="361">
        <f>(0.6*'Prescriptive Path'!H92)/1000*(8760-(8760*0.65))*(1+VLOOKUP('Prescriptive Path'!$D$4,ClimateZoneLookup!$A$2:$AS$65,13,FALSE))+(0.5*'Prescriptive Path'!H93)/1000*(8760-(8760*0.75))*(1+VLOOKUP('Prescriptive Path'!$D$4,ClimateZoneLookup!$A$2:$AS$65,13,FALSE))+(1.3*'Prescriptive Path'!H94)/1000*(8760-(8760*0.9))*(1+VLOOKUP('Prescriptive Path'!$D$4,ClimateZoneLookup!$A$2:$AS$65,13,FALSE))</f>
        <v>0</v>
      </c>
      <c r="D75" s="207">
        <v>0</v>
      </c>
      <c r="E75" s="368">
        <f>C75*VLOOKUP('Prescriptive Path'!$D$4,ClimateZoneLookup!$A$4:$AS$65,14,FALSE)</f>
        <v>0</v>
      </c>
      <c r="F75" s="209">
        <v>0</v>
      </c>
      <c r="G75" s="209">
        <v>10</v>
      </c>
      <c r="H75" s="211">
        <f>'Prescriptive Path'!H96*Baseline!M87</f>
        <v>0</v>
      </c>
      <c r="I75" s="211">
        <f>'Prescriptive Path'!H96*Proposed!U87</f>
        <v>0</v>
      </c>
      <c r="J75" s="2047">
        <f>I75-H75</f>
        <v>0</v>
      </c>
      <c r="K75" s="1777"/>
      <c r="L75" s="210" t="s">
        <v>503</v>
      </c>
      <c r="M75" s="210" t="s">
        <v>503</v>
      </c>
      <c r="N75" s="210" t="s">
        <v>503</v>
      </c>
      <c r="O75" s="210" t="s">
        <v>503</v>
      </c>
      <c r="P75" s="359">
        <f>(0.6*'Prescriptive Path'!H92/1000)*0.3*(1+VLOOKUP('Prescriptive Path'!$D$4,ClimateZoneLookup!$A$4:$AS$65,12))+(0.5*'Prescriptive Path'!H93/1000)*0.3*(1+VLOOKUP('Prescriptive Path'!$D$4,ClimateZoneLookup!$A$4:$AS$65,12))+(1.3*'Prescriptive Path'!H94/1000)*0.3*(1+VLOOKUP('Prescriptive Path'!$D$4,ClimateZoneLookup!$A$4:$AS$65,12))</f>
        <v>0</v>
      </c>
      <c r="Q75" s="208">
        <v>0</v>
      </c>
      <c r="R75" s="211" t="e">
        <f>1.1*D75*HLOOKUP(G75,AvoidCostTable,'Avoided Costs'!$D$44)</f>
        <v>#REF!</v>
      </c>
      <c r="S75" s="211" t="e">
        <f>C75*HLOOKUP(G75,AvoidCostTable,'Avoided Costs'!$D$44)</f>
        <v>#REF!</v>
      </c>
      <c r="T75" s="211" t="e">
        <f>P75*HLOOKUP(G75,AvoidCostTable,'Avoided Costs'!$D$45)</f>
        <v>#REF!</v>
      </c>
      <c r="U75" s="211" t="e">
        <f>E75/10*HLOOKUP(G75,AvoidCostTable,'Avoided Costs'!$D$46)</f>
        <v>#REF!</v>
      </c>
      <c r="V75" s="211" t="e">
        <f>F75/10*HLOOKUP(G75,AvoidCostTable,'Avoided Costs'!$D$47)</f>
        <v>#REF!</v>
      </c>
      <c r="W75" s="211">
        <f>IF('Avoided Costs'!C118="Upstate",-PV('Avoided Costs'!$D$2,G75,Q75*0.003),-PV('Avoided Costs'!$D$2,G75,Q75*0.007))</f>
        <v>0</v>
      </c>
      <c r="X75" s="211">
        <f t="shared" si="41"/>
        <v>0</v>
      </c>
      <c r="Y75" s="211">
        <f t="shared" si="42"/>
        <v>0</v>
      </c>
      <c r="Z75" s="211">
        <f t="shared" si="43"/>
        <v>0</v>
      </c>
      <c r="AA75" s="165">
        <f>IF('Avoided Costs'!$C$44="Upstate",((C75+D75)*0.1814+(E75+F75)*1.561+Q75*0.003),((C75+D75)*0.1814+(E75+F75)*1.561+Q75*0.007))</f>
        <v>0</v>
      </c>
      <c r="AB75" s="1951">
        <f t="shared" si="26"/>
        <v>0</v>
      </c>
      <c r="AC75" s="211">
        <f>IF(AA75=0,0,G75*AA75)</f>
        <v>0</v>
      </c>
      <c r="AD75" s="212" t="str">
        <f>IF(AA75=0,"",IF(AA75&gt;0,-PV(3%,G75,AA75)/J75,0))</f>
        <v/>
      </c>
      <c r="AE75" s="213" t="str">
        <f t="shared" si="44"/>
        <v/>
      </c>
      <c r="AF75" s="369" t="s">
        <v>496</v>
      </c>
      <c r="AH75" s="2093" t="str">
        <f t="shared" ref="AH75" si="47">IF(J75=0,"",IF(OR(AE75&lt;0,AE75&gt;0.949),"Yes","No"))</f>
        <v/>
      </c>
      <c r="AI75" s="76" t="str">
        <f t="shared" si="12"/>
        <v/>
      </c>
      <c r="AJ75" s="76" t="str">
        <f t="shared" si="13"/>
        <v/>
      </c>
      <c r="AK75" s="76" t="str">
        <f t="shared" ref="AK75" si="48">IF(AB75=0,"",IF((R75+S75)&gt;(U75+V75),"Electric","Gas"))</f>
        <v/>
      </c>
      <c r="AL75" s="2090" t="str">
        <f>IF(AK75="","",IF('Prescriptive Path'!$D$6="Affordable",IF(Savings!AK75="Electric","MPPLIEINC","MPPLIGINC"),IF(Savings!AK75="Electric","MPPMREINC","MPPMRGINC")))</f>
        <v/>
      </c>
    </row>
    <row r="76" spans="1:38" ht="15.75" thickBot="1">
      <c r="A76" s="264" t="s">
        <v>61</v>
      </c>
      <c r="B76" s="265" t="s">
        <v>63</v>
      </c>
      <c r="C76" s="881"/>
      <c r="D76" s="882"/>
      <c r="E76" s="882"/>
      <c r="F76" s="882"/>
      <c r="G76" s="882"/>
      <c r="H76" s="2069"/>
      <c r="I76" s="2069"/>
      <c r="J76" s="2070"/>
      <c r="K76" s="1778"/>
      <c r="L76" s="882"/>
      <c r="M76" s="882"/>
      <c r="N76" s="882"/>
      <c r="O76" s="882"/>
      <c r="P76" s="882"/>
      <c r="Q76" s="882"/>
      <c r="R76" s="882"/>
      <c r="S76" s="882"/>
      <c r="T76" s="882"/>
      <c r="U76" s="882"/>
      <c r="V76" s="882"/>
      <c r="W76" s="882"/>
      <c r="X76" s="882"/>
      <c r="Y76" s="882"/>
      <c r="Z76" s="882"/>
      <c r="AA76" s="882"/>
      <c r="AB76" s="1952"/>
      <c r="AC76" s="882"/>
      <c r="AD76" s="882"/>
      <c r="AE76" s="883"/>
      <c r="AF76" s="498"/>
      <c r="AH76" s="116"/>
      <c r="AI76" s="117"/>
      <c r="AJ76" s="117"/>
      <c r="AK76" s="117"/>
      <c r="AL76" s="888"/>
    </row>
    <row r="77" spans="1:38" ht="15.75" thickBot="1">
      <c r="A77" s="500" t="s">
        <v>62</v>
      </c>
      <c r="B77" s="404" t="s">
        <v>64</v>
      </c>
      <c r="C77" s="881"/>
      <c r="D77" s="882"/>
      <c r="E77" s="882"/>
      <c r="F77" s="882"/>
      <c r="G77" s="882"/>
      <c r="H77" s="2069"/>
      <c r="I77" s="2069"/>
      <c r="J77" s="2070"/>
      <c r="K77" s="1778"/>
      <c r="L77" s="882"/>
      <c r="M77" s="882"/>
      <c r="N77" s="882"/>
      <c r="O77" s="882"/>
      <c r="P77" s="882"/>
      <c r="Q77" s="882"/>
      <c r="R77" s="882"/>
      <c r="S77" s="882"/>
      <c r="T77" s="882"/>
      <c r="U77" s="882"/>
      <c r="V77" s="882"/>
      <c r="W77" s="882"/>
      <c r="X77" s="882"/>
      <c r="Y77" s="882"/>
      <c r="Z77" s="882"/>
      <c r="AA77" s="882"/>
      <c r="AB77" s="1952"/>
      <c r="AC77" s="882"/>
      <c r="AD77" s="882"/>
      <c r="AE77" s="883"/>
      <c r="AF77" s="498"/>
      <c r="AH77" s="2094"/>
      <c r="AI77" s="2084"/>
      <c r="AJ77" s="2084"/>
      <c r="AK77" s="2084"/>
      <c r="AL77" s="2087"/>
    </row>
    <row r="78" spans="1:38" ht="25.5">
      <c r="A78" s="2434" t="s">
        <v>51</v>
      </c>
      <c r="B78" s="216" t="s">
        <v>428</v>
      </c>
      <c r="C78" s="396">
        <f>'Prescriptive Path'!H100*(VLOOKUP('Prescriptive Path'!D4,ClimateZoneLookup!$A$4:$AS$65,44,FALSE))</f>
        <v>0</v>
      </c>
      <c r="D78" s="396">
        <v>0</v>
      </c>
      <c r="E78" s="397">
        <v>0</v>
      </c>
      <c r="F78" s="397">
        <v>0</v>
      </c>
      <c r="G78" s="397">
        <v>20</v>
      </c>
      <c r="H78" s="325">
        <v>0</v>
      </c>
      <c r="I78" s="325">
        <f>'Prescriptive Path'!H100*Proposed!U96</f>
        <v>0</v>
      </c>
      <c r="J78" s="2048">
        <f>I78-H78</f>
        <v>0</v>
      </c>
      <c r="K78" s="1779"/>
      <c r="L78" s="398" t="s">
        <v>503</v>
      </c>
      <c r="M78" s="398" t="s">
        <v>503</v>
      </c>
      <c r="N78" s="398" t="s">
        <v>503</v>
      </c>
      <c r="O78" s="398" t="s">
        <v>503</v>
      </c>
      <c r="P78" s="399">
        <f>'Prescriptive Path'!$H$100*(VLOOKUP('Prescriptive Path'!$D$4,ClimateZoneLookup!$A$4:$AS$65,45,FALSE))*0.8</f>
        <v>0</v>
      </c>
      <c r="Q78" s="324">
        <v>0</v>
      </c>
      <c r="R78" s="325" t="e">
        <f>1.1*D78*HLOOKUP(G78,AvoidCostTable,'Avoided Costs'!$D$44)</f>
        <v>#REF!</v>
      </c>
      <c r="S78" s="325" t="e">
        <f>C78*HLOOKUP(G78,AvoidCostTable,'Avoided Costs'!$D$44)</f>
        <v>#REF!</v>
      </c>
      <c r="T78" s="325" t="e">
        <f>P78*HLOOKUP(G78,AvoidCostTable,'Avoided Costs'!$D$45)</f>
        <v>#REF!</v>
      </c>
      <c r="U78" s="325" t="e">
        <f>E78/10*HLOOKUP(G78,AvoidCostTable,'Avoided Costs'!$D$46)</f>
        <v>#REF!</v>
      </c>
      <c r="V78" s="325" t="e">
        <f>F78/10*HLOOKUP(G78,AvoidCostTable,'Avoided Costs'!$D$47)</f>
        <v>#REF!</v>
      </c>
      <c r="W78" s="325">
        <f>IF('Avoided Costs'!C121="Upstate",-PV('Avoided Costs'!$D$2,G78,Q78*0.003),-PV('Avoided Costs'!$D$2,G78,Q78*0.007))</f>
        <v>0</v>
      </c>
      <c r="X78" s="325">
        <f t="shared" si="41"/>
        <v>0</v>
      </c>
      <c r="Y78" s="325">
        <f t="shared" si="42"/>
        <v>0</v>
      </c>
      <c r="Z78" s="325">
        <f t="shared" si="43"/>
        <v>0</v>
      </c>
      <c r="AA78" s="325">
        <f>IF('Avoided Costs'!$C$44="Upstate",((C78+D78)*0.1814+(E78+F78)*1.561+Q78*0.003),((C78+D78)*0.1814+(E78+F78)*1.561+Q78*0.007))</f>
        <v>0</v>
      </c>
      <c r="AB78" s="1929">
        <f t="shared" ref="AB78:AB79" si="49">(E78+F78)/10+(C78+D78)*3412/1000000</f>
        <v>0</v>
      </c>
      <c r="AC78" s="325">
        <f>IF(AA78=0,0,G78*AA78)</f>
        <v>0</v>
      </c>
      <c r="AD78" s="326" t="str">
        <f>IF(AA78=0,"",IF(AA78&gt;0,-PV(3%,G78,AA78)/J78,0))</f>
        <v/>
      </c>
      <c r="AE78" s="339" t="str">
        <f t="shared" si="44"/>
        <v/>
      </c>
      <c r="AF78" s="503" t="s">
        <v>496</v>
      </c>
      <c r="AH78" s="2093" t="str">
        <f t="shared" ref="AH78:AH80" si="50">IF(J78=0,"",IF(OR(AE78&lt;0,AE78&gt;0.949),"Yes","No"))</f>
        <v/>
      </c>
      <c r="AI78" s="76" t="str">
        <f t="shared" si="12"/>
        <v/>
      </c>
      <c r="AJ78" s="76" t="str">
        <f t="shared" si="13"/>
        <v/>
      </c>
      <c r="AK78" s="76" t="str">
        <f t="shared" ref="AK78:AK87" si="51">IF(AB78=0,"",IF((R78+S78)&gt;(U78+V78),"Electric","Gas"))</f>
        <v/>
      </c>
      <c r="AL78" s="2090" t="str">
        <f>IF(AK78="","",IF('Prescriptive Path'!$D$6="Affordable",IF(Savings!AK78="Electric","MPPLIEINC","MPPLIGINC"),IF(Savings!AK78="Electric","MPPMREINC","MPPMRGINC")))</f>
        <v/>
      </c>
    </row>
    <row r="79" spans="1:38" ht="26.25" thickBot="1">
      <c r="A79" s="2434"/>
      <c r="B79" s="598" t="s">
        <v>429</v>
      </c>
      <c r="C79" s="599">
        <f>'Prescriptive Path'!H101*(VLOOKUP('Prescriptive Path'!D4,ClimateZoneLookup!$A$4:$AS$65,44,FALSE))</f>
        <v>0</v>
      </c>
      <c r="D79" s="599">
        <v>0</v>
      </c>
      <c r="E79" s="600">
        <v>0</v>
      </c>
      <c r="F79" s="600">
        <v>0</v>
      </c>
      <c r="G79" s="600">
        <v>20</v>
      </c>
      <c r="H79" s="604">
        <v>0</v>
      </c>
      <c r="I79" s="604">
        <f>'Prescriptive Path'!H101*Proposed!U97</f>
        <v>0</v>
      </c>
      <c r="J79" s="2049">
        <f>I79-H79</f>
        <v>0</v>
      </c>
      <c r="K79" s="1780"/>
      <c r="L79" s="601" t="s">
        <v>503</v>
      </c>
      <c r="M79" s="601" t="s">
        <v>503</v>
      </c>
      <c r="N79" s="601" t="s">
        <v>503</v>
      </c>
      <c r="O79" s="601" t="s">
        <v>503</v>
      </c>
      <c r="P79" s="602">
        <f>'Prescriptive Path'!$H$101*(VLOOKUP('Prescriptive Path'!$D$4,ClimateZoneLookup!$A$4:$AS$65,45,FALSE)*0.8)</f>
        <v>0</v>
      </c>
      <c r="Q79" s="603">
        <v>0</v>
      </c>
      <c r="R79" s="604" t="e">
        <f>1.1*D79*HLOOKUP(G79,AvoidCostTable,'Avoided Costs'!$D$44)</f>
        <v>#REF!</v>
      </c>
      <c r="S79" s="604" t="e">
        <f>C79*HLOOKUP(G79,AvoidCostTable,'Avoided Costs'!$D$44)</f>
        <v>#REF!</v>
      </c>
      <c r="T79" s="604" t="e">
        <f>P79*HLOOKUP(G79,AvoidCostTable,'Avoided Costs'!$D$45)</f>
        <v>#REF!</v>
      </c>
      <c r="U79" s="604" t="e">
        <f>E79/10*HLOOKUP(G79,AvoidCostTable,'Avoided Costs'!$D$46)</f>
        <v>#REF!</v>
      </c>
      <c r="V79" s="604" t="e">
        <f>F79/10*HLOOKUP(G79,AvoidCostTable,'Avoided Costs'!$D$47)</f>
        <v>#REF!</v>
      </c>
      <c r="W79" s="604">
        <f>IF('Avoided Costs'!C122="Upstate",-PV('Avoided Costs'!$D$2,G79,Q79*0.003),-PV('Avoided Costs'!$D$2,G79,Q79*0.007))</f>
        <v>0</v>
      </c>
      <c r="X79" s="604">
        <f t="shared" si="41"/>
        <v>0</v>
      </c>
      <c r="Y79" s="604">
        <f t="shared" si="42"/>
        <v>0</v>
      </c>
      <c r="Z79" s="604">
        <f t="shared" si="43"/>
        <v>0</v>
      </c>
      <c r="AA79" s="604">
        <f>IF('Avoided Costs'!$C$44="Upstate",((C79+D79)*0.1814+(E79+F79)*1.561+Q79*0.003),((C79+D79)*0.1814+(E79+F79)*1.561+Q79*0.007))</f>
        <v>0</v>
      </c>
      <c r="AB79" s="1953">
        <f t="shared" si="49"/>
        <v>0</v>
      </c>
      <c r="AC79" s="604">
        <f>IF(AA79=0,0,G79*AA79)</f>
        <v>0</v>
      </c>
      <c r="AD79" s="605" t="str">
        <f>IF(AA79=0,"",IF(AA79&gt;0,-PV(3%,G79,AA79)/J79,0))</f>
        <v/>
      </c>
      <c r="AE79" s="606" t="str">
        <f t="shared" si="44"/>
        <v/>
      </c>
      <c r="AF79" s="607" t="s">
        <v>496</v>
      </c>
      <c r="AH79" s="2093" t="str">
        <f t="shared" si="50"/>
        <v/>
      </c>
      <c r="AI79" s="76" t="str">
        <f t="shared" si="12"/>
        <v/>
      </c>
      <c r="AJ79" s="76" t="str">
        <f t="shared" si="13"/>
        <v/>
      </c>
      <c r="AK79" s="76" t="str">
        <f t="shared" si="51"/>
        <v/>
      </c>
      <c r="AL79" s="2090" t="str">
        <f>IF(AK79="","",IF('Prescriptive Path'!$D$6="Affordable",IF(Savings!AK79="Electric","MPPLIEINC","MPPLIGINC"),IF(Savings!AK79="Electric","MPPMREINC","MPPMRGINC")))</f>
        <v/>
      </c>
    </row>
    <row r="80" spans="1:38">
      <c r="A80" s="2431" t="s">
        <v>261</v>
      </c>
      <c r="B80" s="22" t="s">
        <v>533</v>
      </c>
      <c r="C80" s="611">
        <f>IF('Prescriptive Path'!H102="",0,((('Prescriptive Path'!H102/Baseline!D101) - ('Prescriptive Path'!H102/Proposed!D101))/1000)*8760)</f>
        <v>0</v>
      </c>
      <c r="D80" s="77">
        <v>0</v>
      </c>
      <c r="E80" s="78">
        <v>0</v>
      </c>
      <c r="F80" s="78">
        <v>0</v>
      </c>
      <c r="G80" s="78">
        <v>10</v>
      </c>
      <c r="H80" s="80">
        <f>'Prescriptive Path'!H102*Baseline!M101</f>
        <v>0</v>
      </c>
      <c r="I80" s="80">
        <f>'Prescriptive Path'!H102*Proposed!U101</f>
        <v>0</v>
      </c>
      <c r="J80" s="2030">
        <f>I80-H80</f>
        <v>0</v>
      </c>
      <c r="K80" s="1764"/>
      <c r="L80" s="79" t="s">
        <v>503</v>
      </c>
      <c r="M80" s="79" t="s">
        <v>503</v>
      </c>
      <c r="N80" s="79" t="s">
        <v>503</v>
      </c>
      <c r="O80" s="79" t="s">
        <v>503</v>
      </c>
      <c r="P80" s="357">
        <f>C80/365/24*1</f>
        <v>0</v>
      </c>
      <c r="Q80" s="77">
        <v>0</v>
      </c>
      <c r="R80" s="80" t="e">
        <f>1.1*D80*HLOOKUP(G80,AvoidCostTable,'Avoided Costs'!$D$44)</f>
        <v>#REF!</v>
      </c>
      <c r="S80" s="80" t="e">
        <f>C80*HLOOKUP(G80,AvoidCostTable,'Avoided Costs'!$D$44)</f>
        <v>#REF!</v>
      </c>
      <c r="T80" s="80" t="e">
        <f>P80*HLOOKUP(G80,AvoidCostTable,'Avoided Costs'!$D$45)</f>
        <v>#REF!</v>
      </c>
      <c r="U80" s="80" t="e">
        <f>E80/10*HLOOKUP(G80,AvoidCostTable,'Avoided Costs'!$D$46)</f>
        <v>#REF!</v>
      </c>
      <c r="V80" s="80" t="e">
        <f>F80/10*HLOOKUP(G80,AvoidCostTable,'Avoided Costs'!$D$47)</f>
        <v>#REF!</v>
      </c>
      <c r="W80" s="80">
        <f>IF('Avoided Costs'!C123="Upstate",-PV('Avoided Costs'!$D$2,G80,Q80*0.003),-PV('Avoided Costs'!$D$2,G80,Q80*0.007))</f>
        <v>0</v>
      </c>
      <c r="X80" s="80">
        <f t="shared" si="41"/>
        <v>0</v>
      </c>
      <c r="Y80" s="80">
        <f t="shared" si="42"/>
        <v>0</v>
      </c>
      <c r="Z80" s="80">
        <f t="shared" si="43"/>
        <v>0</v>
      </c>
      <c r="AA80" s="80">
        <f>IF('Avoided Costs'!$C$44="Upstate",((C80+D80)*0.1814+(E80+F80)*1.561+Q80*0.003),((C80+D80)*0.1814+(E80+F80)*1.561+Q80*0.007))</f>
        <v>0</v>
      </c>
      <c r="AB80" s="1954"/>
      <c r="AC80" s="80">
        <f>IF(AA80=0,0,G80*AA80)</f>
        <v>0</v>
      </c>
      <c r="AD80" s="81" t="str">
        <f>IF(AA80=0,"",IF(AA80&gt;0,-PV(3%,G80,AA80)/J80,0))</f>
        <v/>
      </c>
      <c r="AE80" s="178" t="str">
        <f t="shared" si="44"/>
        <v/>
      </c>
      <c r="AF80" s="610" t="s">
        <v>564</v>
      </c>
      <c r="AH80" s="2093" t="str">
        <f t="shared" si="50"/>
        <v/>
      </c>
      <c r="AI80" s="76" t="str">
        <f t="shared" si="12"/>
        <v/>
      </c>
      <c r="AJ80" s="76" t="str">
        <f t="shared" si="13"/>
        <v/>
      </c>
      <c r="AK80" s="76" t="str">
        <f t="shared" si="51"/>
        <v/>
      </c>
      <c r="AL80" s="2090" t="str">
        <f>IF(AK80="","",IF('Prescriptive Path'!$D$6="Affordable",IF(Savings!AK80="Electric","MPPLIEINC","MPPLIGINC"),IF(Savings!AK80="Electric","MPPMREINC","MPPMRGINC")))</f>
        <v/>
      </c>
    </row>
    <row r="81" spans="1:38">
      <c r="A81" s="2432"/>
      <c r="B81" s="608" t="s">
        <v>494</v>
      </c>
      <c r="C81" s="113"/>
      <c r="D81" s="114"/>
      <c r="E81" s="114"/>
      <c r="F81" s="114"/>
      <c r="G81" s="114"/>
      <c r="H81" s="2071"/>
      <c r="I81" s="2071"/>
      <c r="J81" s="2072"/>
      <c r="K81" s="1781"/>
      <c r="L81" s="114"/>
      <c r="M81" s="114"/>
      <c r="N81" s="114"/>
      <c r="O81" s="114"/>
      <c r="P81" s="114"/>
      <c r="Q81" s="114"/>
      <c r="R81" s="114"/>
      <c r="S81" s="114"/>
      <c r="T81" s="114"/>
      <c r="U81" s="114"/>
      <c r="V81" s="114"/>
      <c r="W81" s="114"/>
      <c r="X81" s="114"/>
      <c r="Y81" s="114"/>
      <c r="Z81" s="114"/>
      <c r="AA81" s="114"/>
      <c r="AB81" s="1955"/>
      <c r="AC81" s="114"/>
      <c r="AD81" s="114"/>
      <c r="AE81" s="884"/>
      <c r="AF81" s="609"/>
      <c r="AH81" s="2094"/>
      <c r="AI81" s="2084"/>
      <c r="AJ81" s="2084"/>
      <c r="AK81" s="2084"/>
      <c r="AL81" s="2087"/>
    </row>
    <row r="82" spans="1:38">
      <c r="A82" s="2432"/>
      <c r="B82" s="20" t="s">
        <v>485</v>
      </c>
      <c r="C82" s="83">
        <f>'Prescriptive Path'!H105*1768</f>
        <v>0</v>
      </c>
      <c r="D82" s="112">
        <v>0</v>
      </c>
      <c r="E82" s="84">
        <v>0</v>
      </c>
      <c r="F82" s="84">
        <v>0</v>
      </c>
      <c r="G82" s="101">
        <v>15</v>
      </c>
      <c r="H82" s="2032">
        <v>0</v>
      </c>
      <c r="I82" s="2032">
        <f t="shared" ref="I82:I83" si="52">J82</f>
        <v>0</v>
      </c>
      <c r="J82" s="2031">
        <f>'Prescriptive Path'!H105*959</f>
        <v>0</v>
      </c>
      <c r="K82" s="1765"/>
      <c r="L82" s="86" t="s">
        <v>503</v>
      </c>
      <c r="M82" s="86" t="s">
        <v>503</v>
      </c>
      <c r="N82" s="86" t="s">
        <v>503</v>
      </c>
      <c r="O82" s="86" t="s">
        <v>503</v>
      </c>
      <c r="P82" s="87">
        <f>'Prescriptive Path'!H105*0.119*0.8</f>
        <v>0</v>
      </c>
      <c r="Q82" s="99">
        <v>0</v>
      </c>
      <c r="R82" s="103" t="e">
        <f>1.1*D82*HLOOKUP(G82,AvoidCostTable,'Avoided Costs'!$D$44)</f>
        <v>#REF!</v>
      </c>
      <c r="S82" s="103" t="e">
        <f>C82*HLOOKUP(G82,AvoidCostTable,'Avoided Costs'!$D$44)</f>
        <v>#REF!</v>
      </c>
      <c r="T82" s="103" t="e">
        <f>P82*HLOOKUP(G82,AvoidCostTable,'Avoided Costs'!$D$45)</f>
        <v>#REF!</v>
      </c>
      <c r="U82" s="103" t="e">
        <f>E82/10*HLOOKUP(G82,AvoidCostTable,'Avoided Costs'!$D$46)</f>
        <v>#REF!</v>
      </c>
      <c r="V82" s="103" t="e">
        <f>F82/10*HLOOKUP(G82,AvoidCostTable,'Avoided Costs'!$D$47)</f>
        <v>#REF!</v>
      </c>
      <c r="W82" s="103">
        <f>IF('Avoided Costs'!C125="Upstate",-PV('Avoided Costs'!$D$2,G82,Q82*0.003),-PV('Avoided Costs'!$D$2,G82,Q82*0.007))</f>
        <v>0</v>
      </c>
      <c r="X82" s="103">
        <f t="shared" si="41"/>
        <v>0</v>
      </c>
      <c r="Y82" s="103">
        <f t="shared" si="42"/>
        <v>0</v>
      </c>
      <c r="Z82" s="103">
        <f t="shared" si="43"/>
        <v>0</v>
      </c>
      <c r="AA82" s="103">
        <f>IF('Avoided Costs'!$C$44="Upstate",((C82+D82)*0.1814+(E82+F82)*1.561+Q82*0.003),((C82+D82)*0.1814+(E82+F82)*1.561+Q82*0.007))</f>
        <v>0</v>
      </c>
      <c r="AB82" s="1926">
        <f t="shared" ref="AB82:AB87" si="53">(E82+F82)/10+(C82+D82)*3412/1000000</f>
        <v>0</v>
      </c>
      <c r="AC82" s="103">
        <f>IF(AA82=0,0,G82*AA82)</f>
        <v>0</v>
      </c>
      <c r="AD82" s="104" t="str">
        <f>IF(AA82=0,"",IF(AA82&gt;0,-PV(3%,G82,AA82)/J82,0))</f>
        <v/>
      </c>
      <c r="AE82" s="340" t="str">
        <f t="shared" si="44"/>
        <v/>
      </c>
      <c r="AF82" s="343" t="s">
        <v>496</v>
      </c>
      <c r="AH82" s="2093" t="str">
        <f t="shared" ref="AH82:AH83" si="54">IF(J82=0,"",IF(OR(AE82&lt;0,AE82&gt;0.949),"Yes","No"))</f>
        <v/>
      </c>
      <c r="AI82" s="76" t="str">
        <f t="shared" si="12"/>
        <v/>
      </c>
      <c r="AJ82" s="76" t="str">
        <f t="shared" si="13"/>
        <v/>
      </c>
      <c r="AK82" s="76" t="str">
        <f t="shared" si="51"/>
        <v/>
      </c>
      <c r="AL82" s="2090" t="str">
        <f>IF(AK82="","",IF('Prescriptive Path'!$D$6="Affordable",IF(Savings!AK82="Electric","MPPLIEINC","MPPLIGINC"),IF(Savings!AK82="Electric","MPPMREINC","MPPMRGINC")))</f>
        <v/>
      </c>
    </row>
    <row r="83" spans="1:38">
      <c r="A83" s="2432"/>
      <c r="B83" s="20" t="s">
        <v>486</v>
      </c>
      <c r="C83" s="354">
        <f>'Prescriptive Path'!H106*1768</f>
        <v>0</v>
      </c>
      <c r="D83" s="332">
        <v>0</v>
      </c>
      <c r="E83" s="333">
        <v>0</v>
      </c>
      <c r="F83" s="333">
        <v>0</v>
      </c>
      <c r="G83" s="334">
        <v>15</v>
      </c>
      <c r="H83" s="2032">
        <v>0</v>
      </c>
      <c r="I83" s="2032">
        <f t="shared" si="52"/>
        <v>0</v>
      </c>
      <c r="J83" s="2032">
        <f>'Prescriptive Path'!H106*959</f>
        <v>0</v>
      </c>
      <c r="K83" s="1766"/>
      <c r="L83" s="335" t="s">
        <v>503</v>
      </c>
      <c r="M83" s="335" t="s">
        <v>503</v>
      </c>
      <c r="N83" s="335" t="s">
        <v>503</v>
      </c>
      <c r="O83" s="335" t="s">
        <v>503</v>
      </c>
      <c r="P83" s="360">
        <f>'Prescriptive Path'!H106*0.119*0.8</f>
        <v>0</v>
      </c>
      <c r="Q83" s="201">
        <v>0</v>
      </c>
      <c r="R83" s="103" t="e">
        <f>1.1*D83*HLOOKUP(G83,AvoidCostTable,'Avoided Costs'!$D$44)</f>
        <v>#REF!</v>
      </c>
      <c r="S83" s="336" t="e">
        <f>C83*HLOOKUP(G83,AvoidCostTable,'Avoided Costs'!$D$44)</f>
        <v>#REF!</v>
      </c>
      <c r="T83" s="336" t="e">
        <f>P83*HLOOKUP(G83,AvoidCostTable,'Avoided Costs'!$D$45)</f>
        <v>#REF!</v>
      </c>
      <c r="U83" s="336" t="e">
        <f>E83/10*HLOOKUP(G83,AvoidCostTable,'Avoided Costs'!$D$46)</f>
        <v>#REF!</v>
      </c>
      <c r="V83" s="336" t="e">
        <f>F83/10*HLOOKUP(G83,AvoidCostTable,'Avoided Costs'!$D$47)</f>
        <v>#REF!</v>
      </c>
      <c r="W83" s="336">
        <f>IF('Avoided Costs'!C126="Upstate",-PV('Avoided Costs'!$D$2,G83,Q83*0.003),-PV('Avoided Costs'!$D$2,G83,Q83*0.007))</f>
        <v>0</v>
      </c>
      <c r="X83" s="336">
        <f t="shared" si="41"/>
        <v>0</v>
      </c>
      <c r="Y83" s="336">
        <f t="shared" si="42"/>
        <v>0</v>
      </c>
      <c r="Z83" s="336">
        <f t="shared" si="43"/>
        <v>0</v>
      </c>
      <c r="AA83" s="336">
        <f>IF('Avoided Costs'!$C$44="Upstate",((C83+D83)*0.1814+(E83+F83)*1.561+Q83*0.003),((C83+D83)*0.1814+(E83+F83)*1.561+Q83*0.007))</f>
        <v>0</v>
      </c>
      <c r="AB83" s="1956">
        <f t="shared" si="53"/>
        <v>0</v>
      </c>
      <c r="AC83" s="336">
        <f>IF(AA83=0,0,G83*AA83)</f>
        <v>0</v>
      </c>
      <c r="AD83" s="337" t="str">
        <f>IF(AA83=0,"",IF(AA83&gt;0,-PV(3%,G83,AA83)/J83,0))</f>
        <v/>
      </c>
      <c r="AE83" s="341" t="str">
        <f t="shared" si="44"/>
        <v/>
      </c>
      <c r="AF83" s="329" t="s">
        <v>496</v>
      </c>
      <c r="AH83" s="2093" t="str">
        <f t="shared" si="54"/>
        <v/>
      </c>
      <c r="AI83" s="76" t="str">
        <f t="shared" si="12"/>
        <v/>
      </c>
      <c r="AJ83" s="76" t="str">
        <f t="shared" si="13"/>
        <v/>
      </c>
      <c r="AK83" s="76" t="str">
        <f t="shared" si="51"/>
        <v/>
      </c>
      <c r="AL83" s="2090" t="str">
        <f>IF(AK83="","",IF('Prescriptive Path'!$D$6="Affordable",IF(Savings!AK83="Electric","MPPLIEINC","MPPLIGINC"),IF(Savings!AK83="Electric","MPPMREINC","MPPMRGINC")))</f>
        <v/>
      </c>
    </row>
    <row r="84" spans="1:38">
      <c r="A84" s="2432"/>
      <c r="B84" s="20" t="s">
        <v>487</v>
      </c>
      <c r="C84" s="885"/>
      <c r="D84" s="886"/>
      <c r="E84" s="886"/>
      <c r="F84" s="886"/>
      <c r="G84" s="886"/>
      <c r="H84" s="2050"/>
      <c r="I84" s="2050"/>
      <c r="J84" s="2051"/>
      <c r="K84" s="1782"/>
      <c r="L84" s="886"/>
      <c r="M84" s="886"/>
      <c r="N84" s="886"/>
      <c r="O84" s="886"/>
      <c r="P84" s="886"/>
      <c r="Q84" s="886"/>
      <c r="R84" s="886"/>
      <c r="S84" s="886"/>
      <c r="T84" s="886"/>
      <c r="U84" s="886"/>
      <c r="V84" s="886"/>
      <c r="W84" s="886"/>
      <c r="X84" s="886"/>
      <c r="Y84" s="886"/>
      <c r="Z84" s="886"/>
      <c r="AA84" s="886"/>
      <c r="AB84" s="1957"/>
      <c r="AC84" s="886"/>
      <c r="AD84" s="886"/>
      <c r="AE84" s="887"/>
      <c r="AF84" s="481"/>
      <c r="AH84" s="2094"/>
      <c r="AI84" s="2084"/>
      <c r="AJ84" s="2084"/>
      <c r="AK84" s="2084"/>
      <c r="AL84" s="2087"/>
    </row>
    <row r="85" spans="1:38" ht="25.5">
      <c r="A85" s="2432"/>
      <c r="B85" s="150" t="s">
        <v>489</v>
      </c>
      <c r="C85" s="298">
        <f>'Prescriptive Path'!H108*0.0015*12*365*0.746</f>
        <v>0</v>
      </c>
      <c r="D85" s="370">
        <f>IF('Prescriptive Path'!H108="",0,(Baseline!C100-Proposed!C100)*(('Prescriptive Path'!I4/1000*VLOOKUP('Prescriptive Path'!D4,ClimateZoneLookup!A4:AT65,17,FALSE))/Proposed!C100)*(Baseline!C105/Proposed!C112))</f>
        <v>0</v>
      </c>
      <c r="E85" s="353">
        <f>IF('Prescriptive Path'!H108="",0,(Baseline!C100-Proposed!C100)*(('Prescriptive Path'!I4/1000*VLOOKUP('Prescriptive Path'!D4,ClimateZoneLookup!A4:AT65,18,FALSE))/Proposed!C100)*(Baseline!C106/Proposed!C113))</f>
        <v>0</v>
      </c>
      <c r="F85" s="353">
        <v>0</v>
      </c>
      <c r="G85" s="365">
        <v>10</v>
      </c>
      <c r="H85" s="458">
        <v>0</v>
      </c>
      <c r="I85" s="458">
        <f>'Prescriptive Path'!H108*Proposed!U100</f>
        <v>0</v>
      </c>
      <c r="J85" s="2025">
        <f>I85-H85</f>
        <v>0</v>
      </c>
      <c r="K85" s="1759"/>
      <c r="L85" s="338" t="s">
        <v>503</v>
      </c>
      <c r="M85" s="338" t="s">
        <v>503</v>
      </c>
      <c r="N85" s="338" t="s">
        <v>503</v>
      </c>
      <c r="O85" s="338" t="s">
        <v>503</v>
      </c>
      <c r="P85" s="359">
        <f>IF('Prescriptive Path'!H108="",0,(Baseline!C100-Proposed!C100)*(('Prescriptive Path'!I4/1000*VLOOKUP('Prescriptive Path'!D4,ClimateZoneLookup!A4:AT65,19,FALSE))/Proposed!C100)*(Baseline!C104/Proposed!C111))</f>
        <v>0</v>
      </c>
      <c r="Q85" s="300">
        <v>0</v>
      </c>
      <c r="R85" s="299" t="e">
        <f>1.1*D85*HLOOKUP(G85,AvoidCostTable,'Avoided Costs'!$D$44)</f>
        <v>#REF!</v>
      </c>
      <c r="S85" s="299" t="e">
        <f>C85*HLOOKUP(G85,AvoidCostTable,'Avoided Costs'!$D$44)</f>
        <v>#REF!</v>
      </c>
      <c r="T85" s="299" t="e">
        <f>P85*HLOOKUP(G85,AvoidCostTable,'Avoided Costs'!$D$45)</f>
        <v>#REF!</v>
      </c>
      <c r="U85" s="299" t="e">
        <f>E85/10*HLOOKUP(G85,AvoidCostTable,'Avoided Costs'!$D$46)</f>
        <v>#REF!</v>
      </c>
      <c r="V85" s="299" t="e">
        <f>F85/10*HLOOKUP(G85,AvoidCostTable,'Avoided Costs'!$D$47)</f>
        <v>#REF!</v>
      </c>
      <c r="W85" s="299">
        <f>IF('Avoided Costs'!C128="Upstate",-PV('Avoided Costs'!$D$2,G85,Q85*0.003),-PV('Avoided Costs'!$D$2,G85,Q85*0.007))</f>
        <v>0</v>
      </c>
      <c r="X85" s="299">
        <f t="shared" si="41"/>
        <v>0</v>
      </c>
      <c r="Y85" s="299">
        <f t="shared" si="42"/>
        <v>0</v>
      </c>
      <c r="Z85" s="299">
        <f t="shared" si="43"/>
        <v>0</v>
      </c>
      <c r="AA85" s="299">
        <f>IF('Avoided Costs'!$C$44="Upstate",((C85+D85)*0.1814+(E85+F85)*1.561+Q85*0.003),((C85+D85)*0.1814+(E85+F85)*1.561+Q85*0.007))</f>
        <v>0</v>
      </c>
      <c r="AB85" s="1956">
        <f t="shared" si="53"/>
        <v>0</v>
      </c>
      <c r="AC85" s="299">
        <f>IF(AA85=0,0,G85*AA85)</f>
        <v>0</v>
      </c>
      <c r="AD85" s="301" t="str">
        <f>IF(AA85=0,"",IF(AA85&gt;0,-PV(3%,G85,AA85)/J85,0))</f>
        <v/>
      </c>
      <c r="AE85" s="342" t="str">
        <f t="shared" si="44"/>
        <v/>
      </c>
      <c r="AF85" s="329" t="s">
        <v>496</v>
      </c>
      <c r="AH85" s="2093" t="str">
        <f t="shared" ref="AH85" si="55">IF(J85=0,"",IF(OR(AE85&lt;0,AE85&gt;0.949),"Yes","No"))</f>
        <v/>
      </c>
      <c r="AI85" s="76" t="str">
        <f t="shared" ref="AI85:AI87" si="56">IF(Z85=0,"",IF(AND(AH85="Yes",OR(AE85&lt;0,AE85&gt;0.949),Z85&gt;0)=TRUE,Z85,0))</f>
        <v/>
      </c>
      <c r="AJ85" s="76" t="str">
        <f t="shared" ref="AJ85:AJ87" si="57">IF(Z85=0,"",IF(AND(AH85="Yes",OR(AE85&lt;0,AE85&gt;0.949),Z85&gt;0)=TRUE,J85,0))</f>
        <v/>
      </c>
      <c r="AK85" s="76" t="str">
        <f t="shared" si="51"/>
        <v/>
      </c>
      <c r="AL85" s="2090" t="str">
        <f>IF(AK85="","",IF('Prescriptive Path'!$D$6="Affordable",IF(Savings!AK85="Electric","MPPLIEINC","MPPLIGINC"),IF(Savings!AK85="Electric","MPPMREINC","MPPMRGINC")))</f>
        <v/>
      </c>
    </row>
    <row r="86" spans="1:38" ht="25.5">
      <c r="A86" s="2432"/>
      <c r="B86" s="20" t="s">
        <v>85</v>
      </c>
      <c r="C86" s="885"/>
      <c r="D86" s="886"/>
      <c r="E86" s="886"/>
      <c r="F86" s="886"/>
      <c r="G86" s="886"/>
      <c r="H86" s="2050"/>
      <c r="I86" s="2050"/>
      <c r="J86" s="2051"/>
      <c r="K86" s="1782"/>
      <c r="L86" s="886"/>
      <c r="M86" s="886"/>
      <c r="N86" s="886"/>
      <c r="O86" s="886"/>
      <c r="P86" s="886"/>
      <c r="Q86" s="886"/>
      <c r="R86" s="886"/>
      <c r="S86" s="886"/>
      <c r="T86" s="886"/>
      <c r="U86" s="886"/>
      <c r="V86" s="886"/>
      <c r="W86" s="886"/>
      <c r="X86" s="886"/>
      <c r="Y86" s="886"/>
      <c r="Z86" s="886"/>
      <c r="AA86" s="886"/>
      <c r="AB86" s="1957"/>
      <c r="AC86" s="886"/>
      <c r="AD86" s="886"/>
      <c r="AE86" s="887"/>
      <c r="AF86" s="481"/>
      <c r="AG86"/>
      <c r="AH86" s="2094"/>
      <c r="AI86" s="2084"/>
      <c r="AJ86" s="2084"/>
      <c r="AK86" s="2084"/>
      <c r="AL86" s="2087"/>
    </row>
    <row r="87" spans="1:38">
      <c r="A87" s="2432"/>
      <c r="B87" s="20" t="s">
        <v>287</v>
      </c>
      <c r="C87" s="83">
        <v>0</v>
      </c>
      <c r="D87" s="83">
        <f>VLOOKUP('Prescriptive Path'!$D$4,ClimateZoneLookup!$A$4:$R$65,17,FALSE)*'Prescriptive Path'!$I$4/1000</f>
        <v>0</v>
      </c>
      <c r="E87" s="83">
        <f>VLOOKUP('Prescriptive Path'!$D$4,ClimateZoneLookup!$A$4:$R$65,18,FALSE)*'Prescriptive Path'!$I$4/1000</f>
        <v>0</v>
      </c>
      <c r="F87" s="83">
        <v>0</v>
      </c>
      <c r="G87" s="85">
        <v>13</v>
      </c>
      <c r="H87" s="88">
        <v>0</v>
      </c>
      <c r="I87" s="88">
        <f>Proposed!U103*'Prescriptive Path'!I4</f>
        <v>0</v>
      </c>
      <c r="J87" s="2015">
        <f>I87-H87</f>
        <v>0</v>
      </c>
      <c r="K87" s="1749"/>
      <c r="L87" s="86" t="s">
        <v>503</v>
      </c>
      <c r="M87" s="86" t="s">
        <v>503</v>
      </c>
      <c r="N87" s="86" t="s">
        <v>503</v>
      </c>
      <c r="O87" s="86" t="s">
        <v>503</v>
      </c>
      <c r="P87" s="828">
        <f>VLOOKUP('Prescriptive Path'!$D$4,ClimateZoneLookup!$A$4:$S$65,19,FALSE)*'Prescriptive Path'!$I$4/1000*0.8*1</f>
        <v>0</v>
      </c>
      <c r="Q87" s="99">
        <v>0</v>
      </c>
      <c r="R87" s="299" t="e">
        <f>1.1*D87*HLOOKUP(G87,AvoidCostTable,'Avoided Costs'!$D$44)</f>
        <v>#REF!</v>
      </c>
      <c r="S87" s="103" t="e">
        <f>C87*HLOOKUP(G87,AvoidCostTable,'Avoided Costs'!$D$44)</f>
        <v>#REF!</v>
      </c>
      <c r="T87" s="103" t="e">
        <f>P87*HLOOKUP(G87,AvoidCostTable,'Avoided Costs'!$D$45)</f>
        <v>#REF!</v>
      </c>
      <c r="U87" s="103" t="e">
        <f>E87/10*HLOOKUP(G87,AvoidCostTable,'Avoided Costs'!$D$46)</f>
        <v>#REF!</v>
      </c>
      <c r="V87" s="103" t="e">
        <f>F87/10*HLOOKUP(G87,AvoidCostTable,'Avoided Costs'!$D$47)</f>
        <v>#REF!</v>
      </c>
      <c r="W87" s="103">
        <f>IF('Avoided Costs'!C130="Upstate",-PV('Avoided Costs'!$D$2,G87,Q87*0.003),-PV('Avoided Costs'!$D$2,G87,Q87*0.007))</f>
        <v>0</v>
      </c>
      <c r="X87" s="103">
        <f t="shared" si="41"/>
        <v>0</v>
      </c>
      <c r="Y87" s="103">
        <f t="shared" si="42"/>
        <v>0</v>
      </c>
      <c r="Z87" s="103">
        <f t="shared" si="43"/>
        <v>0</v>
      </c>
      <c r="AA87" s="166">
        <f>IF('Avoided Costs'!$C$44="Upstate",((C87+D87)*0.1814+(E87+F87)*1.561+Q87*0.003),((C87+D87)*0.1814+(E87+F87)*1.561+Q87*0.007))</f>
        <v>0</v>
      </c>
      <c r="AB87" s="1956">
        <f t="shared" si="53"/>
        <v>0</v>
      </c>
      <c r="AC87" s="103">
        <f>IF(AA87=0,0,G87*AA87)</f>
        <v>0</v>
      </c>
      <c r="AD87" s="104" t="str">
        <f>IF(AA87=0,"",IF(AA87&gt;0,-PV(3%,G87,AA87)/J87,0))</f>
        <v/>
      </c>
      <c r="AE87" s="340" t="str">
        <f t="shared" si="44"/>
        <v/>
      </c>
      <c r="AF87" s="329" t="s">
        <v>496</v>
      </c>
      <c r="AG87"/>
      <c r="AH87" s="2093" t="str">
        <f t="shared" ref="AH87" si="58">IF(J87=0,"",IF(OR(AE87&lt;0,AE87&gt;0.949),"Yes","No"))</f>
        <v/>
      </c>
      <c r="AI87" s="76" t="str">
        <f t="shared" si="56"/>
        <v/>
      </c>
      <c r="AJ87" s="76" t="str">
        <f t="shared" si="57"/>
        <v/>
      </c>
      <c r="AK87" s="76" t="str">
        <f t="shared" si="51"/>
        <v/>
      </c>
      <c r="AL87" s="2090" t="str">
        <f>IF(AK87="","",IF('Prescriptive Path'!$D$6="Affordable",IF(Savings!AK87="Electric","MPPLIEINC","MPPLIGINC"),IF(Savings!AK87="Electric","MPPMREINC","MPPMRGINC")))</f>
        <v/>
      </c>
    </row>
    <row r="88" spans="1:38">
      <c r="A88" s="2432"/>
      <c r="B88" s="20" t="s">
        <v>602</v>
      </c>
      <c r="C88" s="116"/>
      <c r="D88" s="117"/>
      <c r="E88" s="117"/>
      <c r="F88" s="117"/>
      <c r="G88" s="117"/>
      <c r="H88" s="2073"/>
      <c r="I88" s="2073"/>
      <c r="J88" s="2073"/>
      <c r="K88" s="1783"/>
      <c r="L88" s="117"/>
      <c r="M88" s="117"/>
      <c r="N88" s="117"/>
      <c r="O88" s="117"/>
      <c r="P88" s="117"/>
      <c r="Q88" s="117"/>
      <c r="R88" s="117"/>
      <c r="S88" s="117"/>
      <c r="T88" s="117"/>
      <c r="U88" s="117"/>
      <c r="V88" s="117"/>
      <c r="W88" s="117"/>
      <c r="X88" s="117"/>
      <c r="Y88" s="117"/>
      <c r="Z88" s="117"/>
      <c r="AA88" s="117"/>
      <c r="AB88" s="1783"/>
      <c r="AC88" s="117"/>
      <c r="AD88" s="117"/>
      <c r="AE88" s="888"/>
      <c r="AF88" s="344"/>
      <c r="AH88" s="2095"/>
      <c r="AI88" s="117"/>
      <c r="AJ88" s="117"/>
      <c r="AK88" s="1783"/>
      <c r="AL88" s="2091"/>
    </row>
    <row r="89" spans="1:38" ht="15.75" thickBot="1">
      <c r="A89" s="2433"/>
      <c r="B89" s="331" t="s">
        <v>603</v>
      </c>
      <c r="C89" s="889"/>
      <c r="D89" s="890"/>
      <c r="E89" s="890"/>
      <c r="F89" s="890"/>
      <c r="G89" s="890"/>
      <c r="H89" s="2074"/>
      <c r="I89" s="2074"/>
      <c r="J89" s="2074"/>
      <c r="K89" s="1784"/>
      <c r="L89" s="890"/>
      <c r="M89" s="890"/>
      <c r="N89" s="890"/>
      <c r="O89" s="890"/>
      <c r="P89" s="890"/>
      <c r="Q89" s="890"/>
      <c r="R89" s="890"/>
      <c r="S89" s="890"/>
      <c r="T89" s="890"/>
      <c r="U89" s="890"/>
      <c r="V89" s="890"/>
      <c r="W89" s="890"/>
      <c r="X89" s="890"/>
      <c r="Y89" s="890"/>
      <c r="Z89" s="890"/>
      <c r="AA89" s="890"/>
      <c r="AB89" s="1784"/>
      <c r="AC89" s="890"/>
      <c r="AD89" s="890"/>
      <c r="AE89" s="891"/>
      <c r="AF89" s="345"/>
      <c r="AH89" s="2096"/>
      <c r="AI89" s="890"/>
      <c r="AJ89" s="890"/>
      <c r="AK89" s="1784"/>
      <c r="AL89" s="2092"/>
    </row>
    <row r="90" spans="1:38" s="315" customFormat="1" ht="15.75" thickBot="1">
      <c r="A90" s="305" t="s">
        <v>242</v>
      </c>
      <c r="B90" s="305"/>
      <c r="C90" s="306">
        <f>SUM(C2:C70)+ SUM(C75:C89)</f>
        <v>0</v>
      </c>
      <c r="D90" s="306">
        <f>SUM(D2:D70)+ SUM(D75:D89)</f>
        <v>0</v>
      </c>
      <c r="E90" s="306">
        <f>SUM(E2:E70)+ SUM(E75:E89)</f>
        <v>0</v>
      </c>
      <c r="F90" s="306">
        <f>SUM(F2:F70)+ SUM(F75:F89)</f>
        <v>0</v>
      </c>
      <c r="G90" s="307"/>
      <c r="H90" s="312">
        <f>SUM(H2:H87)</f>
        <v>0</v>
      </c>
      <c r="I90" s="312">
        <f>SUM(I2:I87)</f>
        <v>0</v>
      </c>
      <c r="J90" s="312">
        <f>SUM(J2:J70)+ SUM(J75:J89)+'Prescriptive Path'!H112</f>
        <v>0</v>
      </c>
      <c r="K90" s="1785"/>
      <c r="L90" s="308"/>
      <c r="M90" s="308"/>
      <c r="N90" s="308"/>
      <c r="O90" s="308"/>
      <c r="P90" s="309">
        <f>SUM(P2:P70)+ SUM(P75:P89)</f>
        <v>0</v>
      </c>
      <c r="Q90" s="310">
        <f>SUM(Q2:Q70)+ SUM(Q75:Q89)</f>
        <v>0</v>
      </c>
      <c r="R90" s="311"/>
      <c r="S90" s="311"/>
      <c r="T90" s="311"/>
      <c r="U90" s="311"/>
      <c r="V90" s="311"/>
      <c r="W90" s="312">
        <f>SUM(W2:W87)</f>
        <v>0</v>
      </c>
      <c r="X90" s="311"/>
      <c r="Y90" s="311"/>
      <c r="Z90" s="312">
        <f>SUM(Z78:Z87,Z75:Z76,Z27:Z51,Z2:Z18)</f>
        <v>0</v>
      </c>
      <c r="AA90" s="312">
        <f>SUM(AA2:AA89)</f>
        <v>0</v>
      </c>
      <c r="AB90" s="2107">
        <f>SUM(AB2:AB89)</f>
        <v>0</v>
      </c>
      <c r="AC90" s="313" t="e">
        <f>SUM(AC2:AC89)/AA90</f>
        <v>#DIV/0!</v>
      </c>
      <c r="AD90" s="314">
        <f>IF(AA90&gt;0, -PV(3%, AC90, AA90)/(J90+'Prescriptive Path'!H112), 0)</f>
        <v>0</v>
      </c>
      <c r="AE90" s="309" t="e">
        <f>'Funding Overview'!E17</f>
        <v>#DIV/0!</v>
      </c>
      <c r="AF90" s="499"/>
      <c r="AH90" s="2101"/>
      <c r="AI90" s="2102"/>
      <c r="AJ90" s="2103"/>
      <c r="AK90" s="2104"/>
      <c r="AL90" s="2105"/>
    </row>
    <row r="91" spans="1:38" ht="15.75" thickBot="1">
      <c r="Z91" s="45"/>
      <c r="AA91" s="45"/>
      <c r="AB91" s="1958"/>
      <c r="AC91" s="45"/>
      <c r="AD91" s="45"/>
      <c r="AE91" s="45"/>
      <c r="AH91" s="2085"/>
      <c r="AI91" s="894"/>
      <c r="AJ91" s="895"/>
      <c r="AK91" s="2085"/>
      <c r="AL91" s="2085"/>
    </row>
    <row r="92" spans="1:38" ht="15.75" thickBot="1">
      <c r="A92" s="316" t="s">
        <v>254</v>
      </c>
      <c r="B92" s="23">
        <f>'Prescriptive Path'!I4*30000/3412</f>
        <v>0</v>
      </c>
      <c r="AH92" s="12"/>
      <c r="AK92" s="12"/>
      <c r="AL92" s="12"/>
    </row>
    <row r="93" spans="1:38" ht="15.75" thickBot="1">
      <c r="A93" s="316" t="s">
        <v>255</v>
      </c>
      <c r="B93" s="23">
        <f>'Prescriptive Path'!$I$4*43000/100000</f>
        <v>0</v>
      </c>
      <c r="AH93" s="12"/>
      <c r="AK93" s="12"/>
      <c r="AL93" s="12"/>
    </row>
    <row r="94" spans="1:38" ht="15.75" thickBot="1">
      <c r="A94" s="316" t="s">
        <v>256</v>
      </c>
      <c r="B94" s="23">
        <f>B92-C90-D90</f>
        <v>0</v>
      </c>
      <c r="AH94" s="12"/>
      <c r="AK94" s="12"/>
      <c r="AL94" s="12"/>
    </row>
    <row r="95" spans="1:38" ht="15.75" thickBot="1">
      <c r="A95" s="316" t="s">
        <v>257</v>
      </c>
      <c r="B95" s="23">
        <f>B93-E90-F90</f>
        <v>0</v>
      </c>
      <c r="D95" s="153"/>
      <c r="AH95" s="12"/>
      <c r="AK95" s="12"/>
      <c r="AL95" s="12"/>
    </row>
    <row r="96" spans="1:38" ht="30.75" thickBot="1">
      <c r="A96" s="317" t="s">
        <v>258</v>
      </c>
      <c r="B96" s="371" t="e">
        <f>(0.1814*(B92-B94)+1.561*(B93-B95))/(B93*1.561+B92*0.1814)</f>
        <v>#DIV/0!</v>
      </c>
      <c r="D96" s="153"/>
      <c r="E96" s="154"/>
      <c r="AH96" s="12"/>
      <c r="AK96" s="12"/>
      <c r="AL96" s="12"/>
    </row>
    <row r="97" spans="1:38" ht="15" customHeight="1">
      <c r="AH97" s="12"/>
      <c r="AK97" s="12"/>
      <c r="AL97" s="12"/>
    </row>
    <row r="98" spans="1:38" s="45" customFormat="1" ht="18.75">
      <c r="A98" s="12"/>
      <c r="B98" s="12"/>
      <c r="D98" s="46"/>
      <c r="E98" s="55"/>
      <c r="F98" s="55"/>
      <c r="G98" s="55"/>
      <c r="H98" s="2076"/>
      <c r="I98" s="2076"/>
      <c r="J98" s="2076"/>
      <c r="K98" s="55"/>
      <c r="M98" s="46"/>
      <c r="N98" s="46"/>
      <c r="AB98" s="1958"/>
      <c r="AF98" s="297"/>
      <c r="AH98" s="297"/>
    </row>
    <row r="99" spans="1:38">
      <c r="AH99" s="12"/>
      <c r="AK99" s="12"/>
      <c r="AL99" s="12"/>
    </row>
    <row r="100" spans="1:38">
      <c r="AH100" s="12"/>
      <c r="AK100" s="12"/>
      <c r="AL100" s="12"/>
    </row>
    <row r="101" spans="1:38">
      <c r="K101" s="297"/>
      <c r="L101"/>
      <c r="M101"/>
      <c r="N101"/>
      <c r="O101"/>
      <c r="AH101" s="12"/>
      <c r="AK101" s="12"/>
      <c r="AL101" s="12"/>
    </row>
  </sheetData>
  <sheetProtection sheet="1" objects="1" scenarios="1"/>
  <mergeCells count="14">
    <mergeCell ref="A80:A89"/>
    <mergeCell ref="A78:A79"/>
    <mergeCell ref="AF62:AF65"/>
    <mergeCell ref="AF71:AF74"/>
    <mergeCell ref="A2:A6"/>
    <mergeCell ref="A7:A10"/>
    <mergeCell ref="A11:A13"/>
    <mergeCell ref="A14:A17"/>
    <mergeCell ref="A18:A19"/>
    <mergeCell ref="A20:A22"/>
    <mergeCell ref="A23:A24"/>
    <mergeCell ref="A26:A30"/>
    <mergeCell ref="A32:A69"/>
    <mergeCell ref="A71:A75"/>
  </mergeCells>
  <conditionalFormatting sqref="AE2:AE90">
    <cfRule type="expression" dxfId="29" priority="1" stopIfTrue="1">
      <formula>OR(AND(AE2&lt;0.95,AE2&gt;0),Z2&lt;0)</formula>
    </cfRule>
  </conditionalFormatting>
  <pageMargins left="0.7" right="0.7" top="0.75" bottom="0.75" header="0.3" footer="0.3"/>
  <pageSetup orientation="portrait" horizontalDpi="200" verticalDpi="200" r:id="rId1"/>
  <ignoredErrors>
    <ignoredError sqref="P32:P37"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38</vt:i4>
      </vt:variant>
    </vt:vector>
  </HeadingPairs>
  <TitlesOfParts>
    <vt:vector size="74" baseType="lpstr">
      <vt:lpstr>Instructions</vt:lpstr>
      <vt:lpstr>Version History</vt:lpstr>
      <vt:lpstr>Prescriptive Path</vt:lpstr>
      <vt:lpstr>Baseline</vt:lpstr>
      <vt:lpstr>Proposed</vt:lpstr>
      <vt:lpstr>ClimateZoneLookup</vt:lpstr>
      <vt:lpstr>Avoided Costs</vt:lpstr>
      <vt:lpstr>Gut Rehab Envelope</vt:lpstr>
      <vt:lpstr>Savings</vt:lpstr>
      <vt:lpstr>Funding Overview</vt:lpstr>
      <vt:lpstr>T&amp;V Instructions</vt:lpstr>
      <vt:lpstr>Project Info</vt:lpstr>
      <vt:lpstr>Table Of Contents</vt:lpstr>
      <vt:lpstr>ERMs</vt:lpstr>
      <vt:lpstr>Mod Prescriptive Path Checklist</vt:lpstr>
      <vt:lpstr>Prescriptive Tables 1, 2 &amp; 3</vt:lpstr>
      <vt:lpstr>Overview</vt:lpstr>
      <vt:lpstr>1.1 - APPLIANCES</vt:lpstr>
      <vt:lpstr>2.1-2.2 - DOMESTIC HOT WATER</vt:lpstr>
      <vt:lpstr>3.1 - ENV_BELOW GRADE WALLS</vt:lpstr>
      <vt:lpstr>3.1 - ENV_ABOVE GRADE WALLS</vt:lpstr>
      <vt:lpstr>3.2 - ENV_ROOF</vt:lpstr>
      <vt:lpstr>3.3 - ENV_FLOORS</vt:lpstr>
      <vt:lpstr>3.4 - ENV_WINDOWS</vt:lpstr>
      <vt:lpstr>3.5 - ENV_EXTERIOR DOORS</vt:lpstr>
      <vt:lpstr>4.1 - GARAGES_CMPTZ &amp; HEATING </vt:lpstr>
      <vt:lpstr>5.1, 5.3 - HEATING</vt:lpstr>
      <vt:lpstr>5.2, 5.4 - COOLING</vt:lpstr>
      <vt:lpstr>6.1, 6.2, 6.3 - LIGHTING</vt:lpstr>
      <vt:lpstr>7.1 - MOTORS</vt:lpstr>
      <vt:lpstr>8.1 - INF_EXT AIR BARRIER</vt:lpstr>
      <vt:lpstr>8.1-INF_COMPTZN VIS INSPECTION</vt:lpstr>
      <vt:lpstr>8.1 - INF_BLOWER DOOR TEST</vt:lpstr>
      <vt:lpstr>8.2 - VENT_SCHEDULE&amp;TAB REPORT</vt:lpstr>
      <vt:lpstr>8.2 - VENT_DUCT TIGHTNESS</vt:lpstr>
      <vt:lpstr>9.1 - METERS</vt:lpstr>
      <vt:lpstr>AvoidCostTable</vt:lpstr>
      <vt:lpstr>counties</vt:lpstr>
      <vt:lpstr>EEPS_Funding</vt:lpstr>
      <vt:lpstr>ElecUtility</vt:lpstr>
      <vt:lpstr>FanType</vt:lpstr>
      <vt:lpstr>Funding_Source_Code</vt:lpstr>
      <vt:lpstr>GasList</vt:lpstr>
      <vt:lpstr>GasUtility</vt:lpstr>
      <vt:lpstr>'1.1 - APPLIANCES'!Print_Area</vt:lpstr>
      <vt:lpstr>'2.1-2.2 - DOMESTIC HOT WATER'!Print_Area</vt:lpstr>
      <vt:lpstr>'3.1 - ENV_ABOVE GRADE WALLS'!Print_Area</vt:lpstr>
      <vt:lpstr>'3.1 - ENV_BELOW GRADE WALLS'!Print_Area</vt:lpstr>
      <vt:lpstr>'3.2 - ENV_ROOF'!Print_Area</vt:lpstr>
      <vt:lpstr>'3.3 - ENV_FLOORS'!Print_Area</vt:lpstr>
      <vt:lpstr>'3.4 - ENV_WINDOWS'!Print_Area</vt:lpstr>
      <vt:lpstr>'3.5 - ENV_EXTERIOR DOORS'!Print_Area</vt:lpstr>
      <vt:lpstr>'4.1 - GARAGES_CMPTZ &amp; HEATING '!Print_Area</vt:lpstr>
      <vt:lpstr>'5.1, 5.3 - HEATING'!Print_Area</vt:lpstr>
      <vt:lpstr>'5.2, 5.4 - COOLING'!Print_Area</vt:lpstr>
      <vt:lpstr>'6.1, 6.2, 6.3 - LIGHTING'!Print_Area</vt:lpstr>
      <vt:lpstr>'7.1 - MOTORS'!Print_Area</vt:lpstr>
      <vt:lpstr>'8.1 - INF_BLOWER DOOR TEST'!Print_Area</vt:lpstr>
      <vt:lpstr>'8.1 - INF_EXT AIR BARRIER'!Print_Area</vt:lpstr>
      <vt:lpstr>'8.1-INF_COMPTZN VIS INSPECTION'!Print_Area</vt:lpstr>
      <vt:lpstr>'8.2 - VENT_DUCT TIGHTNESS'!Print_Area</vt:lpstr>
      <vt:lpstr>'8.2 - VENT_SCHEDULE&amp;TAB REPORT'!Print_Area</vt:lpstr>
      <vt:lpstr>'9.1 - METERS'!Print_Area</vt:lpstr>
      <vt:lpstr>ERMs!Print_Area</vt:lpstr>
      <vt:lpstr>'Mod Prescriptive Path Checklist'!Print_Area</vt:lpstr>
      <vt:lpstr>Overview!Print_Area</vt:lpstr>
      <vt:lpstr>ERMs!Print_Titles</vt:lpstr>
      <vt:lpstr>RoofRValue</vt:lpstr>
      <vt:lpstr>'Funding Overview'!SplitType</vt:lpstr>
      <vt:lpstr>Utilities</vt:lpstr>
      <vt:lpstr>WallRValue</vt:lpstr>
      <vt:lpstr>WindowType</vt:lpstr>
      <vt:lpstr>YesNo</vt:lpstr>
      <vt:lpstr>YN</vt:lpstr>
    </vt:vector>
  </TitlesOfParts>
  <Company>SWinter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Beaulieu, Shelley</dc:creator>
  <cp:lastModifiedBy>Beaulieu, Shelley</cp:lastModifiedBy>
  <cp:lastPrinted>2011-05-05T20:51:40Z</cp:lastPrinted>
  <dcterms:created xsi:type="dcterms:W3CDTF">2010-02-03T16:16:48Z</dcterms:created>
  <dcterms:modified xsi:type="dcterms:W3CDTF">2015-06-01T15:18:04Z</dcterms:modified>
</cp:coreProperties>
</file>